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comments15.xml" ContentType="application/vnd.openxmlformats-officedocument.spreadsheetml.comment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_rels/sheet1.xml.rels" ContentType="application/vnd.openxmlformats-package.relationships+xml"/>
  <Override PartName="/xl/worksheets/_rels/sheet22.xml.rels" ContentType="application/vnd.openxmlformats-package.relationships+xml"/>
  <Override PartName="/xl/worksheets/_rels/sheet9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11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20.xml.rels" ContentType="application/vnd.openxmlformats-package.relationships+xml"/>
  <Override PartName="/xl/worksheets/_rels/sheet8.xml.rels" ContentType="application/vnd.openxmlformats-package.relationships+xml"/>
  <Override PartName="/xl/worksheets/_rels/sheet21.xml.rels" ContentType="application/vnd.openxmlformats-package.relationships+xml"/>
  <Override PartName="/xl/worksheets/_rels/sheet12.xml.rels" ContentType="application/vnd.openxmlformats-package.relationships+xml"/>
  <Override PartName="/xl/worksheets/_rels/sheet13.xml.rels" ContentType="application/vnd.openxmlformats-package.relationships+xml"/>
  <Override PartName="/xl/worksheets/_rels/sheet14.xml.rels" ContentType="application/vnd.openxmlformats-package.relationships+xml"/>
  <Override PartName="/xl/worksheets/_rels/sheet15.xml.rels" ContentType="application/vnd.openxmlformats-package.relationships+xml"/>
  <Override PartName="/xl/worksheets/_rels/sheet16.xml.rels" ContentType="application/vnd.openxmlformats-package.relationships+xml"/>
  <Override PartName="/xl/worksheets/_rels/sheet17.xml.rels" ContentType="application/vnd.openxmlformats-package.relationships+xml"/>
  <Override PartName="/xl/worksheets/_rels/sheet18.xml.rels" ContentType="application/vnd.openxmlformats-package.relationships+xml"/>
  <Override PartName="/xl/worksheets/_rels/sheet19.xml.rels" ContentType="application/vnd.openxmlformats-package.relationships+xml"/>
  <Override PartName="/xl/worksheets/_rels/sheet23.xml.rels" ContentType="application/vnd.openxmlformats-package.relationships+xml"/>
  <Override PartName="/xl/worksheets/_rels/sheet24.xml.rels" ContentType="application/vnd.openxmlformats-package.relationships+xml"/>
  <Override PartName="/xl/worksheets/_rels/sheet25.xml.rels" ContentType="application/vnd.openxmlformats-package.relationships+xml"/>
  <Override PartName="/xl/worksheets/_rels/sheet26.xml.rels" ContentType="application/vnd.openxmlformats-package.relationships+xml"/>
  <Override PartName="/xl/worksheets/_rels/sheet28.xml.rels" ContentType="application/vnd.openxmlformats-package.relationship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media/image6.svg" ContentType="image/svg"/>
  <Override PartName="/xl/media/image2.svg" ContentType="image/svg"/>
  <Override PartName="/xl/media/image5.png" ContentType="image/png"/>
  <Override PartName="/xl/media/image3.png" ContentType="image/png"/>
  <Override PartName="/xl/media/image4.svg" ContentType="image/svg"/>
  <Override PartName="/xl/media/image7.png" ContentType="image/p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_rels/chart1.xml.rels" ContentType="application/vnd.openxmlformats-package.relationships+xml"/>
  <Override PartName="/xl/charts/_rels/chart9.xml.rels" ContentType="application/vnd.openxmlformats-package.relationships+xml"/>
  <Override PartName="/xl/charts/_rels/chart4.xml.rels" ContentType="application/vnd.openxmlformats-package.relationships+xml"/>
  <Override PartName="/xl/charts/_rels/chart5.xml.rels" ContentType="application/vnd.openxmlformats-package.relationships+xml"/>
  <Override PartName="/xl/charts/_rels/chart8.xml.rels" ContentType="application/vnd.openxmlformats-package.relationships+xml"/>
  <Override PartName="/xl/charts/_rels/chart12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ml.chartshapes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drawings/drawing5.xml" ContentType="application/vnd.openxmlformats-officedocument.drawingml.chartshapes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drawings/drawing8.xml" ContentType="application/vnd.openxmlformats-officedocument.drawingml.chartshapes+xml"/>
  <Override PartName="/xl/drawings/drawing9.xml" ContentType="application/vnd.openxmlformats-officedocument.drawingml.chartshapes+xml"/>
  <Override PartName="/xl/drawings/vmlDrawing2.vml" ContentType="application/vnd.openxmlformats-officedocument.vmlDrawing"/>
  <Override PartName="/xl/drawings/drawing10.xml" ContentType="application/vnd.openxmlformats-officedocument.drawing+xml"/>
  <Override PartName="/xl/drawings/vmlDrawing3.vml" ContentType="application/vnd.openxmlformats-officedocument.vmlDrawing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_rels/drawing1.xml.rels" ContentType="application/vnd.openxmlformats-package.relationships+xml"/>
  <Override PartName="/xl/drawings/_rels/drawing4.xml.rels" ContentType="application/vnd.openxmlformats-package.relationships+xml"/>
  <Override PartName="/xl/drawings/_rels/drawing7.xml.rels" ContentType="application/vnd.openxmlformats-package.relationships+xml"/>
  <Override PartName="/xl/drawings/_rels/drawing11.xml.rels" ContentType="application/vnd.openxmlformats-package.relationships+xml"/>
  <Override PartName="/xl/drawings/_rels/drawing10.xml.rels" ContentType="application/vnd.openxmlformats-package.relationships+xml"/>
  <Override PartName="/xl/drawings/_rels/drawing12.xml.rels" ContentType="application/vnd.openxmlformats-package.relationships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xl/tables/table10.xml" ContentType="application/vnd.openxmlformats-officedocument.spreadsheetml.table+xml"/>
  <Override PartName="/xl/tables/table6.xml" ContentType="application/vnd.openxmlformats-officedocument.spreadsheetml.table+xml"/>
  <Override PartName="/xl/tables/table1.xml" ContentType="application/vnd.openxmlformats-officedocument.spreadsheetml.table+xml"/>
  <Override PartName="/xl/tables/table9.xml" ContentType="application/vnd.openxmlformats-officedocument.spreadsheetml.table+xml"/>
  <Override PartName="/xl/tables/table5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13.xml" ContentType="application/vnd.openxmlformats-officedocument.spreadsheetml.table+xml"/>
  <Override PartName="/xl/tables/table4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onnections.xml" ContentType="application/vnd.openxmlformats-officedocument.spreadsheetml.connection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_rels/pivotTable1.xml.rels" ContentType="application/vnd.openxmlformats-package.relationships+xml"/>
  <Override PartName="/xl/pivotTables/_rels/pivotTable2.xml.rels" ContentType="application/vnd.openxmlformats-package.relationships+xml"/>
  <Override PartName="/xl/pivotTables/_rels/pivotTable3.xml.rels" ContentType="application/vnd.openxmlformats-package.relationships+xml"/>
  <Override PartName="/xl/pivotTables/_rels/pivotTable4.xml.rels" ContentType="application/vnd.openxmlformats-package.relationships+xml"/>
  <Override PartName="/xl/pivotTables/_rels/pivotTable5.xml.rels" ContentType="application/vnd.openxmlformats-package.relationships+xml"/>
  <Override PartName="/xl/pivotTables/_rels/pivotTable6.xml.rels" ContentType="application/vnd.openxmlformats-package.relationships+xml"/>
  <Override PartName="/xl/pivotTables/_rels/pivotTable7.xml.rels" ContentType="application/vnd.openxmlformats-package.relationships+xml"/>
  <Override PartName="/xl/pivotTables/_rels/pivotTable8.xml.rels" ContentType="application/vnd.openxmlformats-package.relationships+xml"/>
  <Override PartName="/xl/pivotTables/_rels/pivotTable9.xml.rels" ContentType="application/vnd.openxmlformats-package.relationships+xml"/>
  <Override PartName="/xl/pivotTables/_rels/pivotTable10.xml.rels" ContentType="application/vnd.openxmlformats-package.relationships+xml"/>
  <Override PartName="/xl/comments6.xml" ContentType="application/vnd.openxmlformats-officedocument.spreadsheetml.comments+xml"/>
  <Override PartName="/xl/comments9.xml" ContentType="application/vnd.openxmlformats-officedocument.spreadsheetml.comment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_rels/pivotCacheDefinition3.xml.rels" ContentType="application/vnd.openxmlformats-package.relationships+xml"/>
  <Override PartName="/xl/pivotCache/_rels/pivotCacheDefinition2.xml.rels" ContentType="application/vnd.openxmlformats-package.relationships+xml"/>
  <Override PartName="/xl/pivotCache/_rels/pivotCacheDefinition4.xml.rels" ContentType="application/vnd.openxmlformats-package.relationships+xml"/>
  <Override PartName="/xl/pivotCache/_rels/pivotCacheDefinition5.xml.rels" ContentType="application/vnd.openxmlformats-package.relationships+xml"/>
  <Override PartName="/xl/pivotCache/_rels/pivotCacheDefinition6.xml.rels" ContentType="application/vnd.openxmlformats-package.relationships+xml"/>
  <Override PartName="/xl/pivotCache/pivotCacheRecords1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ОТЧЕТ 2026" sheetId="1" state="visible" r:id="rId3"/>
    <sheet name="Подробности1" sheetId="2" state="hidden" r:id="rId4"/>
    <sheet name="Свод 2026" sheetId="3" state="visible" r:id="rId5"/>
    <sheet name="Структура 2026 " sheetId="4" state="hidden" r:id="rId6"/>
    <sheet name="Сев 2026" sheetId="5" state="hidden" r:id="rId7"/>
    <sheet name="Данные 2026" sheetId="6" state="hidden" r:id="rId8"/>
    <sheet name="ОТЧЕТ 2025" sheetId="7" state="hidden" r:id="rId9"/>
    <sheet name="ОТЧЕТ 2024" sheetId="8" state="hidden" r:id="rId10"/>
    <sheet name="Данные 2025" sheetId="9" state="hidden" r:id="rId11"/>
    <sheet name="СВОД по полям" sheetId="10" state="hidden" r:id="rId12"/>
    <sheet name="Поступление на завод " sheetId="11" state="hidden" r:id="rId13"/>
    <sheet name="Поступление на завод по дням" sheetId="12" state="hidden" r:id="rId14"/>
    <sheet name="по дням" sheetId="13" state="hidden" r:id="rId15"/>
    <sheet name="Реестр уборки 2026" sheetId="14" state="hidden" r:id="rId16"/>
    <sheet name="Реестр уборки 2025" sheetId="15" state="hidden" r:id="rId17"/>
    <sheet name="Основные показ 2023-2025" sheetId="16" state="hidden" r:id="rId18"/>
    <sheet name="Поступление дни 2023-2025" sheetId="17" state="hidden" r:id="rId19"/>
    <sheet name="Средний вал 2023-2025" sheetId="18" state="hidden" r:id="rId20"/>
    <sheet name="Уборка 2023-2025" sheetId="19" state="hidden" r:id="rId21"/>
    <sheet name="Вх конт 2023-2026" sheetId="20" state="hidden" r:id="rId22"/>
    <sheet name="Хар-ка качества 2023-2025" sheetId="21" state="hidden" r:id="rId23"/>
    <sheet name="Хар-ка сорта 2024" sheetId="22" state="hidden" r:id="rId24"/>
    <sheet name="Хар-ка сорта 2025" sheetId="23" state="hidden" r:id="rId25"/>
    <sheet name="Реестр 2024" sheetId="24" state="hidden" r:id="rId26"/>
    <sheet name="Степень зрелости 2026" sheetId="25" state="hidden" r:id="rId27"/>
    <sheet name="Степень зрелости 2025" sheetId="26" state="hidden" r:id="rId28"/>
    <sheet name="Вх контроль" sheetId="27" state="hidden" r:id="rId29"/>
    <sheet name="Реестр по входному контролю" sheetId="28" state="hidden" r:id="rId30"/>
  </sheets>
  <definedNames>
    <definedName function="false" hidden="true" localSheetId="25" name="_xlnm._FilterDatabase" vbProcedure="false">'Степень зрелости 2025'!$H$12:$I$583</definedName>
    <definedName function="false" hidden="true" localSheetId="24" name="_xlnm._FilterDatabase" vbProcedure="false">'Степень зрелости 2026'!$H$11:$I$582</definedName>
    <definedName function="false" hidden="true" name="_xlcn.WorksheetConnection_Семенныеучасткигороховощнойбогара2026.xlsxТаблица11" vbProcedure="false">[1]!Таблица1[#data]</definedName>
    <definedName function="false" hidden="false" name="Срез_Контрагент" vbProcedure="false">#N/A</definedName>
    <definedName function="false" hidden="false" name="Срез_Культура" vbProcedure="false">#N/A</definedName>
    <definedName function="false" hidden="false" name="Срез_Культура1" vbProcedure="false">#N/A</definedName>
    <definedName function="false" hidden="false" name="Срез_Орошение" vbProcedure="false">#N/A</definedName>
    <definedName function="false" hidden="false" name="Срез_Орошение1" vbProcedure="false">#N/A</definedName>
    <definedName function="false" hidden="false" name="Срез_Полив" vbProcedure="false">#N/A</definedName>
  </definedNames>
  <calcPr iterateCount="100" refMode="A1" iterate="false" iterateDelta="0.0001"/>
  <pivotCaches>
    <pivotCache cacheId="1" r:id="rId32"/>
    <pivotCache cacheId="2" r:id="rId33"/>
    <pivotCache cacheId="3" r:id="rId34"/>
    <pivotCache cacheId="4" r:id="rId35"/>
    <pivotCache cacheId="5" r:id="rId36"/>
    <pivotCache cacheId="6" r:id="rId37"/>
  </pivotCaches>
  <extLst>
    <ext xmlns:loext="http://schemas.libreoffice.org/" uri="{7626C862-2A13-11E5-B345-FEFF819CDC9F}">
      <loext:extCalcPr stringRefSyntax="ExcelA1"/>
    </ext>
  </extLst>
</workbook>
</file>

<file path=xl/comments6.xml><?xml version="1.0" encoding="utf-8"?>
<comments xmlns="http://schemas.openxmlformats.org/spreadsheetml/2006/main" xmlns:xdr="http://schemas.openxmlformats.org/drawingml/2006/spreadsheetDrawing">
  <authors>
    <author>Неезжалова Анастасия Викторовна</author>
  </authors>
  <commentList>
    <comment ref="B36" authorId="0">
      <text>
        <r>
          <rPr>
            <sz val="10"/>
            <rFont val="Arial"/>
            <family val="2"/>
            <charset val="204"/>
          </rPr>
          <t xml:space="preserve">вес по вх контролю
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Неезжалова Анастасия Викторовна</author>
  </authors>
  <commentList>
    <comment ref="B36" authorId="0">
      <text>
        <r>
          <rPr>
            <sz val="10"/>
            <rFont val="Arial"/>
            <family val="2"/>
            <charset val="204"/>
          </rPr>
          <t xml:space="preserve">вес по вх контролю
</t>
        </r>
      </text>
    </comment>
    <comment ref="C60" authorId="0">
      <text>
        <r>
          <rPr>
            <sz val="10"/>
            <rFont val="Arial"/>
            <family val="2"/>
            <charset val="204"/>
          </rPr>
          <t xml:space="preserve">валовый сбор посчитан на 302,9 га, площадь приравняли к 120 га, убрали 2,9 га</t>
        </r>
      </text>
    </comment>
  </commentList>
</comments>
</file>

<file path=xl/comments15.xml><?xml version="1.0" encoding="utf-8"?>
<comments xmlns="http://schemas.openxmlformats.org/spreadsheetml/2006/main" xmlns:xdr="http://schemas.openxmlformats.org/drawingml/2006/spreadsheetDrawing">
  <authors>
    <author>Неезжалова Анастасия Викторовна</author>
  </authors>
  <commentList>
    <comment ref="I105" authorId="0">
      <text>
        <r>
          <rPr>
            <sz val="10"/>
            <rFont val="Arial"/>
            <family val="2"/>
            <charset val="204"/>
          </rPr>
          <t xml:space="preserve">Неезжалова Анастасия Викторовна:
</t>
        </r>
        <r>
          <rPr>
            <sz val="9"/>
            <color rgb="FF000000"/>
            <rFont val="Tahoma"/>
            <family val="2"/>
            <charset val="204"/>
          </rPr>
          <t xml:space="preserve">0,640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C095647-732D-40C3-BF00-C0617D642D1B}" keepAlive="1" interval="0" name="ThisWorkbookDataModel" description="Модель данных" type="5" reconnectionMethod="1" refreshedVersion="8" minRefreshableVersion="5" savePassword="0" new="0" deleted="0" onlyUseConnectionFile="0" background="1" refreshOnLoad="0" saveData="0">
    <dbPr connection="Data Model Connection" command="Model" commandType="1"/>
    <olapPr sendLocale="1" rowDrillCount="1000"/>
    <extLst>
      <ext uri="{DE250136-89BD-433C-8126-D09CA5730AF9}"/>
    </extLst>
  </connection>
  <connection id="2" xr16:uid="{FC2DB386-B097-4C56-9794-7ED925033C2E}" keepAlive="0" interval="0" name="WorksheetConnection_Семенные участки горох овощной богара 2026.xlsx!Таблица1" type="102" reconnectionMethod="1" refreshedVersion="8" minRefreshableVersion="5" savePassword="0" new="0" deleted="0" onlyUseConnectionFile="0" background="0" refreshOnLoad="0" saveData="0">
    <extLst>
      <ext uri="{DE250136-89BD-433C-8126-D09CA5730AF9}"/>
    </extLst>
  </connection>
</connections>
</file>

<file path=xl/sharedStrings.xml><?xml version="1.0" encoding="utf-8"?>
<sst xmlns="http://schemas.openxmlformats.org/spreadsheetml/2006/main" count="35374" uniqueCount="3178">
  <si>
    <t xml:space="preserve">ОПЕРАТИВНАЯ ИНФОРМАЦИЯ ПО СБОРУ ГОРОШКА (СЕЗОН 2026 г.)</t>
  </si>
  <si>
    <t xml:space="preserve">ИЮНЬ</t>
  </si>
  <si>
    <t xml:space="preserve">Пн</t>
  </si>
  <si>
    <t xml:space="preserve">Вт</t>
  </si>
  <si>
    <t xml:space="preserve">Ср</t>
  </si>
  <si>
    <t xml:space="preserve">Чт</t>
  </si>
  <si>
    <t xml:space="preserve">Пт</t>
  </si>
  <si>
    <t xml:space="preserve">Сб</t>
  </si>
  <si>
    <t xml:space="preserve">Вс</t>
  </si>
  <si>
    <t xml:space="preserve">ИЮЛЬ</t>
  </si>
  <si>
    <t xml:space="preserve">День уборки - </t>
  </si>
  <si>
    <t xml:space="preserve">Сведения о  Площадь уборки, га - Регистратор.Номенклатура: Авола, Поле: А-3, Дата отчета: 6/9/2026, Культура: ГРК (богара)</t>
  </si>
  <si>
    <t xml:space="preserve">Показатель</t>
  </si>
  <si>
    <t xml:space="preserve">Количество</t>
  </si>
  <si>
    <t xml:space="preserve">Значение
финометра</t>
  </si>
  <si>
    <t xml:space="preserve">Регистратор.Номер</t>
  </si>
  <si>
    <t xml:space="preserve">Регистратор.Дата</t>
  </si>
  <si>
    <t xml:space="preserve">Регистратор.Вес брутто</t>
  </si>
  <si>
    <t xml:space="preserve">Регистратор.Вес нетто</t>
  </si>
  <si>
    <t xml:space="preserve">Регистратор.Вес тары</t>
  </si>
  <si>
    <t xml:space="preserve">Регистратор.Вес чистый</t>
  </si>
  <si>
    <t xml:space="preserve">Регистратор.Контрагент</t>
  </si>
  <si>
    <t xml:space="preserve">Регистратор.Номенклатура</t>
  </si>
  <si>
    <t xml:space="preserve">Регистратор.Комбайнеры.Поле.Наименование</t>
  </si>
  <si>
    <t xml:space="preserve">Регистратор.Водитель</t>
  </si>
  <si>
    <t xml:space="preserve">Регистратор.Время прибытия</t>
  </si>
  <si>
    <t xml:space="preserve">Регистратор.Время убытия</t>
  </si>
  <si>
    <t xml:space="preserve">Регистратор.Комбайнеры.Комбайнер.Наименование</t>
  </si>
  <si>
    <t xml:space="preserve">Регистратор.Номера талонов</t>
  </si>
  <si>
    <t xml:space="preserve">Регистратор.Номер машины</t>
  </si>
  <si>
    <t xml:space="preserve">Регистратор.Номер прицепа</t>
  </si>
  <si>
    <t xml:space="preserve">Поле</t>
  </si>
  <si>
    <t xml:space="preserve">Сорт уточн</t>
  </si>
  <si>
    <t xml:space="preserve">Площадь уборки, га</t>
  </si>
  <si>
    <t xml:space="preserve">Культура</t>
  </si>
  <si>
    <t xml:space="preserve">Орошение</t>
  </si>
  <si>
    <t xml:space="preserve">Смена</t>
  </si>
  <si>
    <t xml:space="preserve">Дата отчета</t>
  </si>
  <si>
    <t xml:space="preserve">Продажа</t>
  </si>
  <si>
    <t xml:space="preserve">Примечание</t>
  </si>
  <si>
    <t xml:space="preserve">Финометр</t>
  </si>
  <si>
    <t xml:space="preserve">Характеристика</t>
  </si>
  <si>
    <t xml:space="preserve">№ акта</t>
  </si>
  <si>
    <t xml:space="preserve">Дата акта</t>
  </si>
  <si>
    <t xml:space="preserve">Вх №</t>
  </si>
  <si>
    <t xml:space="preserve">Степень зрелости вспом</t>
  </si>
  <si>
    <t xml:space="preserve">ГРИН РЭЙ КУБАНЬ ООО</t>
  </si>
  <si>
    <t xml:space="preserve">Авола</t>
  </si>
  <si>
    <t xml:space="preserve">Ревенко Андрей Вячеславович</t>
  </si>
  <si>
    <t xml:space="preserve">А781РР</t>
  </si>
  <si>
    <t xml:space="preserve">А-3</t>
  </si>
  <si>
    <t xml:space="preserve">ГРК (богара)</t>
  </si>
  <si>
    <t xml:space="preserve">богара</t>
  </si>
  <si>
    <t xml:space="preserve"> 40-52</t>
  </si>
  <si>
    <t xml:space="preserve">Высший</t>
  </si>
  <si>
    <t xml:space="preserve">Сероштан Станислав Викторович</t>
  </si>
  <si>
    <t xml:space="preserve">Е758РЕ</t>
  </si>
  <si>
    <t xml:space="preserve">Емец Р.А.</t>
  </si>
  <si>
    <t xml:space="preserve">У315НХ</t>
  </si>
  <si>
    <t xml:space="preserve">Уборка гороха овощного в 2026 году на</t>
  </si>
  <si>
    <t xml:space="preserve">Данные</t>
  </si>
  <si>
    <t xml:space="preserve"> Площадь уборки, га</t>
  </si>
  <si>
    <t xml:space="preserve">Физический вес, кг</t>
  </si>
  <si>
    <t xml:space="preserve">Зачетный вес, кг</t>
  </si>
  <si>
    <t xml:space="preserve">в т.ч. Продажа, кг</t>
  </si>
  <si>
    <t xml:space="preserve">А-4/1</t>
  </si>
  <si>
    <t xml:space="preserve">Тиара</t>
  </si>
  <si>
    <t xml:space="preserve">А-22/1</t>
  </si>
  <si>
    <t xml:space="preserve">Увертюра</t>
  </si>
  <si>
    <t xml:space="preserve">А-23</t>
  </si>
  <si>
    <t xml:space="preserve">Итог Результат</t>
  </si>
  <si>
    <t xml:space="preserve">Структура посевных площадей</t>
  </si>
  <si>
    <t xml:space="preserve">Отбор:</t>
  </si>
  <si>
    <t xml:space="preserve">Год урожая Равно "2026 г." И
Участок не используется Равно "Нет"</t>
  </si>
  <si>
    <t xml:space="preserve">Год урожая</t>
  </si>
  <si>
    <t xml:space="preserve">Площадь общая</t>
  </si>
  <si>
    <t xml:space="preserve">Площадь сева</t>
  </si>
  <si>
    <t xml:space="preserve">Подразделение</t>
  </si>
  <si>
    <t xml:space="preserve">2026 г.</t>
  </si>
  <si>
    <t xml:space="preserve">2. Растениеводство (20)</t>
  </si>
  <si>
    <t xml:space="preserve">Кукуруза на зерно</t>
  </si>
  <si>
    <t xml:space="preserve">А-102/1</t>
  </si>
  <si>
    <t xml:space="preserve">А-103/1</t>
  </si>
  <si>
    <t xml:space="preserve">А-108/3</t>
  </si>
  <si>
    <t xml:space="preserve">А-109/1</t>
  </si>
  <si>
    <t xml:space="preserve">А-11</t>
  </si>
  <si>
    <t xml:space="preserve">А-110/1</t>
  </si>
  <si>
    <t xml:space="preserve">А-68/1</t>
  </si>
  <si>
    <t xml:space="preserve">А-84/1</t>
  </si>
  <si>
    <t xml:space="preserve">Подсолнечник</t>
  </si>
  <si>
    <t xml:space="preserve">А-12</t>
  </si>
  <si>
    <t xml:space="preserve">А-18/1</t>
  </si>
  <si>
    <t xml:space="preserve">А-19/2</t>
  </si>
  <si>
    <t xml:space="preserve">А-21/1</t>
  </si>
  <si>
    <t xml:space="preserve">А-26</t>
  </si>
  <si>
    <t xml:space="preserve">А-28</t>
  </si>
  <si>
    <t xml:space="preserve">А-32/1</t>
  </si>
  <si>
    <t xml:space="preserve">А-35/1</t>
  </si>
  <si>
    <t xml:space="preserve">А-36/1</t>
  </si>
  <si>
    <t xml:space="preserve">А-48/2</t>
  </si>
  <si>
    <t xml:space="preserve">Подсолнечник (гибрид)</t>
  </si>
  <si>
    <t xml:space="preserve">А-107/1</t>
  </si>
  <si>
    <t xml:space="preserve">А-111/2</t>
  </si>
  <si>
    <t xml:space="preserve">А-87/11</t>
  </si>
  <si>
    <t xml:space="preserve">Пшеница озимая</t>
  </si>
  <si>
    <t xml:space="preserve">А-1/1</t>
  </si>
  <si>
    <t xml:space="preserve">А-100/4</t>
  </si>
  <si>
    <t xml:space="preserve">А-101/1</t>
  </si>
  <si>
    <t xml:space="preserve">А-101/2</t>
  </si>
  <si>
    <t xml:space="preserve">А-117/2</t>
  </si>
  <si>
    <t xml:space="preserve">А-118</t>
  </si>
  <si>
    <t xml:space="preserve">А-119/2</t>
  </si>
  <si>
    <t xml:space="preserve">А-120/2</t>
  </si>
  <si>
    <t xml:space="preserve">А-121/1</t>
  </si>
  <si>
    <t xml:space="preserve">А-122/2</t>
  </si>
  <si>
    <t xml:space="preserve">А-123/1</t>
  </si>
  <si>
    <t xml:space="preserve">А-124/2</t>
  </si>
  <si>
    <t xml:space="preserve">А-125/2</t>
  </si>
  <si>
    <t xml:space="preserve">А-126/1</t>
  </si>
  <si>
    <t xml:space="preserve">А-13</t>
  </si>
  <si>
    <t xml:space="preserve">А-14/1</t>
  </si>
  <si>
    <t xml:space="preserve">А-15/1</t>
  </si>
  <si>
    <t xml:space="preserve">А-16/1</t>
  </si>
  <si>
    <t xml:space="preserve">А-17/1</t>
  </si>
  <si>
    <t xml:space="preserve">А-2/1</t>
  </si>
  <si>
    <t xml:space="preserve">А-20/1</t>
  </si>
  <si>
    <t xml:space="preserve">А-25</t>
  </si>
  <si>
    <t xml:space="preserve">А-27</t>
  </si>
  <si>
    <t xml:space="preserve">А-31</t>
  </si>
  <si>
    <t xml:space="preserve">А-33</t>
  </si>
  <si>
    <t xml:space="preserve">А-37/3</t>
  </si>
  <si>
    <t xml:space="preserve">А-39/3</t>
  </si>
  <si>
    <t xml:space="preserve">А-43/3</t>
  </si>
  <si>
    <t xml:space="preserve">А-44</t>
  </si>
  <si>
    <t xml:space="preserve">А-46/1</t>
  </si>
  <si>
    <t xml:space="preserve">А-49/1</t>
  </si>
  <si>
    <t xml:space="preserve">А-51/1</t>
  </si>
  <si>
    <t xml:space="preserve">А-52/1</t>
  </si>
  <si>
    <t xml:space="preserve">А-53/4</t>
  </si>
  <si>
    <t xml:space="preserve">А-55/5</t>
  </si>
  <si>
    <t xml:space="preserve">А-56/3</t>
  </si>
  <si>
    <t xml:space="preserve">А-57/5</t>
  </si>
  <si>
    <t xml:space="preserve">А-58/5</t>
  </si>
  <si>
    <t xml:space="preserve">А-59/1</t>
  </si>
  <si>
    <t xml:space="preserve">А-6/1</t>
  </si>
  <si>
    <t xml:space="preserve">А-62/1</t>
  </si>
  <si>
    <t xml:space="preserve">А-63/1</t>
  </si>
  <si>
    <t xml:space="preserve">А-64/1</t>
  </si>
  <si>
    <t xml:space="preserve">А-65/1</t>
  </si>
  <si>
    <t xml:space="preserve">А-66/1</t>
  </si>
  <si>
    <t xml:space="preserve">А-66/2</t>
  </si>
  <si>
    <t xml:space="preserve">А-67/1</t>
  </si>
  <si>
    <t xml:space="preserve">А-7</t>
  </si>
  <si>
    <t xml:space="preserve">А-75</t>
  </si>
  <si>
    <t xml:space="preserve">А-78/4</t>
  </si>
  <si>
    <t xml:space="preserve">А-85</t>
  </si>
  <si>
    <t xml:space="preserve">А-86/4</t>
  </si>
  <si>
    <t xml:space="preserve">А-87</t>
  </si>
  <si>
    <t xml:space="preserve">А-87/4</t>
  </si>
  <si>
    <t xml:space="preserve">А-89/1</t>
  </si>
  <si>
    <t xml:space="preserve">А-96</t>
  </si>
  <si>
    <t xml:space="preserve">А-98/1</t>
  </si>
  <si>
    <t xml:space="preserve">А-99/1</t>
  </si>
  <si>
    <t xml:space="preserve">Рапс озимый</t>
  </si>
  <si>
    <t xml:space="preserve">А-56</t>
  </si>
  <si>
    <t xml:space="preserve">А-56/1</t>
  </si>
  <si>
    <t xml:space="preserve">4. Овощеводство (20)</t>
  </si>
  <si>
    <t xml:space="preserve">Горошек овощной (богара)</t>
  </si>
  <si>
    <t xml:space="preserve">А-104/1</t>
  </si>
  <si>
    <t xml:space="preserve">А-105/1</t>
  </si>
  <si>
    <t xml:space="preserve">А-111/1</t>
  </si>
  <si>
    <t xml:space="preserve">А-112/1</t>
  </si>
  <si>
    <t xml:space="preserve">А-114</t>
  </si>
  <si>
    <t xml:space="preserve">А-115/1</t>
  </si>
  <si>
    <t xml:space="preserve">А-116/1</t>
  </si>
  <si>
    <t xml:space="preserve">А-24/1</t>
  </si>
  <si>
    <t xml:space="preserve">А-38</t>
  </si>
  <si>
    <t xml:space="preserve">А-5/1</t>
  </si>
  <si>
    <t xml:space="preserve">А-76/3</t>
  </si>
  <si>
    <t xml:space="preserve">А-76/5</t>
  </si>
  <si>
    <t xml:space="preserve">А-83/1</t>
  </si>
  <si>
    <t xml:space="preserve">А-83/2</t>
  </si>
  <si>
    <t xml:space="preserve">Горошек овощной (полив)</t>
  </si>
  <si>
    <t xml:space="preserve">А-108/7</t>
  </si>
  <si>
    <t xml:space="preserve">А-112/2</t>
  </si>
  <si>
    <t xml:space="preserve">А-113/1</t>
  </si>
  <si>
    <t xml:space="preserve">А-54</t>
  </si>
  <si>
    <t xml:space="preserve">А-54/4</t>
  </si>
  <si>
    <t xml:space="preserve">А-79</t>
  </si>
  <si>
    <t xml:space="preserve">А-81/1</t>
  </si>
  <si>
    <t xml:space="preserve">А-82/1</t>
  </si>
  <si>
    <t xml:space="preserve">Горошек овощной Агролидер (полив)</t>
  </si>
  <si>
    <t xml:space="preserve">12 Агролидер</t>
  </si>
  <si>
    <t xml:space="preserve">17 Агролидер</t>
  </si>
  <si>
    <t xml:space="preserve">18 Агролидер</t>
  </si>
  <si>
    <t xml:space="preserve">Горошек овощной Колос ООО (полив)</t>
  </si>
  <si>
    <t xml:space="preserve">1.6 Колос</t>
  </si>
  <si>
    <t xml:space="preserve">1.7 Колос</t>
  </si>
  <si>
    <t xml:space="preserve">2.2 Колос</t>
  </si>
  <si>
    <t xml:space="preserve">3.1 Колос</t>
  </si>
  <si>
    <t xml:space="preserve">3.3 Колос</t>
  </si>
  <si>
    <t xml:space="preserve">3.6 Колос</t>
  </si>
  <si>
    <t xml:space="preserve">Кукуруза сахарная</t>
  </si>
  <si>
    <t xml:space="preserve">А-106/1</t>
  </si>
  <si>
    <t xml:space="preserve">А-112/2 (2 сев)</t>
  </si>
  <si>
    <t xml:space="preserve">А-54 (2 сев)</t>
  </si>
  <si>
    <t xml:space="preserve">А-54/4 (2 сев)</t>
  </si>
  <si>
    <t xml:space="preserve">А-81/1 (2 сев)</t>
  </si>
  <si>
    <t xml:space="preserve">А-82/1 (2 сев)</t>
  </si>
  <si>
    <t xml:space="preserve">Кукуруза сахарная Агролидер</t>
  </si>
  <si>
    <t xml:space="preserve">14/1 Агролидер</t>
  </si>
  <si>
    <t xml:space="preserve">15/1 Агролидер</t>
  </si>
  <si>
    <t xml:space="preserve">16/1 Агролидер</t>
  </si>
  <si>
    <t xml:space="preserve">17/1 Агролидер</t>
  </si>
  <si>
    <t xml:space="preserve">Кукуруза сахарная Колос ООО</t>
  </si>
  <si>
    <t xml:space="preserve">1.3 Колос</t>
  </si>
  <si>
    <t xml:space="preserve">1.4 Колос</t>
  </si>
  <si>
    <t xml:space="preserve">2.1 Колос</t>
  </si>
  <si>
    <t xml:space="preserve">Итого</t>
  </si>
  <si>
    <t xml:space="preserve">Значения</t>
  </si>
  <si>
    <t xml:space="preserve">Номенклатура</t>
  </si>
  <si>
    <t xml:space="preserve">Сорт</t>
  </si>
  <si>
    <t xml:space="preserve"> Площадь сева, га</t>
  </si>
  <si>
    <t xml:space="preserve"> Всего внесено, ед. изм.</t>
  </si>
  <si>
    <t xml:space="preserve"> Площадь обработанная, га</t>
  </si>
  <si>
    <t xml:space="preserve">Семена гороха ( п.е.)</t>
  </si>
  <si>
    <t xml:space="preserve">Женева 100 т.с.</t>
  </si>
  <si>
    <t xml:space="preserve">Семена гороха овощного протравленные</t>
  </si>
  <si>
    <t xml:space="preserve">Тристар 100 тыс.с (лот D0021 15 T25-3033ST)</t>
  </si>
  <si>
    <t xml:space="preserve">Семена гороха овощного протравленные (кг)</t>
  </si>
  <si>
    <t xml:space="preserve">Патриот ЭС</t>
  </si>
  <si>
    <t xml:space="preserve">А-104/1 Итог</t>
  </si>
  <si>
    <t xml:space="preserve">Авола 100 тыс.с (лот D0021 15 K25-6011ST)</t>
  </si>
  <si>
    <t xml:space="preserve">Авола 100 тыс.с (лот D0021 15 K25-6012ST)</t>
  </si>
  <si>
    <t xml:space="preserve">А-105/1 Итог</t>
  </si>
  <si>
    <t xml:space="preserve">Авола 100 тыс.с (лот Kl1038104)</t>
  </si>
  <si>
    <t xml:space="preserve">А-111/1 Итог</t>
  </si>
  <si>
    <t xml:space="preserve">Тристар 100 тыс.с (лот ES1038103)</t>
  </si>
  <si>
    <t xml:space="preserve">А-112/1 Итог</t>
  </si>
  <si>
    <t xml:space="preserve">А-114 Итог</t>
  </si>
  <si>
    <t xml:space="preserve">А-115/1 Итог</t>
  </si>
  <si>
    <t xml:space="preserve">Фаворит 100 т.с.(партия Н-Х/4402)</t>
  </si>
  <si>
    <t xml:space="preserve">семенной участок</t>
  </si>
  <si>
    <t xml:space="preserve">Фаворит 100 т.с.(партия Н-Х/5126)</t>
  </si>
  <si>
    <t xml:space="preserve">Фаворит 100 т.с.(партия Н-Х/5128)</t>
  </si>
  <si>
    <t xml:space="preserve">А-116/1 Итог</t>
  </si>
  <si>
    <t xml:space="preserve">Увертюра 100 000</t>
  </si>
  <si>
    <t xml:space="preserve">Тиара 100 т.с.(партия Н-Х/5120)</t>
  </si>
  <si>
    <t xml:space="preserve">А-22/1 Итог</t>
  </si>
  <si>
    <t xml:space="preserve">Фаворит 100 т.с.(партия Н-Х/5121)</t>
  </si>
  <si>
    <t xml:space="preserve">А-23 Итог</t>
  </si>
  <si>
    <t xml:space="preserve">А-24/1 Итог</t>
  </si>
  <si>
    <t xml:space="preserve">Преладо</t>
  </si>
  <si>
    <t xml:space="preserve">подсев</t>
  </si>
  <si>
    <t xml:space="preserve">А-3 Итог</t>
  </si>
  <si>
    <t xml:space="preserve">А-38 Итог</t>
  </si>
  <si>
    <t xml:space="preserve">Тиара 100 т.с.(партия Н-Х/5116)</t>
  </si>
  <si>
    <t xml:space="preserve">Тиара 100 т.с.(партия Н-Х/5119)</t>
  </si>
  <si>
    <t xml:space="preserve">А-4/1 Итог</t>
  </si>
  <si>
    <t xml:space="preserve">А-5/1 Итог</t>
  </si>
  <si>
    <t xml:space="preserve">А-76/3 Итог</t>
  </si>
  <si>
    <t xml:space="preserve">А-76/5 Итог</t>
  </si>
  <si>
    <t xml:space="preserve">А-83/1 Итог</t>
  </si>
  <si>
    <t xml:space="preserve">А-83/2 Итог</t>
  </si>
  <si>
    <t xml:space="preserve">Общий итог</t>
  </si>
  <si>
    <t xml:space="preserve">протянуть формулу на след день</t>
  </si>
  <si>
    <t xml:space="preserve"> 1.1</t>
  </si>
  <si>
    <t xml:space="preserve">Выборка по КА, орошению</t>
  </si>
  <si>
    <t xml:space="preserve">Валовый сбор</t>
  </si>
  <si>
    <t xml:space="preserve">Выполнение плана по сбору</t>
  </si>
  <si>
    <t xml:space="preserve">ПЛАН, т</t>
  </si>
  <si>
    <t xml:space="preserve">ФАКТ, т</t>
  </si>
  <si>
    <t xml:space="preserve">Исполнение плана, %</t>
  </si>
  <si>
    <t xml:space="preserve">Ежедневные показатели</t>
  </si>
  <si>
    <t xml:space="preserve">Сбор, т</t>
  </si>
  <si>
    <t xml:space="preserve">Значение спелости</t>
  </si>
  <si>
    <t xml:space="preserve">нет данных</t>
  </si>
  <si>
    <t xml:space="preserve">ГРК (полив)</t>
  </si>
  <si>
    <t xml:space="preserve">Агролидер (полив)</t>
  </si>
  <si>
    <t xml:space="preserve">Колос (полив)</t>
  </si>
  <si>
    <t xml:space="preserve"> 1.2</t>
  </si>
  <si>
    <t xml:space="preserve">Зачетный вес</t>
  </si>
  <si>
    <t xml:space="preserve">Площадь уборки</t>
  </si>
  <si>
    <t xml:space="preserve">Урожайность, т/га</t>
  </si>
  <si>
    <t xml:space="preserve">Вал, т</t>
  </si>
  <si>
    <t xml:space="preserve">ПЛАН, га</t>
  </si>
  <si>
    <t xml:space="preserve">ФАКТ, га</t>
  </si>
  <si>
    <t xml:space="preserve">Остаток, га</t>
  </si>
  <si>
    <t xml:space="preserve">Убрали на зерно</t>
  </si>
  <si>
    <t xml:space="preserve">ОСТАВИЛИ</t>
  </si>
  <si>
    <t xml:space="preserve"> 3.1</t>
  </si>
  <si>
    <t xml:space="preserve">Урожайность физ. вес.</t>
  </si>
  <si>
    <t xml:space="preserve">ПЛАН, т/га</t>
  </si>
  <si>
    <t xml:space="preserve">ФАКТ, т/га</t>
  </si>
  <si>
    <t xml:space="preserve"> 3.2</t>
  </si>
  <si>
    <t xml:space="preserve">Распределение сырья по финометру</t>
  </si>
  <si>
    <t xml:space="preserve">Вес, т</t>
  </si>
  <si>
    <t xml:space="preserve">Доля, %</t>
  </si>
  <si>
    <t xml:space="preserve">Урожайность зач. вес.</t>
  </si>
  <si>
    <t xml:space="preserve"> до 40</t>
  </si>
  <si>
    <t xml:space="preserve"> 40-62</t>
  </si>
  <si>
    <t xml:space="preserve"> 63-66</t>
  </si>
  <si>
    <t xml:space="preserve">53-63</t>
  </si>
  <si>
    <t xml:space="preserve"> 67-85</t>
  </si>
  <si>
    <t xml:space="preserve"> 64-66</t>
  </si>
  <si>
    <t xml:space="preserve">67-85</t>
  </si>
  <si>
    <t xml:space="preserve">Информация по сырью</t>
  </si>
  <si>
    <t xml:space="preserve">Переработка</t>
  </si>
  <si>
    <t xml:space="preserve">Утилизация</t>
  </si>
  <si>
    <t xml:space="preserve">Реализация</t>
  </si>
  <si>
    <t xml:space="preserve">  - реализовано по документам отгрузки (зач вес)</t>
  </si>
  <si>
    <t xml:space="preserve">Собственное сырье</t>
  </si>
  <si>
    <t xml:space="preserve">Закупка</t>
  </si>
  <si>
    <t xml:space="preserve">Исполнение плана по валу, %</t>
  </si>
  <si>
    <t xml:space="preserve">Исполнение плана по площади, %</t>
  </si>
  <si>
    <t xml:space="preserve">полив</t>
  </si>
  <si>
    <t xml:space="preserve"> ПЛАН, т</t>
  </si>
  <si>
    <t xml:space="preserve"> ФАКТ, т</t>
  </si>
  <si>
    <t xml:space="preserve"> ПЛАН, га</t>
  </si>
  <si>
    <t xml:space="preserve"> ФАКТ, га</t>
  </si>
  <si>
    <t xml:space="preserve">ОПЕРАТИВНАЯ ИНФОРМАЦИЯ ПО СБОРУ ГОРОШКА (СЕЗОН 2025 г.)</t>
  </si>
  <si>
    <t xml:space="preserve">МАЙ</t>
  </si>
  <si>
    <t xml:space="preserve">ОПЕРАТИВНАЯ ИНФОРМАЦИЯ ПО СБОРУ ГОРОШКА (СЕЗОН 2024 г.)</t>
  </si>
  <si>
    <t xml:space="preserve">Учхоз Кубань (богара)</t>
  </si>
  <si>
    <t xml:space="preserve">ГРК собственные семена (богара)</t>
  </si>
  <si>
    <t xml:space="preserve">ГРК демо (богара)</t>
  </si>
  <si>
    <t xml:space="preserve">Братковский (полив)</t>
  </si>
  <si>
    <t xml:space="preserve">Братковский закупка (полив)</t>
  </si>
  <si>
    <t xml:space="preserve">  - реализовано по документам отгрузки (ранее было указано в отчете)</t>
  </si>
  <si>
    <t xml:space="preserve">не указана закупка Брактовского, так как она была запланирована в конвейере</t>
  </si>
  <si>
    <t xml:space="preserve">Учхоз Кубань</t>
  </si>
  <si>
    <t xml:space="preserve">ГРК собственные семена</t>
  </si>
  <si>
    <t xml:space="preserve">ГРК демо</t>
  </si>
  <si>
    <t xml:space="preserve">ГРК</t>
  </si>
  <si>
    <t xml:space="preserve">Братковский</t>
  </si>
  <si>
    <t xml:space="preserve">Братковский закупка</t>
  </si>
  <si>
    <t xml:space="preserve">Агролидер</t>
  </si>
  <si>
    <t xml:space="preserve">Колос</t>
  </si>
  <si>
    <t xml:space="preserve">Заголовки строк</t>
  </si>
  <si>
    <t xml:space="preserve">Контрагент</t>
  </si>
  <si>
    <t xml:space="preserve">Полив</t>
  </si>
  <si>
    <t xml:space="preserve">Номер поля</t>
  </si>
  <si>
    <t xml:space="preserve">Остаток площади</t>
  </si>
  <si>
    <t xml:space="preserve">Закрытие, %</t>
  </si>
  <si>
    <t xml:space="preserve">Урожайность плановая, т/га</t>
  </si>
  <si>
    <t xml:space="preserve">Урожайность фактическая, т/га</t>
  </si>
  <si>
    <t xml:space="preserve">Валовый сбор плановый, т</t>
  </si>
  <si>
    <t xml:space="preserve">Валовый сбор фактический, т</t>
  </si>
  <si>
    <t xml:space="preserve">Выполнение плана, %</t>
  </si>
  <si>
    <t xml:space="preserve">ООО ГРК</t>
  </si>
  <si>
    <t xml:space="preserve">А-17</t>
  </si>
  <si>
    <t xml:space="preserve">(пусто)</t>
  </si>
  <si>
    <t xml:space="preserve">Дата</t>
  </si>
  <si>
    <t xml:space="preserve">Физический вес, тонны</t>
  </si>
  <si>
    <t xml:space="preserve">Дата акта входного контроля</t>
  </si>
  <si>
    <t xml:space="preserve">По дате акта входного контроля</t>
  </si>
  <si>
    <t xml:space="preserve"> Физический вес, тонны</t>
  </si>
  <si>
    <t xml:space="preserve">- все -</t>
  </si>
  <si>
    <t xml:space="preserve">Степень зрелости</t>
  </si>
  <si>
    <t xml:space="preserve">Богучарский А. И.</t>
  </si>
  <si>
    <t xml:space="preserve">А718ВХ</t>
  </si>
  <si>
    <t xml:space="preserve">Кудря Евгений</t>
  </si>
  <si>
    <t xml:space="preserve">А719ОО</t>
  </si>
  <si>
    <t xml:space="preserve">Черевко Александр Владимирович</t>
  </si>
  <si>
    <t xml:space="preserve">А114МК</t>
  </si>
  <si>
    <t xml:space="preserve">Погуляй А.Б.       </t>
  </si>
  <si>
    <t xml:space="preserve">К403ЕМ</t>
  </si>
  <si>
    <t xml:space="preserve">Деревянко Н.Н.</t>
  </si>
  <si>
    <t xml:space="preserve">Р699ОН</t>
  </si>
  <si>
    <t xml:space="preserve">Осипов Александр Николаевич</t>
  </si>
  <si>
    <t xml:space="preserve">Е732УС</t>
  </si>
  <si>
    <t xml:space="preserve">Бербеницкий Сергей Николаевич</t>
  </si>
  <si>
    <t xml:space="preserve">С400РР</t>
  </si>
  <si>
    <t xml:space="preserve">О824ТХ</t>
  </si>
  <si>
    <t xml:space="preserve">Сайко Владимир Николаевич</t>
  </si>
  <si>
    <t xml:space="preserve">Т919РВ</t>
  </si>
  <si>
    <t xml:space="preserve">Чигрин Н.А.</t>
  </si>
  <si>
    <t xml:space="preserve">А819ЕВ</t>
  </si>
  <si>
    <t xml:space="preserve">Роговской Роман Алексеевич</t>
  </si>
  <si>
    <t xml:space="preserve">Т945РВ</t>
  </si>
  <si>
    <t xml:space="preserve">Гуйда Николай Николаевич</t>
  </si>
  <si>
    <t xml:space="preserve">А816ЕВ</t>
  </si>
  <si>
    <t xml:space="preserve">Гужва А М.</t>
  </si>
  <si>
    <t xml:space="preserve">Т285ВЕ</t>
  </si>
  <si>
    <t xml:space="preserve">Жданов Андрей Иванович</t>
  </si>
  <si>
    <t xml:space="preserve">С707ОУ</t>
  </si>
  <si>
    <t xml:space="preserve">Извеков Владимир Владимирович</t>
  </si>
  <si>
    <t xml:space="preserve">Н378ХЕ</t>
  </si>
  <si>
    <t xml:space="preserve">Рудик Александр Иванович</t>
  </si>
  <si>
    <t xml:space="preserve">А309АТ</t>
  </si>
  <si>
    <t xml:space="preserve">Баранов Николай Александрович</t>
  </si>
  <si>
    <t xml:space="preserve">М540АС 93</t>
  </si>
  <si>
    <t xml:space="preserve">ТПК ЮЖНЫЙ ПРОДУКТ ООО</t>
  </si>
  <si>
    <t xml:space="preserve">Алтадуков Заур Баталбиевич</t>
  </si>
  <si>
    <t xml:space="preserve">В841АН 01</t>
  </si>
  <si>
    <t xml:space="preserve">Магадиев Александр Сайлаувич</t>
  </si>
  <si>
    <t xml:space="preserve">У184НО 193</t>
  </si>
  <si>
    <t xml:space="preserve">ГРАНД-СТАР ООО</t>
  </si>
  <si>
    <t xml:space="preserve">Кулинич Евгений Владимирович</t>
  </si>
  <si>
    <t xml:space="preserve">У801СТ 123</t>
  </si>
  <si>
    <t xml:space="preserve">Поле до корр</t>
  </si>
  <si>
    <t xml:space="preserve">Сорт до корр</t>
  </si>
  <si>
    <t xml:space="preserve">Культура до корр</t>
  </si>
  <si>
    <t xml:space="preserve">Площадь уборки до корр</t>
  </si>
  <si>
    <t xml:space="preserve">Отличие</t>
  </si>
  <si>
    <t xml:space="preserve">Разница по площади</t>
  </si>
  <si>
    <t xml:space="preserve">Из итогового отчета</t>
  </si>
  <si>
    <t xml:space="preserve">Акт</t>
  </si>
  <si>
    <t xml:space="preserve">Площадь, га</t>
  </si>
  <si>
    <t xml:space="preserve">Кубань УОХ</t>
  </si>
  <si>
    <t xml:space="preserve">2/4</t>
  </si>
  <si>
    <t xml:space="preserve">Сайко Василий Викторович</t>
  </si>
  <si>
    <t xml:space="preserve">10:51:42</t>
  </si>
  <si>
    <t xml:space="preserve">11:42:14</t>
  </si>
  <si>
    <t xml:space="preserve">402,002,202,502,001,201</t>
  </si>
  <si>
    <t xml:space="preserve">ЕС2898</t>
  </si>
  <si>
    <t xml:space="preserve"> 2/4</t>
  </si>
  <si>
    <t xml:space="preserve">высший</t>
  </si>
  <si>
    <t xml:space="preserve">17:13:45</t>
  </si>
  <si>
    <t xml:space="preserve">18:08:52</t>
  </si>
  <si>
    <t xml:space="preserve">101,301,403,102,302,404</t>
  </si>
  <si>
    <t xml:space="preserve">ЕС2899</t>
  </si>
  <si>
    <t xml:space="preserve">Грин Рэй Кубань ООО (Овощеводство)</t>
  </si>
  <si>
    <t xml:space="preserve">Оскар</t>
  </si>
  <si>
    <t xml:space="preserve">18:12:14</t>
  </si>
  <si>
    <t xml:space="preserve">19:40:31</t>
  </si>
  <si>
    <t xml:space="preserve">Е404УС</t>
  </si>
  <si>
    <t xml:space="preserve">Мудрак Вадим Васильевич</t>
  </si>
  <si>
    <t xml:space="preserve">11:31:14</t>
  </si>
  <si>
    <t xml:space="preserve">12:47:57</t>
  </si>
  <si>
    <t xml:space="preserve">204,003,408,203,407,105</t>
  </si>
  <si>
    <t xml:space="preserve">Х514ОК</t>
  </si>
  <si>
    <t xml:space="preserve">ЕУ4356</t>
  </si>
  <si>
    <t xml:space="preserve">Егоян Артем Владимирович</t>
  </si>
  <si>
    <t xml:space="preserve">13:56:01</t>
  </si>
  <si>
    <t xml:space="preserve">14:52:07</t>
  </si>
  <si>
    <t xml:space="preserve">005,206,500,004,409,205</t>
  </si>
  <si>
    <t xml:space="preserve">А701СН</t>
  </si>
  <si>
    <t xml:space="preserve">ЕН9185</t>
  </si>
  <si>
    <t xml:space="preserve">Мудрак Игорь Вадимович</t>
  </si>
  <si>
    <t xml:space="preserve">15:13:11</t>
  </si>
  <si>
    <t xml:space="preserve">16:09:25</t>
  </si>
  <si>
    <t xml:space="preserve">208,007,410,006,411,207</t>
  </si>
  <si>
    <t xml:space="preserve">С198УЕ</t>
  </si>
  <si>
    <t xml:space="preserve">ЕУ4355</t>
  </si>
  <si>
    <t xml:space="preserve">Пугачев Сергей Викторович</t>
  </si>
  <si>
    <t xml:space="preserve">17:34:52</t>
  </si>
  <si>
    <t xml:space="preserve">18:31:53</t>
  </si>
  <si>
    <t xml:space="preserve">210,008,413,209,412,009</t>
  </si>
  <si>
    <t xml:space="preserve">Р258УХ</t>
  </si>
  <si>
    <t xml:space="preserve">МО9466</t>
  </si>
  <si>
    <t xml:space="preserve">Никитась Сергей Анатольевич</t>
  </si>
  <si>
    <t xml:space="preserve">19:59:17</t>
  </si>
  <si>
    <t xml:space="preserve">21:40:42</t>
  </si>
  <si>
    <t xml:space="preserve">012,011,415,211,414,010</t>
  </si>
  <si>
    <t xml:space="preserve">К570ЕО</t>
  </si>
  <si>
    <t xml:space="preserve">ЕС6735</t>
  </si>
  <si>
    <t xml:space="preserve">Кулик О В</t>
  </si>
  <si>
    <t xml:space="preserve">22:28:12</t>
  </si>
  <si>
    <t xml:space="preserve">23:13:11</t>
  </si>
  <si>
    <t xml:space="preserve">014,213,416,212,417,013</t>
  </si>
  <si>
    <t xml:space="preserve">ЕС6095</t>
  </si>
  <si>
    <t xml:space="preserve">23:57:00</t>
  </si>
  <si>
    <t xml:space="preserve">1:11:23</t>
  </si>
  <si>
    <t xml:space="preserve">216,016,215,015,418,214</t>
  </si>
  <si>
    <t xml:space="preserve">ЕХ4191</t>
  </si>
  <si>
    <t xml:space="preserve">Фомин Николай Григорьевич</t>
  </si>
  <si>
    <t xml:space="preserve">2:11:42</t>
  </si>
  <si>
    <t xml:space="preserve">2:55:07</t>
  </si>
  <si>
    <t xml:space="preserve">218,018,420,419,217,017</t>
  </si>
  <si>
    <t xml:space="preserve">А731ВА</t>
  </si>
  <si>
    <t xml:space="preserve">МО8130</t>
  </si>
  <si>
    <t xml:space="preserve">Игольницын Сергей Владимирович</t>
  </si>
  <si>
    <t xml:space="preserve">3:30:03</t>
  </si>
  <si>
    <t xml:space="preserve">5:27:33</t>
  </si>
  <si>
    <t xml:space="preserve">020,220,422,019,421,219</t>
  </si>
  <si>
    <t xml:space="preserve">В780ТТ</t>
  </si>
  <si>
    <t xml:space="preserve">МС8607</t>
  </si>
  <si>
    <t xml:space="preserve">15:30:03</t>
  </si>
  <si>
    <t xml:space="preserve">15:50:01</t>
  </si>
  <si>
    <t xml:space="preserve">20:21:39</t>
  </si>
  <si>
    <t xml:space="preserve">704,801,705</t>
  </si>
  <si>
    <t xml:space="preserve">8:40:44</t>
  </si>
  <si>
    <t xml:space="preserve">8:50:06</t>
  </si>
  <si>
    <t xml:space="preserve">9:40:06</t>
  </si>
  <si>
    <t xml:space="preserve">9:51:07</t>
  </si>
  <si>
    <t xml:space="preserve">11:45:06</t>
  </si>
  <si>
    <t xml:space="preserve">12:01:00</t>
  </si>
  <si>
    <t xml:space="preserve">709,904,708,903</t>
  </si>
  <si>
    <t xml:space="preserve">16:08:24</t>
  </si>
  <si>
    <t xml:space="preserve">16:18:09</t>
  </si>
  <si>
    <t xml:space="preserve">19:04:44</t>
  </si>
  <si>
    <t xml:space="preserve">19:18:58</t>
  </si>
  <si>
    <t xml:space="preserve">711,908,712,909,713</t>
  </si>
  <si>
    <t xml:space="preserve">21:56:51</t>
  </si>
  <si>
    <t xml:space="preserve">22:29:34</t>
  </si>
  <si>
    <t xml:space="preserve">716,715,910,714</t>
  </si>
  <si>
    <t xml:space="preserve">1:08:40</t>
  </si>
  <si>
    <t xml:space="preserve">1:34:12</t>
  </si>
  <si>
    <t xml:space="preserve">912,718,717,911</t>
  </si>
  <si>
    <t xml:space="preserve">4:24:42</t>
  </si>
  <si>
    <t xml:space="preserve">4:45:36</t>
  </si>
  <si>
    <t xml:space="preserve">721,913,720,719</t>
  </si>
  <si>
    <t xml:space="preserve">7:14:08</t>
  </si>
  <si>
    <t xml:space="preserve">7:33:01</t>
  </si>
  <si>
    <t xml:space="preserve">724,723,914,722</t>
  </si>
  <si>
    <t xml:space="preserve">11:06:34</t>
  </si>
  <si>
    <t xml:space="preserve">11:24:07</t>
  </si>
  <si>
    <t xml:space="preserve">13:36:43</t>
  </si>
  <si>
    <t xml:space="preserve">13:59:42</t>
  </si>
  <si>
    <t xml:space="preserve">916,728,915,727</t>
  </si>
  <si>
    <t xml:space="preserve">Титаренко Максим Сергеевич</t>
  </si>
  <si>
    <t xml:space="preserve">15:33:08</t>
  </si>
  <si>
    <t xml:space="preserve">16:14:05</t>
  </si>
  <si>
    <t xml:space="preserve">022,222,424,021,221,423</t>
  </si>
  <si>
    <t xml:space="preserve">О398ХО</t>
  </si>
  <si>
    <t xml:space="preserve">16:48:47</t>
  </si>
  <si>
    <t xml:space="preserve">17:54:07</t>
  </si>
  <si>
    <t xml:space="preserve">426,224,024,023,425,223</t>
  </si>
  <si>
    <t xml:space="preserve">Грищенко Александр Александрович</t>
  </si>
  <si>
    <t xml:space="preserve">18:02:55</t>
  </si>
  <si>
    <t xml:space="preserve">19:22:56</t>
  </si>
  <si>
    <t xml:space="preserve">428,226,026,427,225,025</t>
  </si>
  <si>
    <t xml:space="preserve">К416ТН</t>
  </si>
  <si>
    <t xml:space="preserve">19:05:41</t>
  </si>
  <si>
    <t xml:space="preserve">23:20:46</t>
  </si>
  <si>
    <t xml:space="preserve">027,227,429,028,228,430</t>
  </si>
  <si>
    <t xml:space="preserve">21:02:53</t>
  </si>
  <si>
    <t xml:space="preserve">23:48:44</t>
  </si>
  <si>
    <t xml:space="preserve">029,431,229,030,230,031</t>
  </si>
  <si>
    <t xml:space="preserve">ЕР7829</t>
  </si>
  <si>
    <t xml:space="preserve">22:29:35</t>
  </si>
  <si>
    <t xml:space="preserve">2:09:09</t>
  </si>
  <si>
    <t xml:space="preserve">032,231,432,232,033,433</t>
  </si>
  <si>
    <t xml:space="preserve">21:52:22</t>
  </si>
  <si>
    <t xml:space="preserve">3:27:11</t>
  </si>
  <si>
    <t xml:space="preserve">921,730,922,731,923,732</t>
  </si>
  <si>
    <t xml:space="preserve">Долгих Николай Петрович</t>
  </si>
  <si>
    <t xml:space="preserve">23:13:05</t>
  </si>
  <si>
    <t xml:space="preserve">4:20:42</t>
  </si>
  <si>
    <t xml:space="preserve">233,034,434,234,035,435</t>
  </si>
  <si>
    <t xml:space="preserve">У726ЕР</t>
  </si>
  <si>
    <t xml:space="preserve">Вафин В</t>
  </si>
  <si>
    <t xml:space="preserve">0:39:44</t>
  </si>
  <si>
    <t xml:space="preserve">9:01:17</t>
  </si>
  <si>
    <t xml:space="preserve">235,036,236,037,436,237</t>
  </si>
  <si>
    <t xml:space="preserve">У383РЕ</t>
  </si>
  <si>
    <t xml:space="preserve">Огнев Максим Викторович</t>
  </si>
  <si>
    <t xml:space="preserve">1:29:47</t>
  </si>
  <si>
    <t xml:space="preserve">11:04:29</t>
  </si>
  <si>
    <t xml:space="preserve">038,238,437,039,438,239</t>
  </si>
  <si>
    <t xml:space="preserve">Р755НН</t>
  </si>
  <si>
    <t xml:space="preserve">РА5550</t>
  </si>
  <si>
    <t xml:space="preserve">Лазаренко Вятчеслав Владимирович</t>
  </si>
  <si>
    <t xml:space="preserve">3:20:56</t>
  </si>
  <si>
    <t xml:space="preserve">10:41:54</t>
  </si>
  <si>
    <t xml:space="preserve">040,440,240,439,041,241</t>
  </si>
  <si>
    <t xml:space="preserve">Т239УС</t>
  </si>
  <si>
    <t xml:space="preserve">ЕС6637</t>
  </si>
  <si>
    <t xml:space="preserve">0:13:03</t>
  </si>
  <si>
    <t xml:space="preserve">5:29:03</t>
  </si>
  <si>
    <t xml:space="preserve">924,925,734,733,926</t>
  </si>
  <si>
    <t xml:space="preserve">ЕТ0909</t>
  </si>
  <si>
    <t xml:space="preserve">4:24:32</t>
  </si>
  <si>
    <t xml:space="preserve">13:02:01</t>
  </si>
  <si>
    <t xml:space="preserve">242,042,441,043,243,442</t>
  </si>
  <si>
    <t xml:space="preserve">У184НО</t>
  </si>
  <si>
    <t xml:space="preserve">МН7302</t>
  </si>
  <si>
    <t xml:space="preserve">6:03:58</t>
  </si>
  <si>
    <t xml:space="preserve">13:08:09</t>
  </si>
  <si>
    <t xml:space="preserve">244,044,045,245,443,046</t>
  </si>
  <si>
    <t xml:space="preserve">ЕХ4187</t>
  </si>
  <si>
    <t xml:space="preserve">7:03:43</t>
  </si>
  <si>
    <t xml:space="preserve">15:36:46</t>
  </si>
  <si>
    <t xml:space="preserve">735,927,736,928,737,929</t>
  </si>
  <si>
    <t xml:space="preserve">7:51:31</t>
  </si>
  <si>
    <t xml:space="preserve">15:58:34</t>
  </si>
  <si>
    <t xml:space="preserve">246,047,247,048,248,049</t>
  </si>
  <si>
    <t xml:space="preserve">ЕТ8716</t>
  </si>
  <si>
    <t xml:space="preserve">По отчету ВА - 01.06.2025</t>
  </si>
  <si>
    <t xml:space="preserve">10:50:53</t>
  </si>
  <si>
    <t xml:space="preserve">17:24:37</t>
  </si>
  <si>
    <t xml:space="preserve">050,249,052,251,051,250</t>
  </si>
  <si>
    <t xml:space="preserve">ЕУ8087</t>
  </si>
  <si>
    <t xml:space="preserve">Изюминка</t>
  </si>
  <si>
    <t xml:space="preserve">16:59:38</t>
  </si>
  <si>
    <t xml:space="preserve">20:29:39</t>
  </si>
  <si>
    <t xml:space="preserve">445,306,107,444,106,305</t>
  </si>
  <si>
    <t xml:space="preserve">ЕО0811</t>
  </si>
  <si>
    <t xml:space="preserve">20:23:59</t>
  </si>
  <si>
    <t xml:space="preserve">21:04:28</t>
  </si>
  <si>
    <t xml:space="preserve">447,109,446,308,108,307</t>
  </si>
  <si>
    <t xml:space="preserve">ЕН1867</t>
  </si>
  <si>
    <t xml:space="preserve">21:36:54</t>
  </si>
  <si>
    <t xml:space="preserve">22:19:44</t>
  </si>
  <si>
    <t xml:space="preserve">310,449,309,111,448,110</t>
  </si>
  <si>
    <t xml:space="preserve">23:14:32</t>
  </si>
  <si>
    <t xml:space="preserve">23:46:16</t>
  </si>
  <si>
    <t xml:space="preserve">747,936,746,745</t>
  </si>
  <si>
    <t xml:space="preserve">23:23:17</t>
  </si>
  <si>
    <t xml:space="preserve">1:54:38</t>
  </si>
  <si>
    <t xml:space="preserve">450,114,312,113,311,112</t>
  </si>
  <si>
    <t xml:space="preserve">Сурнин А.В</t>
  </si>
  <si>
    <t xml:space="preserve">15:30:45</t>
  </si>
  <si>
    <t xml:space="preserve">13:55:17</t>
  </si>
  <si>
    <t xml:space="preserve">738,930,739</t>
  </si>
  <si>
    <t xml:space="preserve">В415ТТ</t>
  </si>
  <si>
    <t xml:space="preserve">МВ6101</t>
  </si>
  <si>
    <t xml:space="preserve">Юнона</t>
  </si>
  <si>
    <t xml:space="preserve">20 Юнона продажаОтвес№1</t>
  </si>
  <si>
    <t xml:space="preserve">Сидоренко Евгений Сергеевич</t>
  </si>
  <si>
    <t xml:space="preserve">17:39:45</t>
  </si>
  <si>
    <t xml:space="preserve">15:13:12</t>
  </si>
  <si>
    <t xml:space="preserve">740,931,741,932</t>
  </si>
  <si>
    <t xml:space="preserve">М697ХВ</t>
  </si>
  <si>
    <t xml:space="preserve">ма4170</t>
  </si>
  <si>
    <t xml:space="preserve">21Юнона продажаОтвес№2</t>
  </si>
  <si>
    <t xml:space="preserve">Дмитриев Николай Александрович</t>
  </si>
  <si>
    <t xml:space="preserve">21:20:18</t>
  </si>
  <si>
    <t xml:space="preserve">16:30:01</t>
  </si>
  <si>
    <t xml:space="preserve">744,935,934,743,742,933</t>
  </si>
  <si>
    <t xml:space="preserve">М202СХ</t>
  </si>
  <si>
    <t xml:space="preserve">МВ0464</t>
  </si>
  <si>
    <t xml:space="preserve">22Юнона продажаОтвес№3</t>
  </si>
  <si>
    <t xml:space="preserve">Мормуль А.Е.</t>
  </si>
  <si>
    <t xml:space="preserve">х474 ке</t>
  </si>
  <si>
    <t xml:space="preserve">Пищевик</t>
  </si>
  <si>
    <t xml:space="preserve">65931 Пищевик продажа</t>
  </si>
  <si>
    <t xml:space="preserve">А-46</t>
  </si>
  <si>
    <t xml:space="preserve">14:16:24</t>
  </si>
  <si>
    <t xml:space="preserve">14:44:07</t>
  </si>
  <si>
    <t xml:space="preserve">756,947,755</t>
  </si>
  <si>
    <t xml:space="preserve">14:45:20</t>
  </si>
  <si>
    <t xml:space="preserve">15:12:54</t>
  </si>
  <si>
    <t xml:space="preserve">946,945,944,943</t>
  </si>
  <si>
    <t xml:space="preserve">16:10:25</t>
  </si>
  <si>
    <t xml:space="preserve">16:28:03</t>
  </si>
  <si>
    <t xml:space="preserve">15:41:07</t>
  </si>
  <si>
    <t xml:space="preserve">16:53:44</t>
  </si>
  <si>
    <t xml:space="preserve">252,053,451,501,253,054</t>
  </si>
  <si>
    <t xml:space="preserve">16:56:15</t>
  </si>
  <si>
    <t xml:space="preserve">18:47:54</t>
  </si>
  <si>
    <t xml:space="preserve">057,056,255,452,055,254</t>
  </si>
  <si>
    <t xml:space="preserve">17:57:40</t>
  </si>
  <si>
    <t xml:space="preserve">20:37:14</t>
  </si>
  <si>
    <t xml:space="preserve">256,058,257,453,059,258</t>
  </si>
  <si>
    <t xml:space="preserve">20:08:25</t>
  </si>
  <si>
    <t xml:space="preserve">21:02:26</t>
  </si>
  <si>
    <t xml:space="preserve">20:47:31</t>
  </si>
  <si>
    <t xml:space="preserve">21:42:51</t>
  </si>
  <si>
    <t xml:space="preserve">063,261,262,064,263,065</t>
  </si>
  <si>
    <t xml:space="preserve">21:53:32</t>
  </si>
  <si>
    <t xml:space="preserve">23:06:17</t>
  </si>
  <si>
    <t xml:space="preserve">264,457,265,458,459,066</t>
  </si>
  <si>
    <t xml:space="preserve">23:11:59</t>
  </si>
  <si>
    <t xml:space="preserve">23:58:13</t>
  </si>
  <si>
    <t xml:space="preserve">067,068,461,266,460,069</t>
  </si>
  <si>
    <t xml:space="preserve">ЕУ4649</t>
  </si>
  <si>
    <t xml:space="preserve">23:52:02</t>
  </si>
  <si>
    <t xml:space="preserve">1:27:53</t>
  </si>
  <si>
    <t xml:space="preserve">267,070,463,071,462,268</t>
  </si>
  <si>
    <t xml:space="preserve">0:51:31</t>
  </si>
  <si>
    <t xml:space="preserve">1:48:09</t>
  </si>
  <si>
    <t xml:space="preserve">269,072,464,465,270,073</t>
  </si>
  <si>
    <t xml:space="preserve">МС8480</t>
  </si>
  <si>
    <t xml:space="preserve">1:35:43</t>
  </si>
  <si>
    <t xml:space="preserve">3:49:35</t>
  </si>
  <si>
    <t xml:space="preserve">074,466,271,075,272,076,</t>
  </si>
  <si>
    <t xml:space="preserve">2:31:56</t>
  </si>
  <si>
    <t xml:space="preserve">3:57:53</t>
  </si>
  <si>
    <t xml:space="preserve">273,467,077,468,274,078</t>
  </si>
  <si>
    <t xml:space="preserve">4:19:52</t>
  </si>
  <si>
    <t xml:space="preserve">5:06:09</t>
  </si>
  <si>
    <t xml:space="preserve">959,768,961</t>
  </si>
  <si>
    <t xml:space="preserve">4:45:31</t>
  </si>
  <si>
    <t xml:space="preserve">6:19:03</t>
  </si>
  <si>
    <t xml:space="preserve">275,079,470,276,469,080</t>
  </si>
  <si>
    <t xml:space="preserve">Микуц Н.М.</t>
  </si>
  <si>
    <t xml:space="preserve">7:42:50</t>
  </si>
  <si>
    <t xml:space="preserve">2:10:35</t>
  </si>
  <si>
    <t xml:space="preserve">942,941,940,754,939</t>
  </si>
  <si>
    <t xml:space="preserve">В397ОТ</t>
  </si>
  <si>
    <t xml:space="preserve">ЕА4771</t>
  </si>
  <si>
    <t xml:space="preserve">Юнона, Исправлено на поле А-46 по факту уборки в соотв. с БУ</t>
  </si>
  <si>
    <t xml:space="preserve">25Юнона продажаОтвес №1ГИА</t>
  </si>
  <si>
    <t xml:space="preserve">Баяк А.А.</t>
  </si>
  <si>
    <t xml:space="preserve">19:29:37</t>
  </si>
  <si>
    <t xml:space="preserve">6:08:06</t>
  </si>
  <si>
    <t xml:space="preserve">760,952,759,951,758,950</t>
  </si>
  <si>
    <t xml:space="preserve">Р277НН</t>
  </si>
  <si>
    <t xml:space="preserve">МН9126</t>
  </si>
  <si>
    <t xml:space="preserve">28Юнона ПродажаОтвес№4</t>
  </si>
  <si>
    <t xml:space="preserve">0:45:18</t>
  </si>
  <si>
    <t xml:space="preserve">5:48:21</t>
  </si>
  <si>
    <t xml:space="preserve">953,762,763,954,955,764</t>
  </si>
  <si>
    <t xml:space="preserve">27Юнона ПродажаОтвес№5</t>
  </si>
  <si>
    <t xml:space="preserve">3:09:09</t>
  </si>
  <si>
    <t xml:space="preserve">6:12:28</t>
  </si>
  <si>
    <t xml:space="preserve">956,765,957,766,958,767</t>
  </si>
  <si>
    <t xml:space="preserve">Южный продукт</t>
  </si>
  <si>
    <t xml:space="preserve">29ПродажаЮж.Продукт№2</t>
  </si>
  <si>
    <t xml:space="preserve">7:54:48</t>
  </si>
  <si>
    <t xml:space="preserve">11:46:35</t>
  </si>
  <si>
    <t xml:space="preserve">279,473,083,474,084,280</t>
  </si>
  <si>
    <t xml:space="preserve">Р383РЕ</t>
  </si>
  <si>
    <t xml:space="preserve">МА9090</t>
  </si>
  <si>
    <t xml:space="preserve">переходящие машины с 03.06.2025</t>
  </si>
  <si>
    <t xml:space="preserve">6:00:05</t>
  </si>
  <si>
    <t xml:space="preserve">11:52:54</t>
  </si>
  <si>
    <t xml:space="preserve">081,472,277,082,471,278</t>
  </si>
  <si>
    <t xml:space="preserve">МЕ2744</t>
  </si>
  <si>
    <t xml:space="preserve">8:31:46</t>
  </si>
  <si>
    <t xml:space="preserve">13:31:43</t>
  </si>
  <si>
    <t xml:space="preserve">281,085,475,476,086,282</t>
  </si>
  <si>
    <t xml:space="preserve">ЕС9682</t>
  </si>
  <si>
    <t xml:space="preserve">9:41:41</t>
  </si>
  <si>
    <t xml:space="preserve">15:39:34</t>
  </si>
  <si>
    <t xml:space="preserve">283,087,088,284,089,285</t>
  </si>
  <si>
    <t xml:space="preserve">13:40:58</t>
  </si>
  <si>
    <t xml:space="preserve">16:18:42</t>
  </si>
  <si>
    <t xml:space="preserve">316,119,478,120,317,479</t>
  </si>
  <si>
    <t xml:space="preserve">16:05:11</t>
  </si>
  <si>
    <t xml:space="preserve">17:30:29</t>
  </si>
  <si>
    <t xml:space="preserve">122,321,482,123,322,483</t>
  </si>
  <si>
    <t xml:space="preserve">17:02:18</t>
  </si>
  <si>
    <t xml:space="preserve">19:40:29</t>
  </si>
  <si>
    <t xml:space="preserve">124,323,125,484,324,485,126</t>
  </si>
  <si>
    <t xml:space="preserve">18:16:47</t>
  </si>
  <si>
    <t xml:space="preserve">20:11:53</t>
  </si>
  <si>
    <t xml:space="preserve">486,128,487,326,127,325</t>
  </si>
  <si>
    <t xml:space="preserve">А-57</t>
  </si>
  <si>
    <t xml:space="preserve">19:19:19</t>
  </si>
  <si>
    <t xml:space="preserve">21:06:34</t>
  </si>
  <si>
    <t xml:space="preserve">19:07:10</t>
  </si>
  <si>
    <t xml:space="preserve">22:01:29</t>
  </si>
  <si>
    <t xml:space="preserve">130,489,328,129,488,327</t>
  </si>
  <si>
    <t xml:space="preserve">22:49:01</t>
  </si>
  <si>
    <t xml:space="preserve">23:35:21</t>
  </si>
  <si>
    <t xml:space="preserve">493,135,332,492,134,133</t>
  </si>
  <si>
    <t xml:space="preserve">23:47:54</t>
  </si>
  <si>
    <t xml:space="preserve">0:23:01</t>
  </si>
  <si>
    <t xml:space="preserve">495,138,334,494,137,136</t>
  </si>
  <si>
    <t xml:space="preserve">0:00:06</t>
  </si>
  <si>
    <t xml:space="preserve">1:16:03</t>
  </si>
  <si>
    <t xml:space="preserve">2:12:08</t>
  </si>
  <si>
    <t xml:space="preserve">2:27:42</t>
  </si>
  <si>
    <t xml:space="preserve">первый</t>
  </si>
  <si>
    <t xml:space="preserve">2:23:36</t>
  </si>
  <si>
    <t xml:space="preserve">3:01:19</t>
  </si>
  <si>
    <t xml:space="preserve">144,143,338,498,142,141</t>
  </si>
  <si>
    <t xml:space="preserve">3:17:42</t>
  </si>
  <si>
    <t xml:space="preserve">3:29:56</t>
  </si>
  <si>
    <t xml:space="preserve">4:48:18</t>
  </si>
  <si>
    <t xml:space="preserve">5:01:10</t>
  </si>
  <si>
    <t xml:space="preserve">4:08:03</t>
  </si>
  <si>
    <t xml:space="preserve">5:22:47</t>
  </si>
  <si>
    <t xml:space="preserve">146,504,340,145,339,503</t>
  </si>
  <si>
    <t xml:space="preserve">15:31:41</t>
  </si>
  <si>
    <t xml:space="preserve">9:26:24</t>
  </si>
  <si>
    <t xml:space="preserve">776,968,777,969,778,970</t>
  </si>
  <si>
    <t xml:space="preserve">36Продажа ЮнонаОтвес№8</t>
  </si>
  <si>
    <t xml:space="preserve">Грин Рэй Кубань ООО</t>
  </si>
  <si>
    <t xml:space="preserve">12:08:48</t>
  </si>
  <si>
    <t xml:space="preserve">7:20:19</t>
  </si>
  <si>
    <t xml:space="preserve">967,775,966,773,772</t>
  </si>
  <si>
    <t xml:space="preserve">35Продажа ЮнонаОтвес№4\ГИА</t>
  </si>
  <si>
    <t xml:space="preserve">9:28:46</t>
  </si>
  <si>
    <t xml:space="preserve">0:18:55</t>
  </si>
  <si>
    <t xml:space="preserve">962,769,963,770,964,771</t>
  </si>
  <si>
    <t xml:space="preserve">33Продажа Юж.продукт№3</t>
  </si>
  <si>
    <t xml:space="preserve">23:18:33</t>
  </si>
  <si>
    <t xml:space="preserve">19:28:49</t>
  </si>
  <si>
    <t xml:space="preserve">973,783,972,782,971,781</t>
  </si>
  <si>
    <t xml:space="preserve">38ПродажаЮнонаОтвес№10</t>
  </si>
  <si>
    <t xml:space="preserve">4:27:10</t>
  </si>
  <si>
    <t xml:space="preserve">8:17:51</t>
  </si>
  <si>
    <t xml:space="preserve">506,148,342,147,341,505</t>
  </si>
  <si>
    <t xml:space="preserve">Пивень С.Н.</t>
  </si>
  <si>
    <t xml:space="preserve">259,61,455,62,456,60</t>
  </si>
  <si>
    <t xml:space="preserve">К475 ВМ</t>
  </si>
  <si>
    <t xml:space="preserve">065946Продажа Пищевик</t>
  </si>
  <si>
    <t xml:space="preserve">1/8.1</t>
  </si>
  <si>
    <t xml:space="preserve">6:51:11</t>
  </si>
  <si>
    <t xml:space="preserve">9:04:57</t>
  </si>
  <si>
    <t xml:space="preserve">344,508,150</t>
  </si>
  <si>
    <t xml:space="preserve">2 строки</t>
  </si>
  <si>
    <t xml:space="preserve">7:08:56</t>
  </si>
  <si>
    <t xml:space="preserve">11:34:09</t>
  </si>
  <si>
    <t xml:space="preserve">510,152,346,509,345,151</t>
  </si>
  <si>
    <t xml:space="preserve">8:35:21</t>
  </si>
  <si>
    <t xml:space="preserve">12:02:51</t>
  </si>
  <si>
    <t xml:space="preserve">512,348,154,511,347,153</t>
  </si>
  <si>
    <t xml:space="preserve">Мышастый С.Н.</t>
  </si>
  <si>
    <t xml:space="preserve">В725ЕА</t>
  </si>
  <si>
    <t xml:space="preserve">130779Продажа ЮнонаОтвес №6</t>
  </si>
  <si>
    <t xml:space="preserve">Желтков Е.М.</t>
  </si>
  <si>
    <t xml:space="preserve">Е838ВР</t>
  </si>
  <si>
    <t xml:space="preserve">130785Продажа ЮнонаОтвес9</t>
  </si>
  <si>
    <t xml:space="preserve">130789Продажа ЮнонаОтвес№11</t>
  </si>
  <si>
    <t xml:space="preserve">Радин А.М.</t>
  </si>
  <si>
    <t xml:space="preserve">Н370ВР</t>
  </si>
  <si>
    <t xml:space="preserve">130780Продажа ЮнонаОтвес№7</t>
  </si>
  <si>
    <t xml:space="preserve">11:54:04</t>
  </si>
  <si>
    <t xml:space="preserve">13:14:02</t>
  </si>
  <si>
    <t xml:space="preserve">12:30:13</t>
  </si>
  <si>
    <t xml:space="preserve">13:45:39</t>
  </si>
  <si>
    <t xml:space="preserve">287,515,286,091,514,090</t>
  </si>
  <si>
    <t xml:space="preserve">документ на удаление</t>
  </si>
  <si>
    <t xml:space="preserve">13:04:02</t>
  </si>
  <si>
    <t xml:space="preserve">15:37:16</t>
  </si>
  <si>
    <t xml:space="preserve">289,517,093,288,516,092</t>
  </si>
  <si>
    <t xml:space="preserve">14:06:38</t>
  </si>
  <si>
    <t xml:space="preserve">16:02:56</t>
  </si>
  <si>
    <t xml:space="preserve">291,519,095,290,518,094</t>
  </si>
  <si>
    <t xml:space="preserve">14:58:19</t>
  </si>
  <si>
    <t xml:space="preserve">17:47:03</t>
  </si>
  <si>
    <t xml:space="preserve">521,293,097,520,292,096</t>
  </si>
  <si>
    <t xml:space="preserve">16:07:48</t>
  </si>
  <si>
    <t xml:space="preserve">18:42:51</t>
  </si>
  <si>
    <t xml:space="preserve">295,100,522,294,099,098</t>
  </si>
  <si>
    <t xml:space="preserve">17:04:21</t>
  </si>
  <si>
    <t xml:space="preserve">21:34:36</t>
  </si>
  <si>
    <t xml:space="preserve">523,1001,296,524,1002,297</t>
  </si>
  <si>
    <t xml:space="preserve">18:15:16</t>
  </si>
  <si>
    <t xml:space="preserve">21:59:51</t>
  </si>
  <si>
    <t xml:space="preserve">298,525,1003,526,1004,299</t>
  </si>
  <si>
    <t xml:space="preserve">17:31:05</t>
  </si>
  <si>
    <t xml:space="preserve">23:01:34</t>
  </si>
  <si>
    <t xml:space="preserve">793,986,794</t>
  </si>
  <si>
    <t xml:space="preserve">19:36:32</t>
  </si>
  <si>
    <t xml:space="preserve">0:10:01</t>
  </si>
  <si>
    <t xml:space="preserve">300,1005,527,1006,1201,528</t>
  </si>
  <si>
    <t xml:space="preserve">21:02:41</t>
  </si>
  <si>
    <t xml:space="preserve">2:12:30</t>
  </si>
  <si>
    <t xml:space="preserve">1202,1007,529,1203,1008,530</t>
  </si>
  <si>
    <t xml:space="preserve">21:47:45</t>
  </si>
  <si>
    <t xml:space="preserve">2:57:59</t>
  </si>
  <si>
    <t xml:space="preserve">1204,1009,531,1010,1205,532</t>
  </si>
  <si>
    <t xml:space="preserve">22:38:50</t>
  </si>
  <si>
    <t xml:space="preserve">4:27:41</t>
  </si>
  <si>
    <t xml:space="preserve">1206,1011,533,1012,1207,534</t>
  </si>
  <si>
    <t xml:space="preserve">1.8.1</t>
  </si>
  <si>
    <t xml:space="preserve">0:20:25</t>
  </si>
  <si>
    <t xml:space="preserve">5:46:34</t>
  </si>
  <si>
    <t xml:space="preserve">1013,1208,535,1014,1209,536</t>
  </si>
  <si>
    <t xml:space="preserve">9:45:06</t>
  </si>
  <si>
    <t xml:space="preserve">0:30:29</t>
  </si>
  <si>
    <t xml:space="preserve">791,790,789,979,788,978</t>
  </si>
  <si>
    <t xml:space="preserve">43ПродажаЮнонаОтвес5/ГИА</t>
  </si>
  <si>
    <t xml:space="preserve">16:37:37</t>
  </si>
  <si>
    <t xml:space="preserve">21:42:32</t>
  </si>
  <si>
    <t xml:space="preserve">985,984,983,982</t>
  </si>
  <si>
    <t xml:space="preserve">46ПродажаЮнонаОтвес12</t>
  </si>
  <si>
    <t xml:space="preserve">22:45:04</t>
  </si>
  <si>
    <t xml:space="preserve">10:17:33</t>
  </si>
  <si>
    <t xml:space="preserve">798,799,990,602,603,604</t>
  </si>
  <si>
    <t xml:space="preserve">44ПродажаЮнонаОтвес14</t>
  </si>
  <si>
    <t xml:space="preserve">20:08:20</t>
  </si>
  <si>
    <t xml:space="preserve">6:54:19</t>
  </si>
  <si>
    <t xml:space="preserve">987,795,796,988,797,989</t>
  </si>
  <si>
    <t xml:space="preserve">48ПРодажаЮнонаОтвес13</t>
  </si>
  <si>
    <t xml:space="preserve">1:13:16</t>
  </si>
  <si>
    <t xml:space="preserve">9:49:45</t>
  </si>
  <si>
    <t xml:space="preserve">1210,1015,537,1016,1211,2130</t>
  </si>
  <si>
    <t xml:space="preserve">Было 3,1 га (разнесено на два числа под данные БУ с учетом сорта)</t>
  </si>
  <si>
    <t xml:space="preserve">А-67</t>
  </si>
  <si>
    <t xml:space="preserve">Корректировка культуры и площади уборки под этап производства горошка ТХЕР-59.1.1 - Горошек собств семена 6,1 га</t>
  </si>
  <si>
    <t xml:space="preserve">Грин Рэй Кубань(Хоздвор) ООО</t>
  </si>
  <si>
    <t xml:space="preserve">Х816ЕВ</t>
  </si>
  <si>
    <t xml:space="preserve">Фалкон</t>
  </si>
  <si>
    <t xml:space="preserve">А-66</t>
  </si>
  <si>
    <t xml:space="preserve">В соотв. с актом от 15.07.2025 уточнена площадь уборки (было - 20, стало +0,4 га)</t>
  </si>
  <si>
    <t xml:space="preserve">Черевко А В</t>
  </si>
  <si>
    <t xml:space="preserve">А51</t>
  </si>
  <si>
    <t xml:space="preserve">А-51</t>
  </si>
  <si>
    <t xml:space="preserve">К819ЕВ</t>
  </si>
  <si>
    <t xml:space="preserve">Прима</t>
  </si>
  <si>
    <t xml:space="preserve">Корректировка площади уборки под этап производства горошка ТХЕР-59.1.1 - Горошек собств семена 6,1 га (44,5 га по дню 09.06 + 28,4 га)</t>
  </si>
  <si>
    <t xml:space="preserve">49Продажа ЮнонаОтвес№6\гиа</t>
  </si>
  <si>
    <t xml:space="preserve">50Юнона ПродажаОтвес№16</t>
  </si>
  <si>
    <t xml:space="preserve">55ЮнонаПродажаОТвес№18</t>
  </si>
  <si>
    <t xml:space="preserve">56ЮнонаПродажаОтвес№19</t>
  </si>
  <si>
    <t xml:space="preserve">54Продажа ЮнонаОтвес№20</t>
  </si>
  <si>
    <t xml:space="preserve">63Продажа ЮнонаОтвес№10/ГИА</t>
  </si>
  <si>
    <t xml:space="preserve">57Продажа ЮнонаОтвес№9/ГИА</t>
  </si>
  <si>
    <t xml:space="preserve">А- 54</t>
  </si>
  <si>
    <t xml:space="preserve">второй</t>
  </si>
  <si>
    <t xml:space="preserve">А816ЕС</t>
  </si>
  <si>
    <t xml:space="preserve">Желтков Евгений Михайлович</t>
  </si>
  <si>
    <t xml:space="preserve">130769Продажа ЮнонаОтвес№17</t>
  </si>
  <si>
    <t xml:space="preserve">Н370Вр</t>
  </si>
  <si>
    <t xml:space="preserve">130795Продажа ЮнонаОтвес№15</t>
  </si>
  <si>
    <t xml:space="preserve">Было - 7,6 га (исправлено из-за пересортицы по полю А-87)</t>
  </si>
  <si>
    <t xml:space="preserve">Маяк</t>
  </si>
  <si>
    <t xml:space="preserve">Веста</t>
  </si>
  <si>
    <t xml:space="preserve">Беркут</t>
  </si>
  <si>
    <t xml:space="preserve">А 54</t>
  </si>
  <si>
    <t xml:space="preserve">парус</t>
  </si>
  <si>
    <t xml:space="preserve">Патриот</t>
  </si>
  <si>
    <t xml:space="preserve">Братковский МОК АО</t>
  </si>
  <si>
    <t xml:space="preserve">Фаворит</t>
  </si>
  <si>
    <t xml:space="preserve">А-43</t>
  </si>
  <si>
    <t xml:space="preserve">Парус+Женева</t>
  </si>
  <si>
    <t xml:space="preserve">А-40</t>
  </si>
  <si>
    <t xml:space="preserve">Тристар</t>
  </si>
  <si>
    <t xml:space="preserve">закупка</t>
  </si>
  <si>
    <t xml:space="preserve">б/н</t>
  </si>
  <si>
    <t xml:space="preserve">А-45</t>
  </si>
  <si>
    <t xml:space="preserve">Агролидер ООО</t>
  </si>
  <si>
    <t xml:space="preserve">Вольф</t>
  </si>
  <si>
    <t xml:space="preserve">н/б</t>
  </si>
  <si>
    <t xml:space="preserve">87Утилизация</t>
  </si>
  <si>
    <t xml:space="preserve">б/нУтилизация</t>
  </si>
  <si>
    <t xml:space="preserve">92 Утилтзация</t>
  </si>
  <si>
    <t xml:space="preserve">91Утилизация</t>
  </si>
  <si>
    <t xml:space="preserve">90Утилизация</t>
  </si>
  <si>
    <t xml:space="preserve">Гранд Стар</t>
  </si>
  <si>
    <t xml:space="preserve">93ПродажаГрандСтар244</t>
  </si>
  <si>
    <t xml:space="preserve">А781рр</t>
  </si>
  <si>
    <t xml:space="preserve">94ПродажаГрандСтар246</t>
  </si>
  <si>
    <t xml:space="preserve">93ПродажаГрандСтар250</t>
  </si>
  <si>
    <t xml:space="preserve">ПродажаГрандСтар249</t>
  </si>
  <si>
    <t xml:space="preserve">грин00001</t>
  </si>
  <si>
    <t xml:space="preserve">ПродажаГрандСтар263</t>
  </si>
  <si>
    <t xml:space="preserve">грин00004</t>
  </si>
  <si>
    <t xml:space="preserve">ПродажаГрандСтарОтвес266</t>
  </si>
  <si>
    <t xml:space="preserve">грин00005</t>
  </si>
  <si>
    <t xml:space="preserve">ПродажаГрандСтар252</t>
  </si>
  <si>
    <t xml:space="preserve">грин00006</t>
  </si>
  <si>
    <t xml:space="preserve">ПродажаГрандСтаротвес№269</t>
  </si>
  <si>
    <t xml:space="preserve">грин00007</t>
  </si>
  <si>
    <t xml:space="preserve">ПродажаГрандСтарОтвес260</t>
  </si>
  <si>
    <t xml:space="preserve">грин00008</t>
  </si>
  <si>
    <t xml:space="preserve">Фомин Н.Г</t>
  </si>
  <si>
    <t xml:space="preserve">Продажа Гранд СтарОтвес251</t>
  </si>
  <si>
    <t xml:space="preserve">грин00009</t>
  </si>
  <si>
    <t xml:space="preserve">грин00010</t>
  </si>
  <si>
    <t xml:space="preserve">грин00011</t>
  </si>
  <si>
    <t xml:space="preserve">грин00012</t>
  </si>
  <si>
    <t xml:space="preserve">грин00013</t>
  </si>
  <si>
    <t xml:space="preserve">грин00014</t>
  </si>
  <si>
    <t xml:space="preserve">грин00015</t>
  </si>
  <si>
    <t xml:space="preserve">грин00016</t>
  </si>
  <si>
    <t xml:space="preserve">грин00017</t>
  </si>
  <si>
    <t xml:space="preserve">грин00018</t>
  </si>
  <si>
    <t xml:space="preserve">грин00019</t>
  </si>
  <si>
    <t xml:space="preserve">грин00020</t>
  </si>
  <si>
    <t xml:space="preserve">грин00021</t>
  </si>
  <si>
    <t xml:space="preserve">грин00022</t>
  </si>
  <si>
    <t xml:space="preserve">грин00023</t>
  </si>
  <si>
    <t xml:space="preserve">грин00024</t>
  </si>
  <si>
    <t xml:space="preserve">грин00025</t>
  </si>
  <si>
    <t xml:space="preserve">грин00026</t>
  </si>
  <si>
    <t xml:space="preserve">грин00027</t>
  </si>
  <si>
    <t xml:space="preserve">грин00028</t>
  </si>
  <si>
    <t xml:space="preserve">грин00029</t>
  </si>
  <si>
    <t xml:space="preserve">грин00030</t>
  </si>
  <si>
    <t xml:space="preserve">грин00031</t>
  </si>
  <si>
    <t xml:space="preserve">грин00032</t>
  </si>
  <si>
    <t xml:space="preserve">грин00033</t>
  </si>
  <si>
    <t xml:space="preserve">грин00034</t>
  </si>
  <si>
    <t xml:space="preserve">грин00035</t>
  </si>
  <si>
    <t xml:space="preserve">грин00036</t>
  </si>
  <si>
    <t xml:space="preserve">грин00037</t>
  </si>
  <si>
    <t xml:space="preserve">грин00038</t>
  </si>
  <si>
    <t xml:space="preserve">грин00039</t>
  </si>
  <si>
    <t xml:space="preserve">грин00040</t>
  </si>
  <si>
    <t xml:space="preserve">грин00041</t>
  </si>
  <si>
    <t xml:space="preserve">грин00042</t>
  </si>
  <si>
    <t xml:space="preserve">грин00043</t>
  </si>
  <si>
    <t xml:space="preserve">грин00044</t>
  </si>
  <si>
    <t xml:space="preserve">грин00045</t>
  </si>
  <si>
    <t xml:space="preserve">грин00046</t>
  </si>
  <si>
    <t xml:space="preserve">грин00047</t>
  </si>
  <si>
    <t xml:space="preserve">грин00048</t>
  </si>
  <si>
    <t xml:space="preserve">грин00049</t>
  </si>
  <si>
    <t xml:space="preserve">грин00050</t>
  </si>
  <si>
    <t xml:space="preserve">грин00051</t>
  </si>
  <si>
    <t xml:space="preserve">грин00052</t>
  </si>
  <si>
    <t xml:space="preserve">грин00053</t>
  </si>
  <si>
    <t xml:space="preserve">грин00054</t>
  </si>
  <si>
    <t xml:space="preserve">грин00055</t>
  </si>
  <si>
    <t xml:space="preserve">грин00056</t>
  </si>
  <si>
    <t xml:space="preserve">грин00057</t>
  </si>
  <si>
    <t xml:space="preserve">грин00058</t>
  </si>
  <si>
    <t xml:space="preserve">грин00059</t>
  </si>
  <si>
    <t xml:space="preserve">грин00060</t>
  </si>
  <si>
    <t xml:space="preserve">грин00061</t>
  </si>
  <si>
    <t xml:space="preserve">грин00062</t>
  </si>
  <si>
    <t xml:space="preserve">грин00063</t>
  </si>
  <si>
    <t xml:space="preserve">грин00064</t>
  </si>
  <si>
    <t xml:space="preserve">грин00065</t>
  </si>
  <si>
    <t xml:space="preserve">грин00066</t>
  </si>
  <si>
    <t xml:space="preserve">грин00067</t>
  </si>
  <si>
    <t xml:space="preserve">Колос ООО</t>
  </si>
  <si>
    <t xml:space="preserve">4.1</t>
  </si>
  <si>
    <t xml:space="preserve">4.4</t>
  </si>
  <si>
    <t xml:space="preserve">Грюнди</t>
  </si>
  <si>
    <t xml:space="preserve">Пересортица между полями 22.06.2025</t>
  </si>
  <si>
    <t xml:space="preserve">грин00068</t>
  </si>
  <si>
    <t xml:space="preserve">грин00069</t>
  </si>
  <si>
    <t xml:space="preserve">грин00070</t>
  </si>
  <si>
    <t xml:space="preserve">грин00071</t>
  </si>
  <si>
    <t xml:space="preserve">грин00072</t>
  </si>
  <si>
    <t xml:space="preserve">грин00073</t>
  </si>
  <si>
    <t xml:space="preserve">грин00074</t>
  </si>
  <si>
    <t xml:space="preserve">грин00075</t>
  </si>
  <si>
    <t xml:space="preserve">грин00076</t>
  </si>
  <si>
    <t xml:space="preserve">грин00077</t>
  </si>
  <si>
    <t xml:space="preserve">грин00078</t>
  </si>
  <si>
    <t xml:space="preserve">грин00079</t>
  </si>
  <si>
    <t xml:space="preserve">грин00080</t>
  </si>
  <si>
    <t xml:space="preserve">грин00081</t>
  </si>
  <si>
    <t xml:space="preserve">грин00082</t>
  </si>
  <si>
    <t xml:space="preserve">грин00083</t>
  </si>
  <si>
    <t xml:space="preserve">грин00084</t>
  </si>
  <si>
    <t xml:space="preserve">грин00085</t>
  </si>
  <si>
    <t xml:space="preserve">грин00086</t>
  </si>
  <si>
    <t xml:space="preserve">грин00087</t>
  </si>
  <si>
    <t xml:space="preserve">грин00088</t>
  </si>
  <si>
    <t xml:space="preserve">грин00089</t>
  </si>
  <si>
    <t xml:space="preserve">грин00090</t>
  </si>
  <si>
    <t xml:space="preserve">грин00091</t>
  </si>
  <si>
    <t xml:space="preserve">В отчете 9 га, но сообщение в 11:23, что поле 4.4 закрыли полностью</t>
  </si>
  <si>
    <t xml:space="preserve">грин00093</t>
  </si>
  <si>
    <t xml:space="preserve">У315НА</t>
  </si>
  <si>
    <t xml:space="preserve">ПродажаГрандСтарОтвес№318</t>
  </si>
  <si>
    <t xml:space="preserve">грин00094</t>
  </si>
  <si>
    <t xml:space="preserve">ПродажаГрандСтарОтвес317</t>
  </si>
  <si>
    <t xml:space="preserve">грин00095</t>
  </si>
  <si>
    <t xml:space="preserve">ПродажаГрандСтарОтвес№320</t>
  </si>
  <si>
    <t xml:space="preserve">грин00096</t>
  </si>
  <si>
    <t xml:space="preserve">грин00097</t>
  </si>
  <si>
    <t xml:space="preserve">грин00098</t>
  </si>
  <si>
    <t xml:space="preserve">грин00099</t>
  </si>
  <si>
    <t xml:space="preserve">грин00100</t>
  </si>
  <si>
    <t xml:space="preserve">грин00101</t>
  </si>
  <si>
    <t xml:space="preserve">грин00102</t>
  </si>
  <si>
    <t xml:space="preserve">грин00138</t>
  </si>
  <si>
    <t xml:space="preserve">В отчете 1 га, согласовано Никитиным А.А. 2 га (раньше передали больше)</t>
  </si>
  <si>
    <t xml:space="preserve">грин00139</t>
  </si>
  <si>
    <t xml:space="preserve">грин00140</t>
  </si>
  <si>
    <t xml:space="preserve">грин00141</t>
  </si>
  <si>
    <t xml:space="preserve">грин00142</t>
  </si>
  <si>
    <t xml:space="preserve">грин00143</t>
  </si>
  <si>
    <t xml:space="preserve">грин00144</t>
  </si>
  <si>
    <t xml:space="preserve">грин00145</t>
  </si>
  <si>
    <t xml:space="preserve">грин00146</t>
  </si>
  <si>
    <t xml:space="preserve">грин00147</t>
  </si>
  <si>
    <t xml:space="preserve">грин00148</t>
  </si>
  <si>
    <t xml:space="preserve">грин00149</t>
  </si>
  <si>
    <t xml:space="preserve">грин00150</t>
  </si>
  <si>
    <t xml:space="preserve">грин00151</t>
  </si>
  <si>
    <t xml:space="preserve">грин00152</t>
  </si>
  <si>
    <t xml:space="preserve">грин00153</t>
  </si>
  <si>
    <t xml:space="preserve">грин00162</t>
  </si>
  <si>
    <t xml:space="preserve">грин00163</t>
  </si>
  <si>
    <t xml:space="preserve">грин00165</t>
  </si>
  <si>
    <t xml:space="preserve">Исток</t>
  </si>
  <si>
    <t xml:space="preserve">по акту сев Истока 8 га на поле 16</t>
  </si>
  <si>
    <t xml:space="preserve">грин00166</t>
  </si>
  <si>
    <t xml:space="preserve">Парус</t>
  </si>
  <si>
    <t xml:space="preserve">грин00167</t>
  </si>
  <si>
    <t xml:space="preserve">По отчету уборка за 29.06.25 - 9 га, по согласованию с Никитиным А.А. уборка за 2 дня 28-29.06.25 - 15 га</t>
  </si>
  <si>
    <t xml:space="preserve">грин00168</t>
  </si>
  <si>
    <t xml:space="preserve">грин00169</t>
  </si>
  <si>
    <t xml:space="preserve">грин00170</t>
  </si>
  <si>
    <t xml:space="preserve">грин00171</t>
  </si>
  <si>
    <t xml:space="preserve">Соломатин А.М.</t>
  </si>
  <si>
    <t xml:space="preserve">грин00172</t>
  </si>
  <si>
    <t xml:space="preserve">грин00173</t>
  </si>
  <si>
    <t xml:space="preserve">грин00174</t>
  </si>
  <si>
    <t xml:space="preserve">грин00175</t>
  </si>
  <si>
    <t xml:space="preserve">грин00176</t>
  </si>
  <si>
    <t xml:space="preserve">грин00177</t>
  </si>
  <si>
    <t xml:space="preserve">грин00182</t>
  </si>
  <si>
    <t xml:space="preserve">грин00183</t>
  </si>
  <si>
    <t xml:space="preserve">грин00184</t>
  </si>
  <si>
    <t xml:space="preserve">грин00185</t>
  </si>
  <si>
    <t xml:space="preserve">грин00186</t>
  </si>
  <si>
    <t xml:space="preserve">грин00187</t>
  </si>
  <si>
    <t xml:space="preserve">грин00188</t>
  </si>
  <si>
    <t xml:space="preserve">грин00189</t>
  </si>
  <si>
    <t xml:space="preserve">грин00190</t>
  </si>
  <si>
    <t xml:space="preserve">грин00191</t>
  </si>
  <si>
    <t xml:space="preserve">грин00192</t>
  </si>
  <si>
    <t xml:space="preserve">Чернецов Александр Михайлович</t>
  </si>
  <si>
    <t xml:space="preserve">Р866РМ</t>
  </si>
  <si>
    <t xml:space="preserve">грин00193</t>
  </si>
  <si>
    <t xml:space="preserve">грин00194</t>
  </si>
  <si>
    <t xml:space="preserve">грин00195</t>
  </si>
  <si>
    <t xml:space="preserve">грин00196</t>
  </si>
  <si>
    <t xml:space="preserve">Блажко Алексей Николаевич</t>
  </si>
  <si>
    <t xml:space="preserve">М676КО</t>
  </si>
  <si>
    <t xml:space="preserve">грин00197</t>
  </si>
  <si>
    <t xml:space="preserve">Дик Илья Александрович</t>
  </si>
  <si>
    <t xml:space="preserve">М556ХВ</t>
  </si>
  <si>
    <t xml:space="preserve">грин00198</t>
  </si>
  <si>
    <t xml:space="preserve">грин00199</t>
  </si>
  <si>
    <t xml:space="preserve">грин00200</t>
  </si>
  <si>
    <t xml:space="preserve">грин00201</t>
  </si>
  <si>
    <t xml:space="preserve">грин00203</t>
  </si>
  <si>
    <t xml:space="preserve">грин00204</t>
  </si>
  <si>
    <t xml:space="preserve">4.2</t>
  </si>
  <si>
    <t xml:space="preserve">грин00205</t>
  </si>
  <si>
    <t xml:space="preserve">грин00206</t>
  </si>
  <si>
    <t xml:space="preserve">грин00207</t>
  </si>
  <si>
    <t xml:space="preserve">грин00208</t>
  </si>
  <si>
    <t xml:space="preserve">грин00209</t>
  </si>
  <si>
    <t xml:space="preserve">грин00210</t>
  </si>
  <si>
    <t xml:space="preserve">грин00211</t>
  </si>
  <si>
    <t xml:space="preserve">грин00212</t>
  </si>
  <si>
    <t xml:space="preserve">грин00213</t>
  </si>
  <si>
    <t xml:space="preserve">Пищев Александр Васильевич </t>
  </si>
  <si>
    <t xml:space="preserve">Т522ОН</t>
  </si>
  <si>
    <t xml:space="preserve">грин00214</t>
  </si>
  <si>
    <t xml:space="preserve">грин00215</t>
  </si>
  <si>
    <t xml:space="preserve">грин00216</t>
  </si>
  <si>
    <t xml:space="preserve">грин00217</t>
  </si>
  <si>
    <t xml:space="preserve">грин00218</t>
  </si>
  <si>
    <t xml:space="preserve">грин00219</t>
  </si>
  <si>
    <t xml:space="preserve">грин00220</t>
  </si>
  <si>
    <t xml:space="preserve">грин00221</t>
  </si>
  <si>
    <t xml:space="preserve">грин00222</t>
  </si>
  <si>
    <t xml:space="preserve">грин00223</t>
  </si>
  <si>
    <t xml:space="preserve">грин00224</t>
  </si>
  <si>
    <t xml:space="preserve">грин00225</t>
  </si>
  <si>
    <t xml:space="preserve">Было - 15,9 га на 04.07</t>
  </si>
  <si>
    <t xml:space="preserve">грин00226</t>
  </si>
  <si>
    <t xml:space="preserve">грин00227</t>
  </si>
  <si>
    <t xml:space="preserve">грин00228</t>
  </si>
  <si>
    <t xml:space="preserve">грин00229</t>
  </si>
  <si>
    <t xml:space="preserve">грин00230</t>
  </si>
  <si>
    <t xml:space="preserve">грин00231</t>
  </si>
  <si>
    <t xml:space="preserve">грин00232</t>
  </si>
  <si>
    <t xml:space="preserve">грин00233</t>
  </si>
  <si>
    <t xml:space="preserve">грин00234</t>
  </si>
  <si>
    <t xml:space="preserve">грин00235</t>
  </si>
  <si>
    <t xml:space="preserve">грин00236</t>
  </si>
  <si>
    <t xml:space="preserve">грин00237</t>
  </si>
  <si>
    <t xml:space="preserve">грин00238</t>
  </si>
  <si>
    <t xml:space="preserve">грин00239</t>
  </si>
  <si>
    <t xml:space="preserve">грин00240</t>
  </si>
  <si>
    <t xml:space="preserve">грин00241</t>
  </si>
  <si>
    <t xml:space="preserve">2.3</t>
  </si>
  <si>
    <t xml:space="preserve">грин00242</t>
  </si>
  <si>
    <t xml:space="preserve">грин00243</t>
  </si>
  <si>
    <t xml:space="preserve">грин00244</t>
  </si>
  <si>
    <t xml:space="preserve">грин00245</t>
  </si>
  <si>
    <t xml:space="preserve">грин00246</t>
  </si>
  <si>
    <t xml:space="preserve">грин00247</t>
  </si>
  <si>
    <t xml:space="preserve">грин00248</t>
  </si>
  <si>
    <t xml:space="preserve">грин00249</t>
  </si>
  <si>
    <t xml:space="preserve">грин00250</t>
  </si>
  <si>
    <t xml:space="preserve">грин00251</t>
  </si>
  <si>
    <t xml:space="preserve">грин00252</t>
  </si>
  <si>
    <t xml:space="preserve">грин00253</t>
  </si>
  <si>
    <t xml:space="preserve">грин00254</t>
  </si>
  <si>
    <t xml:space="preserve">грин00255</t>
  </si>
  <si>
    <t xml:space="preserve">грин00256</t>
  </si>
  <si>
    <t xml:space="preserve">грин00257</t>
  </si>
  <si>
    <t xml:space="preserve">грин00258</t>
  </si>
  <si>
    <t xml:space="preserve">грин00259</t>
  </si>
  <si>
    <t xml:space="preserve">грин00260</t>
  </si>
  <si>
    <t xml:space="preserve">грин00261</t>
  </si>
  <si>
    <t xml:space="preserve">грин00262</t>
  </si>
  <si>
    <t xml:space="preserve">грин00263</t>
  </si>
  <si>
    <t xml:space="preserve">грин00301</t>
  </si>
  <si>
    <t xml:space="preserve">Было поле 2.3</t>
  </si>
  <si>
    <t xml:space="preserve">грин00302</t>
  </si>
  <si>
    <t xml:space="preserve">грин00303</t>
  </si>
  <si>
    <t xml:space="preserve">грин00304</t>
  </si>
  <si>
    <t xml:space="preserve">грин00305</t>
  </si>
  <si>
    <t xml:space="preserve">грин00306</t>
  </si>
  <si>
    <t xml:space="preserve">грин00307</t>
  </si>
  <si>
    <t xml:space="preserve">Бутана</t>
  </si>
  <si>
    <t xml:space="preserve">грин00308</t>
  </si>
  <si>
    <t xml:space="preserve">грин00309</t>
  </si>
  <si>
    <t xml:space="preserve">грин00310</t>
  </si>
  <si>
    <t xml:space="preserve">грин00311</t>
  </si>
  <si>
    <t xml:space="preserve">грин00312</t>
  </si>
  <si>
    <t xml:space="preserve">грин00313</t>
  </si>
  <si>
    <t xml:space="preserve">грин00314</t>
  </si>
  <si>
    <t xml:space="preserve">грин00315</t>
  </si>
  <si>
    <t xml:space="preserve">грин00316</t>
  </si>
  <si>
    <t xml:space="preserve">грин00317</t>
  </si>
  <si>
    <t xml:space="preserve">Данные по горошку овощному</t>
  </si>
  <si>
    <t xml:space="preserve">тыс.р.</t>
  </si>
  <si>
    <t xml:space="preserve">Вал сбор, тонн</t>
  </si>
  <si>
    <t xml:space="preserve">Зач.вес</t>
  </si>
  <si>
    <t xml:space="preserve">урожайность физ.вес., т/га</t>
  </si>
  <si>
    <t xml:space="preserve">СС тыс.руб/Га</t>
  </si>
  <si>
    <t xml:space="preserve">отклонение </t>
  </si>
  <si>
    <t xml:space="preserve">СС руб/вал вес</t>
  </si>
  <si>
    <t xml:space="preserve">СС руб/зач вес</t>
  </si>
  <si>
    <t xml:space="preserve">Сроки сева</t>
  </si>
  <si>
    <t xml:space="preserve">Сроки уборки</t>
  </si>
  <si>
    <t xml:space="preserve">Факт 2020</t>
  </si>
  <si>
    <t xml:space="preserve">Факт 2021</t>
  </si>
  <si>
    <t xml:space="preserve">Факт 2022</t>
  </si>
  <si>
    <t xml:space="preserve">Факт 2023</t>
  </si>
  <si>
    <t xml:space="preserve">Факт 2024</t>
  </si>
  <si>
    <t xml:space="preserve">БП 2025</t>
  </si>
  <si>
    <t xml:space="preserve">Прогноз 2025</t>
  </si>
  <si>
    <t xml:space="preserve">Факт 2025</t>
  </si>
  <si>
    <t xml:space="preserve">БП 2024/ Факт 2023</t>
  </si>
  <si>
    <t xml:space="preserve">БП 2024/ Факт 2022</t>
  </si>
  <si>
    <t xml:space="preserve">БП 2024/ Факт 2021</t>
  </si>
  <si>
    <t xml:space="preserve">БП 2025/ Факт 2024</t>
  </si>
  <si>
    <t xml:space="preserve">Факт 2024/ БП 2024</t>
  </si>
  <si>
    <t xml:space="preserve">Горох_ГРК_общее</t>
  </si>
  <si>
    <t xml:space="preserve">01.03 - 03.05</t>
  </si>
  <si>
    <t xml:space="preserve">01.04 - 21.05</t>
  </si>
  <si>
    <t xml:space="preserve">22.03 - 15.05</t>
  </si>
  <si>
    <t xml:space="preserve">08.03 - 18.04</t>
  </si>
  <si>
    <t xml:space="preserve">05.03 - 30.03</t>
  </si>
  <si>
    <t xml:space="preserve">28.02 - 12.04</t>
  </si>
  <si>
    <t xml:space="preserve">06.06 - 14.07</t>
  </si>
  <si>
    <t xml:space="preserve">13.06 - 18.07</t>
  </si>
  <si>
    <t xml:space="preserve">09.06 - 19.07</t>
  </si>
  <si>
    <t xml:space="preserve">02.06 - 23.06</t>
  </si>
  <si>
    <t xml:space="preserve">21.05 - 16.06</t>
  </si>
  <si>
    <t xml:space="preserve">04.06 - 12.06</t>
  </si>
  <si>
    <t xml:space="preserve">Горох_ГРК_полив</t>
  </si>
  <si>
    <t xml:space="preserve">19.06 - 23.06</t>
  </si>
  <si>
    <t xml:space="preserve">04.06 - 05.06</t>
  </si>
  <si>
    <t xml:space="preserve">Горох_ГРК_богара</t>
  </si>
  <si>
    <t xml:space="preserve">23.03 - 12.04</t>
  </si>
  <si>
    <t xml:space="preserve">02.06 - 18.06</t>
  </si>
  <si>
    <t xml:space="preserve">05.06 - 12.06</t>
  </si>
  <si>
    <t xml:space="preserve">Горох_ГРК_собст.сем</t>
  </si>
  <si>
    <t xml:space="preserve">28.02 - 25.03</t>
  </si>
  <si>
    <t xml:space="preserve">Горох_Колос</t>
  </si>
  <si>
    <t xml:space="preserve">15.04 - 08.05</t>
  </si>
  <si>
    <t xml:space="preserve">02.04 - 26.04</t>
  </si>
  <si>
    <t xml:space="preserve">27.06 - 06.07</t>
  </si>
  <si>
    <t xml:space="preserve">25.06 - 14.07</t>
  </si>
  <si>
    <t xml:space="preserve">26.09 - 09.07</t>
  </si>
  <si>
    <t xml:space="preserve">24.06 - 09.07</t>
  </si>
  <si>
    <t xml:space="preserve">10.06 - 28.06</t>
  </si>
  <si>
    <t xml:space="preserve">Горох_Колос_полив</t>
  </si>
  <si>
    <t xml:space="preserve">07.04 - 26.04</t>
  </si>
  <si>
    <t xml:space="preserve">13.04 - 22.04</t>
  </si>
  <si>
    <t xml:space="preserve">10.06 - 12.05</t>
  </si>
  <si>
    <t xml:space="preserve">17.06 - 25.06</t>
  </si>
  <si>
    <t xml:space="preserve">Горох_Колос_богара</t>
  </si>
  <si>
    <t xml:space="preserve">02.04 - 06.04</t>
  </si>
  <si>
    <t xml:space="preserve">16.06 - 28.06</t>
  </si>
  <si>
    <t xml:space="preserve">Горох_Наконечный</t>
  </si>
  <si>
    <t xml:space="preserve">16.06 - 28.07</t>
  </si>
  <si>
    <t xml:space="preserve">09.07 - 10.07</t>
  </si>
  <si>
    <t xml:space="preserve">Горох_Кубань Хлеб</t>
  </si>
  <si>
    <t xml:space="preserve">31.03 - 03.04</t>
  </si>
  <si>
    <t xml:space="preserve">12.06 - 15.06</t>
  </si>
  <si>
    <t xml:space="preserve">Горох_Учхоз</t>
  </si>
  <si>
    <t xml:space="preserve">03.03 - 09.03</t>
  </si>
  <si>
    <t xml:space="preserve">28.02 - 06.03</t>
  </si>
  <si>
    <t xml:space="preserve">05.03 - 28.03</t>
  </si>
  <si>
    <t xml:space="preserve">01.06 - 08.06</t>
  </si>
  <si>
    <t xml:space="preserve">04.06 - 14.06</t>
  </si>
  <si>
    <t xml:space="preserve">04.06 - 10.06</t>
  </si>
  <si>
    <t xml:space="preserve">26.05 - 08.06</t>
  </si>
  <si>
    <t xml:space="preserve">17.05 - 23.05</t>
  </si>
  <si>
    <t xml:space="preserve">30.05 - 03.06</t>
  </si>
  <si>
    <t xml:space="preserve">Горох_Братск</t>
  </si>
  <si>
    <t xml:space="preserve">17.03 - 08.04</t>
  </si>
  <si>
    <t xml:space="preserve">06.06 - 13.06</t>
  </si>
  <si>
    <t xml:space="preserve">Горох_Агролидер</t>
  </si>
  <si>
    <t xml:space="preserve">10.04 - 13.04</t>
  </si>
  <si>
    <t xml:space="preserve">14.06 - 16.06</t>
  </si>
  <si>
    <t xml:space="preserve">Горох итого</t>
  </si>
  <si>
    <t xml:space="preserve">03.03 - 08.05</t>
  </si>
  <si>
    <t xml:space="preserve">28.02 - 26.04</t>
  </si>
  <si>
    <t xml:space="preserve">28.02 - 22.04</t>
  </si>
  <si>
    <t xml:space="preserve">01.06 - 14.07</t>
  </si>
  <si>
    <t xml:space="preserve"> 04.06 - 18.07</t>
  </si>
  <si>
    <t xml:space="preserve"> 04.06 - 19.07</t>
  </si>
  <si>
    <t xml:space="preserve">26.05 - 10.07</t>
  </si>
  <si>
    <t xml:space="preserve">21.05 - 28.06</t>
  </si>
  <si>
    <t xml:space="preserve">30.05 - 25.06</t>
  </si>
  <si>
    <t xml:space="preserve">Поступление горошка на завод по дням (без учета закупки) 2023-2025 гг.</t>
  </si>
  <si>
    <t xml:space="preserve">учет</t>
  </si>
  <si>
    <t xml:space="preserve">Средний валовый сбор горошка (без учета закупки) 2023-2025 гг.</t>
  </si>
  <si>
    <t xml:space="preserve">Количество дней уборки (по поступлению на завод)</t>
  </si>
  <si>
    <t xml:space="preserve">Средний валовый сбор в сутки, кг</t>
  </si>
  <si>
    <t xml:space="preserve">Регистратор</t>
  </si>
  <si>
    <t xml:space="preserve">Механизатор</t>
  </si>
  <si>
    <t xml:space="preserve">Техника</t>
  </si>
  <si>
    <t xml:space="preserve">Оборудование</t>
  </si>
  <si>
    <t xml:space="preserve">Вид работы</t>
  </si>
  <si>
    <t xml:space="preserve">Характеристика работы</t>
  </si>
  <si>
    <t xml:space="preserve">Тип затрат</t>
  </si>
  <si>
    <t xml:space="preserve">Аналитика расходов</t>
  </si>
  <si>
    <t xml:space="preserve">Гектаров</t>
  </si>
  <si>
    <t xml:space="preserve">Тонн</t>
  </si>
  <si>
    <t xml:space="preserve">Отработано дней</t>
  </si>
  <si>
    <t xml:space="preserve">Часов По факту</t>
  </si>
  <si>
    <t xml:space="preserve">Часов По норме</t>
  </si>
  <si>
    <t xml:space="preserve">Смен</t>
  </si>
  <si>
    <t xml:space="preserve">Основная з/п, руб</t>
  </si>
  <si>
    <t xml:space="preserve">Дополнительная з/п, руб</t>
  </si>
  <si>
    <t xml:space="preserve">Доплата за ночные часы</t>
  </si>
  <si>
    <t xml:space="preserve">Доплата за праздничные часы</t>
  </si>
  <si>
    <t xml:space="preserve">Доплата за вредность</t>
  </si>
  <si>
    <t xml:space="preserve">Итого з/п, руб</t>
  </si>
  <si>
    <t xml:space="preserve">Фактический расход ГСМ</t>
  </si>
  <si>
    <t xml:space="preserve">Нормативный расход ГСМ</t>
  </si>
  <si>
    <t xml:space="preserve">ПУЛ тракториста ТХЕР-001154 на 06.06.2024 08:00 - 18:00</t>
  </si>
  <si>
    <t xml:space="preserve">Амбарян Айк Суренович</t>
  </si>
  <si>
    <t xml:space="preserve">Комбайн горохоуборочный , Гос.№49-49</t>
  </si>
  <si>
    <t xml:space="preserve">Уборка овощного гороха</t>
  </si>
  <si>
    <t xml:space="preserve">&lt;характеристики не используются&gt;</t>
  </si>
  <si>
    <t xml:space="preserve">Прямые затраты</t>
  </si>
  <si>
    <t xml:space="preserve">А-28, Горошек овощной (богара) 2024 г.</t>
  </si>
  <si>
    <t xml:space="preserve">ПУЛ тракториста ТХЕР-001058 на 18.05.2024 08:00 - 23.05 18:00</t>
  </si>
  <si>
    <t xml:space="preserve">Комбайн горохоуборочный , Гос.№16-18</t>
  </si>
  <si>
    <t xml:space="preserve">1/1.1 Учхоз Кубань</t>
  </si>
  <si>
    <t xml:space="preserve">Горошек овощной Учхоз-Кубань (богара)</t>
  </si>
  <si>
    <t xml:space="preserve">1/1.1 Учхоз Кубань, Горошек овощной Учхоз-Кубань (богара) Без характеристики 2024 г.</t>
  </si>
  <si>
    <t xml:space="preserve">ПУЛ тракториста ТХЕР-001059 на 18.05.2024 08:00 - 23.05 18:00</t>
  </si>
  <si>
    <t xml:space="preserve">Лебедь Василий Николаевич</t>
  </si>
  <si>
    <t xml:space="preserve">Комбайн горохоуборочный, Гос.№66-74</t>
  </si>
  <si>
    <t xml:space="preserve">1/7.1 Учхоз Кубань</t>
  </si>
  <si>
    <t xml:space="preserve">1/7.1 Учхоз Кубань, Горошек овощной Учхоз-Кубань (богара) Без характеристики 2024 г.</t>
  </si>
  <si>
    <t xml:space="preserve">2/3.5 Учхоз Кубань</t>
  </si>
  <si>
    <t xml:space="preserve">2/3.5 Учхоз Кубань, Горошек овощной Учхоз-Кубань (богара) Без характеристики 2024 г.</t>
  </si>
  <si>
    <t xml:space="preserve">ПУЛ тракториста ТХЕР-001227 на 18.06.2024 08:00 - 18:00</t>
  </si>
  <si>
    <t xml:space="preserve">9/2 КубаньХлеб</t>
  </si>
  <si>
    <t xml:space="preserve">Горошек овощной Кубань Хлеб (полив)</t>
  </si>
  <si>
    <t xml:space="preserve">9/2 КубаньХлеб, Горошек овощной Кубань Хлеб ООО (полив) Без характеристики 2024 г.</t>
  </si>
  <si>
    <t xml:space="preserve">ПУЛ тракториста ТХЕР-001156 на 03.06.2024 08:00 - 08.06 18:00</t>
  </si>
  <si>
    <t xml:space="preserve">А-33, Горошек овощной (богара) 2024 г.</t>
  </si>
  <si>
    <t xml:space="preserve">А-48/2, Горошек овощной (богара) 2024 г.</t>
  </si>
  <si>
    <t xml:space="preserve">ПУЛ тракториста ТХЕР-001081 на 23.05.2024 19:00 - 30.05 18:00</t>
  </si>
  <si>
    <t xml:space="preserve">А-20/1, Горошек овощной (богара) 2024 г.</t>
  </si>
  <si>
    <t xml:space="preserve">А-17/1, Горошек овощной (богара) 2024 г.</t>
  </si>
  <si>
    <t xml:space="preserve">ПУЛ тракториста ТХЕР-000999 на 21.05.2024 08:00 - 31.05 20:00</t>
  </si>
  <si>
    <t xml:space="preserve">Мажаров Юрий Григорьевич</t>
  </si>
  <si>
    <t xml:space="preserve">Комбайн горохоуборочный , Гос.№60-56</t>
  </si>
  <si>
    <t xml:space="preserve">А-21/1, Горошек овощной (богара) 2024 г.</t>
  </si>
  <si>
    <t xml:space="preserve">ПУЛ тракториста ТХЕР-001240 на 19.06.2024 08:00 - 18:00</t>
  </si>
  <si>
    <t xml:space="preserve">Комбайн горохоуборочный , Гос.№60-55</t>
  </si>
  <si>
    <t xml:space="preserve">ПУЛ тракториста ТХЕР-001152 на 04.06.2024 08:00 - 08.06 23:00</t>
  </si>
  <si>
    <t xml:space="preserve">Наконечный Александр Николаевич</t>
  </si>
  <si>
    <t xml:space="preserve">ПУЛ тракториста ТХЕР-001082 на 22.05.2024 19:00 - 30.05 18:00</t>
  </si>
  <si>
    <t xml:space="preserve">ПУЛ тракториста ТХЕР-001229 на 18.06.2024 08:00 - 18:00</t>
  </si>
  <si>
    <t xml:space="preserve">10/5 КубаньХлеб</t>
  </si>
  <si>
    <t xml:space="preserve">10/5 КубаньХлеб, Горошек овощной Кубань Хлеб (полив) 2024 г.</t>
  </si>
  <si>
    <t xml:space="preserve">ПУЛ тракториста ТХЕР-001001 на 18.05.2024 08:00 - 22.05 18:00</t>
  </si>
  <si>
    <t xml:space="preserve">ПУЛ тракториста ТХЕР-001155 на 03.06.2024 08:00 - 08.06 18:00</t>
  </si>
  <si>
    <t xml:space="preserve">Руденко Андрей Александрович</t>
  </si>
  <si>
    <t xml:space="preserve">ПУЛ тракториста ТХЕР-001083 на 23.05.2024 19:00 - 30.05 18:00</t>
  </si>
  <si>
    <t xml:space="preserve">ПУЛ тракториста ТХЕР-001228 на 18.06.2024 08:00 - 18:00</t>
  </si>
  <si>
    <t xml:space="preserve">Чалый Сергей Владимирович</t>
  </si>
  <si>
    <t xml:space="preserve">ПУЛ тракториста ТХЕР-001153 на 04.06.2024 08:00 - 06.06 20:00</t>
  </si>
  <si>
    <t xml:space="preserve">ПУЛ тракториста ТХЕР-001341 на 27.05.2025 08:00 - 31.05 18:00</t>
  </si>
  <si>
    <t xml:space="preserve">Горошек овощной (богара) собств. сем.</t>
  </si>
  <si>
    <t xml:space="preserve">А-44, Горошек овощной (богара) собств. сем. 2025 г.</t>
  </si>
  <si>
    <t xml:space="preserve">ПУЛ тракториста ТХЕР-001391 на 28.05.2025 08:00 - 23:00</t>
  </si>
  <si>
    <t xml:space="preserve">2/4 Учхоз Кубань</t>
  </si>
  <si>
    <t xml:space="preserve">2/4 Учхоз Кубань, Горошек овощной Учхоз-Кубань (богара) 2025 г.</t>
  </si>
  <si>
    <t xml:space="preserve">ПУЛ тракториста ТХЕР-001392 на 07.06.2025 08:00 - 23:00</t>
  </si>
  <si>
    <t xml:space="preserve">1/81 Учхоз Кубань</t>
  </si>
  <si>
    <t xml:space="preserve">1/81 Учхоз Кубань, Горошек овощной Учхоз-Кубань (богара) 2025 г.</t>
  </si>
  <si>
    <t xml:space="preserve">ПУЛ тракториста ТХЕР-001393 на 28.05.2025 08:00 - 18:00</t>
  </si>
  <si>
    <t xml:space="preserve">Борка Алексей Васильевич</t>
  </si>
  <si>
    <t xml:space="preserve">ПУЛ тракториста ТХЕР-001394 на 06.06.2025 08:00 - 23:00</t>
  </si>
  <si>
    <t xml:space="preserve">ПУЛ тракториста ТХЕР-001395 на 28.05.2025 08:00 - 18:00</t>
  </si>
  <si>
    <t xml:space="preserve">Ляшко Сергей Николаевич</t>
  </si>
  <si>
    <t xml:space="preserve">ПУЛ тракториста ТХЕР-001396 на 07.06.2025 08:00 - 23:00</t>
  </si>
  <si>
    <t xml:space="preserve">ПУЛ тракториста ТХЕР-001489 на 01.06.2025 08:00 - 10.06 23:00</t>
  </si>
  <si>
    <t xml:space="preserve">А-46/1, Горошек овощной (богара) собств. сем. 2025 г.</t>
  </si>
  <si>
    <t xml:space="preserve">А-66/1, Горошек овощной (богара) собств. сем. 2025 г.</t>
  </si>
  <si>
    <t xml:space="preserve">Горошек овощной (богара) демо</t>
  </si>
  <si>
    <t xml:space="preserve">А-51/1, Горошек овощной (богара) демо 2025 г.</t>
  </si>
  <si>
    <t xml:space="preserve">А-57/5, Горошек овощной (богара) 2025 г.</t>
  </si>
  <si>
    <t xml:space="preserve">ПУЛ тракториста ТХЕР-001490 на 07.06.2025 08:00 - 10.06 23:00</t>
  </si>
  <si>
    <t xml:space="preserve">ПУЛ тракториста ТХЕР-001491 на 08.06.2025 08:00 - 10.06 23:00</t>
  </si>
  <si>
    <t xml:space="preserve">А-87, Горошек овощной (богара) 2025 г.</t>
  </si>
  <si>
    <t xml:space="preserve">А-67/1, Горошек овощной (богара) 2025 г.</t>
  </si>
  <si>
    <t xml:space="preserve">ПУЛ тракториста ТХЕР-001492 на 08.06.2025 08:00 - 10.06 23:00</t>
  </si>
  <si>
    <t xml:space="preserve">ПУЛ тракториста ТХЕР-001493 на 01.06.2025 08:00 - 10.06 23:00</t>
  </si>
  <si>
    <t xml:space="preserve">А-66/1, Горошек овощной (богара) 2025 г.</t>
  </si>
  <si>
    <t xml:space="preserve">А-54/4, Горошек овощной (богара) 2025 г.</t>
  </si>
  <si>
    <t xml:space="preserve">ПУЛ тракториста ТХЕР-001340 на 31.05.2025 08:00 - 23:00</t>
  </si>
  <si>
    <t xml:space="preserve">Тепляшин Семен Александрович</t>
  </si>
  <si>
    <t xml:space="preserve">ПУЛ тракториста ТХЕР-001339 на 29.05.2025 08:00 - 18:00</t>
  </si>
  <si>
    <t xml:space="preserve">А-51/1, Горошек овощной (богара) собств. сем. 2025 г.</t>
  </si>
  <si>
    <t xml:space="preserve">ПУЛ тракториста ТХЕР-001528 на 20.06.2025 08:00 - 18:00</t>
  </si>
  <si>
    <t xml:space="preserve">ПУЛ тракториста ТХЕР-001606 на 11.06.2025 08:00 - 17.06 23:00</t>
  </si>
  <si>
    <t xml:space="preserve">40 Братковский</t>
  </si>
  <si>
    <t xml:space="preserve">Горошек овощной Братковский (полив)</t>
  </si>
  <si>
    <t xml:space="preserve">40 Братковский, Горошек овощной Братковский (полив) 2025 г.</t>
  </si>
  <si>
    <t xml:space="preserve">41 Братковский</t>
  </si>
  <si>
    <t xml:space="preserve">41 Братковский, Горошек овощной Братковский (полив) 2025 г.</t>
  </si>
  <si>
    <t xml:space="preserve">50 Братковский</t>
  </si>
  <si>
    <t xml:space="preserve">50 Братковский, Горошек овощной Братковский (полив) 2025 г.</t>
  </si>
  <si>
    <t xml:space="preserve">ПУЛ тракториста ТХЕР-001607 на 11.06.2025 08:00 - 17.06 23:00</t>
  </si>
  <si>
    <t xml:space="preserve">ПУЛ тракториста ТХЕР-001608 на 11.06.2025 08:00 - 17.06 23:00</t>
  </si>
  <si>
    <t xml:space="preserve">ПУЛ тракториста ТХЕР-001609 на 11.06.2025 08:00 - 18.06 23:00</t>
  </si>
  <si>
    <t xml:space="preserve">Климов Дмитрий Владимирович</t>
  </si>
  <si>
    <t xml:space="preserve">ПУЛ тракториста ТХЕР-001629 на 18.06.2025 08:00 - 20.06 23:00</t>
  </si>
  <si>
    <t xml:space="preserve">16 Агролидер</t>
  </si>
  <si>
    <t xml:space="preserve">16 Агролидер, Горошек овощной Агролидер (полив) 2025 г.</t>
  </si>
  <si>
    <t xml:space="preserve">ПУЛ тракториста ТХЕР-001630 на 18.06.2025 08:00 - 20.06 23:00</t>
  </si>
  <si>
    <t xml:space="preserve">15 Агролидер</t>
  </si>
  <si>
    <t xml:space="preserve">15 Агролидер, Горошек овощной Агролидер (полив) 2025 г.</t>
  </si>
  <si>
    <t xml:space="preserve">ПУЛ тракториста ТХЕР-001631 на 18.06.2025 08:00 - 20.06 23:00</t>
  </si>
  <si>
    <t xml:space="preserve">ПУЛ тракториста ТХЕР-001632 на 11.06.2025 08:00 - 20.06 23:00</t>
  </si>
  <si>
    <t xml:space="preserve">14 Агролидер</t>
  </si>
  <si>
    <t xml:space="preserve">14 Агролидер, Горошек овощной Агролидер (полив) 2025 г.</t>
  </si>
  <si>
    <t xml:space="preserve">ПУЛ тракториста ТХЕР-001696 на 21.06.2025 08:00 - 30.06 23:00</t>
  </si>
  <si>
    <t xml:space="preserve">ПУЛ тракториста ТХЕР-001697 на 21.06.2025 08:00 - 23:00</t>
  </si>
  <si>
    <t xml:space="preserve">ПУЛ тракториста ТХЕР-001698 на 21.06.2025 08:00 - 23.06 23:00</t>
  </si>
  <si>
    <t xml:space="preserve">ПУЛ тракториста ТХЕР-001699 на 21.06.2025 08:00 - 23.06 23:00</t>
  </si>
  <si>
    <t xml:space="preserve">Документ</t>
  </si>
  <si>
    <t xml:space="preserve">Хар-ка</t>
  </si>
  <si>
    <t xml:space="preserve">Номер взвешивания</t>
  </si>
  <si>
    <t xml:space="preserve">Номер вх.  док.</t>
  </si>
  <si>
    <t xml:space="preserve">Водитель</t>
  </si>
  <si>
    <t xml:space="preserve">Автомобиль</t>
  </si>
  <si>
    <t xml:space="preserve">Исх. номенклатура</t>
  </si>
  <si>
    <t xml:space="preserve">Вес брутто</t>
  </si>
  <si>
    <t xml:space="preserve">Вес тары</t>
  </si>
  <si>
    <t xml:space="preserve">% отходов сверх допуска</t>
  </si>
  <si>
    <t xml:space="preserve">Вес нетто</t>
  </si>
  <si>
    <t xml:space="preserve">Номер акта</t>
  </si>
  <si>
    <t xml:space="preserve">Отход</t>
  </si>
  <si>
    <t xml:space="preserve">Отход %</t>
  </si>
  <si>
    <t xml:space="preserve">Месяц</t>
  </si>
  <si>
    <t xml:space="preserve">Число</t>
  </si>
  <si>
    <t xml:space="preserve">Акт входного контроля 000000002 от 26.05.2023 10:00:06</t>
  </si>
  <si>
    <t xml:space="preserve">УОХ Кубань</t>
  </si>
  <si>
    <t xml:space="preserve">Чигрин Николай Александрович</t>
  </si>
  <si>
    <t xml:space="preserve">1/4</t>
  </si>
  <si>
    <t xml:space="preserve">Горох овощной свежий 10.01</t>
  </si>
  <si>
    <t xml:space="preserve">Акт входного контроля 000000003 от 29.05.2023 18:40:06</t>
  </si>
  <si>
    <t xml:space="preserve">Акт входного контроля 000000004 от 29.05.2023 20:40:25</t>
  </si>
  <si>
    <t xml:space="preserve">Акт входного контроля 000000011 от 29.05.2023 10:37:44</t>
  </si>
  <si>
    <t xml:space="preserve">Гребенников Е.Н.</t>
  </si>
  <si>
    <t xml:space="preserve">В465ММ</t>
  </si>
  <si>
    <t xml:space="preserve">Акт входного контроля 000000010 от 29.05.2023 14:22:49</t>
  </si>
  <si>
    <t xml:space="preserve">Акт входного контроля 000000008 от 29.05.2023 15:57:39</t>
  </si>
  <si>
    <t xml:space="preserve">Кодола В.А.</t>
  </si>
  <si>
    <t xml:space="preserve">В639КО</t>
  </si>
  <si>
    <t xml:space="preserve">Акт входного контроля 000000007 от 29.05.2023 21:37:52</t>
  </si>
  <si>
    <t xml:space="preserve">Звада Е.Е.</t>
  </si>
  <si>
    <t xml:space="preserve">А688АМ</t>
  </si>
  <si>
    <t xml:space="preserve">Акт входного контроля 000000009 от 30.05.2023 12:05:22</t>
  </si>
  <si>
    <t xml:space="preserve">Дзюба Николай Сергеевич</t>
  </si>
  <si>
    <t xml:space="preserve">Акт входного контроля 000000006 от 30.05.2023 10:39:53</t>
  </si>
  <si>
    <t xml:space="preserve">Акт входного контроля 000000005 от 30.05.2023 10:20:16</t>
  </si>
  <si>
    <t xml:space="preserve">Осипов А</t>
  </si>
  <si>
    <t xml:space="preserve">Акт входного контроля 000000012 от 30.05.2023 6:54:39</t>
  </si>
  <si>
    <t xml:space="preserve">Мосинцев Александр Егорович</t>
  </si>
  <si>
    <t xml:space="preserve">Т680ОУ</t>
  </si>
  <si>
    <t xml:space="preserve">Акт входного контроля 000000013 от 30.05.2023 13:57:20</t>
  </si>
  <si>
    <t xml:space="preserve">Гребенников ЕН</t>
  </si>
  <si>
    <t xml:space="preserve">Акт входного контроля 000000014 от 30.05.2023 15:42:00</t>
  </si>
  <si>
    <t xml:space="preserve">Акт входного контроля 000000015 от 30.05.2023 18:46:20</t>
  </si>
  <si>
    <t xml:space="preserve">Кодола В.Л.</t>
  </si>
  <si>
    <t xml:space="preserve">Акт входного контроля 000000016 от 30.05.2023 19:04:46</t>
  </si>
  <si>
    <t xml:space="preserve">Акт входного контроля 000000017 от 30.05.2023 21:43:11</t>
  </si>
  <si>
    <t xml:space="preserve">Акт входного контроля 000000024 от 31.05.2023 16:55:24</t>
  </si>
  <si>
    <t xml:space="preserve">Звада Евгений Егеньевич</t>
  </si>
  <si>
    <t xml:space="preserve">Акт входного контроля 000000019 от 31.05.2023 23:45:47</t>
  </si>
  <si>
    <t xml:space="preserve">Акт входного контроля 000000020 от 31.05.2023 20:29:02</t>
  </si>
  <si>
    <t xml:space="preserve">Башкатов И.И</t>
  </si>
  <si>
    <t xml:space="preserve">Акт входного контроля 000000021 от 31.05.2023 22:10:54</t>
  </si>
  <si>
    <t xml:space="preserve">Акт входного контроля 000000022 от 31.05.2023 22:21:20</t>
  </si>
  <si>
    <t xml:space="preserve">Акт входного контроля 000000023 от 01.06.2023 21:23:13</t>
  </si>
  <si>
    <t xml:space="preserve">КодолаВ.А.</t>
  </si>
  <si>
    <t xml:space="preserve">Акт входного контроля 000000026 от 01.06.2023 21:22:07</t>
  </si>
  <si>
    <t xml:space="preserve">Акт входного контроля 000000025 от 01.06.2023 2:32:38</t>
  </si>
  <si>
    <t xml:space="preserve">Осипов А.</t>
  </si>
  <si>
    <t xml:space="preserve">Акт входного контроля 000000027 от 01.06.2023 21:21:56</t>
  </si>
  <si>
    <t xml:space="preserve">Деревянко  А. Н.</t>
  </si>
  <si>
    <t xml:space="preserve">Акт входного контроля 000000028 от 01.06.2023 21:21:43</t>
  </si>
  <si>
    <t xml:space="preserve">О793КА</t>
  </si>
  <si>
    <t xml:space="preserve">Акт входного контроля 000000029 от 01.06.2023 21:20:41</t>
  </si>
  <si>
    <t xml:space="preserve">Акт входного контроля 000000030 от 01.06.2023 21:20:17</t>
  </si>
  <si>
    <t xml:space="preserve">Акт входного контроля 000000031 от 01.06.2023 16:57:43</t>
  </si>
  <si>
    <t xml:space="preserve">Акт входного контроля 000000032 от 01.06.2023 17:23:56</t>
  </si>
  <si>
    <t xml:space="preserve">Погуляй А.Б.</t>
  </si>
  <si>
    <t xml:space="preserve">Акт входного контроля 000000034 от 01.06.2023 19:46:14</t>
  </si>
  <si>
    <t xml:space="preserve">Мудрак В В.</t>
  </si>
  <si>
    <t xml:space="preserve">Акт входного контроля 000000033 от 01.06.2023 20:31:53</t>
  </si>
  <si>
    <t xml:space="preserve">Акт входного контроля 000000035 от 01.06.2023 21:30:43</t>
  </si>
  <si>
    <t xml:space="preserve">Кодола В Л.</t>
  </si>
  <si>
    <t xml:space="preserve">Акт входного контроля 000000036 от 01.06.2023 23:04:28</t>
  </si>
  <si>
    <t xml:space="preserve">Акт входного контроля 000000037 от 01.06.2023 23:34:16</t>
  </si>
  <si>
    <t xml:space="preserve">Акт входного контроля 000000038 от 02.06.2023 11:59:37</t>
  </si>
  <si>
    <t xml:space="preserve">Башкатов И,И.</t>
  </si>
  <si>
    <t xml:space="preserve">Акт входного контроля 000000039 от 02.06.2023 1:51:09</t>
  </si>
  <si>
    <t xml:space="preserve">Акт входного контроля 000000040 от 02.06.2023 15:17:33</t>
  </si>
  <si>
    <t xml:space="preserve">Акт входного контроля 000000042 от 02.06.2023 17:29:22</t>
  </si>
  <si>
    <t xml:space="preserve">Акт входного контроля 000000041 от 02.06.2023 14:47:59</t>
  </si>
  <si>
    <t xml:space="preserve">А-99</t>
  </si>
  <si>
    <t xml:space="preserve">Акт входного контроля 000000043 от 02.06.2023 16:19:11</t>
  </si>
  <si>
    <t xml:space="preserve">Акт входного контроля 000000045 от 02.06.2023 17:43:26</t>
  </si>
  <si>
    <t xml:space="preserve">Акт входного контроля 000000046 от 02.06.2023 19:33:48</t>
  </si>
  <si>
    <t xml:space="preserve">Акт входного контроля 000000044 от 02.06.2023 19:52:05</t>
  </si>
  <si>
    <t xml:space="preserve">Акт входного контроля 000000047 от 02.06.2023 22:11:52</t>
  </si>
  <si>
    <t xml:space="preserve">Акт входного контроля 000000048 от 02.06.2023 22:17:26</t>
  </si>
  <si>
    <t xml:space="preserve">Акт входного контроля 000000050 от 02.06.2023 0:10:26</t>
  </si>
  <si>
    <t xml:space="preserve">Акт входного контроля 000000049 от 03.06.2023 12:56:16</t>
  </si>
  <si>
    <t xml:space="preserve">Акт входного контроля 000000051 от 03.06.2023 8:49:55</t>
  </si>
  <si>
    <t xml:space="preserve">Акт входного контроля 000000052 от 03.06.2023 9:26:33</t>
  </si>
  <si>
    <t xml:space="preserve">Богучарский А.И.</t>
  </si>
  <si>
    <t xml:space="preserve">Акт входного контроля 000000053 от 03.06.2023 10:40:14</t>
  </si>
  <si>
    <t xml:space="preserve">Акт входного контроля 000000054 от 03.06.2023 12:40:28</t>
  </si>
  <si>
    <t xml:space="preserve">Акт входного контроля 000000055 от 03.06.2023 13:14:55</t>
  </si>
  <si>
    <t xml:space="preserve">Акт входного контроля 000000056 от 03.06.2023 13:22:55</t>
  </si>
  <si>
    <t xml:space="preserve">А-100</t>
  </si>
  <si>
    <t xml:space="preserve">Акт входного контроля 000000057 от 03.06.2023 15:11:25</t>
  </si>
  <si>
    <t xml:space="preserve">Акт входного контроля 000000059 от 03.06.2023 16:57:18</t>
  </si>
  <si>
    <t xml:space="preserve">Асана</t>
  </si>
  <si>
    <t xml:space="preserve">Акт входного контроля 000000058 от 03.06.2023 16:25:37</t>
  </si>
  <si>
    <t xml:space="preserve">Акт входного контроля 000000060 от 03.06.2023 18:34:46</t>
  </si>
  <si>
    <t xml:space="preserve">Башкатов И.И.</t>
  </si>
  <si>
    <t xml:space="preserve">Акт входного контроля 000000061 от 03.06.2023 22:17:46</t>
  </si>
  <si>
    <t xml:space="preserve">Акт входного контроля 000000062 от 03.06.2023 22:36:20</t>
  </si>
  <si>
    <t xml:space="preserve">Акт входного контроля 000000063 от 03.06.2023 18:35:59</t>
  </si>
  <si>
    <t xml:space="preserve">Звада Евгений Евгеньевич</t>
  </si>
  <si>
    <t xml:space="preserve">Акт входного контроля 000000064 от 03.06.2023 19:18:37</t>
  </si>
  <si>
    <t xml:space="preserve">Акт входного контроля 000000065 от 03.06.2023 20:01:54</t>
  </si>
  <si>
    <t xml:space="preserve">Акт входного контроля 000000066 от 03.06.2023 21:34:30</t>
  </si>
  <si>
    <t xml:space="preserve">Акт входного контроля 000000068 от 03.06.2023 22:52:27</t>
  </si>
  <si>
    <t xml:space="preserve">Акт входного контроля 000000067 от 04.06.2023 0:08:45</t>
  </si>
  <si>
    <t xml:space="preserve">Акт входного контроля 000000069 от 04.06.2023 6:32:11</t>
  </si>
  <si>
    <t xml:space="preserve">Акт входного контроля 000000070 от 04.06.2023 7:43:26</t>
  </si>
  <si>
    <t xml:space="preserve">Акт входного контроля 000000071 от 04.06.2023 9:56:34</t>
  </si>
  <si>
    <t xml:space="preserve">Акт входного контроля 000000072 от 04.06.2023 11:13:15</t>
  </si>
  <si>
    <t xml:space="preserve">Акт входного контроля 000000073 от 04.06.2023 16:14:50</t>
  </si>
  <si>
    <t xml:space="preserve">Акт входного контроля 000000074 от 04.06.2023 18:22:02</t>
  </si>
  <si>
    <t xml:space="preserve">Акт входного контроля 000000075 от 04.06.2023 22:39:51</t>
  </si>
  <si>
    <t xml:space="preserve">Акт входного контроля 000000076 от 04.06.2023 23:43:24</t>
  </si>
  <si>
    <t xml:space="preserve">Акт входного контроля 000000077 от 05.06.2023 8:54:10</t>
  </si>
  <si>
    <t xml:space="preserve">Акт входного контроля 000000078 от 05.06.2023 8:49:46</t>
  </si>
  <si>
    <t xml:space="preserve">Акт входного контроля 000000079 от 05.06.2023 6:57:24</t>
  </si>
  <si>
    <t xml:space="preserve">Звага Е.Е.</t>
  </si>
  <si>
    <t xml:space="preserve">Акт входного контроля 000000080 от 05.06.2023 7:09:59</t>
  </si>
  <si>
    <t xml:space="preserve">Акт входного контроля 000000081 от 05.06.2023 11:59:44</t>
  </si>
  <si>
    <t xml:space="preserve">Акт входного контроля 000000082 от 05.06.2023 12:59:20</t>
  </si>
  <si>
    <t xml:space="preserve">Акт входного контроля 000000083 от 05.06.2023 19:05:04</t>
  </si>
  <si>
    <t xml:space="preserve">Акт входного контроля 000000084 от 05.06.2023 21:27:04</t>
  </si>
  <si>
    <t xml:space="preserve">Акт входного контроля 000000085 от 05.06.2023 23:20:33</t>
  </si>
  <si>
    <t xml:space="preserve">Акт входного контроля 000000086 от 05.06.2023 23:24:12</t>
  </si>
  <si>
    <t xml:space="preserve">Демченко Сергей Владимирович</t>
  </si>
  <si>
    <t xml:space="preserve">Н317РТ</t>
  </si>
  <si>
    <t xml:space="preserve">Акт входного контроля 000000087 от 05.06.2023 21:53:52</t>
  </si>
  <si>
    <t xml:space="preserve">Акт входного контроля 000000088 от 05.06.2023 22:43:31</t>
  </si>
  <si>
    <t xml:space="preserve">Акт входного контроля 000000089 от 05.06.2023 3:04:56</t>
  </si>
  <si>
    <t xml:space="preserve">Акт входного контроля 000000090 от 05.06.2023 11:51:55</t>
  </si>
  <si>
    <t xml:space="preserve">Акт входного контроля 000000091 от 05.06.2023 9:00:38</t>
  </si>
  <si>
    <t xml:space="preserve">Акт входного контроля 000000093 от 05.06.2023 11:12:46</t>
  </si>
  <si>
    <t xml:space="preserve">Акт входного контроля 000000094 от 06.06.2023 11:46:14</t>
  </si>
  <si>
    <t xml:space="preserve">Акт входного контроля 000000097 от 06.06.2023 14:32:30</t>
  </si>
  <si>
    <t xml:space="preserve">Акт входного контроля 000000098 от 06.06.2023 15:00:28</t>
  </si>
  <si>
    <t xml:space="preserve">Эльдорадо</t>
  </si>
  <si>
    <t xml:space="preserve">Акт входного контроля 000000099 от 06.06.2023 15:32:06</t>
  </si>
  <si>
    <t xml:space="preserve">Акт входного контроля 000000100 от 06.06.2023 18:37:33</t>
  </si>
  <si>
    <t xml:space="preserve">Акт входного контроля 000000101 от 06.06.2023 18:52:07</t>
  </si>
  <si>
    <t xml:space="preserve">Акт входного контроля 000000102 от 06.06.2023 20:44:35</t>
  </si>
  <si>
    <t xml:space="preserve">Акт входного контроля 000000103 от 06.06.2023 21:00:34</t>
  </si>
  <si>
    <t xml:space="preserve">Акт входного контроля 000000104 от 06.06.2023 22:40:53</t>
  </si>
  <si>
    <t xml:space="preserve">Акт входного контроля 000000105 от 06.06.2023 23:03:07</t>
  </si>
  <si>
    <t xml:space="preserve">Акт входного контроля 000000106 от 06.06.2023 22:11:23</t>
  </si>
  <si>
    <t xml:space="preserve">Акт входного контроля 000000107 от 06.06.2023 23:05:36</t>
  </si>
  <si>
    <t xml:space="preserve">1/3</t>
  </si>
  <si>
    <t xml:space="preserve">Акт входного контроля 000000108 от 06.06.2023 3:27:56</t>
  </si>
  <si>
    <t xml:space="preserve">Акт входного контроля 000000109 от 06.06.2023 4:42:36</t>
  </si>
  <si>
    <t xml:space="preserve">Акт входного контроля 000000110 от 07.06.2023 11:08:53</t>
  </si>
  <si>
    <t xml:space="preserve">Акт входного контроля 000000111 от 07.06.2023 11:11:30</t>
  </si>
  <si>
    <t xml:space="preserve">Акт входного контроля 000000112 от 07.06.2023 12:34:10</t>
  </si>
  <si>
    <t xml:space="preserve">Акт входного контроля 000000113 от 07.06.2023 14:46:38</t>
  </si>
  <si>
    <t xml:space="preserve">Мосенцев Алексей Егорович</t>
  </si>
  <si>
    <t xml:space="preserve">Акт входного контроля 000000114 от 07.06.2023 7:46:24</t>
  </si>
  <si>
    <t xml:space="preserve">Акт входного контроля 000000117 от 07.06.2023 13:12:30</t>
  </si>
  <si>
    <t xml:space="preserve">Акт входного контроля 000000118 от 07.06.2023 14:50:47</t>
  </si>
  <si>
    <t xml:space="preserve">Акт входного контроля 000000115 от 07.06.2023 21:37:49</t>
  </si>
  <si>
    <t xml:space="preserve">Акт входного контроля 000000116 от 08.06.2023 8:27:37</t>
  </si>
  <si>
    <t xml:space="preserve">Акт входного контроля 000000119 от 08.06.2023 3:50:38</t>
  </si>
  <si>
    <t xml:space="preserve">Акт входного контроля 000000122 от 08.06.2023 11:16:29</t>
  </si>
  <si>
    <t xml:space="preserve">Акт входного контроля 000000125 от 08.06.2023 14:11:05</t>
  </si>
  <si>
    <t xml:space="preserve">Акт входного контроля 000000126 от 08.06.2023 16:18:24</t>
  </si>
  <si>
    <t xml:space="preserve">Кадола В.Л.</t>
  </si>
  <si>
    <t xml:space="preserve">нет</t>
  </si>
  <si>
    <t xml:space="preserve">Акт входного контроля 000000127 от 08.06.2023 10:31:02</t>
  </si>
  <si>
    <t xml:space="preserve">Акт входного контроля 000000131 от 08.06.2023 17:48:12</t>
  </si>
  <si>
    <t xml:space="preserve">Акт входного контроля 000000128 от 07.06.2023 16:49:35</t>
  </si>
  <si>
    <t xml:space="preserve">063407Утилизация</t>
  </si>
  <si>
    <t xml:space="preserve">Акт входного контроля 000000129 от 08.06.2023 17:28:57</t>
  </si>
  <si>
    <t xml:space="preserve">Акт входного контроля 000000130 от 08.06.2023 17:39:27</t>
  </si>
  <si>
    <t xml:space="preserve">Акт входного контроля 000000133 от 08.06.2023 23:13:23</t>
  </si>
  <si>
    <t xml:space="preserve">Акт входного контроля 000000132 от 08.06.2023 22:01:07</t>
  </si>
  <si>
    <t xml:space="preserve">Акт входного контроля 000000134 от 08.06.2023 23:16:18</t>
  </si>
  <si>
    <t xml:space="preserve">Акт входного контроля 000000135 от 08.06.2023 21:40:51</t>
  </si>
  <si>
    <t xml:space="preserve">Акт входного контроля 000000136 от 08.06.2023 22:22:22</t>
  </si>
  <si>
    <t xml:space="preserve">УСЕ732УС</t>
  </si>
  <si>
    <t xml:space="preserve">Акт входного контроля 000000137 от 08.06.2023 23:58:28</t>
  </si>
  <si>
    <t xml:space="preserve">Акт входного контроля 000000138 от 09.06.2023 5:21:23</t>
  </si>
  <si>
    <t xml:space="preserve">Акт входного контроля 000000139 от 09.06.2023 10:04:21</t>
  </si>
  <si>
    <t xml:space="preserve">Акт входного контроля 000000140 от 09.06.2023 15:56:33</t>
  </si>
  <si>
    <t xml:space="preserve">Акт входного контроля 000000141 от 09.06.2023 13:11:50</t>
  </si>
  <si>
    <t xml:space="preserve">Акт входного контроля 000000142 от 09.06.2023 14:04:13</t>
  </si>
  <si>
    <t xml:space="preserve">Акт входного контроля 000000143 от 09.06.2023 12:49:31</t>
  </si>
  <si>
    <t xml:space="preserve">Акт входного контроля 000000144 от 09.06.2023 17:44:35</t>
  </si>
  <si>
    <t xml:space="preserve">Акт входного контроля 000000145 от 09.06.2023 19:56:21</t>
  </si>
  <si>
    <t xml:space="preserve">Акт входного контроля 000000146 от 09.06.2023 22:50:25</t>
  </si>
  <si>
    <t xml:space="preserve">Акт входного контроля 000000147 от 09.06.2023 23:32:29</t>
  </si>
  <si>
    <t xml:space="preserve">Акт входного контроля 000000148 от 09.06.2023 23:42:49</t>
  </si>
  <si>
    <t xml:space="preserve">Акт входного контроля 000000149 от 09.06.2023 23:51:13</t>
  </si>
  <si>
    <t xml:space="preserve">Акт входного контроля 000000150 от 10.06.2023 2:14:56</t>
  </si>
  <si>
    <t xml:space="preserve">Акт входного контроля 000000151 от 10.06.2023 2:18:13</t>
  </si>
  <si>
    <t xml:space="preserve">Акт входного контроля 000000152 от 10.06.2023 4:42:22</t>
  </si>
  <si>
    <t xml:space="preserve">Акт входного контроля 000000153 от 10.06.2023 8:29:44</t>
  </si>
  <si>
    <t xml:space="preserve">Акт входного контроля 000000154 от 10.06.2023 9:06:49</t>
  </si>
  <si>
    <t xml:space="preserve">Акт входного контроля 000000155 от 10.06.2023 11:20:51</t>
  </si>
  <si>
    <t xml:space="preserve">Акт входного контроля 000000156 от 10.06.2023 13:04:05</t>
  </si>
  <si>
    <t xml:space="preserve">Акт входного контроля 000000157 от 10.06.2023 16:33:48</t>
  </si>
  <si>
    <t xml:space="preserve">Акт входного контроля 000000158 от 10.06.2023 16:54:57</t>
  </si>
  <si>
    <t xml:space="preserve">Акт входного контроля 000000159 от 10.06.2023 18:39:36</t>
  </si>
  <si>
    <t xml:space="preserve">Акт входного контроля 000000175 от 10.06.2023 16:32:17</t>
  </si>
  <si>
    <t xml:space="preserve">Акт входного контроля 000000161 от 10.06.2023 22:17:55</t>
  </si>
  <si>
    <t xml:space="preserve">Акт входного контроля 000000160 от 10.06.2023 21:06:47</t>
  </si>
  <si>
    <t xml:space="preserve">Акт входного контроля 000000162 от 11.06.2023 17:49:43</t>
  </si>
  <si>
    <t xml:space="preserve">Акт входного контроля 000000163 от 11.06.2023 19:50:55</t>
  </si>
  <si>
    <t xml:space="preserve">Акт входного контроля 000000165 от 11.06.2023 22:39:46</t>
  </si>
  <si>
    <t xml:space="preserve">Акт входного контроля 000000164 от 11.06.2023 23:17:32</t>
  </si>
  <si>
    <t xml:space="preserve">Акт входного контроля 000000166 от 11.06.2023 4:33:23</t>
  </si>
  <si>
    <t xml:space="preserve">Акт входного контроля 000000167 от 11.06.2023 5:28:38</t>
  </si>
  <si>
    <t xml:space="preserve">Акт входного контроля 000000168 от 11.06.2023 8:22:57</t>
  </si>
  <si>
    <t xml:space="preserve">Акт входного контроля 000000169 от 11.06.2023 9:46:36</t>
  </si>
  <si>
    <t xml:space="preserve">Акт входного контроля 000000170 от 11.06.2023 10:40:13</t>
  </si>
  <si>
    <t xml:space="preserve">Акт входного контроля 000000171 от 11.06.2023 11:23:20</t>
  </si>
  <si>
    <t xml:space="preserve">Акт входного контроля 000000172 от 11.06.2023 12:53:21</t>
  </si>
  <si>
    <t xml:space="preserve">Акт входного контроля 000000173 от 11.06.2023 13:47:17</t>
  </si>
  <si>
    <t xml:space="preserve">Акт входного контроля 000000174 от 11.06.2023 16:40:48</t>
  </si>
  <si>
    <t xml:space="preserve">Акт входного контроля 000000176 от 11.06.2023 16:49:28</t>
  </si>
  <si>
    <t xml:space="preserve">Акт входного контроля 000000178 от 11.06.2023 21:32:15</t>
  </si>
  <si>
    <t xml:space="preserve">Акт входного контроля 000000177 от 11.06.2023 19:16:39</t>
  </si>
  <si>
    <t xml:space="preserve">Акт входного контроля 000000179 от 11.06.2023 23:04:58</t>
  </si>
  <si>
    <t xml:space="preserve">Акт входного контроля 000000180 от 11.06.2023 23:36:41</t>
  </si>
  <si>
    <t xml:space="preserve">Акт входного контроля 000000181 от 11.06.2023 20:35:45</t>
  </si>
  <si>
    <t xml:space="preserve">Акт входного контроля 000000182 от 12.06.2023 4:35:40</t>
  </si>
  <si>
    <t xml:space="preserve">Акт входного контроля 000000183 от 12.06.2023 6:06:22</t>
  </si>
  <si>
    <t xml:space="preserve">Акт входного контроля 000000186 от 11.06.2023 10:47:52</t>
  </si>
  <si>
    <t xml:space="preserve">Акт входного контроля 000000184 от 12.06.2023 9:21:23</t>
  </si>
  <si>
    <t xml:space="preserve">Акт входного контроля 000000185 от 12.06.2023 10:35:52</t>
  </si>
  <si>
    <t xml:space="preserve">Акт входного контроля 000000187 от 12.06.2023 11:24:20</t>
  </si>
  <si>
    <t xml:space="preserve">Акт входного контроля 000000188 от 12.06.2023 14:48:51</t>
  </si>
  <si>
    <t xml:space="preserve">Акт входного контроля 000000189 от 12.06.2023 15:18:21</t>
  </si>
  <si>
    <t xml:space="preserve">Акт входного контроля 000000190 от 12.06.2023 16:01:12</t>
  </si>
  <si>
    <t xml:space="preserve">Акт входного контроля 000000195 от 14.06.2023 16:21:22</t>
  </si>
  <si>
    <t xml:space="preserve">Акт входного контроля 000000196 от 14.06.2023 16:46:04</t>
  </si>
  <si>
    <t xml:space="preserve">Акт входного контроля 000000197 от 14.06.2023 19:41:32</t>
  </si>
  <si>
    <t xml:space="preserve">Акт входного контроля 000000198 от 14.06.2023 19:52:45</t>
  </si>
  <si>
    <t xml:space="preserve">Акт входного контроля 000000199 от 14.06.2023 21:07:47</t>
  </si>
  <si>
    <t xml:space="preserve">Акт входного контроля 000000200 от 14.06.2023 23:38:28</t>
  </si>
  <si>
    <t xml:space="preserve">Акт входного контроля 000000201 от 14.06.2023 21:26:02</t>
  </si>
  <si>
    <t xml:space="preserve">Акт входного контроля 000000202 от 14.06.2023 23:04:49</t>
  </si>
  <si>
    <t xml:space="preserve">Акт входного контроля 000000203 от 15.06.2023 2:59:02</t>
  </si>
  <si>
    <t xml:space="preserve">Акт входного контроля 000000204 от 15.06.2023 3:59:49</t>
  </si>
  <si>
    <t xml:space="preserve">Акт входного контроля 000000205 от 15.06.2023 5:57:39</t>
  </si>
  <si>
    <t xml:space="preserve">Акт входного контроля 000000206 от 15.06.2023 6:17:03</t>
  </si>
  <si>
    <t xml:space="preserve">Акт входного контроля 000000207 от 15.06.2023 8:35:26</t>
  </si>
  <si>
    <t xml:space="preserve">Акт входного контроля 000000208 от 15.06.2023 12:20:21</t>
  </si>
  <si>
    <t xml:space="preserve">Акт входного контроля 000000209 от 15.06.2023 13:57:23</t>
  </si>
  <si>
    <t xml:space="preserve">Акт входного контроля 000000210 от 15.06.2023 16:45:45</t>
  </si>
  <si>
    <t xml:space="preserve">Акт входного контроля 000000211 от 15.06.2023 18:49:11</t>
  </si>
  <si>
    <t xml:space="preserve">Акт входного контроля 000000212 от 15.06.2023 18:56:58</t>
  </si>
  <si>
    <t xml:space="preserve">Акт входного контроля 000000213 от 15.06.2023 21:33:24</t>
  </si>
  <si>
    <t xml:space="preserve">Акт входного контроля 000000214 от 15.06.2023 23:54:19</t>
  </si>
  <si>
    <t xml:space="preserve">Акт входного контроля 000000215 от 15.06.2023 21:21:06</t>
  </si>
  <si>
    <t xml:space="preserve">Акт входного контроля 000000216 от 15.06.2023 22:02:03</t>
  </si>
  <si>
    <t xml:space="preserve">Акт входного контроля 000000217 от 15.06.2023 0:00:00</t>
  </si>
  <si>
    <t xml:space="preserve">Акт входного контроля 000000218 от 16.06.2023 0:27:24</t>
  </si>
  <si>
    <t xml:space="preserve">Акт входного контроля 000000219 от 16.06.2023 1:20:06</t>
  </si>
  <si>
    <t xml:space="preserve">Акт входного контроля 000000220 от 16.06.2023 2:27:28</t>
  </si>
  <si>
    <t xml:space="preserve">Акт входного контроля 000000221 от 16.06.2023 3:17:13</t>
  </si>
  <si>
    <t xml:space="preserve">Акт входного контроля 000000222 от 16.06.2023 4:20:20</t>
  </si>
  <si>
    <t xml:space="preserve">Акт входного контроля 000000223 от 16.06.2023 6:02:57</t>
  </si>
  <si>
    <t xml:space="preserve">Акт входного контроля 000000224 от 16.06.2023 8:54:44</t>
  </si>
  <si>
    <t xml:space="preserve">Акт входного контроля 000000225 от 16.06.2023 9:49:55</t>
  </si>
  <si>
    <t xml:space="preserve">Акт входного контроля 000000226 от 16.06.2023 10:43:06</t>
  </si>
  <si>
    <t xml:space="preserve">Акт входного контроля 000000227 от 16.06.2023 13:27:15</t>
  </si>
  <si>
    <t xml:space="preserve">Акт входного контроля 000000228 от 16.06.2023 14:18:22</t>
  </si>
  <si>
    <t xml:space="preserve">Акт входного контроля 000000229 от 16.06.2023 15:06:09</t>
  </si>
  <si>
    <t xml:space="preserve">Акт входного контроля 000000230 от 16.06.2023 16:59:53</t>
  </si>
  <si>
    <t xml:space="preserve">Акт входного контроля 000000231 от 16.06.2023 20:14:50</t>
  </si>
  <si>
    <t xml:space="preserve">А-78</t>
  </si>
  <si>
    <t xml:space="preserve">Акт входного контроля 000000232 от 16.06.2023 22:15:09</t>
  </si>
  <si>
    <t xml:space="preserve">Акт входного контроля 000000233 от 16.06.2023 23:05:47</t>
  </si>
  <si>
    <t xml:space="preserve">Акт входного контроля 000000235 от 17.06.2023 0:59:17</t>
  </si>
  <si>
    <t xml:space="preserve">Акт входного контроля 000000237 от 17.06.2023 1:48:13</t>
  </si>
  <si>
    <t xml:space="preserve">Акт входного контроля 000000234 от 17.06.2023 3:14:21</t>
  </si>
  <si>
    <t xml:space="preserve">Акт входного контроля 000000236 от 17.06.2023 5:00:22</t>
  </si>
  <si>
    <t xml:space="preserve">Акт входного контроля 000000238 от 17.06.2023 11:17:35</t>
  </si>
  <si>
    <t xml:space="preserve">Акт входного контроля 000000239 от 17.06.2023 12:20:35</t>
  </si>
  <si>
    <t xml:space="preserve">Акт входного контроля 000000240 от 17.06.2023 12:36:48</t>
  </si>
  <si>
    <t xml:space="preserve">Акт входного контроля 000000242 от 17.06.2023 13:38:33</t>
  </si>
  <si>
    <t xml:space="preserve">Акт входного контроля 000000241 от 17.06.2023 15:16:06</t>
  </si>
  <si>
    <t xml:space="preserve">Акт входного контроля 000000243 от 17.06.2023 17:26:18</t>
  </si>
  <si>
    <t xml:space="preserve">Акт входного контроля 000000244 от 17.06.2023 20:46:58</t>
  </si>
  <si>
    <t xml:space="preserve">Акт входного контроля 000000245 от 17.06.2023 21:43:25</t>
  </si>
  <si>
    <t xml:space="preserve">Акт входного контроля 000000246 от 17.06.2023 22:29:00</t>
  </si>
  <si>
    <t xml:space="preserve">Акт входного контроля 000000247 от 17.06.2023 23:29:47</t>
  </si>
  <si>
    <t xml:space="preserve">Акт входного контроля 000000248 от 18.06.2023 0:19:19</t>
  </si>
  <si>
    <t xml:space="preserve">Акт входного контроля 000000249 от 18.06.2023 1:59:54</t>
  </si>
  <si>
    <t xml:space="preserve">Акт входного контроля 000000250 от 18.06.2023 7:17:21</t>
  </si>
  <si>
    <t xml:space="preserve">Акт входного контроля 000000251 от 18.06.2023 4:28:27</t>
  </si>
  <si>
    <t xml:space="preserve">А-55</t>
  </si>
  <si>
    <t xml:space="preserve">Акт входного контроля 000000252 от 18.06.2023 5:49:00</t>
  </si>
  <si>
    <t xml:space="preserve">Акт входного контроля 000000253 от 18.06.2023 11:05:45</t>
  </si>
  <si>
    <t xml:space="preserve">Акт входного контроля 000000254 от 18.06.2023 11:27:25</t>
  </si>
  <si>
    <t xml:space="preserve">Акт входного контроля 000000255 от 18.06.2023 13:51:20</t>
  </si>
  <si>
    <t xml:space="preserve">Акт входного контроля 000000256 от 18.06.2023 14:59:26</t>
  </si>
  <si>
    <t xml:space="preserve">Акт входного контроля 000000257 от 18.06.2023 16:09:00</t>
  </si>
  <si>
    <t xml:space="preserve">Акт входного контроля 000000258 от 18.06.2023 20:22:19</t>
  </si>
  <si>
    <t xml:space="preserve">Акт входного контроля 000000259 от 18.06.2023 18:44:40</t>
  </si>
  <si>
    <t xml:space="preserve">Акт входного контроля 000000260 от 18.06.2023 22:40:52</t>
  </si>
  <si>
    <t xml:space="preserve">Акт входного контроля 000000261 от 18.06.2023 23:11:03</t>
  </si>
  <si>
    <t xml:space="preserve">Акт входного контроля 000000262 от 18.06.2023 22:56:31</t>
  </si>
  <si>
    <t xml:space="preserve">Акт входного контроля 000000263 от 19.06.2023 2:53:56</t>
  </si>
  <si>
    <t xml:space="preserve">Акт входного контроля 000000264 от 19.06.2023 5:03:44</t>
  </si>
  <si>
    <t xml:space="preserve">Акт входного контроля 000000265 от 19.06.2023 6:56:54</t>
  </si>
  <si>
    <t xml:space="preserve">А-111</t>
  </si>
  <si>
    <t xml:space="preserve">Акт входного контроля 000000266 от 19.06.2023 10:11:27</t>
  </si>
  <si>
    <t xml:space="preserve">Акт входного контроля 000000267 от 19.06.2023 14:02:04</t>
  </si>
  <si>
    <t xml:space="preserve">Акт входного контроля 000000269 от 19.06.2023 17:28:52</t>
  </si>
  <si>
    <t xml:space="preserve">А-108</t>
  </si>
  <si>
    <t xml:space="preserve">Акт входного контроля 000000270 от 19.06.2023 19:08:58</t>
  </si>
  <si>
    <t xml:space="preserve">Акт входного контроля 000000271 от 19.06.2023 20:41:17</t>
  </si>
  <si>
    <t xml:space="preserve">Акт входного контроля 000000272 от 19.06.2023 22:40:48</t>
  </si>
  <si>
    <t xml:space="preserve">Акт входного контроля 000000273 от 19.06.2023 22:19:39</t>
  </si>
  <si>
    <t xml:space="preserve">Акт входного контроля 000000274 от 19.06.2023 23:06:17</t>
  </si>
  <si>
    <t xml:space="preserve">Акт входного контроля 000000275 от 20.06.2023 0:25:05</t>
  </si>
  <si>
    <t xml:space="preserve">Акт входного контроля 000000276 от 20.06.2023 1:37:44</t>
  </si>
  <si>
    <t xml:space="preserve">Акт входного контроля 000000277 от 20.06.2023 2:52:37</t>
  </si>
  <si>
    <t xml:space="preserve">Акт входного контроля 000000279 от 20.06.2023 4:03:17</t>
  </si>
  <si>
    <t xml:space="preserve">Акт входного контроля 000000278 от 20.06.2023 9:24:02</t>
  </si>
  <si>
    <t xml:space="preserve">Акт входного контроля 000000282 от 20.06.2023 11:15:52</t>
  </si>
  <si>
    <t xml:space="preserve">Акт входного контроля 000000283 от 20.06.2023 12:45:09</t>
  </si>
  <si>
    <t xml:space="preserve">Акт входного контроля 000000284 от 20.06.2023 15:37:48</t>
  </si>
  <si>
    <t xml:space="preserve">Акт входного контроля 000000285 от 20.06.2023 17:56:08</t>
  </si>
  <si>
    <t xml:space="preserve">Акт входного контроля 000000286 от 20.06.2023 19:12:29</t>
  </si>
  <si>
    <t xml:space="preserve">Акт входного контроля 000000287 от 20.06.2023 20:44:12</t>
  </si>
  <si>
    <t xml:space="preserve">Акт входного контроля 000000288 от 20.06.2023 22:56:02</t>
  </si>
  <si>
    <t xml:space="preserve">Акт входного контроля 000000290 от 21.06.2023 0:14:40</t>
  </si>
  <si>
    <t xml:space="preserve">Женева</t>
  </si>
  <si>
    <t xml:space="preserve">Акт входного контроля 000000292 от 21.06.2023 1:49:07</t>
  </si>
  <si>
    <t xml:space="preserve">Акт входного контроля 000000293 от 21.06.2023 3:14:22</t>
  </si>
  <si>
    <t xml:space="preserve">Акт входного контроля 000000294 от 21.06.2023 5:46:30</t>
  </si>
  <si>
    <t xml:space="preserve">Акт входного контроля 000000295 от 21.06.2023 10:35:27</t>
  </si>
  <si>
    <t xml:space="preserve">Акт входного контроля 000000296 от 21.06.2023 12:32:36</t>
  </si>
  <si>
    <t xml:space="preserve">Акт входного контроля 000000297 от 21.06.2023 13:44:07</t>
  </si>
  <si>
    <t xml:space="preserve">Акт входного контроля 000000298 от 21.06.2023 14:54:01</t>
  </si>
  <si>
    <t xml:space="preserve">Акт входного контроля 000000299 от 21.06.2023 16:45:02</t>
  </si>
  <si>
    <t xml:space="preserve">Акт входного контроля 000000300 от 21.06.2023 17:41:43</t>
  </si>
  <si>
    <t xml:space="preserve">Акт входного контроля 000000302 от 21.06.2023 19:02:24</t>
  </si>
  <si>
    <t xml:space="preserve">Акт входного контроля 000000303 от 21.06.2023 20:55:59</t>
  </si>
  <si>
    <t xml:space="preserve">Акт входного контроля 000000304 от 21.06.2023 22:20:59</t>
  </si>
  <si>
    <t xml:space="preserve">Акт входного контроля 000000305 от 21.06.2023 23:29:19</t>
  </si>
  <si>
    <t xml:space="preserve">Акт входного контроля 000000306 от 22.06.2023 0:23:30</t>
  </si>
  <si>
    <t xml:space="preserve">Акт входного контроля 000000307 от 22.06.2023 2:01:37</t>
  </si>
  <si>
    <t xml:space="preserve">Акт входного контроля 000000309 от 22.06.2023 4:18:22</t>
  </si>
  <si>
    <t xml:space="preserve">А-109</t>
  </si>
  <si>
    <t xml:space="preserve">Акт входного контроля 000000311 от 22.06.2023 6:50:28</t>
  </si>
  <si>
    <t xml:space="preserve">А-106</t>
  </si>
  <si>
    <t xml:space="preserve">Акт входного контроля 000000313 от 22.06.2023 10:44:57</t>
  </si>
  <si>
    <t xml:space="preserve">Акт входного контроля 000000314 от 22.06.2023 11:57:44</t>
  </si>
  <si>
    <t xml:space="preserve">Акт входного контроля 000000317 от 22.06.2023 13:42:10</t>
  </si>
  <si>
    <t xml:space="preserve">Акт входного контроля 000000318 от 22.06.2023 15:15:02</t>
  </si>
  <si>
    <t xml:space="preserve">Акт входного контроля 000000320 от 22.06.2023 17:57:35</t>
  </si>
  <si>
    <t xml:space="preserve">Акт входного контроля 000000321 от 22.06.2023 19:21:58</t>
  </si>
  <si>
    <t xml:space="preserve">Акт входного контроля 000000323 от 22.06.2023 22:49:24</t>
  </si>
  <si>
    <t xml:space="preserve">Акт входного контроля 000000324 от 23.06.2023 0:33:28</t>
  </si>
  <si>
    <t xml:space="preserve">Акт входного контроля 000000325 от 23.06.2023 2:39:33</t>
  </si>
  <si>
    <t xml:space="preserve">Акт входного контроля 000000327 от 23.06.2023 4:09:01</t>
  </si>
  <si>
    <t xml:space="preserve">Акт входного контроля 000000328 от 23.06.2023 6:09:12</t>
  </si>
  <si>
    <t xml:space="preserve">Акт входного контроля 000000329 от 23.06.2023 10:49:36</t>
  </si>
  <si>
    <t xml:space="preserve">Акт входного контроля 000000330 от 23.06.2023 12:41:00</t>
  </si>
  <si>
    <t xml:space="preserve">Акт входного контроля 000000331 от 23.06.2023 14:22:25</t>
  </si>
  <si>
    <t xml:space="preserve">Акт входного контроля 000000332 от 24.06.2023 1:41:10</t>
  </si>
  <si>
    <t xml:space="preserve">ООО Колос</t>
  </si>
  <si>
    <t xml:space="preserve">4/4</t>
  </si>
  <si>
    <t xml:space="preserve">Акт входного контроля 000000333 от 24.06.2023 3:23:36</t>
  </si>
  <si>
    <t xml:space="preserve">Акт входного контроля 000000334 от 24.06.2023 4:02:45</t>
  </si>
  <si>
    <t xml:space="preserve">Акт входного контроля 000000335 от 24.06.2023 6:00:12</t>
  </si>
  <si>
    <t xml:space="preserve">Акт входного контроля 000000336 от 24.06.2023 6:52:56</t>
  </si>
  <si>
    <t xml:space="preserve">Акт входного контроля 000000338 от 24.06.2023 8:14:50</t>
  </si>
  <si>
    <t xml:space="preserve">Макуха А.Н,</t>
  </si>
  <si>
    <t xml:space="preserve">К124УМ</t>
  </si>
  <si>
    <t xml:space="preserve">Акт входного контроля 000000337 от 24.06.2023 9:11:43</t>
  </si>
  <si>
    <t xml:space="preserve">Акт входного контроля 000000339 от 24.06.2023 12:06:38</t>
  </si>
  <si>
    <t xml:space="preserve">Акт входного контроля 000000341 от 24.06.2023 13:57:11</t>
  </si>
  <si>
    <t xml:space="preserve">Жданов А И</t>
  </si>
  <si>
    <t xml:space="preserve">Акт входного контроля 000000340 от 24.06.2023 14:44:19</t>
  </si>
  <si>
    <t xml:space="preserve">Акт входного контроля 000000342 от 24.06.2023 16:46:37</t>
  </si>
  <si>
    <t xml:space="preserve">Поляков Г,Г.</t>
  </si>
  <si>
    <t xml:space="preserve">Акт входного контроля 000000343 от 24.06.2023 18:12:48</t>
  </si>
  <si>
    <t xml:space="preserve">Акт входного контроля 000000344 от 24.06.2023 19:05:19</t>
  </si>
  <si>
    <t xml:space="preserve">Акт входного контроля 000000345 от 24.06.2023 20:46:24</t>
  </si>
  <si>
    <t xml:space="preserve">Акт входного контроля 000000346 от 24.06.2023 23:03:13</t>
  </si>
  <si>
    <t xml:space="preserve">Акт входного контроля 000000347 от 25.06.2023 2:38:41</t>
  </si>
  <si>
    <t xml:space="preserve">Акт входного контроля 000000348 от 25.06.2023 1:56:09</t>
  </si>
  <si>
    <t xml:space="preserve">Акт входного контроля 000000349 от 25.06.2023 3:58:06</t>
  </si>
  <si>
    <t xml:space="preserve">Акт входного контроля 000000350 от 25.06.2023 5:36:52</t>
  </si>
  <si>
    <t xml:space="preserve">Акт входного контроля 000000351 от 25.06.2023 6:37:30</t>
  </si>
  <si>
    <t xml:space="preserve">4/2</t>
  </si>
  <si>
    <t xml:space="preserve">Акт входного контроля 000000353 от 25.06.2023 7:40:39</t>
  </si>
  <si>
    <t xml:space="preserve">Акт входного контроля 000000352 от 25.06.2023 9:13:54</t>
  </si>
  <si>
    <t xml:space="preserve">Акт входного контроля 000000354 от 25.06.2023 13:13:18</t>
  </si>
  <si>
    <t xml:space="preserve">Акт входного контроля 000000355 от 25.06.2023 17:27:10</t>
  </si>
  <si>
    <t xml:space="preserve">Акт входного контроля 000000356 от 25.06.2023 18:22:48</t>
  </si>
  <si>
    <t xml:space="preserve">Акт входного контроля 000000357 от 25.06.2023 21:44:53</t>
  </si>
  <si>
    <t xml:space="preserve">кХ514ОК</t>
  </si>
  <si>
    <t xml:space="preserve">Акт входного контроля 000000358 от 26.06.2023 0:35:53</t>
  </si>
  <si>
    <t xml:space="preserve">Акт входного контроля 000000359 от 26.06.2023 1:39:17</t>
  </si>
  <si>
    <t xml:space="preserve">Акт входного контроля 000000365 от 26.06.2023 15:18:49</t>
  </si>
  <si>
    <t xml:space="preserve">26отходы Лыков ИП</t>
  </si>
  <si>
    <t xml:space="preserve">Акт входного контроля 000000360 от 26.06.2023 3:49:42</t>
  </si>
  <si>
    <t xml:space="preserve">Акт входного контроля 000000361 от 26.06.2023 7:14:10</t>
  </si>
  <si>
    <t xml:space="preserve">Акт входного контроля 000000362 от 26.06.2023 8:40:01</t>
  </si>
  <si>
    <t xml:space="preserve">Акт входного контроля 000000363 от 26.06.2023 9:42:15</t>
  </si>
  <si>
    <t xml:space="preserve">Акт входного контроля 000000366 от 26.06.2023 13:09:40</t>
  </si>
  <si>
    <t xml:space="preserve">Акт входного контроля 000000367 от 26.06.2023 14:22:10</t>
  </si>
  <si>
    <t xml:space="preserve">Акт входного контроля 000000368 от 26.06.2023 15:37:43</t>
  </si>
  <si>
    <t xml:space="preserve">Акт входного контроля 000000369 от 26.06.2023 17:36:48</t>
  </si>
  <si>
    <t xml:space="preserve">Акт входного контроля 000000370 от 26.06.2023 18:44:23</t>
  </si>
  <si>
    <t xml:space="preserve">Акт входного контроля 000000371 от 26.06.2023 20:09:49</t>
  </si>
  <si>
    <t xml:space="preserve">Акт входного контроля 000000372 от 26.06.2023 22:21:02</t>
  </si>
  <si>
    <t xml:space="preserve">Акт входного контроля 000000373 от 27.06.2023 3:23:11</t>
  </si>
  <si>
    <t xml:space="preserve">Акт входного контроля 000000380 от 27.06.2023 20:38:55</t>
  </si>
  <si>
    <t xml:space="preserve">4/1</t>
  </si>
  <si>
    <t xml:space="preserve">Акт входного контроля 000000381 от 27.06.2023 19:58:36</t>
  </si>
  <si>
    <t xml:space="preserve">Акт входного контроля 000000382 от 27.06.2023 21:07:09</t>
  </si>
  <si>
    <t xml:space="preserve">Акт входного контроля 000000383 от 27.06.2023 22:22:59</t>
  </si>
  <si>
    <t xml:space="preserve">Акт входного контроля 000000384 от 28.06.2023 3:59:10</t>
  </si>
  <si>
    <t xml:space="preserve">Акт входного контроля 000000385 от 28.06.2023 9:19:43</t>
  </si>
  <si>
    <t xml:space="preserve">Акт входного контроля 000000386 от 28.06.2023 11:31:55</t>
  </si>
  <si>
    <t xml:space="preserve">4/3</t>
  </si>
  <si>
    <t xml:space="preserve">Сомервуд</t>
  </si>
  <si>
    <t xml:space="preserve">Акт входного контроля 000000387 от 28.06.2023 15:54:05</t>
  </si>
  <si>
    <t xml:space="preserve">Акт входного контроля 000000388 от 28.06.2023 19:02:40</t>
  </si>
  <si>
    <t xml:space="preserve">Акт входного контроля 000000389 от 28.06.2023 19:08:42</t>
  </si>
  <si>
    <t xml:space="preserve">Акт входного контроля 000000390 от 28.06.2023 19:37:46</t>
  </si>
  <si>
    <t xml:space="preserve">Акт входного контроля 000000391 от 28.06.2023 22:25:05</t>
  </si>
  <si>
    <t xml:space="preserve">Акт входного контроля 000000392 от 28.06.2023 23:20:33</t>
  </si>
  <si>
    <t xml:space="preserve">Акт входного контроля 000000393 от 28.06.2023 23:37:35</t>
  </si>
  <si>
    <t xml:space="preserve">Акт входного контроля 000000394 от 29.06.2023 2:43:32</t>
  </si>
  <si>
    <t xml:space="preserve">Акт входного контроля 000000395 от 29.06.2023 1:49:40</t>
  </si>
  <si>
    <t xml:space="preserve">Акт входного контроля 000000396 от 29.06.2023 6:32:42</t>
  </si>
  <si>
    <t xml:space="preserve">Акт входного контроля 000000397 от 29.06.2023 10:06:44</t>
  </si>
  <si>
    <t xml:space="preserve">Акт входного контроля 000000398 от 29.06.2023 11:04:43</t>
  </si>
  <si>
    <t xml:space="preserve">Акт входного контроля 000000399 от 29.06.2023 13:05:11</t>
  </si>
  <si>
    <t xml:space="preserve">Акт входного контроля 000000401 от 29.06.2023 14:33:50</t>
  </si>
  <si>
    <t xml:space="preserve">Акт входного контроля 000000402 от 29.06.2023 16:44:30</t>
  </si>
  <si>
    <t xml:space="preserve">Акт входного контроля 000000403 от 29.06.2023 21:59:21</t>
  </si>
  <si>
    <t xml:space="preserve">Акт входного контроля 000000416 от 30.06.2023 14:53:59</t>
  </si>
  <si>
    <t xml:space="preserve">Акт входного контроля 000000405 от 29.06.2023 17:23:54</t>
  </si>
  <si>
    <t xml:space="preserve">Акт входного контроля 000000406 от 29.06.2023 18:15:50</t>
  </si>
  <si>
    <t xml:space="preserve">Макаренко Алексей Юрьевич</t>
  </si>
  <si>
    <t xml:space="preserve">Т565НР</t>
  </si>
  <si>
    <t xml:space="preserve">Акт входного контроля 000000407 от 29.06.2023 20:49:03</t>
  </si>
  <si>
    <t xml:space="preserve">Суханов В.Н.</t>
  </si>
  <si>
    <t xml:space="preserve">А569РР</t>
  </si>
  <si>
    <t xml:space="preserve">Бинго</t>
  </si>
  <si>
    <t xml:space="preserve">Акт входного контроля 000000408 от 29.06.2023 23:12:38</t>
  </si>
  <si>
    <t xml:space="preserve">Акт входного контроля 000000409 от 29.06.2023 23:55:16</t>
  </si>
  <si>
    <t xml:space="preserve">Акт входного контроля 000000410 от 30.06.2023 11:18:31</t>
  </si>
  <si>
    <t xml:space="preserve">Акт входного контроля 000000411 от 30.06.2023 11:32:44</t>
  </si>
  <si>
    <t xml:space="preserve">Акт входного контроля 000000412 от 30.06.2023 16:27:17</t>
  </si>
  <si>
    <t xml:space="preserve">Акт входного контроля 000000413 от 30.06.2023 16:39:32</t>
  </si>
  <si>
    <t xml:space="preserve">Акт входного контроля 000000414 от 30.06.2023 16:56:59</t>
  </si>
  <si>
    <t xml:space="preserve">Птащенко Дмитрий Анатольевич</t>
  </si>
  <si>
    <t xml:space="preserve">Е606ЕК</t>
  </si>
  <si>
    <t xml:space="preserve">Акт входного контроля 000000415 от 30.06.2023 17:03:48</t>
  </si>
  <si>
    <t xml:space="preserve">Акт входного контроля 000000443 от 30.06.2023 16:04:07</t>
  </si>
  <si>
    <t xml:space="preserve">65Продажа Паян отходы</t>
  </si>
  <si>
    <t xml:space="preserve">Акт входного контроля 000000418 от 30.06.2023 20:36:17</t>
  </si>
  <si>
    <t xml:space="preserve">Акт входного контроля 000000419 от 30.06.2023 20:41:18</t>
  </si>
  <si>
    <t xml:space="preserve">Акт входного контроля 000000420 от 30.06.2023 22:13:05</t>
  </si>
  <si>
    <t xml:space="preserve">Акт входного контроля 000000421 от 30.06.2023 21:18:17</t>
  </si>
  <si>
    <t xml:space="preserve">Акт входного контроля 000000422 от 30.06.2023 23:33:22</t>
  </si>
  <si>
    <t xml:space="preserve">Х514 ОК</t>
  </si>
  <si>
    <t xml:space="preserve">Акт входного контроля 000000423 от 01.07.2023 3:05:15</t>
  </si>
  <si>
    <t xml:space="preserve">Акт входного контроля 000000424 от 01.07.2023 5:13:51</t>
  </si>
  <si>
    <t xml:space="preserve">Акт входного контроля 000000425 от 01.07.2023 7:03:28</t>
  </si>
  <si>
    <t xml:space="preserve">Акт входного контроля 000000426 от 01.07.2023 12:45:03</t>
  </si>
  <si>
    <t xml:space="preserve">Акт входного контроля 000000427 от 01.07.2023 12:51:48</t>
  </si>
  <si>
    <t xml:space="preserve">Акт входного контроля 000000428 от 01.07.2023 15:11:46</t>
  </si>
  <si>
    <t xml:space="preserve">3/2</t>
  </si>
  <si>
    <t xml:space="preserve">Акт входного контроля 000000429 от 01.07.2023 18:59:28</t>
  </si>
  <si>
    <t xml:space="preserve">Акт входного контроля 000000431 от 01.07.2023 15:54:46</t>
  </si>
  <si>
    <t xml:space="preserve">Акт входного контроля 000000430 от 01.07.2023 22:09:55</t>
  </si>
  <si>
    <t xml:space="preserve">Акт входного контроля 000000432 от 01.07.2023 17:20:47</t>
  </si>
  <si>
    <t xml:space="preserve">Акт входного контроля 000000439 от 01.07.2023 21:37:42</t>
  </si>
  <si>
    <t xml:space="preserve">49Славянский КК</t>
  </si>
  <si>
    <t xml:space="preserve">Акт входного контроля 000000440 от 02.07.2023 21:47:18</t>
  </si>
  <si>
    <t xml:space="preserve">215Утилизация</t>
  </si>
  <si>
    <t xml:space="preserve">Акт входного контроля 000000442 от 02.07.2023 8:22:17</t>
  </si>
  <si>
    <t xml:space="preserve">92Продажа Частных отходы</t>
  </si>
  <si>
    <t xml:space="preserve">Акт входного контроля 000000433 от 02.07.2023 23:25:19</t>
  </si>
  <si>
    <t xml:space="preserve">Акт входного контроля 000000434 от 02.07.2023 23:48:42</t>
  </si>
  <si>
    <t xml:space="preserve">Акт входного контроля 000000435 от 02.07.2023 22:10:52</t>
  </si>
  <si>
    <t xml:space="preserve">Акт входного контроля 000000436 от 02.07.2023 23:28:20</t>
  </si>
  <si>
    <t xml:space="preserve">Акт входного контроля 000000437 от 03.07.2023 1:29:53</t>
  </si>
  <si>
    <t xml:space="preserve">Акт входного контроля 000000438 от 03.07.2023 10:15:32</t>
  </si>
  <si>
    <t xml:space="preserve">Акт входного контроля 000000441 от 03.07.2023 11:01:03</t>
  </si>
  <si>
    <t xml:space="preserve">1/6</t>
  </si>
  <si>
    <t xml:space="preserve">Твинсет</t>
  </si>
  <si>
    <t xml:space="preserve">Акт входного контроля 000000446 от 03.07.2023 13:56:54</t>
  </si>
  <si>
    <t xml:space="preserve">Акт входного контроля 000000447 от 03.07.2023 15:17:29</t>
  </si>
  <si>
    <t xml:space="preserve">Акт входного контроля 000000448 от 03.07.2023 16:27:38</t>
  </si>
  <si>
    <t xml:space="preserve">Акт входного контроля 000000449 от 03.07.2023 21:11:33</t>
  </si>
  <si>
    <t xml:space="preserve">Акт входного контроля 000000450 от 03.07.2023 21:25:43</t>
  </si>
  <si>
    <t xml:space="preserve">Акт входного контроля 000000452 от 03.07.2023 23:31:03</t>
  </si>
  <si>
    <t xml:space="preserve">Вивадо</t>
  </si>
  <si>
    <t xml:space="preserve">Акт входного контроля 000000453 от 03.07.2023 19:43:18</t>
  </si>
  <si>
    <t xml:space="preserve">Акт входного контроля 000000454 от 03.07.2023 23:02:02</t>
  </si>
  <si>
    <t xml:space="preserve">Акт входного контроля 000000456 от 04.07.2023 11:50:14</t>
  </si>
  <si>
    <t xml:space="preserve">Акт входного контроля 000000457 от 04.07.2023 11:55:12</t>
  </si>
  <si>
    <t xml:space="preserve">Акт входного контроля 000000458 от 04.07.2023 13:02:41</t>
  </si>
  <si>
    <t xml:space="preserve">Акт входного контроля 000000460 от 04.07.2023 17:13:45</t>
  </si>
  <si>
    <t xml:space="preserve">Акт входного контроля 000000461 от 04.07.2023 17:31:02</t>
  </si>
  <si>
    <t xml:space="preserve">Акт входного контроля 000000462 от 04.07.2023 20:34:57</t>
  </si>
  <si>
    <t xml:space="preserve">Акт входного контроля 000000463 от 04.07.2023 20:45:11</t>
  </si>
  <si>
    <t xml:space="preserve">Акт входного контроля 000000473 от 04.07.2023 16:57:25</t>
  </si>
  <si>
    <t xml:space="preserve">122Продажа Ктоян</t>
  </si>
  <si>
    <t xml:space="preserve">Акт входного контроля 000000465 от 04.07.2023 23:34:25</t>
  </si>
  <si>
    <t xml:space="preserve">1/7</t>
  </si>
  <si>
    <t xml:space="preserve">Акт входного контроля 000000464 от 04.07.2023 21:47:51</t>
  </si>
  <si>
    <t xml:space="preserve">Акт входного контроля 000000468 от 04.07.2023 19:36:07</t>
  </si>
  <si>
    <t xml:space="preserve">Акт входного контроля 000000469 от 04.07.2023 21:24:45</t>
  </si>
  <si>
    <t xml:space="preserve">Акт входного контроля 000000470 от 04.07.2023 23:05:17</t>
  </si>
  <si>
    <t xml:space="preserve">Акт входного контроля 000000471 от 05.07.2023 9:05:09</t>
  </si>
  <si>
    <t xml:space="preserve">Акт входного контроля 000000472 от 05.07.2023 9:28:02</t>
  </si>
  <si>
    <t xml:space="preserve">Акт входного контроля 000000481 от 05.07.2023 13:36:25</t>
  </si>
  <si>
    <t xml:space="preserve">Акт входного контроля 000000482 от 05.07.2023 13:44:46</t>
  </si>
  <si>
    <t xml:space="preserve">Акт входного контроля 000000486 от 05.07.2023 8:26:20</t>
  </si>
  <si>
    <t xml:space="preserve">Акт входного контроля 000000493 от 05.07.2023 11:32:57</t>
  </si>
  <si>
    <t xml:space="preserve">134Утилизация</t>
  </si>
  <si>
    <t xml:space="preserve">Акт входного контроля 000000492 от 05.07.2023 14:20:31</t>
  </si>
  <si>
    <t xml:space="preserve">135Утилизация</t>
  </si>
  <si>
    <t xml:space="preserve">Акт входного контроля 000000491 от 05.07.2023 15:28:14</t>
  </si>
  <si>
    <t xml:space="preserve">136 Утилизация</t>
  </si>
  <si>
    <t xml:space="preserve">Акт входного контроля 000000490 от 05.07.2023 18:02:55</t>
  </si>
  <si>
    <t xml:space="preserve">137ИП Макарцов Продажа</t>
  </si>
  <si>
    <t xml:space="preserve">Акт входного контроля 000000497 от 06.07.2023 18:12:00</t>
  </si>
  <si>
    <t xml:space="preserve">142Отвес491Славянский Продажа</t>
  </si>
  <si>
    <t xml:space="preserve">Богданов О.В.</t>
  </si>
  <si>
    <t xml:space="preserve">3/6</t>
  </si>
  <si>
    <t xml:space="preserve">Акт входного контроля 000000498 от 06.07.2023 18:12:01</t>
  </si>
  <si>
    <t xml:space="preserve">144отвес492Продажа Славянский</t>
  </si>
  <si>
    <t xml:space="preserve">Сахно А.А.</t>
  </si>
  <si>
    <t xml:space="preserve">Акт входного контроля 000000511 от 06.07.2023 18:12:06</t>
  </si>
  <si>
    <t xml:space="preserve">145Славянский Продажа494</t>
  </si>
  <si>
    <t xml:space="preserve">Тарасов А.Л.</t>
  </si>
  <si>
    <t xml:space="preserve">щ577мк</t>
  </si>
  <si>
    <t xml:space="preserve">Акт входного контроля 000000095 от 02.06.2023 22:17:28</t>
  </si>
  <si>
    <t xml:space="preserve">063355 Юнона отвес 11</t>
  </si>
  <si>
    <t xml:space="preserve">Акт входного контроля 000000096 от 02.06.2023 22:17:29</t>
  </si>
  <si>
    <t xml:space="preserve">063356 Юнона  отвес 10</t>
  </si>
  <si>
    <t xml:space="preserve">Акт входного контроля 000000120 от 05.06.2023 23:24:13</t>
  </si>
  <si>
    <t xml:space="preserve">063389 Юнона отвес 26</t>
  </si>
  <si>
    <t xml:space="preserve">в725еа</t>
  </si>
  <si>
    <t xml:space="preserve">Акт входного контроля 000000121 от 05.06.2023 11:02:12</t>
  </si>
  <si>
    <t xml:space="preserve">063383 Юнона  0твес 25</t>
  </si>
  <si>
    <t xml:space="preserve">н370вр</t>
  </si>
  <si>
    <t xml:space="preserve">Акт входного контроля 000000123 от 05.06.2023 23:24:14</t>
  </si>
  <si>
    <t xml:space="preserve">063375Юнона отвес 24</t>
  </si>
  <si>
    <t xml:space="preserve">Акт входного контроля 000000124 от 04.06.2023 23:43:25</t>
  </si>
  <si>
    <t xml:space="preserve">063375Юнонаотвес17</t>
  </si>
  <si>
    <t xml:space="preserve">Акт входного контроля 000000536 от 09.07.2023 23:30:26</t>
  </si>
  <si>
    <t xml:space="preserve">2Бондюэль</t>
  </si>
  <si>
    <t xml:space="preserve">КФХ Наконечное</t>
  </si>
  <si>
    <t xml:space="preserve">Порубаев Н.А.</t>
  </si>
  <si>
    <t xml:space="preserve">с716са</t>
  </si>
  <si>
    <t xml:space="preserve">Акт входного контроля 000000537 от 10.07.2023 16:11:12</t>
  </si>
  <si>
    <t xml:space="preserve">3Агрохолод</t>
  </si>
  <si>
    <t xml:space="preserve">Пушкин А.С.</t>
  </si>
  <si>
    <t xml:space="preserve">Е539Кт</t>
  </si>
  <si>
    <t xml:space="preserve">Акт входного контроля 000000515 от 08.07.2023 12:00:00</t>
  </si>
  <si>
    <t xml:space="preserve">152Бондюэль Продажа</t>
  </si>
  <si>
    <t xml:space="preserve">Митьков В.А.</t>
  </si>
  <si>
    <t xml:space="preserve">е077ар</t>
  </si>
  <si>
    <t xml:space="preserve">2/2</t>
  </si>
  <si>
    <t xml:space="preserve">Акт входного контроля 000000516 от 08.07.2023 12:00:01</t>
  </si>
  <si>
    <t xml:space="preserve">153Бондюэль Продажа</t>
  </si>
  <si>
    <t xml:space="preserve">Зверев О.В.</t>
  </si>
  <si>
    <t xml:space="preserve">в077ху</t>
  </si>
  <si>
    <t xml:space="preserve">Акт входного контроля 000000517 от 08.07.2023 12:00:02</t>
  </si>
  <si>
    <t xml:space="preserve">151Бондюэль Продажа</t>
  </si>
  <si>
    <t xml:space="preserve">Пркопец А.Р.</t>
  </si>
  <si>
    <t xml:space="preserve">А077ре</t>
  </si>
  <si>
    <t xml:space="preserve">Акт входного контроля 000000518 от 09.07.2023 23:30:23</t>
  </si>
  <si>
    <t xml:space="preserve">154БондюэльПродажа</t>
  </si>
  <si>
    <t xml:space="preserve">а077ре</t>
  </si>
  <si>
    <t xml:space="preserve">Акт входного контроля 000000519 от 09.07.2023 23:30:24</t>
  </si>
  <si>
    <t xml:space="preserve">155Бондюэль продажа</t>
  </si>
  <si>
    <t xml:space="preserve">Акт входного контроля 000000535 от 09.07.2023 23:30:25</t>
  </si>
  <si>
    <t xml:space="preserve">1Бондюэль</t>
  </si>
  <si>
    <t xml:space="preserve">В077ху</t>
  </si>
  <si>
    <t xml:space="preserve">Акт входного контроля 000000501 от 06.07.2023 18:12:03</t>
  </si>
  <si>
    <t xml:space="preserve">143Альянс отвес2</t>
  </si>
  <si>
    <t xml:space="preserve">Акт входного контроля 000000502 от 06.07.2023 18:12:04</t>
  </si>
  <si>
    <t xml:space="preserve">147Альянс отвес3</t>
  </si>
  <si>
    <t xml:space="preserve">Акт входного контроля 000000503 от 06.07.2023 18:12:05</t>
  </si>
  <si>
    <t xml:space="preserve">148Альянс4 отвес</t>
  </si>
  <si>
    <t xml:space="preserve">Акт входного контроля 000000512 от 06.07.2023 18:12:07</t>
  </si>
  <si>
    <t xml:space="preserve">146Славянский Продажа 495</t>
  </si>
  <si>
    <t xml:space="preserve">Тарасов Т.Л.</t>
  </si>
  <si>
    <t xml:space="preserve">о640мк</t>
  </si>
  <si>
    <t xml:space="preserve">Акт входного контроля 000000513 от 07.07.2023 19:45:36</t>
  </si>
  <si>
    <t xml:space="preserve">149Альянс Продажа 5</t>
  </si>
  <si>
    <t xml:space="preserve">Радован</t>
  </si>
  <si>
    <t xml:space="preserve">Акт входного контроля 000000514 от 07.07.2023 19:45:37</t>
  </si>
  <si>
    <t xml:space="preserve">150АльянсПродажа6</t>
  </si>
  <si>
    <t xml:space="preserve">В415Та</t>
  </si>
  <si>
    <t xml:space="preserve">Акт входного контроля 000000476 от 02.07.2023 23:48:45</t>
  </si>
  <si>
    <t xml:space="preserve">97Продажа Бондюэль</t>
  </si>
  <si>
    <t xml:space="preserve">к077ех</t>
  </si>
  <si>
    <t xml:space="preserve">Акт входного контроля 000000477 от 02.07.2023 23:48:46</t>
  </si>
  <si>
    <t xml:space="preserve">98Продажа Бондюэль</t>
  </si>
  <si>
    <t xml:space="preserve">Акт входного контроля 000000478 от 02.07.2023 23:48:47</t>
  </si>
  <si>
    <t xml:space="preserve">102Продажа Бондюэль</t>
  </si>
  <si>
    <t xml:space="preserve">Туровский А,С.</t>
  </si>
  <si>
    <t xml:space="preserve">Е077ОР</t>
  </si>
  <si>
    <t xml:space="preserve">Акт входного контроля 000000479 от 02.07.2023 23:48:48</t>
  </si>
  <si>
    <t xml:space="preserve">103пРОДАЖА БОНДЮЭЛЬ</t>
  </si>
  <si>
    <t xml:space="preserve">Демус С.В.</t>
  </si>
  <si>
    <t xml:space="preserve">а077ае</t>
  </si>
  <si>
    <t xml:space="preserve">Акт входного контроля 000000480 от 02.07.2023 23:48:49</t>
  </si>
  <si>
    <t xml:space="preserve">109Продажа бондюэль</t>
  </si>
  <si>
    <t xml:space="preserve">Круц М.М.</t>
  </si>
  <si>
    <t xml:space="preserve">Акт входного контроля 000000500 от 05.07.2023 18:12:02</t>
  </si>
  <si>
    <t xml:space="preserve">139Продажа Альянс1</t>
  </si>
  <si>
    <t xml:space="preserve">Акт входного контроля 000000192 от 09.06.2023 23:51:14</t>
  </si>
  <si>
    <t xml:space="preserve">35Продажа Бабенышев</t>
  </si>
  <si>
    <t xml:space="preserve">Власенко Вячеслав Михайлович</t>
  </si>
  <si>
    <t xml:space="preserve">В550КК</t>
  </si>
  <si>
    <t xml:space="preserve">Акт входного контроля 000000193 от 11.06.2023 23:36:42</t>
  </si>
  <si>
    <t xml:space="preserve">73 Юнона</t>
  </si>
  <si>
    <t xml:space="preserve">Лунев В.В.</t>
  </si>
  <si>
    <t xml:space="preserve">р303 тм</t>
  </si>
  <si>
    <t xml:space="preserve">Акт входного контроля 000000194 от 11.06.2023 23:36:43</t>
  </si>
  <si>
    <t xml:space="preserve">70 Юнона</t>
  </si>
  <si>
    <t xml:space="preserve">Орешин В.Н.</t>
  </si>
  <si>
    <t xml:space="preserve">р277нн</t>
  </si>
  <si>
    <t xml:space="preserve">Акт входного контроля 000000316 от 09.06.2023 23:51:15</t>
  </si>
  <si>
    <t xml:space="preserve">39отходы</t>
  </si>
  <si>
    <t xml:space="preserve">а688ам</t>
  </si>
  <si>
    <t xml:space="preserve">Акт входного контроля 000000474 от 02.07.2023 23:48:43</t>
  </si>
  <si>
    <t xml:space="preserve">95Продажа Бондюэль</t>
  </si>
  <si>
    <t xml:space="preserve">Пркопец К.В.</t>
  </si>
  <si>
    <t xml:space="preserve">Акт входного контроля 000000475 от 02.07.2023 23:48:44</t>
  </si>
  <si>
    <t xml:space="preserve">96Продажа Бонд.юэль</t>
  </si>
  <si>
    <t xml:space="preserve">Иванчук А.В.</t>
  </si>
  <si>
    <t xml:space="preserve">Акт входного контроля 000000144 от 17.05.2024 20:10:49</t>
  </si>
  <si>
    <t xml:space="preserve">1/7,1</t>
  </si>
  <si>
    <t xml:space="preserve">Акт входного контроля 000000145 от 17.05.2024 20:19:34</t>
  </si>
  <si>
    <t xml:space="preserve">Акт входного контроля 000000146 от 17.05.2024 22:33:15</t>
  </si>
  <si>
    <t xml:space="preserve">Акт входного контроля 000000147 от 18.05.2024 7:10:58</t>
  </si>
  <si>
    <t xml:space="preserve">Акт входного контроля 000000148 от 18.05.2024 19:41:18</t>
  </si>
  <si>
    <t xml:space="preserve">Акт входного контроля 000000149 от 18.05.2024 19:40:12</t>
  </si>
  <si>
    <t xml:space="preserve">Акт входного контроля 000000150 от 18.05.2024 13:06:58</t>
  </si>
  <si>
    <t xml:space="preserve">Акт входного контроля 000000151 от 18.05.2024 17:20:30</t>
  </si>
  <si>
    <t xml:space="preserve">Акт входного контроля 000000152 от 18.05.2024 21:27:25</t>
  </si>
  <si>
    <t xml:space="preserve">Акт входного контроля 000000153 от 18.05.2024 4:47:36</t>
  </si>
  <si>
    <t xml:space="preserve">1/1.1</t>
  </si>
  <si>
    <t xml:space="preserve">Акт входного контроля 000000154 от 20.05.2024 21:38:54</t>
  </si>
  <si>
    <t xml:space="preserve">Акт входного контроля 000000155 от 20.05.2024 21:41:26</t>
  </si>
  <si>
    <t xml:space="preserve">Акт входного контроля 000000156 от 20.05.2024 23:01:38</t>
  </si>
  <si>
    <t xml:space="preserve">Аладин Василий Сергеевич</t>
  </si>
  <si>
    <t xml:space="preserve">Т110ТМ</t>
  </si>
  <si>
    <t xml:space="preserve">Акт входного контроля 000000157 от 20.05.2024 23:09:23</t>
  </si>
  <si>
    <t xml:space="preserve">Лазаренко В.В</t>
  </si>
  <si>
    <t xml:space="preserve">Акт входного контроля 000000158 от 21.05.2024 6:56:36</t>
  </si>
  <si>
    <t xml:space="preserve">Акт входного контроля 000000159 от 21.05.2024 8:31:07</t>
  </si>
  <si>
    <t xml:space="preserve">Акт входного контроля 000000160 от 21.05.2024 8:41:23</t>
  </si>
  <si>
    <t xml:space="preserve">Акт входного контроля 000000161 от 21.05.2024 11:54:41</t>
  </si>
  <si>
    <t xml:space="preserve">Акт входного контроля 000000175 от 21.05.2024 19:01:13</t>
  </si>
  <si>
    <t xml:space="preserve">Кириченко В.Н.</t>
  </si>
  <si>
    <t xml:space="preserve">А957РР</t>
  </si>
  <si>
    <t xml:space="preserve">Акт входного контроля 000000176 от 21.05.2024 19:12:17</t>
  </si>
  <si>
    <t xml:space="preserve">Акт входного контроля 000000177 от 21.05.2024 19:59:27</t>
  </si>
  <si>
    <t xml:space="preserve">А-21</t>
  </si>
  <si>
    <t xml:space="preserve">Акт входного контроля 000000178 от 21.05.2024 22:40:56</t>
  </si>
  <si>
    <t xml:space="preserve">2/3.5</t>
  </si>
  <si>
    <t xml:space="preserve">Акт входного контроля 000000179 от 21.05.2024 22:44:21</t>
  </si>
  <si>
    <t xml:space="preserve">Акт входного контроля 000000181 от 21.05.2024 23:18:37</t>
  </si>
  <si>
    <t xml:space="preserve">Акт входного контроля 000000180 от 21.05.2024 23:49:24</t>
  </si>
  <si>
    <t xml:space="preserve">Акт входного контроля 000000183 от 22.05.2024 9:44:52</t>
  </si>
  <si>
    <t xml:space="preserve">Акт входного контроля 000000184 от 22.05.2024 10:57:21</t>
  </si>
  <si>
    <t xml:space="preserve">Акт входного контроля 000000182 от 22.05.2024 9:27:34</t>
  </si>
  <si>
    <t xml:space="preserve">Акт входного контроля 000000185 от 22.05.2024 15:16:30</t>
  </si>
  <si>
    <t xml:space="preserve">Акт входного контроля 000000186 от 22.05.2024 15:35:34</t>
  </si>
  <si>
    <t xml:space="preserve">Акт входного контроля 000000187 от 22.05.2024 16:57:53</t>
  </si>
  <si>
    <t xml:space="preserve">Акт входного контроля 000000188 от 22.05.2024 18:58:36</t>
  </si>
  <si>
    <t xml:space="preserve">Акт входного контроля 000000190 от 22.05.2024 23:19:02</t>
  </si>
  <si>
    <t xml:space="preserve">Акт входного контроля 000000189 от 22.05.2024 20:38:25</t>
  </si>
  <si>
    <t xml:space="preserve">Акт входного контроля 000000191 от 22.05.2024 23:23:22</t>
  </si>
  <si>
    <t xml:space="preserve">Акт входного контроля 000000192 от 22.05.2024 23:26:09</t>
  </si>
  <si>
    <t xml:space="preserve">Акт входного контроля 000000193 от 22.05.2024 23:31:13</t>
  </si>
  <si>
    <t xml:space="preserve">Акт входного контроля 000000194 от 22.05.2024 8:38:11</t>
  </si>
  <si>
    <t xml:space="preserve">Акт входного контроля 000000198 от 23.05.2024 13:00:39</t>
  </si>
  <si>
    <t xml:space="preserve">Акт входного контроля 000000199 от 23.05.2024 10:38:07</t>
  </si>
  <si>
    <t xml:space="preserve">Акт входного контроля 000000195 от 23.05.2024 12:50:02</t>
  </si>
  <si>
    <t xml:space="preserve">Акт входного контроля 000000196 от 23.05.2024 12:54:48</t>
  </si>
  <si>
    <t xml:space="preserve">Акт входного контроля 000000197 от 23.05.2024 12:57:23</t>
  </si>
  <si>
    <t xml:space="preserve">Акт входного контроля 000000238 от 22.05.2024 11:00:54</t>
  </si>
  <si>
    <t xml:space="preserve">117522 Утилизация</t>
  </si>
  <si>
    <t xml:space="preserve">Акт входного контроля 000000200 от 23.05.2024 22:00:34</t>
  </si>
  <si>
    <t xml:space="preserve">Акт входного контроля 000000201 от 23.05.2024 22:33:35</t>
  </si>
  <si>
    <t xml:space="preserve">Акт входного контроля 000000202 от 23.05.2024 23:09:14</t>
  </si>
  <si>
    <t xml:space="preserve">Акт входного контроля 000000203 от 23.05.2024 23:22:36</t>
  </si>
  <si>
    <t xml:space="preserve">Акт входного контроля 000000204 от 23.05.2024 23:30:40</t>
  </si>
  <si>
    <t xml:space="preserve">Акт входного контроля 000000205 от 23.05.2024 23:40:12</t>
  </si>
  <si>
    <t xml:space="preserve">Акт входного контроля 000000206 от 23.05.2024 23:49:47</t>
  </si>
  <si>
    <t xml:space="preserve">Акт входного контроля 000000207 от 23.05.2024 21:26:10</t>
  </si>
  <si>
    <t xml:space="preserve">Акт входного контроля 000000208 от 23.05.2024 22:42:43</t>
  </si>
  <si>
    <t xml:space="preserve">Акт входного контроля 000000209 от 24.05.2024 16:41:41</t>
  </si>
  <si>
    <t xml:space="preserve">А-20</t>
  </si>
  <si>
    <t xml:space="preserve">Акт входного контроля 000000210 от 24.05.2024 4:03:23</t>
  </si>
  <si>
    <t xml:space="preserve">Акт входного контроля 000000211 от 24.05.2024 6:08:01</t>
  </si>
  <si>
    <t xml:space="preserve">Акт входного контроля 000000212 от 24.05.2024 7:35:48</t>
  </si>
  <si>
    <t xml:space="preserve">Акт входного контроля 000000213 от 24.05.2024 8:19:32</t>
  </si>
  <si>
    <t xml:space="preserve">Акт входного контроля 000000214 от 24.05.2024 10:31:29</t>
  </si>
  <si>
    <t xml:space="preserve">Акт входного контроля 000000215 от 24.05.2024 12:18:28</t>
  </si>
  <si>
    <t xml:space="preserve">Акт входного контроля 000000216 от 24.05.2024 15:49:48</t>
  </si>
  <si>
    <t xml:space="preserve">Акт входного контроля 000000217 от 24.05.2024 18:35:57</t>
  </si>
  <si>
    <t xml:space="preserve">Акт входного контроля 000000218 от 24.05.2024 18:57:11</t>
  </si>
  <si>
    <t xml:space="preserve">Акт входного контроля 000000220 от 24.05.2024 21:18:00</t>
  </si>
  <si>
    <t xml:space="preserve">Акт входного контроля 000000219 от 24.05.2024 19:07:09</t>
  </si>
  <si>
    <t xml:space="preserve">Акт входного контроля 000000221 от 24.05.2024 22:37:08</t>
  </si>
  <si>
    <t xml:space="preserve">Акт входного контроля 000000222 от 24.05.2024 22:42:12</t>
  </si>
  <si>
    <t xml:space="preserve">Акт входного контроля 000000223 от 24.05.2024 23:06:46</t>
  </si>
  <si>
    <t xml:space="preserve">Акт входного контроля 000000224 от 25.05.2024 6:45:15</t>
  </si>
  <si>
    <t xml:space="preserve">Акт входного контроля 000000225 от 25.05.2024 6:47:48</t>
  </si>
  <si>
    <t xml:space="preserve">Акт входного контроля 000000226 от 25.05.2024 8:00:07</t>
  </si>
  <si>
    <t xml:space="preserve">Акт входного контроля 000000227 от 25.05.2024 10:35:32</t>
  </si>
  <si>
    <t xml:space="preserve">Акт входного контроля 000000228 от 25.05.2024 13:00:21</t>
  </si>
  <si>
    <t xml:space="preserve">Акт входного контроля 000000229 от 25.05.2024 15:06:22</t>
  </si>
  <si>
    <t xml:space="preserve">Акт входного контроля 000000230 от 25.05.2024 15:15:41</t>
  </si>
  <si>
    <t xml:space="preserve">Акт входного контроля 000000231 от 25.05.2024 17:24:37</t>
  </si>
  <si>
    <t xml:space="preserve">Акт входного контроля 000000232 от 25.05.2024 18:16:36</t>
  </si>
  <si>
    <t xml:space="preserve">Акт входного контроля 000000233 от 25.05.2024 19:38:39</t>
  </si>
  <si>
    <t xml:space="preserve">Акт входного контроля 000000234 от 25.05.2024 22:23:03</t>
  </si>
  <si>
    <t xml:space="preserve">Акт входного контроля 000000235 от 25.05.2024 20:09:07</t>
  </si>
  <si>
    <t xml:space="preserve">Акт входного контроля 000000236 от 25.05.2024 21:27:51</t>
  </si>
  <si>
    <t xml:space="preserve">Акт входного контроля 000000237 от 25.05.2024 23:47:02</t>
  </si>
  <si>
    <t xml:space="preserve">Акт входного контроля 000000239 от 28.05.2024 20:51:17</t>
  </si>
  <si>
    <t xml:space="preserve">Акт входного контроля 000000240 от 28.05.2024 20:55:41</t>
  </si>
  <si>
    <t xml:space="preserve">Акт входного контроля 000000241 от 28.05.2024 22:23:23</t>
  </si>
  <si>
    <t xml:space="preserve">Акт входного контроля 000000242 от 29.05.2024 0:02:42</t>
  </si>
  <si>
    <t xml:space="preserve">Акт входного контроля 000000243 от 29.05.2024 7:56:21</t>
  </si>
  <si>
    <t xml:space="preserve">Акт входного контроля 000000244 от 29.05.2024 9:04:52</t>
  </si>
  <si>
    <t xml:space="preserve">Акт входного контроля 000000245 от 29.05.2024 11:06:56</t>
  </si>
  <si>
    <t xml:space="preserve">Акт входного контроля 000000246 от 29.05.2024 15:01:33</t>
  </si>
  <si>
    <t xml:space="preserve">Акт входного контроля 000000247 от 29.05.2024 17:07:38</t>
  </si>
  <si>
    <t xml:space="preserve">Акт входного контроля 000000248 от 29.05.2024 20:33:23</t>
  </si>
  <si>
    <t xml:space="preserve">Акт входного контроля 000000249 от 29.05.2024 21:42:37</t>
  </si>
  <si>
    <t xml:space="preserve">Акт входного контроля 000000250 от 29.05.2024 23:32:39</t>
  </si>
  <si>
    <t xml:space="preserve">Акт входного контроля 000000251 от 29.05.2024 21:43:53</t>
  </si>
  <si>
    <t xml:space="preserve">Акт входного контроля 000000252 от 30.05.2024 4:51:33</t>
  </si>
  <si>
    <t xml:space="preserve">Акт входного контроля 000000253 от 30.05.2024 5:45:11</t>
  </si>
  <si>
    <t xml:space="preserve">Акт входного контроля 000000254 от 03.06.2024 11:19:13</t>
  </si>
  <si>
    <t xml:space="preserve">Акт входного контроля 000000255 от 03.06.2024 11:25:07</t>
  </si>
  <si>
    <t xml:space="preserve">Акт входного контроля 000000256 от 03.06.2024 13:01:35</t>
  </si>
  <si>
    <t xml:space="preserve">Акт входного контроля 000000257 от 03.06.2024 11:15:23</t>
  </si>
  <si>
    <t xml:space="preserve">Акт входного контроля 000000258 от 03.06.2024 12:28:35</t>
  </si>
  <si>
    <t xml:space="preserve">Акт входного контроля 000000259 от 03.06.2024 18:31:25</t>
  </si>
  <si>
    <t xml:space="preserve">Акт входного контроля 000000260 от 03.06.2024 20:39:32</t>
  </si>
  <si>
    <t xml:space="preserve">Акт входного контроля 000000261 от 03.06.2024 17:11:10</t>
  </si>
  <si>
    <t xml:space="preserve">Акт входного контроля 000000262 от 03.06.2024 20:08:23</t>
  </si>
  <si>
    <t xml:space="preserve">Акт входного контроля 000000263 от 03.06.2024 22:08:47</t>
  </si>
  <si>
    <t xml:space="preserve">Акт входного контроля 000000264 от 03.06.2024 23:21:15</t>
  </si>
  <si>
    <t xml:space="preserve">Акт входного контроля 000000265 от 04.06.2024 6:21:58</t>
  </si>
  <si>
    <t xml:space="preserve">Акт входного контроля 000000266 от 04.06.2024 13:39:54</t>
  </si>
  <si>
    <t xml:space="preserve">Акт входного контроля 000000267 от 04.06.2024 13:51:50</t>
  </si>
  <si>
    <t xml:space="preserve">Акт входного контроля 000000268 от 04.06.2024 14:34:17</t>
  </si>
  <si>
    <t xml:space="preserve">Акт входного контроля 000000269 от 04.06.2024 18:09:12</t>
  </si>
  <si>
    <t xml:space="preserve">Акт входного контроля 000000270 от 04.06.2024 18:20:47</t>
  </si>
  <si>
    <t xml:space="preserve">Акт входного контроля 000000271 от 04.06.2024 18:22:38</t>
  </si>
  <si>
    <t xml:space="preserve">Акт входного контроля 000000272 от 04.06.2024 19:29:02</t>
  </si>
  <si>
    <t xml:space="preserve">Акт входного контроля 000000273 от 04.06.2024 16:59:34</t>
  </si>
  <si>
    <t xml:space="preserve">Акт входного контроля 000000274 от 04.06.2024 18:33:00</t>
  </si>
  <si>
    <t xml:space="preserve">Акт входного контроля 000000275 от 04.06.2024 20:31:34</t>
  </si>
  <si>
    <t xml:space="preserve">Акт входного контроля 000000276 от 05.06.2024 13:17:27</t>
  </si>
  <si>
    <t xml:space="preserve">Акт входного контроля 000000277 от 05.06.2024 15:52:38</t>
  </si>
  <si>
    <t xml:space="preserve">Акт входного контроля 000000278 от 05.06.2024 17:56:40</t>
  </si>
  <si>
    <t xml:space="preserve">Акт входного контроля 000000279 от 05.06.2024 18:40:40</t>
  </si>
  <si>
    <t xml:space="preserve">Акт входного контроля 000000280 от 05.06.2024 18:47:14</t>
  </si>
  <si>
    <t xml:space="preserve">Акт входного контроля 000000281 от 05.06.2024 20:54:00</t>
  </si>
  <si>
    <t xml:space="preserve">Акт входного контроля 000000282 от 05.06.2024 22:08:36</t>
  </si>
  <si>
    <t xml:space="preserve">Акт входного контроля 000000283 от 05.06.2024 23:40:53</t>
  </si>
  <si>
    <t xml:space="preserve">Акт входного контроля 000000284 от 05.06.2024 23:04:26</t>
  </si>
  <si>
    <t xml:space="preserve">Акт входного контроля 000000285 от 06.06.2024 1:54:36</t>
  </si>
  <si>
    <t xml:space="preserve">Акт входного контроля 000000286 от 06.06.2024 3:58:57</t>
  </si>
  <si>
    <t xml:space="preserve">Акт входного контроля 000000287 от 06.06.2024 6:50:07</t>
  </si>
  <si>
    <t xml:space="preserve">Акт входного контроля 000000288 от 06.06.2024 6:51:30</t>
  </si>
  <si>
    <t xml:space="preserve">Акт входного контроля 000000289 от 06.06.2024 9:19:30</t>
  </si>
  <si>
    <t xml:space="preserve">Акт входного контроля 000000290 от 06.06.2024 10:47:46</t>
  </si>
  <si>
    <t xml:space="preserve">Акт входного контроля 000000291 от 06.06.2024 13:56:38</t>
  </si>
  <si>
    <t xml:space="preserve">Акт входного контроля 000000292 от 06.06.2024 13:58:48</t>
  </si>
  <si>
    <t xml:space="preserve">Акт входного контроля 000000293 от 06.06.2024 14:02:28</t>
  </si>
  <si>
    <t xml:space="preserve">Акт входного контроля 000000294 от 06.06.2024 16:20:29</t>
  </si>
  <si>
    <t xml:space="preserve">Акт входного контроля 000000295 от 06.06.2024 19:35:17</t>
  </si>
  <si>
    <t xml:space="preserve">Акт входного контроля 000000296 от 06.06.2024 19:37:38</t>
  </si>
  <si>
    <t xml:space="preserve">Акт входного контроля 000000297 от 06.06.2024 22:53:06</t>
  </si>
  <si>
    <t xml:space="preserve">Акт входного контроля 000000298 от 06.06.2024 18:47:32</t>
  </si>
  <si>
    <t xml:space="preserve">Акт входного контроля 000000299 от 06.06.2024 20:37:37</t>
  </si>
  <si>
    <t xml:space="preserve">Акт входного контроля 000000300 от 06.06.2024 23:17:05</t>
  </si>
  <si>
    <t xml:space="preserve">Акт входного контроля 000000301 от 07.06.2024 4:48:49</t>
  </si>
  <si>
    <t xml:space="preserve">Акт входного контроля 000000302 от 07.06.2024 4:12:12</t>
  </si>
  <si>
    <t xml:space="preserve">Акт входного контроля 000000303 от 07.06.2024 6:41:49</t>
  </si>
  <si>
    <t xml:space="preserve">Акт входного контроля 000000304 от 07.06.2024 10:31:16</t>
  </si>
  <si>
    <t xml:space="preserve">Акт входного контроля 000000305 от 07.06.2024 14:57:54</t>
  </si>
  <si>
    <t xml:space="preserve">А-48</t>
  </si>
  <si>
    <t xml:space="preserve">Амалфи</t>
  </si>
  <si>
    <t xml:space="preserve">Акт входного контроля 000000306 от 07.06.2024 15:00:22</t>
  </si>
  <si>
    <t xml:space="preserve">Акт входного контроля 000000307 от 07.06.2024 15:02:43</t>
  </si>
  <si>
    <t xml:space="preserve">Акт входного контроля 000000308 от 07.06.2024 16:39:29</t>
  </si>
  <si>
    <t xml:space="preserve">Акт входного контроля 000000309 от 07.06.2024 18:16:06</t>
  </si>
  <si>
    <t xml:space="preserve">Акт входного контроля 000000310 от 07.06.2024 19:47:06</t>
  </si>
  <si>
    <t xml:space="preserve">Акт входного контроля 000000311 от 07.06.2024 19:49:55</t>
  </si>
  <si>
    <t xml:space="preserve">Акт входного контроля 000000312 от 07.06.2024 22:22:34</t>
  </si>
  <si>
    <t xml:space="preserve">Акт входного контроля 000000313 от 07.06.2024 22:46:09</t>
  </si>
  <si>
    <t xml:space="preserve">Акт входного контроля 000000315 от 08.06.2024 1:51:32</t>
  </si>
  <si>
    <t xml:space="preserve">Акт входного контроля 000000314 от 08.06.2024 1:48:58</t>
  </si>
  <si>
    <t xml:space="preserve">Акт входного контроля 000000316 от 08.06.2024 4:03:14</t>
  </si>
  <si>
    <t xml:space="preserve">Акт входного контроля 000000317 от 08.06.2024 4:44:07</t>
  </si>
  <si>
    <t xml:space="preserve">Акт входного контроля 000000318 от 08.06.2024 7:08:30</t>
  </si>
  <si>
    <t xml:space="preserve">Акт входного контроля 000000319 от 08.06.2024 7:51:20</t>
  </si>
  <si>
    <t xml:space="preserve">Акт входного контроля 000000320 от 08.06.2024 13:24:22</t>
  </si>
  <si>
    <t xml:space="preserve">Акт входного контроля 000000321 от 08.06.2024 13:30:57</t>
  </si>
  <si>
    <t xml:space="preserve">Акт входного контроля 000000322 от 08.06.2024 19:30:10</t>
  </si>
  <si>
    <t xml:space="preserve">Акт входного контроля 000000323 от 08.06.2024 21:28:13</t>
  </si>
  <si>
    <t xml:space="preserve">Акт входного контроля 000000324 от 08.06.2024 21:37:37</t>
  </si>
  <si>
    <t xml:space="preserve">Акт входного контроля 000000325 от 08.06.2024 22:43:05</t>
  </si>
  <si>
    <t xml:space="preserve">Акт входного контроля 000000326 от 08.06.2024 22:49:21</t>
  </si>
  <si>
    <t xml:space="preserve">Акт входного контроля 000000327 от 09.06.2024 8:34:43</t>
  </si>
  <si>
    <t xml:space="preserve">Колос г.Гулькевичи ООО</t>
  </si>
  <si>
    <t xml:space="preserve">3.4</t>
  </si>
  <si>
    <t xml:space="preserve">Акт входного контроля 000000328 от 09.06.2024 10:52:26</t>
  </si>
  <si>
    <t xml:space="preserve">Акт входного контроля 000000329 от 09.06.2024 14:02:38</t>
  </si>
  <si>
    <t xml:space="preserve">Акт входного контроля 000000330 от 09.06.2024 16:32:55</t>
  </si>
  <si>
    <t xml:space="preserve">Акт входного контроля 000000331 от 09.06.2024 19:34:16</t>
  </si>
  <si>
    <t xml:space="preserve">Акт входного контроля 000000332 от 09.06.2024 20:01:36</t>
  </si>
  <si>
    <t xml:space="preserve">3.5</t>
  </si>
  <si>
    <t xml:space="preserve">Акт входного контроля 000000333 от 09.06.2024 22:36:53</t>
  </si>
  <si>
    <t xml:space="preserve">Годлевский Олег Владимирович</t>
  </si>
  <si>
    <t xml:space="preserve">А613МА</t>
  </si>
  <si>
    <t xml:space="preserve">Акт входного контроля 000000334 от 10.06.2024 5:50:30</t>
  </si>
  <si>
    <t xml:space="preserve">Баталов З.А.</t>
  </si>
  <si>
    <t xml:space="preserve">Т425ТХ</t>
  </si>
  <si>
    <t xml:space="preserve">Акт входного контроля 000000335 от 10.06.2024 5:52:35</t>
  </si>
  <si>
    <t xml:space="preserve">Акт входного контроля 000000336 от 10.06.2024 7:51:38</t>
  </si>
  <si>
    <t xml:space="preserve">Никитась С.А.</t>
  </si>
  <si>
    <t xml:space="preserve">Акт входного контроля 000000337 от 10.06.2024 9:37:07</t>
  </si>
  <si>
    <t xml:space="preserve">Пугачев С.В.</t>
  </si>
  <si>
    <t xml:space="preserve">Акт входного контроля 000000338 от 10.06.2024 11:18:11</t>
  </si>
  <si>
    <t xml:space="preserve">Акт входного контроля 000000339 от 10.06.2024 12:31:37</t>
  </si>
  <si>
    <t xml:space="preserve">Акт входного контроля 000000340 от 10.06.2024 15:13:11</t>
  </si>
  <si>
    <t xml:space="preserve">Акт входного контроля 000000341 от 10.06.2024 18:15:49</t>
  </si>
  <si>
    <t xml:space="preserve">Акт входного контроля 000000342 от 10.06.2024 18:17:37</t>
  </si>
  <si>
    <t xml:space="preserve">Акт входного контроля 000000343 от 10.06.2024 19:33:55</t>
  </si>
  <si>
    <t xml:space="preserve">Акт входного контроля 000000344 от 10.06.2024 19:39:50</t>
  </si>
  <si>
    <t xml:space="preserve">Акт входного контроля 000000345 от 10.06.2024 21:12:38</t>
  </si>
  <si>
    <t xml:space="preserve">Акт входного контроля 000000346 от 10.06.2024 23:21:27</t>
  </si>
  <si>
    <t xml:space="preserve">Донана</t>
  </si>
  <si>
    <t xml:space="preserve">Акт входного контроля 000000347 от 10.06.2024 23:27:11</t>
  </si>
  <si>
    <t xml:space="preserve">Акт входного контроля 000000348 от 10.06.2024 23:46:13</t>
  </si>
  <si>
    <t xml:space="preserve">Акт входного контроля 000000349 от 11.06.2024 2:40:18</t>
  </si>
  <si>
    <t xml:space="preserve">Акт входного контроля 000000350 от 11.06.2024 6:50:36</t>
  </si>
  <si>
    <t xml:space="preserve">Акт входного контроля 000000351 от 11.06.2024 7:49:25</t>
  </si>
  <si>
    <t xml:space="preserve">Акт входного контроля 000000352 от 11.06.2024 6:02:51</t>
  </si>
  <si>
    <t xml:space="preserve">Акт входного контроля 000000359 от 11.06.2024 7:05:17</t>
  </si>
  <si>
    <t xml:space="preserve">Акт входного контроля 000000360 от 11.06.2024 10:06:53</t>
  </si>
  <si>
    <t xml:space="preserve">Акт входного контроля 000000361 от 11.06.2024 10:21:32</t>
  </si>
  <si>
    <t xml:space="preserve">Акт входного контроля 000000368 от 11.06.2024 22:52:53</t>
  </si>
  <si>
    <t xml:space="preserve">Акт входного контроля 000000369 от 11.06.2024 23:42:20</t>
  </si>
  <si>
    <t xml:space="preserve">Акт входного контроля 000000370 от 12.06.2024 3:49:48</t>
  </si>
  <si>
    <t xml:space="preserve">Акт входного контроля 000000371 от 12.06.2024 4:10:03</t>
  </si>
  <si>
    <t xml:space="preserve">Акт входного контроля 000000372 от 12.06.2024 5:49:43</t>
  </si>
  <si>
    <t xml:space="preserve">Акт входного контроля 000000373 от 12.06.2024 11:55:32</t>
  </si>
  <si>
    <t xml:space="preserve">Акт входного контроля 000000374 от 12.06.2024 12:01:49</t>
  </si>
  <si>
    <t xml:space="preserve">Акт входного контроля 000000375 от 12.06.2024 12:07:56</t>
  </si>
  <si>
    <t xml:space="preserve">Акт входного контроля 000000376 от 12.06.2024 13:31:45</t>
  </si>
  <si>
    <t xml:space="preserve">Акт входного контроля 000000377 от 12.06.2024 13:46:23</t>
  </si>
  <si>
    <t xml:space="preserve">Акт входного контроля 000000378 от 12.06.2024 16:08:13</t>
  </si>
  <si>
    <t xml:space="preserve">Акт входного контроля 000000379 от 12.06.2024 18:28:52</t>
  </si>
  <si>
    <t xml:space="preserve">Акт входного контроля 000000380 от 12.06.2024 18:46:50</t>
  </si>
  <si>
    <t xml:space="preserve">Акт входного контроля 000000381 от 12.06.2024 20:51:24</t>
  </si>
  <si>
    <t xml:space="preserve">Акт входного контроля 000000382 от 12.06.2024 23:19:26</t>
  </si>
  <si>
    <t xml:space="preserve">Акт входного контроля 000000383 от 12.06.2024 23:43:58</t>
  </si>
  <si>
    <t xml:space="preserve">Кубаньагро-Фаста ООО</t>
  </si>
  <si>
    <t xml:space="preserve">9/2</t>
  </si>
  <si>
    <t xml:space="preserve">Акт входного контроля 000000384 от 12.06.2024 22:40:38</t>
  </si>
  <si>
    <t xml:space="preserve">Акт входного контроля 000000389 от 13.06.2024 9:09:33</t>
  </si>
  <si>
    <t xml:space="preserve">Акт входного контроля 000000385 от 13.06.2024 4:48:00</t>
  </si>
  <si>
    <t xml:space="preserve">Акт входного контроля 000000386 от 13.06.2024 5:23:02</t>
  </si>
  <si>
    <t xml:space="preserve">Акт входного контроля 000000387 от 13.06.2024 6:32:20</t>
  </si>
  <si>
    <t xml:space="preserve">Акт входного контроля 000000388 от 13.06.2024 7:43:29</t>
  </si>
  <si>
    <t xml:space="preserve">Акт входного контроля 000000390 от 13.06.2024 10:51:34</t>
  </si>
  <si>
    <t xml:space="preserve">Акт входного контроля 000000393 от 13.06.2024 11:28:28</t>
  </si>
  <si>
    <t xml:space="preserve">Акт входного контроля 000000416 от 13.06.2024 17:03:10</t>
  </si>
  <si>
    <t xml:space="preserve">Акт входного контроля 000000417 от 13.06.2024 17:45:48</t>
  </si>
  <si>
    <t xml:space="preserve">Акт входного контроля 000000418 от 13.06.2024 19:36:54</t>
  </si>
  <si>
    <t xml:space="preserve">Акт входного контроля 000000419 от 13.06.2024 20:28:23</t>
  </si>
  <si>
    <t xml:space="preserve">Акт входного контроля 000000420 от 13.06.2024 23:51:32</t>
  </si>
  <si>
    <t xml:space="preserve">Акт входного контроля 000000421 от 13.06.2024 21:53:32</t>
  </si>
  <si>
    <t xml:space="preserve">Акт входного контроля 000000422 от 13.06.2024 23:20:54</t>
  </si>
  <si>
    <t xml:space="preserve">Акт входного контроля 000000423 от 14.06.2024 4:59:49</t>
  </si>
  <si>
    <t xml:space="preserve">Акт входного контроля 000000424 от 14.06.2024 1:53:39</t>
  </si>
  <si>
    <t xml:space="preserve">Акт входного контроля 000000425 от 14.06.2024 7:46:46</t>
  </si>
  <si>
    <t xml:space="preserve">Акт входного контроля 000000426 от 14.06.2024 7:49:13</t>
  </si>
  <si>
    <t xml:space="preserve">10.5</t>
  </si>
  <si>
    <t xml:space="preserve">Акт входного контроля 000000427 от 14.06.2024 7:51:23</t>
  </si>
  <si>
    <t xml:space="preserve">Акт входного контроля 000000434 от 14.06.2024 13:29:20</t>
  </si>
  <si>
    <t xml:space="preserve">Акт входного контроля 000000435 от 14.06.2024 13:33:32</t>
  </si>
  <si>
    <t xml:space="preserve">Акт входного контроля 000000470 от 14.06.2024 15:26:19</t>
  </si>
  <si>
    <t xml:space="preserve">Акт входного контроля 000000473 от 14.06.2024 17:12:56</t>
  </si>
  <si>
    <t xml:space="preserve">Акт входного контроля 000000474 от 14.06.2024 20:02:30</t>
  </si>
  <si>
    <t xml:space="preserve">Акт входного контроля 000000475 от 14.06.2024 21:28:46</t>
  </si>
  <si>
    <t xml:space="preserve">Акт входного контроля 000000476 от 14.06.2024 23:23:16</t>
  </si>
  <si>
    <t xml:space="preserve">Акт входного контроля 000000477 от 14.06.2024 23:37:26</t>
  </si>
  <si>
    <t xml:space="preserve">Акт входного контроля 000000478 от 15.06.2024 1:46:18</t>
  </si>
  <si>
    <t xml:space="preserve">Акт входного контроля 000000479 от 15.06.2024 4:35:53</t>
  </si>
  <si>
    <t xml:space="preserve">Акт входного контроля 000000480 от 15.06.2024 10:16:23</t>
  </si>
  <si>
    <t xml:space="preserve">Акт входного контроля 000000481 от 15.06.2024 16:08:03</t>
  </si>
  <si>
    <t xml:space="preserve">Акт входного контроля 000000482 от 15.06.2024 16:20:35</t>
  </si>
  <si>
    <t xml:space="preserve">Акт входного контроля 000000483 от 15.06.2024 16:27:49</t>
  </si>
  <si>
    <t xml:space="preserve">Акт входного контроля 000000484 от 15.06.2024 10:44:50</t>
  </si>
  <si>
    <t xml:space="preserve">Акт входного контроля 000000485 от 16.06.2024 15:00:37</t>
  </si>
  <si>
    <t xml:space="preserve">4.3</t>
  </si>
  <si>
    <t xml:space="preserve">Акт входного контроля 000000486 от 16.06.2024 17:46:30</t>
  </si>
  <si>
    <t xml:space="preserve">Акт входного контроля 000000487 от 16.06.2024 18:38:12</t>
  </si>
  <si>
    <t xml:space="preserve">Акт входного контроля 000000488 от 16.06.2024 19:52:29</t>
  </si>
  <si>
    <t xml:space="preserve">Акт входного контроля 000000489 от 16.06.2024 22:50:25</t>
  </si>
  <si>
    <t xml:space="preserve">Акт входного контроля 000000490 от 16.06.2024 23:31:48</t>
  </si>
  <si>
    <t xml:space="preserve">Акт входного контроля 000000491 от 17.06.2024 2:13:19</t>
  </si>
  <si>
    <t xml:space="preserve">3.3</t>
  </si>
  <si>
    <t xml:space="preserve">Акт входного контроля 000000492 от 17.06.2024 6:15:00</t>
  </si>
  <si>
    <t xml:space="preserve">Джоф</t>
  </si>
  <si>
    <t xml:space="preserve">Акт входного контроля 000000493 от 17.06.2024 9:04:19</t>
  </si>
  <si>
    <t xml:space="preserve">Акт входного контроля 000000494 от 17.06.2024 11:22:16</t>
  </si>
  <si>
    <t xml:space="preserve">Акт входного контроля 000000495 от 18.06.2024 20:49:27</t>
  </si>
  <si>
    <t xml:space="preserve">Акт входного контроля 000000496 от 18.06.2024 22:50:27</t>
  </si>
  <si>
    <t xml:space="preserve">Акт входного контроля 000000497 от 18.06.2024 23:45:19</t>
  </si>
  <si>
    <t xml:space="preserve">Акт входного контроля 000000498 от 19.06.2024 3:07:47</t>
  </si>
  <si>
    <t xml:space="preserve">Акт входного контроля 000000499 от 19.06.2024 6:15:19</t>
  </si>
  <si>
    <t xml:space="preserve">2.1</t>
  </si>
  <si>
    <t xml:space="preserve">Бутано</t>
  </si>
  <si>
    <t xml:space="preserve">Акт входного контроля 000000500 от 19.06.2024 6:18:53</t>
  </si>
  <si>
    <t xml:space="preserve">Акт входного контроля 000000501 от 19.06.2024 9:51:58</t>
  </si>
  <si>
    <t xml:space="preserve">Акт входного контроля 000000502 от 19.06.2024 14:32:16</t>
  </si>
  <si>
    <t xml:space="preserve">Акт входного контроля 000000503 от 19.06.2024 22:28:42</t>
  </si>
  <si>
    <t xml:space="preserve">Акт входного контроля 000000504 от 19.06.2024 22:30:54</t>
  </si>
  <si>
    <t xml:space="preserve">Акт входного контроля 000000505 от 19.06.2024 20:52:24</t>
  </si>
  <si>
    <t xml:space="preserve">Акт входного контроля 000000506 от 19.06.2024 21:47:12</t>
  </si>
  <si>
    <t xml:space="preserve">Акт входного контроля 000000507 от 19.06.2024 2:30:38</t>
  </si>
  <si>
    <t xml:space="preserve">Акт входного контроля 000000508 от 20.06.2024 6:08:07</t>
  </si>
  <si>
    <t xml:space="preserve">Акт входного контроля 000000509 от 20.06.2024 6:24:29</t>
  </si>
  <si>
    <t xml:space="preserve">Акт входного контроля 000000510 от 20.06.2024 12:07:28</t>
  </si>
  <si>
    <t xml:space="preserve">Акт входного контроля 000000511 от 20.06.2024 18:34:11</t>
  </si>
  <si>
    <t xml:space="preserve">Акт входного контроля 000000512 от 20.06.2024 13:03:50</t>
  </si>
  <si>
    <t xml:space="preserve">Акт входного контроля 000000513 от 20.06.2024 18:38:20</t>
  </si>
  <si>
    <t xml:space="preserve">Акт входного контроля 000000514 от 20.06.2024 18:40:03</t>
  </si>
  <si>
    <t xml:space="preserve">Акт входного контроля 000000515 от 20.06.2024 23:27:16</t>
  </si>
  <si>
    <t xml:space="preserve">Акт входного контроля 000000516 от 20.06.2024 19:01:51</t>
  </si>
  <si>
    <t xml:space="preserve">Акт входного контроля 000000517 от 20.06.2024 20:38:50</t>
  </si>
  <si>
    <t xml:space="preserve">Акт входного контроля 000000518 от 20.06.2024 22:23:19</t>
  </si>
  <si>
    <t xml:space="preserve">Акт входного контроля 000000519 от 21.06.2024 6:01:07</t>
  </si>
  <si>
    <t xml:space="preserve">Акт входного контроля 000000520 от 21.06.2024 7:37:57</t>
  </si>
  <si>
    <t xml:space="preserve">Акт входного контроля 000000521 от 21.06.2024 9:46:52</t>
  </si>
  <si>
    <t xml:space="preserve">Акт входного контроля 000000522 от 21.06.2024 11:32:12</t>
  </si>
  <si>
    <t xml:space="preserve">Акт входного контроля 000000523 от 21.06.2024 16:40:23</t>
  </si>
  <si>
    <t xml:space="preserve">Акт входного контроля 000000524 от 21.06.2024 22:53:27</t>
  </si>
  <si>
    <t xml:space="preserve">Акт входного контроля 000000525 от 21.06.2024 19:32:03</t>
  </si>
  <si>
    <t xml:space="preserve">Акт входного контроля 000000526 от 21.06.2024 20:53:27</t>
  </si>
  <si>
    <t xml:space="preserve">Акт входного контроля 000000527 от 22.06.2024 16:51:30</t>
  </si>
  <si>
    <t xml:space="preserve">3.1</t>
  </si>
  <si>
    <t xml:space="preserve">Акт входного контроля 000000528 от 24.06.2024 10:09:54</t>
  </si>
  <si>
    <t xml:space="preserve">Акт входного контроля 000000529 от 24.06.2024 19:06:50</t>
  </si>
  <si>
    <t xml:space="preserve">Акт входного контроля 000000530 от 24.06.2024 19:16:42</t>
  </si>
  <si>
    <t xml:space="preserve">1.3</t>
  </si>
  <si>
    <t xml:space="preserve">Стандана</t>
  </si>
  <si>
    <t xml:space="preserve">Акт входного контроля 000000531 от 24.06.2024 19:30:40</t>
  </si>
  <si>
    <t xml:space="preserve">Акт входного контроля 000000532 от 24.06.2024 20:39:09</t>
  </si>
  <si>
    <t xml:space="preserve">Акт входного контроля 000000533 от 24.06.2024 21:44:38</t>
  </si>
  <si>
    <t xml:space="preserve">Акт входного контроля 000000534 от 25.06.2024 0:51:30</t>
  </si>
  <si>
    <t xml:space="preserve">Акт входного контроля 000000535 от 25.06.2024 9:36:32</t>
  </si>
  <si>
    <t xml:space="preserve">Акт входного контроля 000000536 от 25.06.2024 17:52:23</t>
  </si>
  <si>
    <t xml:space="preserve">Акт входного контроля 000000537 от 25.06.2024 16:27:50</t>
  </si>
  <si>
    <t xml:space="preserve">Акт входного контроля 000000538 от 25.06.2024 19:18:28</t>
  </si>
  <si>
    <t xml:space="preserve">Акт входного контроля 000000539 от 25.06.2024 19:56:34</t>
  </si>
  <si>
    <t xml:space="preserve">Акт входного контроля 000000540 от 25.06.2024 4:08:25</t>
  </si>
  <si>
    <t xml:space="preserve">1.4</t>
  </si>
  <si>
    <t xml:space="preserve">Акт входного контроля 000000541 от 26.06.2024 4:14:36</t>
  </si>
  <si>
    <t xml:space="preserve">Акт входного контроля 000000542 от 26.06.2024 7:44:53</t>
  </si>
  <si>
    <t xml:space="preserve">Акт входного контроля 000000543 от 26.06.2024 9:36:06</t>
  </si>
  <si>
    <t xml:space="preserve">Акт входного контроля 000000544 от 26.06.2024 15:29:40</t>
  </si>
  <si>
    <t xml:space="preserve">Акт входного контроля 000000545 от 26.06.2024 18:10:42</t>
  </si>
  <si>
    <t xml:space="preserve">Акт входного контроля 000000546 от 26.06.2024 21:33:36</t>
  </si>
  <si>
    <t xml:space="preserve">Акт входного контроля 000000547 от 26.06.2024 23:58:10</t>
  </si>
  <si>
    <t xml:space="preserve">Акт входного контроля 000000548 от 27.06.2024 3:01:41</t>
  </si>
  <si>
    <t xml:space="preserve">Акт входного контроля 000000549 от 27.06.2024 4:49:38</t>
  </si>
  <si>
    <t xml:space="preserve">Акт входного контроля 000000550 от 27.06.2024 9:23:28</t>
  </si>
  <si>
    <t xml:space="preserve">Акт входного контроля 000000551 от 27.06.2024 11:02:42</t>
  </si>
  <si>
    <t xml:space="preserve">Акт входного контроля 000000552 от 27.06.2024 15:28:37</t>
  </si>
  <si>
    <t xml:space="preserve">Акт входного контроля 000000553 от 27.06.2024 15:50:24</t>
  </si>
  <si>
    <t xml:space="preserve">Акт входного контроля 000000554 от 27.06.2024 19:40:42</t>
  </si>
  <si>
    <t xml:space="preserve">Акт входного контроля 000000555 от 27.06.2024 21:41:01</t>
  </si>
  <si>
    <t xml:space="preserve">Акт входного контроля 000000556 от 27.06.2024 21:52:20</t>
  </si>
  <si>
    <t xml:space="preserve">Акт входного контроля 000000557 от 28.06.2024 3:10:34</t>
  </si>
  <si>
    <t xml:space="preserve">Акт входного контроля 000000558 от 28.06.2024 5:18:01</t>
  </si>
  <si>
    <t xml:space="preserve">Акт входного контроля 000000559 от 28.06.2024 9:58:34</t>
  </si>
  <si>
    <t xml:space="preserve">Акт входного контроля 000000560 от 28.06.2024 15:11:57</t>
  </si>
  <si>
    <t xml:space="preserve">Акт входного контроля 000000561 от 28.06.2024 20:06:03</t>
  </si>
  <si>
    <t xml:space="preserve">Акт входного контроля 000000562 от 28.06.2024 20:05:57</t>
  </si>
  <si>
    <t xml:space="preserve">Акт входного контроля 000000563 от 28.06.2024 20:11:48</t>
  </si>
  <si>
    <t xml:space="preserve">Акт входного контроля 000000044 от 27.05.2025 18:45:07</t>
  </si>
  <si>
    <t xml:space="preserve">Акт входного контроля 000000045 от 27.05.2025 18:55:15</t>
  </si>
  <si>
    <t xml:space="preserve">Акт входного контроля 000000046 от 27.05.2025 18:12:14</t>
  </si>
  <si>
    <t xml:space="preserve">Акт входного контроля 000000047 от 28.05.2025 7:34:33</t>
  </si>
  <si>
    <t xml:space="preserve">Акт входного контроля 000000048 от 28.05.2025 13:21:12</t>
  </si>
  <si>
    <t xml:space="preserve">Акт входного контроля 000000052 от 28.05.2025 17:09:05</t>
  </si>
  <si>
    <t xml:space="preserve">Акт входного контроля 000000053 от 28.05.2025 17:13:08</t>
  </si>
  <si>
    <t xml:space="preserve">Акт входного контроля 000000054 от 28.05.2025 19:29:40</t>
  </si>
  <si>
    <t xml:space="preserve">Акт входного контроля 000000055 от 28.05.2025 22:06:53</t>
  </si>
  <si>
    <t xml:space="preserve">Акт входного контроля 000000056 от 28.05.2025 23:29:32</t>
  </si>
  <si>
    <t xml:space="preserve">Акт входного контроля 000000057 от 29.05.2025 9:14:34</t>
  </si>
  <si>
    <t xml:space="preserve">Акт входного контроля 000000058 от 29.05.2025 4:10:27</t>
  </si>
  <si>
    <t xml:space="preserve">Акт входного контроля 000000059 от 29.05.2025 5:52:59</t>
  </si>
  <si>
    <t xml:space="preserve">Акт входного контроля 000000072 от 29.05.2025 19:39:53</t>
  </si>
  <si>
    <t xml:space="preserve">Акт входного контроля 000000073 от 29.05.2025 19:59:18</t>
  </si>
  <si>
    <t xml:space="preserve">Акт входного контроля 000000074 от 31.05.2025 9:09:53</t>
  </si>
  <si>
    <t xml:space="preserve">Акт входного контроля 000000075 от 31.05.2025 10:10:45</t>
  </si>
  <si>
    <t xml:space="preserve">Акт входного контроля 000000076 от 31.05.2025 12:12:45</t>
  </si>
  <si>
    <t xml:space="preserve">Акт входного контроля 000000077 от 31.05.2025 15:05:03</t>
  </si>
  <si>
    <t xml:space="preserve">Акт входного контроля 000000078 от 31.05.2025 18:28:58</t>
  </si>
  <si>
    <t xml:space="preserve">Акт входного контроля 000000079 от 31.05.2025 19:28:06</t>
  </si>
  <si>
    <t xml:space="preserve">Акт входного контроля 000000080 от 31.05.2025 22:38:49</t>
  </si>
  <si>
    <t xml:space="preserve">Акт входного контроля 000000081 от 01.06.2025 1:45:14</t>
  </si>
  <si>
    <t xml:space="preserve">Акт входного контроля 000000082 от 01.06.2025 7:43:49</t>
  </si>
  <si>
    <t xml:space="preserve">Акт входного контроля 000000083 от 01.06.2025 7:41:16</t>
  </si>
  <si>
    <t xml:space="preserve">Акт входного контроля 000000084 от 01.06.2025 13:09:02</t>
  </si>
  <si>
    <t xml:space="preserve">Акт входного контроля 000000085 от 01.06.2025 16:38:06</t>
  </si>
  <si>
    <t xml:space="preserve">Акт входного контроля 000000086 от 01.06.2025 17:28:27</t>
  </si>
  <si>
    <t xml:space="preserve">Акт входного контроля 000000087 от 01.06.2025 18:55:59</t>
  </si>
  <si>
    <t xml:space="preserve">Акт входного контроля 000000088 от 01.06.2025 18:58:25</t>
  </si>
  <si>
    <t xml:space="preserve">Акт входного контроля 000000089 от 01.06.2025 19:45:59</t>
  </si>
  <si>
    <t xml:space="preserve">Акт входного контроля 000000090 от 01.06.2025 23:58:21</t>
  </si>
  <si>
    <t xml:space="preserve">Акт входного контроля 000000091 от 01.06.2025 21:02:54</t>
  </si>
  <si>
    <t xml:space="preserve">Акт входного контроля 000000092 от 01.06.2025 22:29:36</t>
  </si>
  <si>
    <t xml:space="preserve">Акт входного контроля 000000093 от 01.06.2025 21:52:23</t>
  </si>
  <si>
    <t xml:space="preserve">Акт входного контроля 000000094 от 01.06.2025 23:13:06</t>
  </si>
  <si>
    <t xml:space="preserve">Акт входного контроля 000000096 от 02.06.2025 9:27:29</t>
  </si>
  <si>
    <t xml:space="preserve">Акт входного контроля 000000097 от 02.06.2025 12:14:28</t>
  </si>
  <si>
    <t xml:space="preserve">Акт входного контроля 000000098 от 02.06.2025 13:11:34</t>
  </si>
  <si>
    <t xml:space="preserve">Акт входного контроля 000000099 от 02.06.2025 13:27:43</t>
  </si>
  <si>
    <t xml:space="preserve">Акт входного контроля 000000100 от 02.06.2025 13:46:32</t>
  </si>
  <si>
    <t xml:space="preserve">Акт входного контроля 000000101 от 02.06.2025 14:02:35</t>
  </si>
  <si>
    <t xml:space="preserve">Акт входного контроля 000000102 от 02.06.2025 16:16:07</t>
  </si>
  <si>
    <t xml:space="preserve">Акт входного контроля 000000103 от 02.06.2025 16:27:22</t>
  </si>
  <si>
    <t xml:space="preserve">Акт входного контроля 000000104 от 02.06.2025 17:40:49</t>
  </si>
  <si>
    <t xml:space="preserve">Акт входного контроля 000000105 от 02.06.2025 22:29:18</t>
  </si>
  <si>
    <t xml:space="preserve">Акт входного контроля 000000106 от 02.06.2025 22:35:44</t>
  </si>
  <si>
    <t xml:space="preserve">Акт входного контроля 000000107 от 02.06.2025 22:39:20</t>
  </si>
  <si>
    <t xml:space="preserve">Акт входного контроля 000000108 от 02.06.2025 23:14:33</t>
  </si>
  <si>
    <t xml:space="preserve">Акт входного контроля 000000109 от 02.06.2025 23:23:18</t>
  </si>
  <si>
    <t xml:space="preserve">Акт входного контроля 000000110 от 03.06.2025 4:16:18</t>
  </si>
  <si>
    <t xml:space="preserve">Акт входного контроля 000000111 от 03.06.2025 4:19:08</t>
  </si>
  <si>
    <t xml:space="preserve">Акт входного контроля 000000112 от 02.06.2025 13:55:19</t>
  </si>
  <si>
    <t xml:space="preserve">Акт входного контроля 000000113 от 02.06.2025 15:13:13</t>
  </si>
  <si>
    <t xml:space="preserve">Акт входного контроля 000000114 от 02.06.2025 16:30:02</t>
  </si>
  <si>
    <t xml:space="preserve">Акт входного контроля 000000115 от 02.06.2025 23:23:19</t>
  </si>
  <si>
    <t xml:space="preserve">Акт входного контроля 000000132 от 03.06.2025 15:56:54</t>
  </si>
  <si>
    <t xml:space="preserve">Акт входного контроля 000000136 от 03.06.2025 15:58:53</t>
  </si>
  <si>
    <t xml:space="preserve">Акт входного контроля 000000137 от 03.06.2025 16:36:44</t>
  </si>
  <si>
    <t xml:space="preserve">Акт входного контроля 000000138 от 03.06.2025 17:31:42</t>
  </si>
  <si>
    <t xml:space="preserve">Акт входного контроля 000000139 от 03.06.2025 19:03:43</t>
  </si>
  <si>
    <t xml:space="preserve">Акт входного контроля 000000140 от 03.06.2025 21:20:06</t>
  </si>
  <si>
    <t xml:space="preserve">Акт входного контроля 000000141 от 03.06.2025 21:38:29</t>
  </si>
  <si>
    <t xml:space="preserve">Акт входного контроля 000000142 от 03.06.2025 22:22:42</t>
  </si>
  <si>
    <t xml:space="preserve">Акт входного контроля 000000143 от 03.06.2025 21:53:33</t>
  </si>
  <si>
    <t xml:space="preserve">Акт входного контроля 000000144 от 03.06.2025 23:12:00</t>
  </si>
  <si>
    <t xml:space="preserve">Акт входного контроля 000000145 от 03.06.2025 23:52:03</t>
  </si>
  <si>
    <t xml:space="preserve">Акт входного контроля 000000146 от 04.06.2025 2:13:55</t>
  </si>
  <si>
    <t xml:space="preserve">Акт входного контроля 000000147 от 04.06.2025 4:04:52</t>
  </si>
  <si>
    <t xml:space="preserve">Акт входного контроля 000000148 от 04.06.2025 4:35:38</t>
  </si>
  <si>
    <t xml:space="preserve">Акт входного контроля 000000149 от 04.06.2025 5:28:16</t>
  </si>
  <si>
    <t xml:space="preserve">Акт входного контроля 000000150 от 04.06.2025 6:50:53</t>
  </si>
  <si>
    <t xml:space="preserve">Акт входного контроля 000000151 от 03.06.2025 2:10:36</t>
  </si>
  <si>
    <t xml:space="preserve">Акт входного контроля 000000152 от 03.06.2025 6:08:07</t>
  </si>
  <si>
    <t xml:space="preserve">Акт входного контроля 000000153 от 03.06.2025 5:48:22</t>
  </si>
  <si>
    <t xml:space="preserve">Акт входного контроля 000000154 от 03.06.2025 6:12:30</t>
  </si>
  <si>
    <t xml:space="preserve">Акт входного контроля 000000155 от 04.06.2025 12:14:16</t>
  </si>
  <si>
    <t xml:space="preserve">Акт входного контроля 000000156 от 04.06.2025 12:21:02</t>
  </si>
  <si>
    <t xml:space="preserve">Акт входного контроля 000000176 от 04.06.2025 16:53:23</t>
  </si>
  <si>
    <t xml:space="preserve">Акт входного контроля 000000177 от 04.06.2025 16:57:43</t>
  </si>
  <si>
    <t xml:space="preserve">Акт входного контроля 000000178 от 04.06.2025 17:23:13</t>
  </si>
  <si>
    <t xml:space="preserve">Акт входного контроля 000000179 от 04.06.2025 17:45:30</t>
  </si>
  <si>
    <t xml:space="preserve">Акт входного контроля 000000180 от 04.06.2025 20:04:54</t>
  </si>
  <si>
    <t xml:space="preserve">Акт входного контроля 000000181 от 04.06.2025 20:40:17</t>
  </si>
  <si>
    <t xml:space="preserve">Акт входного контроля 000000182 от 04.06.2025 21:28:41</t>
  </si>
  <si>
    <t xml:space="preserve">Акт входного контроля 000000183 от 04.06.2025 22:17:24</t>
  </si>
  <si>
    <t xml:space="preserve">Акт входного контроля 000000184 от 04.06.2025 23:42:59</t>
  </si>
  <si>
    <t xml:space="preserve">Акт входного контроля 000000185 от 04.06.2025 23:47:55</t>
  </si>
  <si>
    <t xml:space="preserve">Акт входного контроля 000000186 от 04.06.2025 1:23:02</t>
  </si>
  <si>
    <t xml:space="preserve">Акт входного контроля 000000187 от 05.06.2025 2:57:46</t>
  </si>
  <si>
    <t xml:space="preserve">Акт входного контроля 000000188 от 05.06.2025 3:09:26</t>
  </si>
  <si>
    <t xml:space="preserve">Акт входного контроля 000000189 от 05.06.2025 3:36:20</t>
  </si>
  <si>
    <t xml:space="preserve">Акт входного контроля 000000190 от 05.06.2025 5:14:37</t>
  </si>
  <si>
    <t xml:space="preserve">Акт входного контроля 000000191 от 05.06.2025 5:28:43</t>
  </si>
  <si>
    <t xml:space="preserve">Акт входного контроля 000000192 от 04.06.2025 9:26:25</t>
  </si>
  <si>
    <t xml:space="preserve">Акт входного контроля 000000193 от 04.06.2025 7:20:20</t>
  </si>
  <si>
    <t xml:space="preserve">Акт входного контроля 000000194 от 04.06.2025 0:18:55</t>
  </si>
  <si>
    <t xml:space="preserve">Акт входного контроля 000000195 от 04.06.2025 19:28:50</t>
  </si>
  <si>
    <t xml:space="preserve">Акт входного контроля 000000196 от 05.06.2025 10:52:52</t>
  </si>
  <si>
    <t xml:space="preserve">Акт входного контроля 000000197 от 03.06.2025 23:52:04</t>
  </si>
  <si>
    <t xml:space="preserve">Акт входного контроля 000000198 от 05.06.2025 11:16:47</t>
  </si>
  <si>
    <t xml:space="preserve">Акт входного контроля 000000199 от 05.06.2025 12:36:55</t>
  </si>
  <si>
    <t xml:space="preserve">Акт входного контроля 000000200 от 05.06.2025 12:50:10</t>
  </si>
  <si>
    <t xml:space="preserve">Акт входного контроля 000000201 от 04.06.2025 23:47:56</t>
  </si>
  <si>
    <t xml:space="preserve">Акт входного контроля 000000202 от 04.06.2025 23:47:57</t>
  </si>
  <si>
    <t xml:space="preserve">Акт входного контроля 000000203 от 04.06.2025 23:47:58</t>
  </si>
  <si>
    <t xml:space="preserve">Акт входного контроля 000000204 от 04.06.2025 23:47:59</t>
  </si>
  <si>
    <t xml:space="preserve">Акт входного контроля 000000205 от 05.06.2025 13:31:58</t>
  </si>
  <si>
    <t xml:space="preserve">Акт входного контроля 000000206 от 05.06.2025 14:25:19</t>
  </si>
  <si>
    <t xml:space="preserve">Акт входного контроля 000000207 от 04.06.2025 19:19:20</t>
  </si>
  <si>
    <t xml:space="preserve">Акт входного контроля 000000208 от 05.06.2025 16:03:37</t>
  </si>
  <si>
    <t xml:space="preserve">Акт входного контроля 000000209 от 05.06.2025 16:32:31</t>
  </si>
  <si>
    <t xml:space="preserve">Акт входного контроля 000000210 от 05.06.2025 18:03:23</t>
  </si>
  <si>
    <t xml:space="preserve">Акт входного контроля 000000211 от 05.06.2025 19:00:08</t>
  </si>
  <si>
    <t xml:space="preserve">Акт входного контроля 000000212 от 05.06.2025 22:17:38</t>
  </si>
  <si>
    <t xml:space="preserve">Акт входного контроля 000000213 от 05.06.2025 22:27:20</t>
  </si>
  <si>
    <t xml:space="preserve">Акт входного контроля 000000214 от 05.06.2025 17:31:06</t>
  </si>
  <si>
    <t xml:space="preserve">Акт входного контроля 000000215 от 05.06.2025 19:36:33</t>
  </si>
  <si>
    <t xml:space="preserve">Акт входного контроля 000000216 от 05.06.2025 21:02:41</t>
  </si>
  <si>
    <t xml:space="preserve">Акт входного контроля 000000217 от 05.06.2025 21:47:45</t>
  </si>
  <si>
    <t xml:space="preserve">Акт входного контроля 000000218 от 05.06.2025 22:38:50</t>
  </si>
  <si>
    <t xml:space="preserve">Акт входного контроля 000000219 от 06.06.2025 6:03:52</t>
  </si>
  <si>
    <t xml:space="preserve">Акт входного контроля 000000220 от 05.06.2025 0:30:29</t>
  </si>
  <si>
    <t xml:space="preserve">Акт входного контроля 000000221 от 05.06.2025 21:42:33</t>
  </si>
  <si>
    <t xml:space="preserve">Акт входного контроля 000000222 от 05.06.2025 10:17:34</t>
  </si>
  <si>
    <t xml:space="preserve">Акт входного контроля 000000223 от 05.06.2025 6:54:20</t>
  </si>
  <si>
    <t xml:space="preserve">Акт входного контроля 000000224 от 06.06.2025 10:09:13</t>
  </si>
  <si>
    <t xml:space="preserve">Акт входного контроля 000000225 от 06.06.2025 10:45:13</t>
  </si>
  <si>
    <t xml:space="preserve">Акт входного контроля 000000226 от 06.06.2025 11:44:43</t>
  </si>
  <si>
    <t xml:space="preserve">Акт входного контроля 000000227 от 06.06.2025 12:00:09</t>
  </si>
  <si>
    <t xml:space="preserve">Акт входного контроля 000000228 от 06.06.2025 13:11:34</t>
  </si>
  <si>
    <t xml:space="preserve">Акт входного контроля 000000229 от 06.06.2025 17:02:38</t>
  </si>
  <si>
    <t xml:space="preserve">Акт входного контроля 000000230 от 06.06.2025 17:18:13</t>
  </si>
  <si>
    <t xml:space="preserve">Акт входного контроля 000000231 от 06.06.2025 17:33:54</t>
  </si>
  <si>
    <t xml:space="preserve">Акт входного контроля 000000232 от 06.06.2025 17:41:24</t>
  </si>
  <si>
    <t xml:space="preserve">Акт входного контроля 000000233 от 06.06.2025 18:17:49</t>
  </si>
  <si>
    <t xml:space="preserve">Акт входного контроля 000000234 от 06.06.2025 19:17:25</t>
  </si>
  <si>
    <t xml:space="preserve">Акт входного контроля 000000235 от 06.06.2025 21:03:45</t>
  </si>
  <si>
    <t xml:space="preserve">Акт входного контроля 000000236 от 06.06.2025 21:58:36</t>
  </si>
  <si>
    <t xml:space="preserve">Акт входного контроля 000000237 от 06.06.2025 23:15:20</t>
  </si>
  <si>
    <t xml:space="preserve">Акт входного контроля 000000238 от 06.06.2025 22:31:41</t>
  </si>
  <si>
    <t xml:space="preserve">Акт входного контроля 000000239 от 07.06.2025 8:13:05</t>
  </si>
  <si>
    <t xml:space="preserve">Акт входного контроля 000000240 от 07.06.2025 8:24:42</t>
  </si>
  <si>
    <t xml:space="preserve">Акт входного контроля 000000241 от 07.06.2025 10:54:55</t>
  </si>
  <si>
    <t xml:space="preserve">Акт входного контроля 000000242 от 07.06.2025 11:02:14</t>
  </si>
  <si>
    <t xml:space="preserve">Акт входного контроля 000000243 от 07.06.2025 11:06:51</t>
  </si>
  <si>
    <t xml:space="preserve">Акт входного контроля 000000244 от 07.06.2025 11:17:31</t>
  </si>
  <si>
    <t xml:space="preserve">Акт входного контроля 000000245 от 07.06.2025 11:29:00</t>
  </si>
  <si>
    <t xml:space="preserve">Акт входного контроля 000000246 от 07.06.2025 11:55:06</t>
  </si>
  <si>
    <t xml:space="preserve">Акт входного контроля 000000247 от 07.06.2025 12:36:15</t>
  </si>
  <si>
    <t xml:space="preserve">Акт входного контроля 000000248 от 07.06.2025 13:40:18</t>
  </si>
  <si>
    <t xml:space="preserve">Акт входного контроля 000000249 от 07.06.2025 15:17:00</t>
  </si>
  <si>
    <t xml:space="preserve">Акт входного контроля 000000250 от 07.06.2025 18:30:59</t>
  </si>
  <si>
    <t xml:space="preserve">Акт входного контроля 000000251 от 07.06.2025 18:38:38</t>
  </si>
  <si>
    <t xml:space="preserve">Акт входного контроля 000000252 от 07.06.2025 18:41:19</t>
  </si>
  <si>
    <t xml:space="preserve">Акт входного контроля 000000253 от 07.06.2025 19:44:21</t>
  </si>
  <si>
    <t xml:space="preserve">Акт входного контроля 000000254 от 07.06.2025 22:29:10</t>
  </si>
  <si>
    <t xml:space="preserve">Акт входного контроля 000000255 от 07.06.2025 22:38:00</t>
  </si>
  <si>
    <t xml:space="preserve">Акт входного контроля 000000256 от 07.06.2025 22:48:36</t>
  </si>
  <si>
    <t xml:space="preserve">Акт входного контроля 000000257 от 07.06.2025 23:32:14</t>
  </si>
  <si>
    <t xml:space="preserve">Акт входного контроля 000000258 от 08.06.2025 2:01:47</t>
  </si>
  <si>
    <t xml:space="preserve">Акт входного контроля 000000259 от 08.06.2025 2:43:40</t>
  </si>
  <si>
    <t xml:space="preserve">Акт входного контроля 000000260 от 08.06.2025 1:10:54</t>
  </si>
  <si>
    <t xml:space="preserve">Акт входного контроля 000000261 от 08.06.2025 4:22:32</t>
  </si>
  <si>
    <t xml:space="preserve">Акт входного контроля 000000262 от 08.06.2025 8:24:51</t>
  </si>
  <si>
    <t xml:space="preserve">Акт входного контроля 000000263 от 08.06.2025 8:25:41</t>
  </si>
  <si>
    <t xml:space="preserve">Акт входного контроля 000000264 от 07.06.2025 16:48:55</t>
  </si>
  <si>
    <t xml:space="preserve">Акт входного контроля 000000265 от 08.06.2025 8:27:48</t>
  </si>
  <si>
    <t xml:space="preserve">Акт входного контроля 000000266 от 08.06.2025 8:29:29</t>
  </si>
  <si>
    <t xml:space="preserve">Акт входного контроля 000000267 от 08.06.2025 8:34:09</t>
  </si>
  <si>
    <t xml:space="preserve">Акт входного контроля 000000268 от 08.06.2025 11:05:56</t>
  </si>
  <si>
    <t xml:space="preserve">Акт входного контроля 000000269 от 08.06.2025 11:08:13</t>
  </si>
  <si>
    <t xml:space="preserve">Акт входного контроля 000000270 от 08.06.2025 12:54:11</t>
  </si>
  <si>
    <t xml:space="preserve">Акт входного контроля 000000271 от 08.06.2025 13:11:37</t>
  </si>
  <si>
    <t xml:space="preserve">Акт входного контроля 000000272 от 08.06.2025 14:40:55</t>
  </si>
  <si>
    <t xml:space="preserve">Акт входного контроля 000000273 от 08.06.2025 19:26:33</t>
  </si>
  <si>
    <t xml:space="preserve">Акт входного контроля 000000274 от 08.06.2025 19:28:39</t>
  </si>
  <si>
    <t xml:space="preserve">Акт входного контроля 000000275 от 08.06.2025 19:32:20</t>
  </si>
  <si>
    <t xml:space="preserve">Акт входного контроля 000000276 от 08.06.2025 19:34:30</t>
  </si>
  <si>
    <t xml:space="preserve">Акт входного контроля 000000277 от 08.06.2025 19:39:50</t>
  </si>
  <si>
    <t xml:space="preserve">Акт входного контроля 000000278 от 08.06.2025 20:47:28</t>
  </si>
  <si>
    <t xml:space="preserve">Акт входного контроля 000000279 от 08.06.2025 22:51:31</t>
  </si>
  <si>
    <t xml:space="preserve">Акт входного контроля 000000280 от 08.06.2025 22:54:04</t>
  </si>
  <si>
    <t xml:space="preserve">Акт входного контроля 000000281 от 08.06.2025 23:47:53</t>
  </si>
  <si>
    <t xml:space="preserve">Акт входного контроля 000000282 от 08.06.2025 23:52:18</t>
  </si>
  <si>
    <t xml:space="preserve">Акт входного контроля 000000283 от 08.06.2025 22:05:15</t>
  </si>
  <si>
    <t xml:space="preserve">Акт входного контроля 000000284 от 08.06.2025 23:55:55</t>
  </si>
  <si>
    <t xml:space="preserve">Акт входного контроля 000000285 от 09.06.2025 2:32:44</t>
  </si>
  <si>
    <t xml:space="preserve">Акт входного контроля 000000286 от 09.06.2025 4:39:11</t>
  </si>
  <si>
    <t xml:space="preserve">Акт входного контроля 000000287 от 09.06.2025 4:40:52</t>
  </si>
  <si>
    <t xml:space="preserve">Акт входного контроля 000000288 от 09.06.2025 5:39:49</t>
  </si>
  <si>
    <t xml:space="preserve">Акт входного контроля 000000289 от 09.06.2025 7:12:12</t>
  </si>
  <si>
    <t xml:space="preserve">Акт входного контроля 000000290 от 09.06.2025 8:23:51</t>
  </si>
  <si>
    <t xml:space="preserve">Акт входного контроля 000000291 от 06.06.2025 19:27:21</t>
  </si>
  <si>
    <t xml:space="preserve">Акт входного контроля 000000292 от 06.06.2025 21:52:47</t>
  </si>
  <si>
    <t xml:space="preserve">Акт входного контроля 000000293 от 06.06.2025 14:08:32</t>
  </si>
  <si>
    <t xml:space="preserve">Акт входного контроля 000000294 от 06.06.2025 14:32:02</t>
  </si>
  <si>
    <t xml:space="preserve">Акт входного контроля 000000295 от 06.06.2025 14:05:55</t>
  </si>
  <si>
    <t xml:space="preserve">Акт входного контроля 000000296 от 07.06.2025 11:08:44</t>
  </si>
  <si>
    <t xml:space="preserve">Акт входного контроля 000000297 от 07.06.2025 4:13:28</t>
  </si>
  <si>
    <t xml:space="preserve">Акт входного контроля 000000298 от 07.06.2025 18:26:05</t>
  </si>
  <si>
    <t xml:space="preserve">Акт входного контроля 000000299 от 09.06.2025 12:44:02</t>
  </si>
  <si>
    <t xml:space="preserve">Акт входного контроля 000000300 от 09.06.2025 12:47:41</t>
  </si>
  <si>
    <t xml:space="preserve">Акт входного контроля 000000301 от 09.06.2025 12:50:33</t>
  </si>
  <si>
    <t xml:space="preserve">Акт входного контроля 000000302 от 09.06.2025 12:52:40</t>
  </si>
  <si>
    <t xml:space="preserve">Акт входного контроля 000000303 от 09.06.2025 13:35:05</t>
  </si>
  <si>
    <t xml:space="preserve">Акт входного контроля 000000304 от 06.06.2025 23:15:21</t>
  </si>
  <si>
    <t xml:space="preserve">Акт входного контроля 000000305 от 06.06.2025 13:42:38</t>
  </si>
  <si>
    <t xml:space="preserve">Акт входного контроля 000000306 от 09.06.2025 16:46:56</t>
  </si>
  <si>
    <t xml:space="preserve">Акт входного контроля 000000307 от 09.06.2025 16:49:28</t>
  </si>
  <si>
    <t xml:space="preserve">Акт входного контроля 000000308 от 09.06.2025 17:22:55</t>
  </si>
  <si>
    <t xml:space="preserve">Акт входного контроля 000000309 от 09.06.2025 19:30:54</t>
  </si>
  <si>
    <t xml:space="preserve">Акт входного контроля 000000310 от 10.06.2025 7:22:41</t>
  </si>
  <si>
    <t xml:space="preserve">Акт входного контроля 000000311 от 10.06.2025 11:28:15</t>
  </si>
  <si>
    <t xml:space="preserve">Акт входного контроля 000000312 от 10.06.2025 11:56:47</t>
  </si>
  <si>
    <t xml:space="preserve">Акт входного контроля 000000313 от 10.06.2025 13:27:56</t>
  </si>
  <si>
    <t xml:space="preserve">Акт входного контроля 000000314 от 10.06.2025 13:46:46</t>
  </si>
  <si>
    <t xml:space="preserve">Акт входного контроля 000000315 от 10.06.2025 13:54:49</t>
  </si>
  <si>
    <t xml:space="preserve">Акт входного контроля 000000316 от 10.06.2025 16:36:31</t>
  </si>
  <si>
    <t xml:space="preserve">Акт входного контроля 000000317 от 10.06.2025 19:03:57</t>
  </si>
  <si>
    <t xml:space="preserve">Акт входного контроля 000000318 от 10.06.2025 19:14:30</t>
  </si>
  <si>
    <t xml:space="preserve">Акт входного контроля 000000319 от 10.06.2025 19:22:43</t>
  </si>
  <si>
    <t xml:space="preserve">Акт входного контроля 000000320 от 10.06.2025 19:35:33</t>
  </si>
  <si>
    <t xml:space="preserve">Акт входного контроля 000000321 от 10.06.2025 19:40:25</t>
  </si>
  <si>
    <t xml:space="preserve">Акт входного контроля 000000322 от 10.06.2025 20:50:26</t>
  </si>
  <si>
    <t xml:space="preserve">Акт входного контроля 000000323 от 10.06.2025 23:54:14</t>
  </si>
  <si>
    <t xml:space="preserve">Акт входного контроля 000000324 от 10.06.2025 21:43:31</t>
  </si>
  <si>
    <t xml:space="preserve">Акт входного контроля 000000325 от 10.06.2025 22:11:45</t>
  </si>
  <si>
    <t xml:space="preserve">Акт входного контроля 000000326 от 10.06.2025 22:17:27</t>
  </si>
  <si>
    <t xml:space="preserve">Акт входного контроля 000000327 от 10.06.2025 23:23:54</t>
  </si>
  <si>
    <t xml:space="preserve">Акт входного контроля 000000328 от 11.06.2025 4:25:20</t>
  </si>
  <si>
    <t xml:space="preserve">Акт входного контроля 000000329 от 11.06.2025 4:27:45</t>
  </si>
  <si>
    <t xml:space="preserve">Акт входного контроля 000000330 от 11.06.2025 5:50:06</t>
  </si>
  <si>
    <t xml:space="preserve">Акт входного контроля 000000331 от 10.06.2025 17:06:04</t>
  </si>
  <si>
    <t xml:space="preserve">Акт входного контроля 000000332 от 11.06.2025 8:55:15</t>
  </si>
  <si>
    <t xml:space="preserve">Акт входного контроля 000000333 от 11.06.2025 9:45:32</t>
  </si>
  <si>
    <t xml:space="preserve">Акт входного контроля 000000334 от 11.06.2025 11:56:59</t>
  </si>
  <si>
    <t xml:space="preserve">Акт входного контроля 000000335 от 11.06.2025 13:21:23</t>
  </si>
  <si>
    <t xml:space="preserve">Акт входного контроля 000000336 от 11.06.2025 13:35:51</t>
  </si>
  <si>
    <t xml:space="preserve">Акт входного контроля 000000337 от 11.06.2025 16:40:17</t>
  </si>
  <si>
    <t xml:space="preserve">Акт входного контроля 000000338 от 11.06.2025 16:41:52</t>
  </si>
  <si>
    <t xml:space="preserve">Акт входного контроля 000000339 от 11.06.2025 17:52:45</t>
  </si>
  <si>
    <t xml:space="preserve">Акт входного контроля 000000340 от 11.06.2025 18:49:51</t>
  </si>
  <si>
    <t xml:space="preserve">Акт входного контроля 000000341 от 11.06.2025 21:21:08</t>
  </si>
  <si>
    <t xml:space="preserve">Акт входного контроля 000000342 от 11.06.2025 21:50:57</t>
  </si>
  <si>
    <t xml:space="preserve">Акт входного контроля 000000343 от 12.06.2025 0:56:52</t>
  </si>
  <si>
    <t xml:space="preserve">Акт входного контроля 000000344 от 12.06.2025 2:17:59</t>
  </si>
  <si>
    <t xml:space="preserve">Акт входного контроля 000000345 от 12.06.2025 3:20:01</t>
  </si>
  <si>
    <t xml:space="preserve">Акт входного контроля 000000346 от 12.06.2025 5:43:33</t>
  </si>
  <si>
    <t xml:space="preserve">Акт входного контроля 000000347 от 12.06.2025 11:05:25</t>
  </si>
  <si>
    <t xml:space="preserve">Акт входного контроля 000000348 от 12.06.2025 11:18:16</t>
  </si>
  <si>
    <t xml:space="preserve">Акт входного контроля 000000349 от 12.06.2025 12:36:58</t>
  </si>
  <si>
    <t xml:space="preserve">Акт входного контроля 000000350 от 12.06.2025 13:30:44</t>
  </si>
  <si>
    <t xml:space="preserve">Акт входного контроля 000000351 от 12.06.2025 14:52:06</t>
  </si>
  <si>
    <t xml:space="preserve">Акт входного контроля 000000352 от 12.06.2025 16:02:25</t>
  </si>
  <si>
    <t xml:space="preserve">Акт входного контроля 000000353 от 12.06.2025 17:50:11</t>
  </si>
  <si>
    <t xml:space="preserve">Акт входного контроля 000000354 от 12.06.2025 18:45:11</t>
  </si>
  <si>
    <t xml:space="preserve">Акт входного контроля 000000355 от 12.06.2025 20:02:08</t>
  </si>
  <si>
    <t xml:space="preserve">Акт входного контроля 000000356 от 12.06.2025 21:19:07</t>
  </si>
  <si>
    <t xml:space="preserve">Акт входного контроля 000000357 от 12.06.2025 22:39:48</t>
  </si>
  <si>
    <t xml:space="preserve">Акт входного контроля 000000358 от 12.06.2025 22:46:26</t>
  </si>
  <si>
    <t xml:space="preserve">Акт входного контроля 000000359 от 12.06.2025 21:39:56</t>
  </si>
  <si>
    <t xml:space="preserve">Акт входного контроля 000000360 от 12.06.2025 21:52:30</t>
  </si>
  <si>
    <t xml:space="preserve">Акт входного контроля 000000361 от 12.06.2025 3:33:04</t>
  </si>
  <si>
    <t xml:space="preserve">Акт входного контроля 000000362 от 12.06.2025 5:04:49</t>
  </si>
  <si>
    <t xml:space="preserve">Акт входного контроля 000000363 от 13.06.2025 5:28:16</t>
  </si>
  <si>
    <t xml:space="preserve">Акт входного контроля 000000364 от 13.06.2025 6:42:38</t>
  </si>
  <si>
    <t xml:space="preserve">Акт входного контроля 000000365 от 12.06.2025 7:47:38</t>
  </si>
  <si>
    <t xml:space="preserve">Акт входного контроля 000000366 от 13.06.2025 10:32:29</t>
  </si>
  <si>
    <t xml:space="preserve">Акт входного контроля 000000367 от 13.06.2025 10:34:27</t>
  </si>
  <si>
    <t xml:space="preserve">Акт входного контроля 000000368 от 13.06.2025 12:24:13</t>
  </si>
  <si>
    <t xml:space="preserve">Акт входного контроля 000000369 от 13.06.2025 12:52:17</t>
  </si>
  <si>
    <t xml:space="preserve">Акт входного контроля 000000370 от 13.06.2025 14:18:46</t>
  </si>
  <si>
    <t xml:space="preserve">Акт входного контроля 000000371 от 13.06.2025 15:27:42</t>
  </si>
  <si>
    <t xml:space="preserve">Акт входного контроля 000000372 от 13.06.2025 15:29:38</t>
  </si>
  <si>
    <t xml:space="preserve">Акт входного контроля 000000373 от 13.06.2025 18:05:32</t>
  </si>
  <si>
    <t xml:space="preserve">Акт входного контроля 000000374 от 13.06.2025 18:07:44</t>
  </si>
  <si>
    <t xml:space="preserve">Акт входного контроля 000000375 от 13.06.2025 18:25:47</t>
  </si>
  <si>
    <t xml:space="preserve">Акт входного контроля 000000376 от 13.06.2025 20:24:26</t>
  </si>
  <si>
    <t xml:space="preserve">Акт входного контроля 000000377 от 13.06.2025 21:42:50</t>
  </si>
  <si>
    <t xml:space="preserve">Акт входного контроля 000000378 от 13.06.2025 22:04:27</t>
  </si>
  <si>
    <t xml:space="preserve">Акт входного контроля 000000379 от 13.06.2025 23:45:57</t>
  </si>
  <si>
    <t xml:space="preserve">Акт входного контроля 000000380 от 13.06.2025 23:11:17</t>
  </si>
  <si>
    <t xml:space="preserve">Акт входного контроля 000000381 от 14.06.2025 1:17:22</t>
  </si>
  <si>
    <t xml:space="preserve">Акт входного контроля 000000382 от 13.06.2025 22:25:11</t>
  </si>
  <si>
    <t xml:space="preserve">Акт входного контроля 000000383 от 14.06.2025 4:41:23</t>
  </si>
  <si>
    <t xml:space="preserve">Акт входного контроля 000000384 от 14.06.2025 5:31:04</t>
  </si>
  <si>
    <t xml:space="preserve">Акт входного контроля 000000385 от 14.06.2025 5:59:02</t>
  </si>
  <si>
    <t xml:space="preserve">Акт входного контроля 000000386 от 14.06.2025 9:45:55</t>
  </si>
  <si>
    <t xml:space="preserve">Акт входного контроля 000000387 от 14.06.2025 10:59:40</t>
  </si>
  <si>
    <t xml:space="preserve">Акт входного контроля 000000388 от 14.06.2025 12:09:42</t>
  </si>
  <si>
    <t xml:space="preserve">Акт входного контроля 000000389 от 14.06.2025 12:21:57</t>
  </si>
  <si>
    <t xml:space="preserve">Акт входного контроля 000000390 от 14.06.2025 7:47:52</t>
  </si>
  <si>
    <t xml:space="preserve">Акт входного контроля 000000391 от 14.06.2025 11:31:37</t>
  </si>
  <si>
    <t xml:space="preserve">Акт входного контроля 000000392 от 14.06.2025 15:41:44</t>
  </si>
  <si>
    <t xml:space="preserve">Акт входного контроля 000000393 от 14.06.2025 15:54:23</t>
  </si>
  <si>
    <t xml:space="preserve">Акт входного контроля 000000394 от 14.06.2025 16:11:03</t>
  </si>
  <si>
    <t xml:space="preserve">Акт входного контроля 000000395 от 14.06.2025 17:56:37</t>
  </si>
  <si>
    <t xml:space="preserve">Акт входного контроля 000000396 от 14.06.2025 18:54:15</t>
  </si>
  <si>
    <t xml:space="preserve">Акт входного контроля 000000397 от 14.06.2025 21:15:10</t>
  </si>
  <si>
    <t xml:space="preserve">Акт входного контроля 000000398 от 14.06.2025 21:26:30</t>
  </si>
  <si>
    <t xml:space="preserve">Акт входного контроля 000000399 от 14.06.2025 21:41:14</t>
  </si>
  <si>
    <t xml:space="preserve">Акт входного контроля 000000400 от 14.06.2025 23:21:55</t>
  </si>
  <si>
    <t xml:space="preserve">Акт входного контроля 000000401 от 14.06.2025 19:50:19</t>
  </si>
  <si>
    <t xml:space="preserve">Акт входного контроля 000000402 от 14.06.2025 20:37:22</t>
  </si>
  <si>
    <t xml:space="preserve">Акт входного контроля 000000403 от 14.06.2025 21:56:11</t>
  </si>
  <si>
    <t xml:space="preserve">Акт входного контроля 000000404 от 14.06.2025 22:30:21</t>
  </si>
  <si>
    <t xml:space="preserve">Акт входного контроля 000000405 от 15.06.2025 5:20:11</t>
  </si>
  <si>
    <t xml:space="preserve">Акт входного контроля 000000406 от 14.06.2025 23:49:46</t>
  </si>
  <si>
    <t xml:space="preserve">Акт входного контроля 000000407 от 15.06.2025 9:13:18</t>
  </si>
  <si>
    <t xml:space="preserve">Акт входного контроля 000000408 от 15.06.2025 13:21:10</t>
  </si>
  <si>
    <t xml:space="preserve">Акт входного контроля 000000409 от 15.06.2025 13:23:37</t>
  </si>
  <si>
    <t xml:space="preserve">Акт входного контроля 000000410 от 15.06.2025 13:26:56</t>
  </si>
  <si>
    <t xml:space="preserve">Акт входного контроля 000000411 от 15.06.2025 13:29:54</t>
  </si>
  <si>
    <t xml:space="preserve">Акт входного контроля 000000412 от 15.06.2025 15:08:20</t>
  </si>
  <si>
    <t xml:space="preserve">Акт входного контроля 000000413 от 15.06.2025 15:30:12</t>
  </si>
  <si>
    <t xml:space="preserve">Акт входного контроля 000000414 от 15.06.2025 15:45:09</t>
  </si>
  <si>
    <t xml:space="preserve">Акт входного контроля 000000415 от 15.06.2025 18:26:13</t>
  </si>
  <si>
    <t xml:space="preserve">Акт входного контроля 000000416 от 15.06.2025 18:29:32</t>
  </si>
  <si>
    <t xml:space="preserve">Акт входного контроля 000000417 от 15.06.2025 19:58:05</t>
  </si>
  <si>
    <t xml:space="preserve">Акт входного контроля 000000418 от 15.06.2025 21:11:13</t>
  </si>
  <si>
    <t xml:space="preserve">Акт входного контроля 000000419 от 15.06.2025 21:23:43</t>
  </si>
  <si>
    <t xml:space="preserve">Акт входного контроля 000000420 от 15.06.2025 23:30:42</t>
  </si>
  <si>
    <t xml:space="preserve">Акт входного контроля 000000421 от 15.06.2025 21:33:18</t>
  </si>
  <si>
    <t xml:space="preserve">Акт входного контроля 000000422 от 15.06.2025 21:52:28</t>
  </si>
  <si>
    <t xml:space="preserve">Акт входного контроля 000000423 от 15.06.2025 22:47:15</t>
  </si>
  <si>
    <t xml:space="preserve">Акт входного контроля 000000424 от 15.06.2025 23:40:01</t>
  </si>
  <si>
    <t xml:space="preserve">Акт входного контроля 000000425 от 16.06.2025 5:33:00</t>
  </si>
  <si>
    <t xml:space="preserve">Акт входного контроля 000000426 от 16.06.2025 6:26:48</t>
  </si>
  <si>
    <t xml:space="preserve">Акт входного контроля 000000427 от 16.06.2025 7:48:49</t>
  </si>
  <si>
    <t xml:space="preserve">Акт входного контроля 000000428 от 16.06.2025 9:33:06</t>
  </si>
  <si>
    <t xml:space="preserve">Акт входного контроля 000000429 от 16.06.2025 11:35:17</t>
  </si>
  <si>
    <t xml:space="preserve">Акт входного контроля 000000430 от 16.06.2025 13:00:48</t>
  </si>
  <si>
    <t xml:space="preserve">Акт входного контроля 000000431 от 16.06.2025 13:44:34</t>
  </si>
  <si>
    <t xml:space="preserve">Акт входного контроля 000000432 от 16.06.2025 14:02:15</t>
  </si>
  <si>
    <t xml:space="preserve">Акт входного контроля 000000434 от 16.06.2025 18:36:48</t>
  </si>
  <si>
    <t xml:space="preserve">Акт входного контроля 000000435 от 16.06.2025 18:39:05</t>
  </si>
  <si>
    <t xml:space="preserve">Акт входного контроля 000000436 от 16.06.2025 21:28:34</t>
  </si>
  <si>
    <t xml:space="preserve">Акт входного контроля 000000437 от 17.06.2025 3:00:58</t>
  </si>
  <si>
    <t xml:space="preserve">Акт входного контроля 000000438 от 17.06.2025 15:18:08</t>
  </si>
  <si>
    <t xml:space="preserve">Акт входного контроля 000000439 от 17.06.2025 15:38:05</t>
  </si>
  <si>
    <t xml:space="preserve">Акт входного контроля 000000440 от 17.06.2025 17:37:06</t>
  </si>
  <si>
    <t xml:space="preserve">Акт входного контроля 000000441 от 17.06.2025 18:13:04</t>
  </si>
  <si>
    <t xml:space="preserve">Акт входного контроля 000000442 от 17.06.2025 21:10:33</t>
  </si>
  <si>
    <t xml:space="preserve">Акт входного контроля 000000443 от 17.06.2025 22:41:13</t>
  </si>
  <si>
    <t xml:space="preserve">Акт входного контроля 000000444 от 17.06.2025 23:58:12</t>
  </si>
  <si>
    <t xml:space="preserve">Акт входного контроля 000000445 от 18.06.2025 4:47:24</t>
  </si>
  <si>
    <t xml:space="preserve">Акт входного контроля 000000446 от 18.06.2025 5:08:10</t>
  </si>
  <si>
    <t xml:space="preserve">Акт входного контроля 000000447 от 18.06.2025 5:45:01</t>
  </si>
  <si>
    <t xml:space="preserve">Акт входного контроля 000000448 от 18.06.2025 6:57:40</t>
  </si>
  <si>
    <t xml:space="preserve">Акт входного контроля 000000449 от 16.06.2025 15:35:29</t>
  </si>
  <si>
    <t xml:space="preserve">Акт входного контроля 000000450 от 16.06.2025 15:54:19</t>
  </si>
  <si>
    <t xml:space="preserve">Акт входного контроля 000000451 от 16.06.2025 19:21:53</t>
  </si>
  <si>
    <t xml:space="preserve">Акт входного контроля 000000452 от 16.06.2025 14:19:35</t>
  </si>
  <si>
    <t xml:space="preserve">Акт входного контроля 000000453 от 16.06.2025 19:14:11</t>
  </si>
  <si>
    <t xml:space="preserve">Акт входного контроля 000000454 от 18.06.2025 11:46:05</t>
  </si>
  <si>
    <t xml:space="preserve">Акт входного контроля 000000455 от 16.06.2025 12:10:14</t>
  </si>
  <si>
    <t xml:space="preserve">Акт входного контроля 000000456 от 16.06.2025 13:05:41</t>
  </si>
  <si>
    <t xml:space="preserve">Акт входного контроля 000000457 от 16.06.2025 16:07:34</t>
  </si>
  <si>
    <t xml:space="preserve">Акт входного контроля 000000458 от 18.06.2025 10:45:25</t>
  </si>
  <si>
    <t xml:space="preserve">Акт входного контроля 000000459 от 16.06.2025 14:39:26</t>
  </si>
  <si>
    <t xml:space="preserve">Акт входного контроля 000000460 от 16.06.2025 21:28:35</t>
  </si>
  <si>
    <t xml:space="preserve">Акт входного контроля 000000461 от 17.06.2025 21:28:36</t>
  </si>
  <si>
    <t xml:space="preserve">Акт входного контроля 000000462 от 18.06.2025 12:42:28</t>
  </si>
  <si>
    <t xml:space="preserve">Акт входного контроля 000000463 от 17.06.2025 23:58:13</t>
  </si>
  <si>
    <t xml:space="preserve">Акт входного контроля грин00001 от 17.06.2025 15:40:33</t>
  </si>
  <si>
    <t xml:space="preserve">Акт входного контроля грин00004 от 17.06.2025 23:58:14</t>
  </si>
  <si>
    <t xml:space="preserve">Акт входного контроля грин00005 от 17.06.2025 23:58:15</t>
  </si>
  <si>
    <t xml:space="preserve">Акт входного контроля грин00006 от 17.06.2025 23:58:16</t>
  </si>
  <si>
    <t xml:space="preserve">Акт входного контроля грин00007 от 17.06.2025 23:58:17</t>
  </si>
  <si>
    <t xml:space="preserve">Акт входного контроля грин00008 от 17.06.2025 23:58:18</t>
  </si>
  <si>
    <t xml:space="preserve">Акт входного контроля грин00009 от 18.06.2025 13:52:59</t>
  </si>
  <si>
    <t xml:space="preserve">Акт входного контроля грин00010 от 18.06.2025 15:44:40</t>
  </si>
  <si>
    <t xml:space="preserve">Акт входного контроля грин00011 от 18.06.2025 16:55:33</t>
  </si>
  <si>
    <t xml:space="preserve">Акт входного контроля грин00012 от 18.06.2025 19:39:17</t>
  </si>
  <si>
    <t xml:space="preserve">Акт входного контроля грин00013 от 18.06.2025 20:07:18</t>
  </si>
  <si>
    <t xml:space="preserve">Акт входного контроля грин00014 от 18.06.2025 21:27:16</t>
  </si>
  <si>
    <t xml:space="preserve">Акт входного контроля грин00015 от 18.06.2025 23:25:43</t>
  </si>
  <si>
    <t xml:space="preserve">Акт входного контроля грин00016 от 18.06.2025 23:38:57</t>
  </si>
  <si>
    <t xml:space="preserve">Акт входного контроля грин00017 от 18.06.2025 23:37:46</t>
  </si>
  <si>
    <t xml:space="preserve">Акт входного контроля грин00018 от 19.06.2025 2:02:01</t>
  </si>
  <si>
    <t xml:space="preserve">Акт входного контроля грин00019 от 19.06.2025 2:51:38</t>
  </si>
  <si>
    <t xml:space="preserve">Акт входного контроля грин00020 от 19.06.2025 3:50:04</t>
  </si>
  <si>
    <t xml:space="preserve">Акт входного контроля грин00021 от 19.06.2025 5:19:47</t>
  </si>
  <si>
    <t xml:space="preserve">Акт входного контроля грин00022 от 19.06.2025 6:03:27</t>
  </si>
  <si>
    <t xml:space="preserve">Акт входного контроля грин00023 от 19.06.2025 6:47:15</t>
  </si>
  <si>
    <t xml:space="preserve">Акт входного контроля грин00024 от 19.06.2025 10:08:21</t>
  </si>
  <si>
    <t xml:space="preserve">Акт входного контроля грин00025 от 19.06.2025 10:54:59</t>
  </si>
  <si>
    <t xml:space="preserve">Акт входного контроля грин00026 от 19.06.2025 12:12:39</t>
  </si>
  <si>
    <t xml:space="preserve">Акт входного контроля грин00027 от 19.06.2025 12:52:27</t>
  </si>
  <si>
    <t xml:space="preserve">Акт входного контроля грин00028 от 19.06.2025 13:47:10</t>
  </si>
  <si>
    <t xml:space="preserve">Акт входного контроля грин00029 от 19.06.2025 17:45:55</t>
  </si>
  <si>
    <t xml:space="preserve">Акт входного контроля грин00030 от 19.06.2025 18:15:38</t>
  </si>
  <si>
    <t xml:space="preserve">Акт входного контроля грин00031 от 19.06.2025 18:43:23</t>
  </si>
  <si>
    <t xml:space="preserve">Акт входного контроля грин00032 от 19.06.2025 19:59:54</t>
  </si>
  <si>
    <t xml:space="preserve">Акт входного контроля грин00033 от 19.06.2025 21:37:08</t>
  </si>
  <si>
    <t xml:space="preserve">Акт входного контроля грин00034 от 19.06.2025 22:05:32</t>
  </si>
  <si>
    <t xml:space="preserve">Акт входного контроля грин00035 от 19.06.2025 21:38:57</t>
  </si>
  <si>
    <t xml:space="preserve">Акт входного контроля грин00036 от 19.06.2025 22:30:45</t>
  </si>
  <si>
    <t xml:space="preserve">Акт входного контроля грин00037 от 19.06.2025 23:38:02</t>
  </si>
  <si>
    <t xml:space="preserve">Акт входного контроля грин00038 от 19.06.2025 23:05:38</t>
  </si>
  <si>
    <t xml:space="preserve">Акт входного контроля грин00039 от 20.06.2025 6:41:34</t>
  </si>
  <si>
    <t xml:space="preserve">Акт входного контроля грин00040 от 20.06.2025 7:53:46</t>
  </si>
  <si>
    <t xml:space="preserve">Акт входного контроля грин00041 от 20.06.2025 8:04:34</t>
  </si>
  <si>
    <t xml:space="preserve">Акт входного контроля грин00042 от 20.06.2025 10:36:36</t>
  </si>
  <si>
    <t xml:space="preserve">Акт входного контроля грин00043 от 20.06.2025 11:14:17</t>
  </si>
  <si>
    <t xml:space="preserve">Акт входного контроля грин00044 от 20.06.2025 13:27:20</t>
  </si>
  <si>
    <t xml:space="preserve">Акт входного контроля грин00045 от 20.06.2025 14:09:14</t>
  </si>
  <si>
    <t xml:space="preserve">Акт входного контроля грин00046 от 20.06.2025 17:16:58</t>
  </si>
  <si>
    <t xml:space="preserve">Акт входного контроля грин00047 от 20.06.2025 17:24:06</t>
  </si>
  <si>
    <t xml:space="preserve">Акт входного контроля грин00048 от 20.06.2025 18:23:21</t>
  </si>
  <si>
    <t xml:space="preserve">Акт входного контроля грин00049 от 20.06.2025 20:42:45</t>
  </si>
  <si>
    <t xml:space="preserve">Акт входного контроля грин00050 от 20.06.2025 21:06:24</t>
  </si>
  <si>
    <t xml:space="preserve">Акт входного контроля грин00051 от 20.06.2025 21:37:19</t>
  </si>
  <si>
    <t xml:space="preserve">Акт входного контроля грин00052 от 20.06.2025 22:54:14</t>
  </si>
  <si>
    <t xml:space="preserve">Акт входного контроля грин00053 от 20.06.2025 16:45:16</t>
  </si>
  <si>
    <t xml:space="preserve">Акт входного контроля грин00054 от 20.06.2025 18:31:52</t>
  </si>
  <si>
    <t xml:space="preserve">Акт входного контроля грин00055 от 20.06.2025 23:40:29</t>
  </si>
  <si>
    <t xml:space="preserve">Акт входного контроля грин00056 от 21.06.2025 2:26:41</t>
  </si>
  <si>
    <t xml:space="preserve">Акт входного контроля грин00057 от 21.06.2025 3:40:40</t>
  </si>
  <si>
    <t xml:space="preserve">Акт входного контроля грин00058 от 21.06.2025 4:56:50</t>
  </si>
  <si>
    <t xml:space="preserve">Акт входного контроля грин00059 от 21.06.2025 7:41:07</t>
  </si>
  <si>
    <t xml:space="preserve">Акт входного контроля грин00060 от 21.06.2025 9:20:01</t>
  </si>
  <si>
    <t xml:space="preserve">Акт входного контроля грин00061 от 21.06.2025 10:22:07</t>
  </si>
  <si>
    <t xml:space="preserve">Акт входного контроля грин00062 от 21.06.2025 10:24:13</t>
  </si>
  <si>
    <t xml:space="preserve">Акт входного контроля грин00063 от 21.06.2025 12:49:22</t>
  </si>
  <si>
    <t xml:space="preserve">Акт входного контроля грин00064 от 21.06.2025 16:10:54</t>
  </si>
  <si>
    <t xml:space="preserve">Акт входного контроля грин00065 от 21.06.2025 16:12:52</t>
  </si>
  <si>
    <t xml:space="preserve">Акт входного контроля грин00066 от 21.06.2025 16:14:55</t>
  </si>
  <si>
    <t xml:space="preserve">Акт входного контроля грин00067 от 22.06.2025 7:21:08</t>
  </si>
  <si>
    <t xml:space="preserve">Акт входного контроля грин00068 от 22.06.2025 9:51:13</t>
  </si>
  <si>
    <t xml:space="preserve">Акт входного контроля грин00069 от 22.06.2025 9:53:02</t>
  </si>
  <si>
    <t xml:space="preserve">Акт входного контроля грин00070 от 22.06.2025 13:07:29</t>
  </si>
  <si>
    <t xml:space="preserve">Акт входного контроля грин00071 от 22.06.2025 14:26:18</t>
  </si>
  <si>
    <t xml:space="preserve">Акт входного контроля грин00072 от 22.06.2025 14:28:07</t>
  </si>
  <si>
    <t xml:space="preserve">Акт входного контроля грин00073 от 22.06.2025 14:43:41</t>
  </si>
  <si>
    <t xml:space="preserve">Акт входного контроля грин00074 от 22.06.2025 18:09:10</t>
  </si>
  <si>
    <t xml:space="preserve">Акт входного контроля грин00075 от 22.06.2025 18:11:37</t>
  </si>
  <si>
    <t xml:space="preserve">Акт входного контроля грин00076 от 22.06.2025 17:15:46</t>
  </si>
  <si>
    <t xml:space="preserve">Акт входного контроля грин00077 от 22.06.2025 19:50:38</t>
  </si>
  <si>
    <t xml:space="preserve">Акт входного контроля грин00078 от 22.06.2025 19:54:07</t>
  </si>
  <si>
    <t xml:space="preserve">Акт входного контроля грин00079 от 22.06.2025 21:08:08</t>
  </si>
  <si>
    <t xml:space="preserve">Акт входного контроля грин00080 от 22.06.2025 23:56:58</t>
  </si>
  <si>
    <t xml:space="preserve">Акт входного контроля грин00081 от 22.06.2025 23:23:52</t>
  </si>
  <si>
    <t xml:space="preserve">Акт входного контроля грин00082 от 23.06.2025 2:14:20</t>
  </si>
  <si>
    <t xml:space="preserve">Акт входного контроля грин00083 от 23.06.2025 2:17:06</t>
  </si>
  <si>
    <t xml:space="preserve">Акт входного контроля грин00084 от 23.06.2025 4:35:02</t>
  </si>
  <si>
    <t xml:space="preserve">Акт входного контроля грин00085 от 23.06.2025 4:37:29</t>
  </si>
  <si>
    <t xml:space="preserve">Акт входного контроля грин00086 от 23.06.2025 5:38:36</t>
  </si>
  <si>
    <t xml:space="preserve">Акт входного контроля грин00087 от 23.06.2025 7:44:57</t>
  </si>
  <si>
    <t xml:space="preserve">Акт входного контроля грин00088 от 23.06.2025 8:54:24</t>
  </si>
  <si>
    <t xml:space="preserve">Акт входного контроля грин00089 от 23.06.2025 9:50:52</t>
  </si>
  <si>
    <t xml:space="preserve">Акт входного контроля грин00090 от 23.06.2025 11:04:53</t>
  </si>
  <si>
    <t xml:space="preserve">Акт входного контроля грин00091 от 23.06.2025 13:12:02</t>
  </si>
  <si>
    <t xml:space="preserve">Акт входного контроля грин00093 от 20.06.2025 23:40:30</t>
  </si>
  <si>
    <t xml:space="preserve">Акт входного контроля грин00094 от 20.06.2025 23:40:31</t>
  </si>
  <si>
    <t xml:space="preserve">Акт входного контроля грин00095 от 20.06.2025 23:40:32</t>
  </si>
  <si>
    <t xml:space="preserve">Акт входного контроля грин00096 от 23.06.2025 14:56:11</t>
  </si>
  <si>
    <t xml:space="preserve">Акт входного контроля грин00097 от 23.06.2025 16:28:29</t>
  </si>
  <si>
    <t xml:space="preserve">Акт входного контроля грин00098 от 23.06.2025 18:01:38</t>
  </si>
  <si>
    <t xml:space="preserve">Акт входного контроля грин00099 от 23.06.2025 19:36:07</t>
  </si>
  <si>
    <t xml:space="preserve">Акт входного контроля грин00100 от 23.06.2025 19:57:00</t>
  </si>
  <si>
    <t xml:space="preserve">Акт входного контроля грин00101 от 23.06.2025 22:52:14</t>
  </si>
  <si>
    <t xml:space="preserve">Акт входного контроля грин00102 от 23.06.2025 22:22:12</t>
  </si>
  <si>
    <t xml:space="preserve">Акт входного контроля грин00138 от 24.06.2025 19:39:49</t>
  </si>
  <si>
    <t xml:space="preserve">Акт входного контроля грин00139 от 24.06.2025 20:22:59</t>
  </si>
  <si>
    <t xml:space="preserve">Акт входного контроля грин00140 от 24.06.2025 20:25:19</t>
  </si>
  <si>
    <t xml:space="preserve">Акт входного контроля грин00141 от 24.06.2025 20:59:45</t>
  </si>
  <si>
    <t xml:space="preserve">Акт входного контроля грин00142 от 24.06.2025 21:50:23</t>
  </si>
  <si>
    <t xml:space="preserve">Акт входного контроля грин00143 от 24.06.2025 22:48:44</t>
  </si>
  <si>
    <t xml:space="preserve">Акт входного контроля грин00144 от 24.06.2025 22:56:58</t>
  </si>
  <si>
    <t xml:space="preserve">Акт входного контроля грин00145 от 24.06.2025 23:58:15</t>
  </si>
  <si>
    <t xml:space="preserve">Акт входного контроля грин00146 от 25.06.2025 1:45:00</t>
  </si>
  <si>
    <t xml:space="preserve">Акт входного контроля грин00147 от 25.06.2025 2:18:51</t>
  </si>
  <si>
    <t xml:space="preserve">Акт входного контроля грин00148 от 25.06.2025 3:30:38</t>
  </si>
  <si>
    <t xml:space="preserve">Акт входного контроля грин00149 от 25.06.2025 4:37:44</t>
  </si>
  <si>
    <t xml:space="preserve">Акт входного контроля грин00150 от 25.06.2025 5:33:53</t>
  </si>
  <si>
    <t xml:space="preserve">Акт входного контроля грин00151 от 25.06.2025 7:36:21</t>
  </si>
  <si>
    <t xml:space="preserve">Акт входного контроля грин00152 от 25.06.2025 7:28:08</t>
  </si>
  <si>
    <t xml:space="preserve">Акт входного контроля грин00153 от 25.06.2025 8:48:49</t>
  </si>
  <si>
    <t xml:space="preserve">Акт входного контроля грин00162 от 25.06.2025 11:58:47</t>
  </si>
  <si>
    <t xml:space="preserve">Акт входного контроля грин00163 от 25.06.2025 12:13:20</t>
  </si>
  <si>
    <t xml:space="preserve">Акт входного контроля грин00165 от 28.06.2025 8:51:06</t>
  </si>
  <si>
    <t xml:space="preserve">Акт входного контроля грин00166 от 28.06.2025 14:07:38</t>
  </si>
  <si>
    <t xml:space="preserve">Акт входного контроля грин00167 от 28.06.2025 13:46:13</t>
  </si>
  <si>
    <t xml:space="preserve">Акт входного контроля грин00168 от 28.06.2025 18:24:24</t>
  </si>
  <si>
    <t xml:space="preserve">Акт входного контроля грин00169 от 28.06.2025 18:43:52</t>
  </si>
  <si>
    <t xml:space="preserve">Акт входного контроля грин00170 от 28.06.2025 19:50:38</t>
  </si>
  <si>
    <t xml:space="preserve">Акт входного контроля грин00171 от 29.06.2025 20:21:37</t>
  </si>
  <si>
    <t xml:space="preserve">Акт входного контроля грин00172 от 29.06.2025 20:23:19</t>
  </si>
  <si>
    <t xml:space="preserve">Акт входного контроля грин00173 от 29.06.2025 23:21:43</t>
  </si>
  <si>
    <t xml:space="preserve">Акт входного контроля грин00174 от 29.06.2025 21:14:13</t>
  </si>
  <si>
    <t xml:space="preserve">Акт входного контроля грин00175 от 29.06.2025 22:47:04</t>
  </si>
  <si>
    <t xml:space="preserve">Акт входного контроля грин00176 от 29.06.2025 22:57:42</t>
  </si>
  <si>
    <t xml:space="preserve">Акт входного контроля грин00177 от 30.06.2025 7:15:52</t>
  </si>
  <si>
    <t xml:space="preserve">Акт входного контроля грин00182 от 29.06.2025 17:33:03</t>
  </si>
  <si>
    <t xml:space="preserve">Акт входного контроля грин00183 от 29.06.2025 13:50:07</t>
  </si>
  <si>
    <t xml:space="preserve">Акт входного контроля грин00184 от 30.06.2025 15:10:01</t>
  </si>
  <si>
    <t xml:space="preserve">Акт входного контроля грин00185 от 30.06.2025 13:14:40</t>
  </si>
  <si>
    <t xml:space="preserve">Акт входного контроля грин00186 от 30.06.2025 1:06:07</t>
  </si>
  <si>
    <t xml:space="preserve">Акт входного контроля грин00187 от 01.07.2025 20:27:39</t>
  </si>
  <si>
    <t xml:space="preserve">Акт входного контроля грин00188 от 01.07.2025 20:02:46</t>
  </si>
  <si>
    <t xml:space="preserve">Акт входного контроля грин00189 от 01.07.2025 20:50:50</t>
  </si>
  <si>
    <t xml:space="preserve">Акт входного контроля грин00190 от 01.07.2025 22:28:02</t>
  </si>
  <si>
    <t xml:space="preserve">Акт входного контроля грин00191 от 01.07.2025 23:42:56</t>
  </si>
  <si>
    <t xml:space="preserve">Акт входного контроля грин00192 от 02.07.2025 3:32:16</t>
  </si>
  <si>
    <t xml:space="preserve">Акт входного контроля грин00193 от 02.07.2025 5:56:49</t>
  </si>
  <si>
    <t xml:space="preserve">Акт входного контроля грин00194 от 02.07.2025 9:11:23</t>
  </si>
  <si>
    <t xml:space="preserve">Акт входного контроля грин00195 от 02.07.2025 9:13:26</t>
  </si>
  <si>
    <t xml:space="preserve">Акт входного контроля грин00196 от 02.07.2025 12:52:25</t>
  </si>
  <si>
    <t xml:space="preserve">Акт входного контроля грин00197 от 02.07.2025 14:09:25</t>
  </si>
  <si>
    <t xml:space="preserve">Акт входного контроля грин00198 от 02.07.2025 14:14:04</t>
  </si>
  <si>
    <t xml:space="preserve">Акт входного контроля грин00199 от 02.07.2025 14:17:55</t>
  </si>
  <si>
    <t xml:space="preserve">Акт входного контроля грин00200 от 02.07.2025 16:49:06</t>
  </si>
  <si>
    <t xml:space="preserve">Акт входного контроля грин00201 от 02.07.2025 16:52:24</t>
  </si>
  <si>
    <t xml:space="preserve">Акт входного контроля грин00203 от 02.07.2025 18:13:29</t>
  </si>
  <si>
    <t xml:space="preserve">Акт входного контроля грин00204 от 02.07.2025 20:15:10</t>
  </si>
  <si>
    <t xml:space="preserve">Акт входного контроля грин00205 от 02.07.2025 20:50:44</t>
  </si>
  <si>
    <t xml:space="preserve">Акт входного контроля грин00206 от 02.07.2025 22:13:53</t>
  </si>
  <si>
    <t xml:space="preserve">Акт входного контроля грин00207 от 02.07.2025 23:01:23</t>
  </si>
  <si>
    <t xml:space="preserve">Акт входного контроля грин00208 от 02.07.2025 22:26:19</t>
  </si>
  <si>
    <t xml:space="preserve">Акт входного контроля грин00209 от 02.07.2025 23:20:57</t>
  </si>
  <si>
    <t xml:space="preserve">Акт входного контроля грин00210 от 03.07.2025 2:57:48</t>
  </si>
  <si>
    <t xml:space="preserve">Акт входного контроля грин00211 от 03.07.2025 3:52:01</t>
  </si>
  <si>
    <t xml:space="preserve">Акт входного контроля грин00212 от 03.07.2025 6:17:31</t>
  </si>
  <si>
    <t xml:space="preserve">Акт входного контроля грин00213 от 03.07.2025 9:00:56</t>
  </si>
  <si>
    <t xml:space="preserve">Акт входного контроля грин00214 от 03.07.2025 9:19:30</t>
  </si>
  <si>
    <t xml:space="preserve">Акт входного контроля грин00215 от 03.07.2025 10:27:41</t>
  </si>
  <si>
    <t xml:space="preserve">Акт входного контроля грин00216 от 03.07.2025 15:44:34</t>
  </si>
  <si>
    <t xml:space="preserve">Акт входного контроля грин00217 от 03.07.2025 15:51:59</t>
  </si>
  <si>
    <t xml:space="preserve">Акт входного контроля грин00218 от 03.07.2025 17:59:04</t>
  </si>
  <si>
    <t xml:space="preserve">Акт входного контроля грин00219 от 03.07.2025 18:11:55</t>
  </si>
  <si>
    <t xml:space="preserve">Акт входного контроля грин00220 от 03.07.2025 21:14:39</t>
  </si>
  <si>
    <t xml:space="preserve">Акт входного контроля грин00221 от 03.07.2025 21:17:29</t>
  </si>
  <si>
    <t xml:space="preserve">Акт входного контроля грин00222 от 03.07.2025 21:53:05</t>
  </si>
  <si>
    <t xml:space="preserve">Акт входного контроля грин00223 от 03.07.2025 23:17:42</t>
  </si>
  <si>
    <t xml:space="preserve">Акт входного контроля грин00224 от 04.07.2025 3:34:51</t>
  </si>
  <si>
    <t xml:space="preserve">Акт входного контроля грин00225 от 04.07.2025 3:37:10</t>
  </si>
  <si>
    <t xml:space="preserve">Акт входного контроля грин00226 от 04.07.2025 9:25:26</t>
  </si>
  <si>
    <t xml:space="preserve">Акт входного контроля грин00227 от 04.07.2025 9:47:17</t>
  </si>
  <si>
    <t xml:space="preserve">Акт входного контроля грин00228 от 04.07.2025 9:50:33</t>
  </si>
  <si>
    <t xml:space="preserve">Акт входного контроля грин00229 от 04.07.2025 11:26:10</t>
  </si>
  <si>
    <t xml:space="preserve">Акт входного контроля грин00230 от 04.07.2025 12:04:49</t>
  </si>
  <si>
    <t xml:space="preserve">Акт входного контроля грин00231 от 04.07.2025 13:48:09</t>
  </si>
  <si>
    <t xml:space="preserve">Акт входного контроля грин00232 от 04.07.2025 15:20:46</t>
  </si>
  <si>
    <t xml:space="preserve">Акт входного контроля грин00233 от 04.07.2025 16:30:24</t>
  </si>
  <si>
    <t xml:space="preserve">Акт входного контроля грин00234 от 04.07.2025 17:57:51</t>
  </si>
  <si>
    <t xml:space="preserve">Акт входного контроля грин00235 от 04.07.2025 19:24:49</t>
  </si>
  <si>
    <t xml:space="preserve">Акт входного контроля грин00236 от 04.07.2025 21:23:06</t>
  </si>
  <si>
    <t xml:space="preserve">Акт входного контроля грин00237 от 04.07.2025 22:24:47</t>
  </si>
  <si>
    <t xml:space="preserve">Акт входного контроля грин00238 от 04.07.2025 22:30:22</t>
  </si>
  <si>
    <t xml:space="preserve">Акт входного контроля грин00239 от 04.07.2025 21:31:25</t>
  </si>
  <si>
    <t xml:space="preserve">Акт входного контроля грин00240 от 04.07.2025 22:00:00</t>
  </si>
  <si>
    <t xml:space="preserve">Акт входного контроля грин00241 от 05.07.2025 6:08:47</t>
  </si>
  <si>
    <t xml:space="preserve">Акт входного контроля грин00242 от 05.07.2025 8:06:00</t>
  </si>
  <si>
    <t xml:space="preserve">Акт входного контроля грин00243 от 05.07.2025 17:41:39</t>
  </si>
  <si>
    <t xml:space="preserve">Акт входного контроля грин00244 от 05.07.2025 17:43:15</t>
  </si>
  <si>
    <t xml:space="preserve">Акт входного контроля грин00245 от 05.07.2025 20:34:47</t>
  </si>
  <si>
    <t xml:space="preserve">Акт входного контроля грин00246 от 05.07.2025 23:57:29</t>
  </si>
  <si>
    <t xml:space="preserve">Акт входного контроля грин00247 от 06.07.2025 1:44:07</t>
  </si>
  <si>
    <t xml:space="preserve">Акт входного контроля грин00248 от 06.07.2025 3:25:36</t>
  </si>
  <si>
    <t xml:space="preserve">Акт входного контроля грин00249 от 06.07.2025 4:47:33</t>
  </si>
  <si>
    <t xml:space="preserve">Акт входного контроля грин00250 от 06.07.2025 6:38:38</t>
  </si>
  <si>
    <t xml:space="preserve">Акт входного контроля грин00251 от 06.07.2025 10:06:47</t>
  </si>
  <si>
    <t xml:space="preserve">Акт входного контроля грин00252 от 06.07.2025 11:49:56</t>
  </si>
  <si>
    <t xml:space="preserve">Акт входного контроля грин00253 от 06.07.2025 13:45:04</t>
  </si>
  <si>
    <t xml:space="preserve">Акт входного контроля грин00254 от 06.07.2025 15:40:00</t>
  </si>
  <si>
    <t xml:space="preserve">Акт входного контроля грин00255 от 06.07.2025 17:34:45</t>
  </si>
  <si>
    <t xml:space="preserve">Акт входного контроля грин00256 от 06.07.2025 19:22:13</t>
  </si>
  <si>
    <t xml:space="preserve">Акт входного контроля грин00257 от 06.07.2025 21:40:47</t>
  </si>
  <si>
    <t xml:space="preserve">Акт входного контроля грин00258 от 06.07.2025 22:59:39</t>
  </si>
  <si>
    <t xml:space="preserve">Акт входного контроля грин00259 от 06.07.2025 17:54:38</t>
  </si>
  <si>
    <t xml:space="preserve">Акт входного контроля грин00260 от 06.07.2025 18:49:26</t>
  </si>
  <si>
    <t xml:space="preserve">Акт входного контроля грин00261 от 06.07.2025 20:43:53</t>
  </si>
  <si>
    <t xml:space="preserve">Акт входного контроля грин00262 от 06.07.2025 22:20:13</t>
  </si>
  <si>
    <t xml:space="preserve">Акт входного контроля грин00263 от 06.07.2025 23:25:38</t>
  </si>
  <si>
    <t xml:space="preserve">Акт входного контроля грин00301 от 08.07.2025 19:39:57</t>
  </si>
  <si>
    <t xml:space="preserve">Акт входного контроля грин00302 от 08.07.2025 20:47:38</t>
  </si>
  <si>
    <t xml:space="preserve">Акт входного контроля грин00303 от 08.07.2025 21:59:31</t>
  </si>
  <si>
    <t xml:space="preserve">Акт входного контроля грин00304 от 09.07.2025 1:54:57</t>
  </si>
  <si>
    <t xml:space="preserve">Акт входного контроля грин00305 от 09.07.2025 4:28:38</t>
  </si>
  <si>
    <t xml:space="preserve">Акт входного контроля грин00306 от 09.07.2025 4:30:22</t>
  </si>
  <si>
    <t xml:space="preserve">Акт входного контроля грин00307 от 09.07.2025 7:20:40</t>
  </si>
  <si>
    <t xml:space="preserve">Акт входного контроля грин00308 от 09.07.2025 9:57:04</t>
  </si>
  <si>
    <t xml:space="preserve">Акт входного контроля грин00309 от 09.07.2025 11:26:10</t>
  </si>
  <si>
    <t xml:space="preserve">Акт входного контроля грин00310 от 09.07.2025 13:04:49</t>
  </si>
  <si>
    <t xml:space="preserve">Акт входного контроля грин00311 от 09.07.2025 14:10:41</t>
  </si>
  <si>
    <t xml:space="preserve">Акт входного контроля грин00312 от 09.07.2025 18:10:06</t>
  </si>
  <si>
    <t xml:space="preserve">Акт входного контроля грин00313 от 09.07.2025 19:34:30</t>
  </si>
  <si>
    <t xml:space="preserve">Акт входного контроля грин00314 от 09.07.2025 22:43:17</t>
  </si>
  <si>
    <t xml:space="preserve">Акт входного контроля грин00315 от 10.07.2025 2:04:11</t>
  </si>
  <si>
    <t xml:space="preserve">Акт входного контроля грин00316 от 10.07.2025 5:42:10</t>
  </si>
  <si>
    <t xml:space="preserve">Акт входного контроля грин00317 от 10.07.2025 10:08:10</t>
  </si>
  <si>
    <t xml:space="preserve">Акт входного контроля 000000014 от 03.06.2026 10:03:32</t>
  </si>
  <si>
    <t xml:space="preserve">Горошек овощной 2026 (богара)</t>
  </si>
  <si>
    <t xml:space="preserve">Акт входного контроля 000000015 от 03.06.2026 13:58:27</t>
  </si>
  <si>
    <t xml:space="preserve">Акт входного контроля 000000016 от 03.06.2026 14:58:01</t>
  </si>
  <si>
    <t xml:space="preserve">Акт входного контроля 000000017 от 03.06.2026 16:03:51</t>
  </si>
  <si>
    <t xml:space="preserve">Акт входного контроля 000000018 от 03.06.2026 20:02:51</t>
  </si>
  <si>
    <t xml:space="preserve">Акт входного контроля 000000019 от 03.06.2026 21:13:14</t>
  </si>
  <si>
    <t xml:space="preserve">Акт входного контроля 000000020 от 03.06.2026 23:06:25</t>
  </si>
  <si>
    <t xml:space="preserve">Акт входного контроля 000000021 от 03.06.2026 23:55:41</t>
  </si>
  <si>
    <t xml:space="preserve">Акт входного контроля 000000022 от 04.06.2026 17:37:00</t>
  </si>
  <si>
    <t xml:space="preserve">Акт входного контроля 000000023 от 04.06.2026 17:40:17</t>
  </si>
  <si>
    <t xml:space="preserve">Акт входного контроля 000000024 от 04.06.2026 17:42:52</t>
  </si>
  <si>
    <t xml:space="preserve">Акт входного контроля 000000025 от 04.06.2026 17:46:09</t>
  </si>
  <si>
    <t xml:space="preserve">Акт входного контроля 000000026 от 04.06.2026 17:49:15</t>
  </si>
  <si>
    <t xml:space="preserve">Акт входного контроля 000000027 от 04.06.2026 17:52:02</t>
  </si>
  <si>
    <t xml:space="preserve">Акт входного контроля 000000028 от 04.06.2026 17:54:15</t>
  </si>
  <si>
    <t xml:space="preserve">А-4</t>
  </si>
  <si>
    <t xml:space="preserve">Акт входного контроля 000000029 от 04.06.2026 17:57:09</t>
  </si>
  <si>
    <t xml:space="preserve">Акт входного контроля 000000030 от 04.06.2026 17:59:39</t>
  </si>
  <si>
    <t xml:space="preserve">Акт входного контроля 000000031 от 04.06.2026 18:02:17</t>
  </si>
  <si>
    <t xml:space="preserve">Акт входного контроля 000000032 от 04.06.2026 18:04:52</t>
  </si>
  <si>
    <t xml:space="preserve">Акт входного контроля 000000033 от 04.06.2026 18:12:57</t>
  </si>
  <si>
    <t xml:space="preserve">Акт входного контроля 000000035 от 04.06.2026 18:46:44</t>
  </si>
  <si>
    <t xml:space="preserve">Акт входного контроля 000000034 от 04.06.2026 19:26:01</t>
  </si>
  <si>
    <t xml:space="preserve">Акт входного контроля 000000036 от 04.06.2026 19:52:03</t>
  </si>
  <si>
    <t xml:space="preserve">Акт входного контроля 000000051 от 06.06.2026 18:18:59</t>
  </si>
  <si>
    <t xml:space="preserve">Акт входного контроля 000000052 от 06.06.2026 21:01:41</t>
  </si>
  <si>
    <t xml:space="preserve">Акт входного контроля 000000053 от 06.06.2026 21:38:07</t>
  </si>
  <si>
    <t xml:space="preserve">Акт входного контроля 000000054 от 06.06.2026 22:21:00</t>
  </si>
  <si>
    <t xml:space="preserve">Акт входного контроля 000000041 от 06.06.2026 22:43:38</t>
  </si>
  <si>
    <t xml:space="preserve">Акт входного контроля 000000037 от 06.06.2026 22:45:56</t>
  </si>
  <si>
    <t xml:space="preserve">Акт входного контроля 000000042 от 06.06.2026 22:49:39</t>
  </si>
  <si>
    <t xml:space="preserve">Акт входного контроля 000000043 от 06.06.2026 22:52:49</t>
  </si>
  <si>
    <t xml:space="preserve">Акт входного контроля 000000044 от 06.06.2026 22:58:14</t>
  </si>
  <si>
    <t xml:space="preserve">Акт входного контроля 000000045 от 06.06.2026 23:00:18</t>
  </si>
  <si>
    <t xml:space="preserve">Акт входного контроля 000000046 от 06.06.2026 23:04:26</t>
  </si>
  <si>
    <t xml:space="preserve">Акт входного контроля 000000047 от 06.06.2026 23:06:34</t>
  </si>
  <si>
    <t xml:space="preserve">Акт входного контроля 000000048 от 06.06.2026 23:08:47</t>
  </si>
  <si>
    <t xml:space="preserve">Акт входного контроля 000000049 от 06.06.2026 23:11:10</t>
  </si>
  <si>
    <t xml:space="preserve">Акт входного контроля 000000039 от 06.06.2026 23:13:19</t>
  </si>
  <si>
    <t xml:space="preserve">Акт входного контроля 000000038 от 06.06.2026 23:15:22</t>
  </si>
  <si>
    <t xml:space="preserve">Акт входного контроля 000000040 от 06.06.2026 23:17:27</t>
  </si>
  <si>
    <t xml:space="preserve">Акт входного контроля 000000055 от 06.06.2026 23:21:51</t>
  </si>
  <si>
    <t xml:space="preserve">Акт входного контроля 000000058 от 07.06.2026 1:51:09</t>
  </si>
  <si>
    <t xml:space="preserve">Акт входного контроля 000000056 от 07.06.2026 5:15:22</t>
  </si>
  <si>
    <t xml:space="preserve">Акт входного контроля 000000057 от 07.06.2026 5:26:16</t>
  </si>
  <si>
    <t xml:space="preserve">Акт входного контроля 000000059 от 07.06.2026 10:03:01</t>
  </si>
  <si>
    <t xml:space="preserve">Акт входного контроля 000000060 от 07.06.2026 11:16:28</t>
  </si>
  <si>
    <t xml:space="preserve">Акт входного контроля 000000061 от 07.06.2026 11:35:05</t>
  </si>
  <si>
    <t xml:space="preserve">Акт входного контроля 000000062 от 07.06.2026 11:49:58</t>
  </si>
  <si>
    <t xml:space="preserve">Акт входного контроля 000000063 от 07.06.2026 12:39:47</t>
  </si>
  <si>
    <t xml:space="preserve">Акт входного контроля 000000064 от 07.06.2026 14:47:06</t>
  </si>
  <si>
    <t xml:space="preserve">Акт входного контроля 000000065 от 07.06.2026 16:23:34</t>
  </si>
  <si>
    <t xml:space="preserve">Акт входного контроля 000000066 от 07.06.2026 16:33:17</t>
  </si>
  <si>
    <t xml:space="preserve">Акт входного контроля 000000067 от 07.06.2026 17:07:55</t>
  </si>
  <si>
    <t xml:space="preserve">Акт входного контроля 000000068 от 07.06.2026 19:43:05</t>
  </si>
  <si>
    <t xml:space="preserve">Акт входного контроля 000000069 от 07.06.2026 20:09:12</t>
  </si>
  <si>
    <t xml:space="preserve">Акт входного контроля 000000070 от 07.06.2026 20:15:13</t>
  </si>
  <si>
    <t xml:space="preserve">Акт входного контроля 000000071 от 07.06.2026 21:30:12</t>
  </si>
  <si>
    <t xml:space="preserve">Акт входного контроля 000000072 от 07.06.2026 22:10:56</t>
  </si>
  <si>
    <t xml:space="preserve">Акт входного контроля 000000073 от 07.06.2026 22:27:40</t>
  </si>
  <si>
    <t xml:space="preserve">Акт входного контроля 000000075 от 07.06.2026 23:37:31</t>
  </si>
  <si>
    <t xml:space="preserve">Акт входного контроля 000000074 от 07.06.2026 23:52:42</t>
  </si>
  <si>
    <t xml:space="preserve">Акт входного контроля 000000076 от 08.06.2026 2:28:52</t>
  </si>
  <si>
    <t xml:space="preserve">Акт входного контроля 000000077 от 08.06.2026 3:33:17</t>
  </si>
  <si>
    <t xml:space="preserve">Акт входного контроля 000000078 от 08.06.2026 4:07:52</t>
  </si>
  <si>
    <t xml:space="preserve">Акт входного контроля 000000079 от 08.06.2026 5:50:44</t>
  </si>
  <si>
    <t xml:space="preserve">Акт входного контроля 000000080 от 08.06.2026 7:02:28</t>
  </si>
  <si>
    <t xml:space="preserve">Акт входного контроля 000000081 от 08.06.2026 10:42:45</t>
  </si>
  <si>
    <t xml:space="preserve">Акт входного контроля 000000082 от 08.06.2026 10:45:50</t>
  </si>
  <si>
    <t xml:space="preserve">Акт входного контроля 000000083 от 08.06.2026 10:48:36</t>
  </si>
  <si>
    <t xml:space="preserve">Акт входного контроля 000000084 от 08.06.2026 10:53:11</t>
  </si>
  <si>
    <t xml:space="preserve">Акт входного контроля 000000085 от 08.06.2026 11:43:20</t>
  </si>
  <si>
    <t xml:space="preserve">Акт входного контроля 000000086 от 08.06.2026 13:56:23</t>
  </si>
  <si>
    <t xml:space="preserve">Акт входного контроля 000000087 от 08.06.2026 14:07:35</t>
  </si>
  <si>
    <t xml:space="preserve">Акт входного контроля 000000088 от 08.06.2026 14:15:38</t>
  </si>
  <si>
    <t xml:space="preserve">Акт входного контроля 000000089 от 08.06.2026 16:33:42</t>
  </si>
  <si>
    <t xml:space="preserve">Акт входного контроля 000000090 от 08.06.2026 18:01:13</t>
  </si>
  <si>
    <t xml:space="preserve">Акт входного контроля 000000091 от 08.06.2026 19:02:16</t>
  </si>
  <si>
    <t xml:space="preserve">Акт входного контроля 000000095 от 08.06.2026 21:04:23</t>
  </si>
  <si>
    <t xml:space="preserve">Акт входного контроля 000000096 от 08.06.2026 22:00:41</t>
  </si>
  <si>
    <t xml:space="preserve">Акт входного контроля 000000092 от 08.06.2026 22:44:17</t>
  </si>
  <si>
    <t xml:space="preserve">Акт входного контроля 000000093 от 08.06.2026 23:38:04</t>
  </si>
  <si>
    <t xml:space="preserve">Акт входного контроля 000000094 от 08.06.2026 23:57:47</t>
  </si>
  <si>
    <t xml:space="preserve">Акт входного контроля 000000097 от 09.06.2026 3:27:48</t>
  </si>
  <si>
    <t xml:space="preserve">Акт входного контроля 000000098 от 09.06.2026 4:55:34</t>
  </si>
  <si>
    <t xml:space="preserve">Акт входного контроля 000000099 от 09.06.2026 5:04:34</t>
  </si>
  <si>
    <t xml:space="preserve">Акт входного контроля 000000100 от 09.06.2026 7:23:03</t>
  </si>
  <si>
    <t xml:space="preserve">Акт входного контроля 000000101 от 09.06.2026 12:00:42</t>
  </si>
  <si>
    <t xml:space="preserve">Акт входного контроля 000000102 от 09.06.2026 12:07:31</t>
  </si>
  <si>
    <t xml:space="preserve">Акт входного контроля 000000103 от 09.06.2026 12:09:54</t>
  </si>
  <si>
    <t xml:space="preserve">Акт входного контроля 000000104 от 09.06.2026 12:16:34</t>
  </si>
  <si>
    <t xml:space="preserve">Акт входного контроля 000000106 от 09.06.2026 14:14:36</t>
  </si>
  <si>
    <t xml:space="preserve">А-22</t>
  </si>
  <si>
    <t xml:space="preserve">Акт входного контроля 000000107 от 09.06.2026 14:16:56</t>
  </si>
  <si>
    <t xml:space="preserve">КОЛОС ООО</t>
  </si>
  <si>
    <t xml:space="preserve">Акт входного контроля 000000108 от 09.06.2026 15:07:46</t>
  </si>
  <si>
    <t xml:space="preserve">Акт входного контроля 000000105 от 09.06.2026 15:54:34</t>
  </si>
  <si>
    <t xml:space="preserve">Акт входного контроля 000000109 от 09.06.2026 15:58:10</t>
  </si>
  <si>
    <t xml:space="preserve">Акт входного контроля 000000113 от 09.06.2026 17:58:29</t>
  </si>
  <si>
    <t xml:space="preserve">Акт входного контроля 000000110 от 09.06.2026 18:31:29</t>
  </si>
  <si>
    <t xml:space="preserve">Акт входного контроля 000000111 от 09.06.2026 18:36:34</t>
  </si>
  <si>
    <t xml:space="preserve">Акт входного контроля 000000112 от 09.06.2026 20:10:27</t>
  </si>
  <si>
    <t xml:space="preserve">Акт входного контроля 000000115 от 09.06.2026 20:44:19</t>
  </si>
  <si>
    <t xml:space="preserve">Акт входного контроля 000000114 от 09.06.2026 21:36:40</t>
  </si>
  <si>
    <t xml:space="preserve">Акт входного контроля 000000116 от 09.06.2026 21:48:23</t>
  </si>
  <si>
    <t xml:space="preserve">Акт входного контроля 000000117 от 09.06.2026 22:11:25</t>
  </si>
  <si>
    <t xml:space="preserve">Акт входного контроля 000000118 от 09.06.2026 22:55:55</t>
  </si>
  <si>
    <t xml:space="preserve">Акт входного контроля 000000119 от 10.06.2026 1:27:29</t>
  </si>
  <si>
    <t xml:space="preserve">Акт входного контроля 000000120 от 10.06.2026 2:48:30</t>
  </si>
  <si>
    <t xml:space="preserve">Акт входного контроля 000000121 от 10.06.2026 8:08:30</t>
  </si>
  <si>
    <t xml:space="preserve">Акт входного контроля 000000122 от 10.06.2026 8:11:11</t>
  </si>
  <si>
    <t xml:space="preserve">Сбор горошка 2023-2025</t>
  </si>
  <si>
    <t xml:space="preserve">Характеристика (сорт)</t>
  </si>
  <si>
    <t xml:space="preserve">%</t>
  </si>
  <si>
    <t xml:space="preserve">высший сорт</t>
  </si>
  <si>
    <t xml:space="preserve">первый сорт</t>
  </si>
  <si>
    <t xml:space="preserve">второй сорт</t>
  </si>
  <si>
    <t xml:space="preserve"> Урожайность физ.вес, т/га</t>
  </si>
  <si>
    <t xml:space="preserve"> Урожайность зач. вес, т/га</t>
  </si>
  <si>
    <t xml:space="preserve">Учхоз</t>
  </si>
  <si>
    <t xml:space="preserve">КубаньХлеб</t>
  </si>
  <si>
    <t xml:space="preserve">факт</t>
  </si>
  <si>
    <t xml:space="preserve">весовая</t>
  </si>
  <si>
    <t xml:space="preserve">Сортовые показатели по итогам уборки сезона 2024</t>
  </si>
  <si>
    <t xml:space="preserve">Фалькон</t>
  </si>
  <si>
    <t xml:space="preserve">Сортовые показатели по итогам уборки сезона 2025</t>
  </si>
  <si>
    <t xml:space="preserve">Урожайность плановая, тн./га</t>
  </si>
  <si>
    <t xml:space="preserve">Урожайность фактическая, тн./га</t>
  </si>
  <si>
    <t xml:space="preserve">Валовый сбор плановый</t>
  </si>
  <si>
    <t xml:space="preserve">Валовый сбор фактический</t>
  </si>
  <si>
    <t xml:space="preserve">Поле-3.5.</t>
  </si>
  <si>
    <t xml:space="preserve">Поле-3.4.</t>
  </si>
  <si>
    <t xml:space="preserve">Поле-1.3.</t>
  </si>
  <si>
    <t xml:space="preserve">Поле-1.4.</t>
  </si>
  <si>
    <t xml:space="preserve">Поле-2.1.</t>
  </si>
  <si>
    <t xml:space="preserve">Поле-3.1.</t>
  </si>
  <si>
    <t xml:space="preserve">Поле-3.3.</t>
  </si>
  <si>
    <t xml:space="preserve">Поле-4.3.</t>
  </si>
  <si>
    <t xml:space="preserve">ООО Кубань Хлеб</t>
  </si>
  <si>
    <t xml:space="preserve">Поле-10/12</t>
  </si>
  <si>
    <t xml:space="preserve">Поле-10/5</t>
  </si>
  <si>
    <t xml:space="preserve">Поле-9/2</t>
  </si>
  <si>
    <t xml:space="preserve">Поле-1/1.1.</t>
  </si>
  <si>
    <t xml:space="preserve">Поле-1/7.1.</t>
  </si>
  <si>
    <t xml:space="preserve">Поле-2/3.5.</t>
  </si>
  <si>
    <t xml:space="preserve">Входной контроль за 01.06.2026 - 30.06.2026 по показателям</t>
  </si>
  <si>
    <t xml:space="preserve">Показатели (В списке): Степень зрелости</t>
  </si>
  <si>
    <t xml:space="preserve">Базисные нормы, %</t>
  </si>
  <si>
    <t xml:space="preserve">Результат анализа, %</t>
  </si>
  <si>
    <t xml:space="preserve">Сверх допусков, %</t>
  </si>
  <si>
    <t xml:space="preserve">Характеристика номенклатуры</t>
  </si>
  <si>
    <t xml:space="preserve">Вытянуть номер из столбца A</t>
  </si>
  <si>
    <t xml:space="preserve">Итого:</t>
  </si>
  <si>
    <t xml:space="preserve">Входной контроль за 27.05.2025 - 10.07.2025 по показателям</t>
  </si>
  <si>
    <t xml:space="preserve">Номенклатура: Горох овощной свежий 10.01</t>
  </si>
  <si>
    <t xml:space="preserve">Показатели (В списке): Степень зрелости,
Степень зрелости</t>
  </si>
  <si>
    <t xml:space="preserve">Входной контроль за 27.05.2025 - 10.07.2025</t>
  </si>
  <si>
    <t xml:space="preserve">Хар-ка: Горох овощной свежий 10.01</t>
  </si>
  <si>
    <t xml:space="preserve">номенклатура</t>
  </si>
  <si>
    <t xml:space="preserve">Время</t>
  </si>
</sst>
</file>

<file path=xl/styles.xml><?xml version="1.0" encoding="utf-8"?>
<styleSheet xmlns="http://schemas.openxmlformats.org/spreadsheetml/2006/main">
  <numFmts count="39">
    <numFmt numFmtId="164" formatCode="#,##0"/>
    <numFmt numFmtId="165" formatCode="#,##0.0"/>
    <numFmt numFmtId="166" formatCode="0.0"/>
    <numFmt numFmtId="167" formatCode="General"/>
    <numFmt numFmtId="168" formatCode="0%"/>
    <numFmt numFmtId="169" formatCode="_-* #,##0.00\ _₽_-;\-* #,##0.00\ _₽_-;_-* \-??\ _₽_-;_-@_-"/>
    <numFmt numFmtId="170" formatCode="_-* #,##0.00_-;\-* #,##0.00_-;_-* \-??_-;_-@_-"/>
    <numFmt numFmtId="171" formatCode="dd"/>
    <numFmt numFmtId="172" formatCode="0.00"/>
    <numFmt numFmtId="173" formatCode="0\ 000&quot; тн&quot;"/>
    <numFmt numFmtId="174" formatCode="0.0&quot; тн&quot;"/>
    <numFmt numFmtId="175" formatCode="0&quot; тн&quot;"/>
    <numFmt numFmtId="176" formatCode="dd/mm/yyyy"/>
    <numFmt numFmtId="177" formatCode="#,##0.00"/>
    <numFmt numFmtId="178" formatCode="0"/>
    <numFmt numFmtId="179" formatCode="0,000&quot; тн&quot;"/>
    <numFmt numFmtId="180" formatCode="0.0%"/>
    <numFmt numFmtId="181" formatCode="000&quot; тн&quot;"/>
    <numFmt numFmtId="182" formatCode="0&quot; га&quot;"/>
    <numFmt numFmtId="183" formatCode="0.0&quot; тн/га&quot;"/>
    <numFmt numFmtId="184" formatCode="dd/mmm"/>
    <numFmt numFmtId="185" formatCode="000.0&quot; га&quot;"/>
    <numFmt numFmtId="186" formatCode="00.0&quot; га&quot;"/>
    <numFmt numFmtId="187" formatCode="000.00&quot; га&quot;"/>
    <numFmt numFmtId="188" formatCode="0,000.0&quot; га&quot;"/>
    <numFmt numFmtId="189" formatCode="0.0&quot; тн.&quot;"/>
    <numFmt numFmtId="190" formatCode="#,##0.000"/>
    <numFmt numFmtId="191" formatCode="000000000"/>
    <numFmt numFmtId="192" formatCode="#,##0.0000"/>
    <numFmt numFmtId="193" formatCode="0.000"/>
    <numFmt numFmtId="194" formatCode="_-* #,##0.0_-;\-* #,##0.0_-;_-* \-??_-;_-@_-"/>
    <numFmt numFmtId="195" formatCode="dd/mm/yy;@"/>
    <numFmt numFmtId="196" formatCode="@"/>
    <numFmt numFmtId="197" formatCode="_-* #,##0_-;\-* #,##0_-;_-* \-??_-;_-@_-"/>
    <numFmt numFmtId="198" formatCode="_-* #\ ##0_-;\-* #\ ##0_-;_-* \-??_-;_-@_-"/>
    <numFmt numFmtId="199" formatCode="00000000000"/>
    <numFmt numFmtId="200" formatCode="h:mm:ss"/>
    <numFmt numFmtId="201" formatCode="000000"/>
    <numFmt numFmtId="202" formatCode="[$-F400]h:mm:ss\ AM/PM"/>
  </numFmts>
  <fonts count="97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1"/>
      <color rgb="FF000000"/>
      <name val="Calibri"/>
      <family val="2"/>
      <charset val="1"/>
    </font>
    <font>
      <b val="true"/>
      <sz val="15"/>
      <color theme="3"/>
      <name val="Arial"/>
      <family val="2"/>
      <charset val="204"/>
    </font>
    <font>
      <sz val="8"/>
      <name val="Arial"/>
      <family val="2"/>
      <charset val="1"/>
    </font>
    <font>
      <sz val="10"/>
      <name val="Arial Cyr"/>
      <family val="0"/>
      <charset val="204"/>
    </font>
    <font>
      <sz val="11"/>
      <color theme="1"/>
      <name val="Calibri"/>
      <family val="2"/>
      <charset val="204"/>
    </font>
    <font>
      <sz val="8"/>
      <name val="Arial"/>
      <family val="2"/>
      <charset val="204"/>
    </font>
    <font>
      <sz val="12"/>
      <color theme="1"/>
      <name val="Arial"/>
      <family val="2"/>
      <charset val="204"/>
    </font>
    <font>
      <b val="true"/>
      <sz val="11"/>
      <color theme="1"/>
      <name val="Calibri"/>
      <family val="2"/>
      <charset val="1"/>
    </font>
    <font>
      <sz val="11"/>
      <color theme="1"/>
      <name val="Bahnschrift Light Condensed"/>
      <family val="2"/>
      <charset val="204"/>
    </font>
    <font>
      <sz val="22"/>
      <color theme="1"/>
      <name val="Bahnschrift Light Condensed"/>
      <family val="2"/>
      <charset val="204"/>
    </font>
    <font>
      <b val="true"/>
      <sz val="24"/>
      <color theme="1" tint="0.2499"/>
      <name val="Bahnschrift Light SemiCondensed"/>
      <family val="2"/>
      <charset val="204"/>
    </font>
    <font>
      <b val="true"/>
      <sz val="16"/>
      <color theme="1"/>
      <name val="Bahnschrift Light Condensed"/>
      <family val="2"/>
      <charset val="204"/>
    </font>
    <font>
      <b val="true"/>
      <sz val="11"/>
      <color theme="1"/>
      <name val="Bahnschrift Light SemiCondensed"/>
      <family val="2"/>
      <charset val="204"/>
    </font>
    <font>
      <sz val="12"/>
      <color theme="1"/>
      <name val="Bahnschrift Light Condensed"/>
      <family val="2"/>
      <charset val="204"/>
    </font>
    <font>
      <b val="true"/>
      <sz val="12"/>
      <color theme="1"/>
      <name val="Bahnschrift Light Condensed"/>
      <family val="2"/>
      <charset val="204"/>
    </font>
    <font>
      <sz val="11"/>
      <color theme="1"/>
      <name val="Bahnschrift Light SemiCondensed"/>
      <family val="2"/>
      <charset val="204"/>
    </font>
    <font>
      <b val="true"/>
      <sz val="11"/>
      <color theme="1"/>
      <name val="Bahnschrift Light Condensed"/>
      <family val="2"/>
      <charset val="204"/>
    </font>
    <font>
      <sz val="14"/>
      <color theme="1"/>
      <name val="Bahnschrift Light Condensed"/>
      <family val="2"/>
      <charset val="204"/>
    </font>
    <font>
      <b val="true"/>
      <sz val="14"/>
      <color theme="1"/>
      <name val="Bahnschrift Light Condensed"/>
      <family val="2"/>
      <charset val="204"/>
    </font>
    <font>
      <sz val="14"/>
      <color theme="1"/>
      <name val="Bahnschrift Light SemiCondensed"/>
      <family val="2"/>
      <charset val="204"/>
    </font>
    <font>
      <sz val="14"/>
      <color theme="9" tint="-0.5"/>
      <name val="Bahnschrift Light SemiCondensed"/>
      <family val="0"/>
      <charset val="204"/>
    </font>
    <font>
      <sz val="16"/>
      <color rgb="FFFF0000"/>
      <name val="Bahnschrift SemiLight"/>
      <family val="2"/>
      <charset val="204"/>
    </font>
    <font>
      <sz val="14"/>
      <color rgb="FF000000"/>
      <name val="Bahnschrift Light SemiCondensed"/>
      <family val="2"/>
    </font>
    <font>
      <sz val="10"/>
      <color rgb="FF000000"/>
      <name val="Bahnschrift Light SemiCondensed"/>
      <family val="2"/>
    </font>
    <font>
      <sz val="1"/>
      <color rgb="FFFFFFFF"/>
      <name val="Bahnschrift Light SemiCondensed"/>
      <family val="2"/>
    </font>
    <font>
      <sz val="14"/>
      <color rgb="FF595959"/>
      <name val="Bahnschrift Light SemiCondensed"/>
      <family val="2"/>
    </font>
    <font>
      <sz val="8"/>
      <color rgb="FF404040"/>
      <name val="Bahnschrift Light SemiCondensed"/>
      <family val="2"/>
    </font>
    <font>
      <sz val="8"/>
      <color rgb="FFFFFFFF"/>
      <name val="Bahnschrift Light SemiCondensed"/>
      <family val="2"/>
    </font>
    <font>
      <sz val="9"/>
      <color rgb="FF595959"/>
      <name val="Bahnschrift Light SemiCondensed"/>
      <family val="2"/>
    </font>
    <font>
      <sz val="11"/>
      <color rgb="FFFF0000"/>
      <name val="Bahnschrift Light SemiCondensed"/>
      <family val="2"/>
    </font>
    <font>
      <sz val="9"/>
      <name val="Bahnschrift Light SemiCondensed"/>
      <family val="2"/>
    </font>
    <font>
      <sz val="12"/>
      <color rgb="FF000000"/>
      <name val="Bahnschrift SemiLight SemiConde"/>
      <family val="2"/>
      <charset val="204"/>
    </font>
    <font>
      <sz val="12"/>
      <color rgb="FF000000"/>
      <name val="Bahnschrift Light SemiCondensed"/>
      <family val="2"/>
    </font>
    <font>
      <sz val="11"/>
      <name val="Times New Roman"/>
      <family val="1"/>
      <charset val="204"/>
    </font>
    <font>
      <b val="true"/>
      <sz val="11"/>
      <color theme="1"/>
      <name val="Calibri"/>
      <family val="2"/>
      <charset val="204"/>
    </font>
    <font>
      <sz val="9"/>
      <color theme="1"/>
      <name val="Calibri"/>
      <family val="2"/>
      <charset val="1"/>
    </font>
    <font>
      <b val="true"/>
      <sz val="9"/>
      <name val="Arial"/>
      <family val="2"/>
      <charset val="204"/>
    </font>
    <font>
      <sz val="9"/>
      <name val="Arial"/>
      <family val="2"/>
      <charset val="204"/>
    </font>
    <font>
      <b val="true"/>
      <sz val="9"/>
      <color theme="1"/>
      <name val="Calibri"/>
      <family val="2"/>
      <charset val="204"/>
    </font>
    <font>
      <sz val="8"/>
      <color theme="4" tint="0.7999"/>
      <name val="Arial"/>
      <family val="2"/>
      <charset val="204"/>
    </font>
    <font>
      <i val="true"/>
      <sz val="8"/>
      <color rgb="FFFF0000"/>
      <name val="Calibri"/>
      <family val="2"/>
      <charset val="204"/>
    </font>
    <font>
      <b val="true"/>
      <sz val="11"/>
      <color theme="0" tint="-0.25"/>
      <name val="Calibri"/>
      <family val="2"/>
      <charset val="1"/>
    </font>
    <font>
      <sz val="11"/>
      <color theme="0" tint="-0.25"/>
      <name val="Calibri"/>
      <family val="2"/>
      <charset val="1"/>
    </font>
    <font>
      <sz val="10"/>
      <name val="Arial"/>
      <family val="2"/>
      <charset val="204"/>
    </font>
    <font>
      <sz val="9"/>
      <color rgb="FF000000"/>
      <name val="Tahoma"/>
      <family val="2"/>
      <charset val="204"/>
    </font>
    <font>
      <sz val="18"/>
      <color rgb="FFFF0000"/>
      <name val="Bahnschrift Light SemiCondensed"/>
      <family val="2"/>
      <charset val="204"/>
    </font>
    <font>
      <sz val="9"/>
      <color rgb="FFFFFFFF"/>
      <name val="Bahnschrift Light SemiCondensed"/>
      <family val="2"/>
    </font>
    <font>
      <sz val="9"/>
      <color rgb="FF404040"/>
      <name val="Bahnschrift Light SemiCondensed"/>
      <family val="2"/>
    </font>
    <font>
      <sz val="9"/>
      <color rgb="FF000000"/>
      <name val="Bahnschrift Light SemiCondensed"/>
      <family val="2"/>
    </font>
    <font>
      <sz val="11"/>
      <color theme="1" tint="0.35"/>
      <name val="Bahnschrift Light SemiCondensed"/>
      <family val="2"/>
      <charset val="204"/>
    </font>
    <font>
      <sz val="15"/>
      <color rgb="FF000000"/>
      <name val="Bahnschrift Light SemiCondensed"/>
      <family val="2"/>
      <charset val="204"/>
    </font>
    <font>
      <sz val="12"/>
      <color theme="1"/>
      <name val="Bahnschrift Light SemiCondensed"/>
      <family val="2"/>
      <charset val="204"/>
    </font>
    <font>
      <sz val="18"/>
      <color rgb="FFFF0000"/>
      <name val="Bahnschrift Light SemiCondensed"/>
      <family val="0"/>
      <charset val="204"/>
    </font>
    <font>
      <sz val="10"/>
      <color rgb="FF404040"/>
      <name val="Bahnschrift Light SemiCondensed"/>
      <family val="2"/>
    </font>
    <font>
      <sz val="10"/>
      <color rgb="FF595959"/>
      <name val="Bahnschrift Light SemiCondensed"/>
      <family val="2"/>
    </font>
    <font>
      <sz val="10.5"/>
      <color rgb="FF000000"/>
      <name val="Bahnschrift Light SemiCondensed"/>
      <family val="2"/>
    </font>
    <font>
      <b val="true"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b val="true"/>
      <sz val="14"/>
      <color rgb="FF595959"/>
      <name val="Calibri"/>
      <family val="2"/>
    </font>
    <font>
      <sz val="9"/>
      <color rgb="FF404040"/>
      <name val="Calibri"/>
      <family val="2"/>
    </font>
    <font>
      <sz val="9"/>
      <color rgb="FF595959"/>
      <name val="Calibri"/>
      <family val="2"/>
    </font>
    <font>
      <sz val="9"/>
      <name val="Arial"/>
      <family val="2"/>
      <charset val="1"/>
    </font>
    <font>
      <sz val="10"/>
      <name val="Arial"/>
      <family val="2"/>
      <charset val="1"/>
    </font>
    <font>
      <sz val="10"/>
      <color theme="1"/>
      <name val="Calibri"/>
      <family val="2"/>
      <charset val="204"/>
    </font>
    <font>
      <sz val="8"/>
      <color theme="1"/>
      <name val="Calibri"/>
      <family val="2"/>
      <charset val="204"/>
    </font>
    <font>
      <b val="true"/>
      <sz val="10"/>
      <color theme="3"/>
      <name val="Calibri"/>
      <family val="2"/>
      <charset val="204"/>
    </font>
    <font>
      <b val="true"/>
      <sz val="10"/>
      <name val="Calibri"/>
      <family val="2"/>
      <charset val="204"/>
    </font>
    <font>
      <b val="true"/>
      <sz val="10"/>
      <color theme="1"/>
      <name val="Calibri"/>
      <family val="2"/>
      <charset val="204"/>
    </font>
    <font>
      <b val="true"/>
      <sz val="8"/>
      <color theme="1"/>
      <name val="Calibri"/>
      <family val="2"/>
      <charset val="204"/>
    </font>
    <font>
      <sz val="7"/>
      <color theme="1"/>
      <name val="Calibri"/>
      <family val="2"/>
      <charset val="204"/>
    </font>
    <font>
      <sz val="7"/>
      <color rgb="FF0000FF"/>
      <name val="Calibri"/>
      <family val="2"/>
      <charset val="204"/>
    </font>
    <font>
      <b val="true"/>
      <sz val="7"/>
      <name val="Calibri"/>
      <family val="2"/>
      <charset val="204"/>
    </font>
    <font>
      <sz val="10"/>
      <color rgb="FF0070C0"/>
      <name val="Calibri"/>
      <family val="2"/>
      <charset val="204"/>
    </font>
    <font>
      <sz val="10"/>
      <color rgb="FF0000FF"/>
      <name val="Calibri"/>
      <family val="2"/>
      <charset val="204"/>
    </font>
    <font>
      <sz val="10"/>
      <color theme="1" tint="0.4999"/>
      <name val="Calibri"/>
      <family val="2"/>
      <charset val="204"/>
    </font>
    <font>
      <sz val="8"/>
      <color rgb="FF0000FF"/>
      <name val="Calibri"/>
      <family val="2"/>
      <charset val="204"/>
    </font>
    <font>
      <sz val="10"/>
      <color theme="1" tint="0.3499"/>
      <name val="Calibri"/>
      <family val="2"/>
      <charset val="204"/>
    </font>
    <font>
      <sz val="8"/>
      <color theme="1" tint="0.3499"/>
      <name val="Calibri"/>
      <family val="2"/>
      <charset val="204"/>
    </font>
    <font>
      <sz val="10"/>
      <name val="Calibri"/>
      <family val="2"/>
      <charset val="204"/>
    </font>
    <font>
      <b val="true"/>
      <sz val="10"/>
      <color rgb="FF0000FF"/>
      <name val="Calibri"/>
      <family val="2"/>
      <charset val="204"/>
    </font>
    <font>
      <sz val="14"/>
      <color rgb="FF595959"/>
      <name val="Calibri"/>
      <family val="2"/>
    </font>
    <font>
      <sz val="10"/>
      <color rgb="FF595959"/>
      <name val="Calibri"/>
      <family val="2"/>
    </font>
    <font>
      <b val="true"/>
      <sz val="7"/>
      <color theme="0"/>
      <name val="Arial"/>
      <family val="2"/>
      <charset val="204"/>
    </font>
    <font>
      <sz val="7"/>
      <color theme="1"/>
      <name val="Arial"/>
      <family val="2"/>
      <charset val="204"/>
    </font>
    <font>
      <sz val="7"/>
      <color rgb="FFC0C0C0"/>
      <name val="Arial"/>
      <family val="2"/>
      <charset val="204"/>
    </font>
    <font>
      <sz val="8"/>
      <color theme="1"/>
      <name val="Calibri"/>
      <family val="2"/>
      <charset val="1"/>
    </font>
    <font>
      <b val="true"/>
      <sz val="8"/>
      <color theme="1"/>
      <name val="Calibri"/>
      <family val="2"/>
      <charset val="1"/>
    </font>
    <font>
      <i val="true"/>
      <sz val="11"/>
      <color theme="1"/>
      <name val="Calibri"/>
      <family val="2"/>
      <charset val="204"/>
    </font>
    <font>
      <sz val="11"/>
      <color rgb="FFFF0000"/>
      <name val="Arial"/>
      <family val="2"/>
      <charset val="204"/>
    </font>
    <font>
      <sz val="14"/>
      <name val="Arial"/>
      <family val="2"/>
      <charset val="1"/>
    </font>
    <font>
      <b val="true"/>
      <sz val="8"/>
      <name val="Arial"/>
      <family val="2"/>
      <charset val="1"/>
    </font>
    <font>
      <i val="true"/>
      <sz val="11"/>
      <color theme="0" tint="-0.35"/>
      <name val="Calibri"/>
      <family val="2"/>
      <charset val="204"/>
    </font>
    <font>
      <sz val="12"/>
      <name val="Arial"/>
      <family val="2"/>
      <charset val="1"/>
    </font>
  </fonts>
  <fills count="22">
    <fill>
      <patternFill patternType="none"/>
    </fill>
    <fill>
      <patternFill patternType="gray125"/>
    </fill>
    <fill>
      <patternFill patternType="solid">
        <fgColor rgb="FFFFC000"/>
        <bgColor rgb="FFFFCC00"/>
      </patternFill>
    </fill>
    <fill>
      <patternFill patternType="solid">
        <fgColor rgb="FFE7EFD1"/>
        <bgColor rgb="FFE2F0D9"/>
      </patternFill>
    </fill>
    <fill>
      <patternFill patternType="solid">
        <fgColor rgb="FFC8D997"/>
        <bgColor rgb="FFCDDD9F"/>
      </patternFill>
    </fill>
    <fill>
      <patternFill patternType="solid">
        <fgColor theme="0"/>
        <bgColor rgb="FFF8FBF6"/>
      </patternFill>
    </fill>
    <fill>
      <patternFill patternType="solid">
        <fgColor rgb="FFF4ECC5"/>
        <bgColor rgb="FFFFF2CC"/>
      </patternFill>
    </fill>
    <fill>
      <patternFill patternType="solid">
        <fgColor rgb="FFF8F2D8"/>
        <bgColor rgb="FFFFF2CC"/>
      </patternFill>
    </fill>
    <fill>
      <patternFill patternType="solid">
        <fgColor rgb="FFFBF9EC"/>
        <bgColor rgb="FFF8FBF6"/>
      </patternFill>
    </fill>
    <fill>
      <patternFill patternType="solid">
        <fgColor rgb="FFFFFF00"/>
        <bgColor rgb="FFFFCC00"/>
      </patternFill>
    </fill>
    <fill>
      <patternFill patternType="solid">
        <fgColor theme="4" tint="0.7999"/>
        <bgColor rgb="FFEFEFEF"/>
      </patternFill>
    </fill>
    <fill>
      <patternFill patternType="solid">
        <fgColor theme="0" tint="-0.05"/>
        <bgColor rgb="FFEFEFEF"/>
      </patternFill>
    </fill>
    <fill>
      <patternFill patternType="solid">
        <fgColor rgb="FFFFCC00"/>
        <bgColor rgb="FFFFC000"/>
      </patternFill>
    </fill>
    <fill>
      <patternFill patternType="solid">
        <fgColor theme="3" tint="0.7999"/>
        <bgColor rgb="FFD9D9D9"/>
      </patternFill>
    </fill>
    <fill>
      <patternFill patternType="solid">
        <fgColor theme="6" tint="0.3999"/>
        <bgColor rgb="FFC0C0C0"/>
      </patternFill>
    </fill>
    <fill>
      <patternFill patternType="solid">
        <fgColor theme="0" tint="-0.25"/>
        <bgColor rgb="FFC0C0C0"/>
      </patternFill>
    </fill>
    <fill>
      <patternFill patternType="solid">
        <fgColor theme="7" tint="0.5999"/>
        <bgColor rgb="FFF4ECC5"/>
      </patternFill>
    </fill>
    <fill>
      <patternFill patternType="solid">
        <fgColor rgb="FFFF9999"/>
        <bgColor rgb="FFFF9393"/>
      </patternFill>
    </fill>
    <fill>
      <patternFill patternType="solid">
        <fgColor theme="9" tint="0.7999"/>
        <bgColor rgb="FFE7EFD1"/>
      </patternFill>
    </fill>
    <fill>
      <patternFill patternType="solid">
        <fgColor theme="0" tint="-0.15"/>
        <bgColor rgb="FFD6DCE5"/>
      </patternFill>
    </fill>
    <fill>
      <patternFill patternType="solid">
        <fgColor rgb="FFFFFFCC"/>
        <bgColor rgb="FFFFF2CC"/>
      </patternFill>
    </fill>
    <fill>
      <patternFill patternType="solid">
        <fgColor theme="2" tint="-0.25"/>
        <bgColor rgb="FFA6A6A6"/>
      </patternFill>
    </fill>
  </fills>
  <borders count="76">
    <border diagonalUp="false" diagonalDown="false">
      <left/>
      <right/>
      <top/>
      <bottom/>
      <diagonal/>
    </border>
    <border diagonalUp="false" diagonalDown="false"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 diagonalUp="false" diagonalDown="false">
      <left/>
      <right/>
      <top/>
      <bottom style="thick">
        <color theme="4"/>
      </bottom>
      <diagonal/>
    </border>
    <border diagonalUp="false" diagonalDown="false">
      <left/>
      <right/>
      <top/>
      <bottom style="medium">
        <color theme="9"/>
      </bottom>
      <diagonal/>
    </border>
    <border diagonalUp="false" diagonalDown="false"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>
        <color theme="0" tint="-0.5"/>
      </left>
      <right style="thin">
        <color theme="0" tint="-0.5"/>
      </right>
      <top style="thin">
        <color theme="0" tint="-0.5"/>
      </top>
      <bottom style="thin">
        <color theme="0" tint="-0.5"/>
      </bottom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/>
      <bottom style="double"/>
      <diagonal/>
    </border>
    <border diagonalUp="false" diagonalDown="false">
      <left/>
      <right style="thin"/>
      <top style="double"/>
      <bottom style="double"/>
      <diagonal/>
    </border>
    <border diagonalUp="false" diagonalDown="false">
      <left style="thin"/>
      <right/>
      <top style="double"/>
      <bottom style="thin"/>
      <diagonal/>
    </border>
    <border diagonalUp="false" diagonalDown="false">
      <left/>
      <right/>
      <top style="double"/>
      <bottom style="thin"/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 style="thin"/>
      <top/>
      <bottom style="dotted">
        <color theme="0" tint="-0.15"/>
      </bottom>
      <diagonal/>
    </border>
    <border diagonalUp="false" diagonalDown="false">
      <left/>
      <right/>
      <top/>
      <bottom style="dotted">
        <color theme="0" tint="-0.15"/>
      </bottom>
      <diagonal/>
    </border>
    <border diagonalUp="false" diagonalDown="false">
      <left/>
      <right/>
      <top style="dotted">
        <color theme="0" tint="-0.15"/>
      </top>
      <bottom style="dotted">
        <color theme="0" tint="-0.15"/>
      </bottom>
      <diagonal/>
    </border>
    <border diagonalUp="false" diagonalDown="false">
      <left/>
      <right style="thin"/>
      <top style="dotted">
        <color theme="0" tint="-0.15"/>
      </top>
      <bottom style="dotted">
        <color theme="0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dotted">
        <color theme="0" tint="-0.15"/>
      </top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>
        <color theme="0" tint="-0.35"/>
      </bottom>
      <diagonal/>
    </border>
    <border diagonalUp="false" diagonalDown="false">
      <left/>
      <right/>
      <top style="thin">
        <color theme="0" tint="-0.35"/>
      </top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 style="thin">
        <color theme="4" tint="0.3999"/>
      </top>
      <bottom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>
        <color theme="0" tint="-0.5"/>
      </right>
      <top/>
      <bottom style="thin">
        <color theme="0" tint="-0.5"/>
      </bottom>
      <diagonal/>
    </border>
    <border diagonalUp="false" diagonalDown="false">
      <left style="thin">
        <color theme="0" tint="-0.5"/>
      </left>
      <right style="thin">
        <color theme="0" tint="-0.5"/>
      </right>
      <top/>
      <bottom style="thin">
        <color theme="0" tint="-0.5"/>
      </bottom>
      <diagonal/>
    </border>
    <border diagonalUp="false" diagonalDown="false">
      <left style="thin">
        <color theme="0" tint="-0.5"/>
      </left>
      <right/>
      <top/>
      <bottom style="thin">
        <color theme="0" tint="-0.5"/>
      </bottom>
      <diagonal/>
    </border>
    <border diagonalUp="false" diagonalDown="false">
      <left/>
      <right style="thin">
        <color theme="0" tint="-0.5"/>
      </right>
      <top style="thin">
        <color theme="0" tint="-0.5"/>
      </top>
      <bottom style="thin">
        <color theme="0" tint="-0.5"/>
      </bottom>
      <diagonal/>
    </border>
    <border diagonalUp="false" diagonalDown="false">
      <left style="thin">
        <color theme="0" tint="-0.5"/>
      </left>
      <right/>
      <top style="thin">
        <color theme="0" tint="-0.5"/>
      </top>
      <bottom style="thin">
        <color theme="0" tint="-0.5"/>
      </bottom>
      <diagonal/>
    </border>
    <border diagonalUp="false" diagonalDown="false">
      <left/>
      <right style="thin">
        <color theme="0" tint="-0.5"/>
      </right>
      <top style="thin">
        <color theme="0" tint="-0.5"/>
      </top>
      <bottom/>
      <diagonal/>
    </border>
    <border diagonalUp="false" diagonalDown="false">
      <left style="thin">
        <color theme="0" tint="-0.5"/>
      </left>
      <right style="thin">
        <color theme="0" tint="-0.5"/>
      </right>
      <top style="thin">
        <color theme="0" tint="-0.5"/>
      </top>
      <bottom/>
      <diagonal/>
    </border>
    <border diagonalUp="false" diagonalDown="false">
      <left style="thin">
        <color theme="0" tint="-0.5"/>
      </left>
      <right/>
      <top style="thin">
        <color theme="0" tint="-0.5"/>
      </top>
      <bottom/>
      <diagonal/>
    </border>
    <border diagonalUp="false" diagonalDown="false">
      <left style="thin">
        <color rgb="FF9999FF"/>
      </left>
      <right style="thin">
        <color rgb="FF9999FF"/>
      </right>
      <top style="thin">
        <color rgb="FF9999FF"/>
      </top>
      <bottom style="thin">
        <color rgb="FF9999FF"/>
      </bottom>
      <diagonal/>
    </border>
    <border diagonalUp="false" diagonalDown="false">
      <left style="thin">
        <color rgb="FF9999FF"/>
      </left>
      <right style="thin">
        <color rgb="FF9999FF"/>
      </right>
      <top style="thin">
        <color rgb="FF9999FF"/>
      </top>
      <bottom/>
      <diagonal/>
    </border>
    <border diagonalUp="false" diagonalDown="false">
      <left style="thin">
        <color rgb="FF9999FF"/>
      </left>
      <right style="thin">
        <color rgb="FF9999FF"/>
      </right>
      <top/>
      <bottom/>
      <diagonal/>
    </border>
    <border diagonalUp="false" diagonalDown="false">
      <left style="thin">
        <color rgb="FF9999FF"/>
      </left>
      <right style="thin">
        <color rgb="FF9999FF"/>
      </right>
      <top/>
      <bottom style="thin">
        <color rgb="FF9999FF"/>
      </bottom>
      <diagonal/>
    </border>
    <border diagonalUp="false" diagonalDown="false">
      <left style="thin">
        <color rgb="FF9999FF"/>
      </left>
      <right/>
      <top style="thin">
        <color rgb="FF9999FF"/>
      </top>
      <bottom/>
      <diagonal/>
    </border>
  </borders>
  <cellStyleXfs count="50">
    <xf numFmtId="16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2" applyFont="true" applyBorder="true" applyAlignment="true" applyProtection="false">
      <alignment horizontal="general" vertical="bottom" textRotation="0" wrapText="false" indent="0" shrinkToFit="false"/>
    </xf>
    <xf numFmtId="167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168" fontId="4" fillId="0" borderId="0" applyFont="true" applyBorder="false" applyAlignment="true" applyProtection="false">
      <alignment horizontal="general" vertical="bottom" textRotation="0" wrapText="false" indent="0" shrinkToFit="false"/>
    </xf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left" vertical="bottom" textRotation="0" wrapText="false" indent="0" shrinkToFit="false"/>
    </xf>
    <xf numFmtId="167" fontId="11" fillId="0" borderId="0" applyFont="true" applyBorder="false" applyAlignment="true" applyProtection="false">
      <alignment horizontal="left" vertical="bottom" textRotation="0" wrapText="false" indent="0" shrinkToFit="false"/>
    </xf>
    <xf numFmtId="167" fontId="11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21"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6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6" fillId="5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7" fillId="3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7" fontId="1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9" fillId="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8" fillId="3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2" fontId="2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3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7" fontId="2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2" fillId="3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7" fontId="12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3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5" xfId="4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6" xfId="4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7" xfId="4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8" xfId="4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9" xfId="4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0" xfId="4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11" xfId="4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2" xfId="4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3" xfId="47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7" fontId="0" fillId="0" borderId="14" xfId="47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7" fontId="0" fillId="0" borderId="15" xfId="47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7" fontId="0" fillId="0" borderId="16" xfId="47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6" fontId="0" fillId="0" borderId="12" xfId="47" applyFont="false" applyBorder="true" applyAlignment="true" applyProtection="false">
      <alignment horizontal="left" vertical="bottom" textRotation="0" wrapText="false" indent="1" shrinkToFit="false"/>
      <protection locked="true" hidden="false"/>
    </xf>
    <xf numFmtId="167" fontId="0" fillId="0" borderId="12" xfId="47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7" fontId="0" fillId="0" borderId="12" xfId="47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17" xfId="4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4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4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0" xfId="47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76" fontId="0" fillId="0" borderId="21" xfId="47" applyFont="false" applyBorder="true" applyAlignment="true" applyProtection="false">
      <alignment horizontal="left" vertical="bottom" textRotation="0" wrapText="false" indent="1" shrinkToFit="false"/>
      <protection locked="true" hidden="false"/>
    </xf>
    <xf numFmtId="167" fontId="3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6" fontId="0" fillId="0" borderId="22" xfId="47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76" fontId="0" fillId="0" borderId="23" xfId="47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7" fontId="0" fillId="0" borderId="24" xfId="47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7" fontId="11" fillId="0" borderId="25" xfId="48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76" fontId="11" fillId="0" borderId="26" xfId="48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7" fontId="11" fillId="0" borderId="26" xfId="48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7" fontId="11" fillId="0" borderId="27" xfId="48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28" xfId="4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4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4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0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7" fontId="41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7" fontId="41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41" fillId="6" borderId="3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41" fillId="7" borderId="3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7" fontId="41" fillId="7" borderId="3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7" fontId="41" fillId="8" borderId="30" xfId="0" applyFont="true" applyBorder="true" applyAlignment="true" applyProtection="false">
      <alignment horizontal="left" vertical="top" textRotation="0" wrapText="true" indent="2" shrinkToFit="false"/>
      <protection locked="true" hidden="false"/>
    </xf>
    <xf numFmtId="164" fontId="41" fillId="8" borderId="3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7" fontId="39" fillId="0" borderId="30" xfId="0" applyFont="true" applyBorder="true" applyAlignment="true" applyProtection="false">
      <alignment horizontal="left" vertical="top" textRotation="0" wrapText="true" indent="4" shrinkToFit="false"/>
      <protection locked="true" hidden="false"/>
    </xf>
    <xf numFmtId="178" fontId="39" fillId="0" borderId="3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7" fontId="41" fillId="0" borderId="30" xfId="0" applyFont="true" applyBorder="true" applyAlignment="true" applyProtection="false">
      <alignment horizontal="left" vertical="top" textRotation="0" wrapText="true" indent="6" shrinkToFit="false"/>
      <protection locked="true" hidden="false"/>
    </xf>
    <xf numFmtId="178" fontId="41" fillId="0" borderId="3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39" fillId="0" borderId="3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7" fontId="41" fillId="8" borderId="3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7" fontId="42" fillId="9" borderId="30" xfId="0" applyFont="true" applyBorder="true" applyAlignment="true" applyProtection="false">
      <alignment horizontal="left" vertical="top" textRotation="0" wrapText="true" indent="4" shrinkToFit="false"/>
      <protection locked="true" hidden="false"/>
    </xf>
    <xf numFmtId="178" fontId="42" fillId="9" borderId="3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2" fontId="41" fillId="0" borderId="3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2" fontId="39" fillId="0" borderId="3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41" fillId="0" borderId="3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39" fillId="0" borderId="3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7" fontId="41" fillId="6" borderId="3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7" fontId="41" fillId="6" borderId="3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8" fillId="9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5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1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38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" fillId="9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4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6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38" fillId="9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83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45" fillId="9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0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3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0" fontId="3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72" fontId="3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2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31" xfId="4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32" xfId="47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7" fontId="0" fillId="0" borderId="9" xfId="47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7" fontId="0" fillId="0" borderId="10" xfId="47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7" fontId="0" fillId="0" borderId="16" xfId="47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33" xfId="4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4" xfId="4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7" fontId="0" fillId="0" borderId="34" xfId="4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35" xfId="4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6" xfId="4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45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0" fillId="0" borderId="0" xfId="45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37" xfId="4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4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4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7" fontId="0" fillId="0" borderId="14" xfId="4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5" xfId="4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38" xfId="48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11" fillId="0" borderId="28" xfId="49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6" xfId="49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7" fontId="11" fillId="0" borderId="26" xfId="49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29" xfId="49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1" xfId="47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0" borderId="12" xfId="4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4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0" fillId="0" borderId="18" xfId="4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9" xfId="4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11" fillId="0" borderId="26" xfId="49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0" fillId="4" borderId="3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0" fillId="4" borderId="3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0" fontId="60" fillId="4" borderId="39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61" fillId="0" borderId="3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1" fillId="0" borderId="3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0" fontId="61" fillId="0" borderId="39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0" fillId="0" borderId="3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0" xfId="4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8" xfId="47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7" fontId="0" fillId="0" borderId="40" xfId="47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7" xfId="4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8" xfId="4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3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41" xfId="4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2" xfId="4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43" xfId="4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3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44" xfId="4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5" fillId="0" borderId="0" xfId="34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65" fillId="11" borderId="0" xfId="34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6" fontId="65" fillId="0" borderId="0" xfId="34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65" fillId="12" borderId="0" xfId="34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84" fontId="65" fillId="0" borderId="0" xfId="34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65" fillId="0" borderId="0" xfId="34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6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65" fillId="1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3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0" xfId="34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90" fontId="6" fillId="0" borderId="0" xfId="34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7" fontId="6" fillId="0" borderId="0" xfId="34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91" fontId="6" fillId="0" borderId="0" xfId="34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76" fontId="6" fillId="0" borderId="0" xfId="34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92" fontId="6" fillId="0" borderId="0" xfId="34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84" fontId="6" fillId="0" borderId="0" xfId="34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34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6" fontId="6" fillId="0" borderId="0" xfId="34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76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8" fontId="6" fillId="0" borderId="0" xfId="34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7" fontId="6" fillId="0" borderId="14" xfId="34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90" fontId="6" fillId="0" borderId="14" xfId="34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7" fontId="6" fillId="0" borderId="14" xfId="34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91" fontId="6" fillId="0" borderId="14" xfId="34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6" fontId="6" fillId="0" borderId="14" xfId="34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92" fontId="6" fillId="0" borderId="14" xfId="34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93" fontId="6" fillId="0" borderId="14" xfId="34" applyFont="true" applyBorder="true" applyAlignment="true" applyProtection="false">
      <alignment horizontal="left" vertical="top" textRotation="0" wrapText="true" indent="0" shrinkToFit="false"/>
      <protection locked="true" hidden="false"/>
    </xf>
    <xf numFmtId="184" fontId="6" fillId="0" borderId="14" xfId="34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4" xfId="34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6" fontId="6" fillId="0" borderId="14" xfId="34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1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1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6" fontId="6" fillId="0" borderId="1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43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90" fontId="6" fillId="0" borderId="0" xfId="43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91" fontId="6" fillId="0" borderId="0" xfId="43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76" fontId="6" fillId="0" borderId="0" xfId="43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92" fontId="6" fillId="0" borderId="0" xfId="43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76" fontId="6" fillId="0" borderId="0" xfId="43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43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90" fontId="6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91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76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92" fontId="6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84" fontId="6" fillId="0" borderId="0" xfId="43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8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4" xfId="43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90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6" fillId="0" borderId="0" xfId="34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90" fontId="6" fillId="13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94" fontId="6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7" fontId="65" fillId="1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65" fillId="1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65" fillId="1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93" fontId="6" fillId="0" borderId="0" xfId="34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7" fontId="6" fillId="0" borderId="0" xfId="43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90" fontId="6" fillId="0" borderId="0" xfId="43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2" fontId="6" fillId="0" borderId="0" xfId="43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95" fontId="6" fillId="0" borderId="0" xfId="43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90" fontId="6" fillId="16" borderId="0" xfId="43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78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96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6" fontId="6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7" fontId="6" fillId="1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90" fontId="6" fillId="17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76" fontId="6" fillId="17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7" fontId="6" fillId="17" borderId="0" xfId="34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1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6" fontId="6" fillId="1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0" fillId="1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9" fillId="0" borderId="2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" fillId="0" borderId="45" xfId="3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7" fillId="0" borderId="0" xfId="3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0" fillId="0" borderId="45" xfId="3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0" fillId="0" borderId="0" xfId="3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7" fontId="67" fillId="0" borderId="45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67" fillId="0" borderId="45" xfId="3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67" fillId="0" borderId="45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7" fontId="67" fillId="0" borderId="45" xfId="3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7" fillId="0" borderId="45" xfId="3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" fillId="0" borderId="45" xfId="3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68" fillId="0" borderId="45" xfId="3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8" fillId="0" borderId="0" xfId="3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7" fillId="0" borderId="46" xfId="3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7" fillId="0" borderId="47" xfId="33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67" fillId="0" borderId="48" xfId="33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71" fillId="0" borderId="48" xfId="33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70" fillId="0" borderId="48" xfId="33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70" fillId="0" borderId="0" xfId="33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67" fillId="0" borderId="48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7" fillId="0" borderId="0" xfId="33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72" fillId="0" borderId="48" xfId="33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68" fillId="0" borderId="48" xfId="33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68" fillId="0" borderId="0" xfId="33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73" fillId="0" borderId="45" xfId="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4" fillId="0" borderId="45" xfId="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3" fillId="0" borderId="0" xfId="3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5" fillId="0" borderId="45" xfId="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5" fillId="0" borderId="0" xfId="3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73" fillId="0" borderId="49" xfId="33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73" fillId="0" borderId="0" xfId="3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7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7" fillId="0" borderId="5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7" fontId="67" fillId="0" borderId="5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76" fillId="0" borderId="5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67" fillId="0" borderId="5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77" fillId="0" borderId="5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70" fillId="0" borderId="5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7" fillId="0" borderId="5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77" fillId="0" borderId="5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70" fillId="0" borderId="5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7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77" fillId="0" borderId="5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70" fillId="0" borderId="5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8" fillId="0" borderId="51" xfId="3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77" fillId="5" borderId="5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70" fillId="18" borderId="5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8" fillId="0" borderId="5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79" fillId="0" borderId="5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" fillId="0" borderId="53" xfId="0" applyFont="true" applyBorder="true" applyAlignment="true" applyProtection="false">
      <alignment horizontal="left" vertical="bottom" textRotation="0" wrapText="false" indent="3" shrinkToFit="false"/>
      <protection locked="true" hidden="false"/>
    </xf>
    <xf numFmtId="197" fontId="80" fillId="0" borderId="5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76" fillId="0" borderId="5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80" fillId="0" borderId="5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77" fillId="0" borderId="5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70" fillId="0" borderId="5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8" fillId="0" borderId="52" xfId="3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77" fillId="5" borderId="5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7" fillId="0" borderId="5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7" fillId="0" borderId="5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" fillId="0" borderId="5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7" fontId="67" fillId="0" borderId="14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76" fillId="0" borderId="14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67" fillId="0" borderId="55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77" fillId="0" borderId="55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70" fillId="0" borderId="55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7" fillId="0" borderId="14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77" fillId="0" borderId="14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70" fillId="0" borderId="14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77" fillId="0" borderId="14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70" fillId="0" borderId="14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8" fillId="0" borderId="14" xfId="3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70" fillId="18" borderId="14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8" fillId="0" borderId="55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79" fillId="0" borderId="55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" fillId="0" borderId="45" xfId="3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7" fillId="0" borderId="45" xfId="3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7" fillId="0" borderId="45" xfId="3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1" fillId="0" borderId="45" xfId="3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1" fillId="0" borderId="0" xfId="3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7" fontId="77" fillId="0" borderId="45" xfId="3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7" fontId="70" fillId="0" borderId="45" xfId="3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7" fontId="82" fillId="0" borderId="45" xfId="3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3" fillId="0" borderId="45" xfId="3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1" fillId="0" borderId="45" xfId="3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7" fillId="0" borderId="51" xfId="3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7" fontId="67" fillId="0" borderId="51" xfId="3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7" fontId="76" fillId="0" borderId="51" xfId="3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7" fontId="77" fillId="0" borderId="51" xfId="3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7" fontId="70" fillId="0" borderId="51" xfId="3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7" fillId="0" borderId="51" xfId="3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7" fillId="0" borderId="51" xfId="3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0" fillId="0" borderId="51" xfId="3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0" fillId="0" borderId="0" xfId="3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7" fontId="67" fillId="0" borderId="51" xfId="4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77" fillId="0" borderId="51" xfId="4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70" fillId="0" borderId="51" xfId="4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7" fillId="0" borderId="51" xfId="4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77" fillId="0" borderId="51" xfId="4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70" fillId="0" borderId="51" xfId="4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8" fillId="0" borderId="52" xfId="4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79" fillId="0" borderId="52" xfId="4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67" fillId="0" borderId="0" xfId="4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67" fillId="0" borderId="0" xfId="3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7" fontId="70" fillId="0" borderId="0" xfId="3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56" xfId="4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3" xfId="47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7" fontId="0" fillId="0" borderId="14" xfId="47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7" fontId="0" fillId="0" borderId="15" xfId="47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76" fontId="0" fillId="0" borderId="16" xfId="47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11" borderId="34" xfId="4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4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76" fontId="0" fillId="0" borderId="20" xfId="47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11" borderId="0" xfId="45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4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14" xfId="4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4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1" fillId="0" borderId="38" xfId="48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11" fillId="11" borderId="26" xfId="49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9" xfId="49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57" xfId="47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7" fontId="11" fillId="19" borderId="5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5" xfId="4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6" xfId="4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9" xfId="4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9" borderId="5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8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7" fontId="8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8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7" fontId="8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93" fontId="87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7" fontId="87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78" fontId="87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6" fontId="87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90" fontId="87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6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6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0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8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99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78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8" fontId="6" fillId="0" borderId="0" xfId="19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7" fontId="8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8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00" fontId="8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01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20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7" fontId="0" fillId="0" borderId="6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8" fillId="0" borderId="6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7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0" fillId="0" borderId="6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97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7" fontId="38" fillId="0" borderId="6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0" fillId="19" borderId="5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0" fillId="19" borderId="5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8" fillId="19" borderId="5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38" fillId="19" borderId="5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8" fillId="19" borderId="5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8" fillId="19" borderId="5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1" fillId="19" borderId="5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1" fillId="19" borderId="5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0" borderId="6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62" xfId="4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44" xfId="49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6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6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6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80" fontId="61" fillId="0" borderId="0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60" fillId="4" borderId="6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0" fillId="4" borderId="6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0" fillId="4" borderId="6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0" fontId="60" fillId="4" borderId="65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6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61" fillId="0" borderId="6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80" fontId="61" fillId="0" borderId="67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92" fillId="0" borderId="3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1" fillId="0" borderId="6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61" fillId="0" borderId="6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1" fillId="0" borderId="6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0" fontId="61" fillId="0" borderId="69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0" fillId="0" borderId="6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0" fontId="61" fillId="0" borderId="70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9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66" fillId="20" borderId="7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6" fillId="21" borderId="7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1" borderId="7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21" borderId="7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4" fillId="21" borderId="7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6" fillId="5" borderId="7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7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7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4" fillId="0" borderId="7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7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7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6" fillId="21" borderId="7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21" borderId="7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21" borderId="7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66" fillId="20" borderId="7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6" fillId="20" borderId="7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6" fillId="20" borderId="7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6" fillId="0" borderId="7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66" fillId="0" borderId="7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66" fillId="0" borderId="7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66" fillId="0" borderId="7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99" fontId="66" fillId="0" borderId="7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8" fontId="66" fillId="0" borderId="7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66" fillId="0" borderId="7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6" fontId="66" fillId="0" borderId="7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7" fontId="66" fillId="0" borderId="7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201" fontId="66" fillId="0" borderId="7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66" fillId="0" borderId="7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9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20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90" fontId="6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6" fontId="6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202" fontId="6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6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7" fontId="66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76" fontId="66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202" fontId="66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4" fontId="66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99" fontId="6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78" fontId="6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6" fontId="66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90" fontId="66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201" fontId="6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7" fontId="66" fillId="11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6" fillId="11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7" fontId="66" fillId="11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4" fontId="66" fillId="11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76" fontId="66" fillId="11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202" fontId="66" fillId="11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</cellXfs>
  <cellStyles count="3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% выполнения" xfId="20"/>
    <cellStyle name="Заголовок 1 2" xfId="21"/>
    <cellStyle name="Обычный 2" xfId="22"/>
    <cellStyle name="Обычный 2 2" xfId="23"/>
    <cellStyle name="Обычный 2 3" xfId="24"/>
    <cellStyle name="Обычный 2 3 2" xfId="25"/>
    <cellStyle name="Обычный 2 4 2" xfId="26"/>
    <cellStyle name="Обычный 3" xfId="27"/>
    <cellStyle name="Обычный 3 2" xfId="28"/>
    <cellStyle name="Обычный 3 2 3" xfId="29"/>
    <cellStyle name="Обычный 3 3" xfId="30"/>
    <cellStyle name="Обычный 4" xfId="31"/>
    <cellStyle name="Обычный 4 2" xfId="32"/>
    <cellStyle name="Обычный 5" xfId="33"/>
    <cellStyle name="Обычный_Лист5" xfId="34"/>
    <cellStyle name="Процентный 2" xfId="35"/>
    <cellStyle name="Процентный 2 2" xfId="36"/>
    <cellStyle name="Процентный 3" xfId="37"/>
    <cellStyle name="Финансовый 2" xfId="38"/>
    <cellStyle name="Финансовый 2 2" xfId="39"/>
    <cellStyle name="Финансовый 3" xfId="40"/>
    <cellStyle name="Финансовый 4" xfId="41"/>
    <cellStyle name="Финансовый 5" xfId="42"/>
    <cellStyle name="Финансовый [0]_Лист4" xfId="43"/>
    <cellStyle name="Угол сводной таблицы" xfId="44"/>
    <cellStyle name="Значение сводной таблицы" xfId="45"/>
    <cellStyle name="Поле сводной таблицы" xfId="46"/>
    <cellStyle name="Категория сводной таблицы" xfId="47"/>
    <cellStyle name="Заглавие сводной таблицы" xfId="48"/>
    <cellStyle name="Результат сводной таблицы" xfId="49"/>
  </cellStyles>
  <dxfs count="206">
    <dxf>
      <fill>
        <patternFill>
          <bgColor theme="0" tint="-0.25"/>
        </patternFill>
      </fill>
    </dxf>
    <dxf>
      <fill>
        <patternFill>
          <bgColor theme="0" tint="-0.25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EEBF7"/>
          <bgColor rgb="FF000000"/>
        </patternFill>
      </fill>
    </dxf>
    <dxf>
      <fill>
        <patternFill>
          <bgColor theme="0" tint="-0.25"/>
        </patternFill>
      </fill>
    </dxf>
    <dxf>
      <fill>
        <patternFill>
          <bgColor theme="0" tint="-0.25"/>
        </patternFill>
      </fill>
    </dxf>
    <dxf>
      <fill>
        <patternFill>
          <bgColor theme="0" tint="-0.25"/>
        </patternFill>
      </fill>
    </dxf>
    <dxf>
      <fill>
        <patternFill>
          <bgColor theme="0" tint="-0.25"/>
        </patternFill>
      </fill>
    </dxf>
    <dxf>
      <fill>
        <patternFill>
          <bgColor theme="0" tint="-0.25"/>
        </patternFill>
      </fill>
    </dxf>
    <dxf>
      <fill>
        <patternFill>
          <bgColor theme="0" tint="-0.25"/>
        </patternFill>
      </fill>
    </dxf>
    <dxf>
      <fill>
        <patternFill>
          <bgColor theme="0" tint="-0.25"/>
        </patternFill>
      </fill>
    </dxf>
    <dxf>
      <fill>
        <patternFill>
          <bgColor theme="0" tint="-0.25"/>
        </patternFill>
      </fill>
    </dxf>
    <dxf>
      <fill>
        <patternFill>
          <bgColor theme="0" tint="-0.25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D6DCE5"/>
          <bgColor rgb="FF000000"/>
        </patternFill>
      </fill>
    </dxf>
    <dxf>
      <fill>
        <patternFill patternType="solid">
          <fgColor rgb="FFFFCC00"/>
          <bgColor rgb="FF000000"/>
        </patternFill>
      </fill>
    </dxf>
    <dxf>
      <fill>
        <patternFill patternType="solid">
          <fgColor rgb="FFFF9999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C9C9C9"/>
          <bgColor rgb="FF000000"/>
        </patternFill>
      </fill>
    </dxf>
    <dxf>
      <fill>
        <patternFill patternType="solid">
          <fgColor rgb="FFBFBFBF"/>
          <bgColor rgb="FF000000"/>
        </patternFill>
      </fill>
    </dxf>
    <dxf>
      <font>
        <color rgb="FFFFFFFF"/>
      </font>
    </dxf>
    <dxf>
      <font>
        <b val="1"/>
        <i val="0"/>
        <color rgb="FF00B050"/>
      </font>
      <fill>
        <patternFill/>
      </fill>
    </dxf>
    <dxf>
      <font>
        <color rgb="FFFFFFFF"/>
      </font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0C0C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C8D997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ont>
        <b val="1"/>
      </font>
    </dxf>
    <dxf>
      <numFmt numFmtId="164" formatCode="#,##0"/>
    </dxf>
    <dxf>
      <numFmt numFmtId="164" formatCode="#,##0"/>
    </dxf>
    <dxf/>
    <dxf/>
    <dxf/>
    <dxf/>
    <dxf/>
    <dxf/>
    <dxf/>
    <dxf/>
    <dxf>
      <numFmt numFmtId="164" formatCode="#,##0"/>
    </dxf>
    <dxf/>
    <dxf/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165" formatCode="#,##0.0"/>
    </dxf>
    <dxf/>
    <dxf/>
    <dxf/>
    <dxf>
      <numFmt numFmtId="165" formatCode="#,##0.0"/>
    </dxf>
    <dxf/>
    <dxf/>
    <dxf/>
    <dxf/>
    <dxf/>
    <dxf/>
    <dxf/>
    <dxf/>
    <dxf/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numFmt numFmtId="165" formatCode="#,##0.0"/>
    </dxf>
    <dxf>
      <numFmt numFmtId="165" formatCode="#,##0.0"/>
    </dxf>
    <dxf>
      <numFmt numFmtId="165" formatCode="#,##0.0"/>
    </dxf>
    <dxf>
      <font>
        <b val="1"/>
      </font>
    </dxf>
    <dxf>
      <numFmt numFmtId="164" formatCode="#,##0"/>
    </dxf>
    <dxf>
      <numFmt numFmtId="164" formatCode="#,##0"/>
    </dxf>
    <dxf/>
    <dxf/>
    <dxf/>
    <dxf/>
    <dxf/>
    <dxf/>
    <dxf/>
    <dxf/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/>
    <dxf/>
    <dxf/>
    <dxf/>
    <dxf/>
    <dxf/>
    <dxf/>
    <dxf/>
    <dxf/>
    <dxf/>
    <dxf/>
    <dxf/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numFmt numFmtId="166" formatCode="0.0"/>
    </dxf>
    <dxf>
      <numFmt numFmtId="164" formatCode="#,##0"/>
    </dxf>
    <dxf>
      <numFmt numFmtId="164" formatCode="#,##0"/>
    </dxf>
    <dxf/>
    <dxf/>
    <dxf/>
    <dxf/>
    <dxf/>
    <dxf/>
    <dxf/>
    <dxf/>
    <dxf/>
    <dxf/>
    <dxf/>
    <dxf/>
    <dxf>
      <fill>
        <patternFill>
          <bgColor theme="0" tint="-0.05"/>
        </patternFill>
      </fill>
    </dxf>
    <dxf/>
    <dxf/>
    <dxf/>
    <dxf>
      <numFmt numFmtId="164" formatCode="#,##0"/>
    </dxf>
    <dxf/>
    <dxf/>
    <dxf/>
    <dxf/>
    <dxf/>
    <dxf/>
    <dxf/>
    <dxf/>
    <dxf/>
    <dxf>
      <font>
        <b val="1"/>
      </font>
    </dxf>
    <dxf>
      <numFmt numFmtId="164" formatCode="#,##0"/>
    </dxf>
    <dxf>
      <numFmt numFmtId="164" formatCode="#,##0"/>
    </dxf>
    <dxf/>
    <dxf/>
    <dxf/>
    <dxf/>
    <dxf/>
    <dxf/>
    <dxf/>
    <dxf/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165" formatCode="#,##0.0"/>
    </dxf>
    <dxf/>
    <dxf/>
    <dxf/>
    <dxf>
      <numFmt numFmtId="165" formatCode="#,##0.0"/>
    </dxf>
    <dxf/>
    <dxf/>
    <dxf/>
    <dxf/>
    <dxf/>
    <dxf/>
    <dxf/>
    <dxf/>
    <dxf/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numFmt numFmtId="165" formatCode="#,##0.0"/>
    </dxf>
    <dxf/>
    <dxf/>
    <dxf/>
    <dxf/>
    <dxf/>
    <dxf/>
    <dxf/>
    <dxf/>
  </dxfs>
  <colors>
    <indexedColors>
      <rgbColor rgb="FF000000"/>
      <rgbColor rgb="FFFFFFFF"/>
      <rgbColor rgb="FFFF0000"/>
      <rgbColor rgb="FFC8D997"/>
      <rgbColor rgb="FF0000FF"/>
      <rgbColor rgb="FFFFFF00"/>
      <rgbColor rgb="FFD9D9D9"/>
      <rgbColor rgb="FFA9D18E"/>
      <rgbColor rgb="FFFFF2CC"/>
      <rgbColor rgb="FFC5E0B4"/>
      <rgbColor rgb="FF000080"/>
      <rgbColor rgb="FF677C2C"/>
      <rgbColor rgb="FFF4ECC5"/>
      <rgbColor rgb="FF00B050"/>
      <rgbColor rgb="FFC0C0C0"/>
      <rgbColor rgb="FF808080"/>
      <rgbColor rgb="FF9999FF"/>
      <rgbColor rgb="FF7F7F7F"/>
      <rgbColor rgb="FFFFFFCC"/>
      <rgbColor rgb="FFDEEBF7"/>
      <rgbColor rgb="FFF8F2D8"/>
      <rgbColor rgb="FFFF9393"/>
      <rgbColor rgb="FF0070C0"/>
      <rgbColor rgb="FFD6DCE5"/>
      <rgbColor rgb="FF000080"/>
      <rgbColor rgb="FFD4E8C6"/>
      <rgbColor rgb="FFCDDD9F"/>
      <rgbColor rgb="FFAECF85"/>
      <rgbColor rgb="FFE7EFD1"/>
      <rgbColor rgb="FFFBF9EC"/>
      <rgbColor rgb="FF70AD47"/>
      <rgbColor rgb="FF0000FF"/>
      <rgbColor rgb="FF9DC3E6"/>
      <rgbColor rgb="FFEFEFEF"/>
      <rgbColor rgb="FFE2F0D9"/>
      <rgbColor rgb="FFFFFFA7"/>
      <rgbColor rgb="FF99CCFF"/>
      <rgbColor rgb="FFFF9999"/>
      <rgbColor rgb="FFAFABAB"/>
      <rgbColor rgb="FFFFE699"/>
      <rgbColor rgb="FFA6A6A6"/>
      <rgbColor rgb="FF5B9BD5"/>
      <rgbColor rgb="FF97B541"/>
      <rgbColor rgb="FFFFCC00"/>
      <rgbColor rgb="FFFFC000"/>
      <rgbColor rgb="FFCCC085"/>
      <rgbColor rgb="FF595959"/>
      <rgbColor rgb="FF8B8B8B"/>
      <rgbColor rgb="FFF2F2F2"/>
      <rgbColor rgb="FF63993F"/>
      <rgbColor rgb="FFF8FBF6"/>
      <rgbColor rgb="FF385623"/>
      <rgbColor rgb="FFC9C9C9"/>
      <rgbColor rgb="FFBFBFBF"/>
      <rgbColor rgb="FF44546A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sharedStrings" Target="sharedStrings.xml"/><Relationship Id="rId32" Type="http://schemas.openxmlformats.org/officeDocument/2006/relationships/pivotCacheDefinition" Target="pivotCache/pivotCacheDefinition1.xml"/><Relationship Id="rId33" Type="http://schemas.openxmlformats.org/officeDocument/2006/relationships/pivotCacheDefinition" Target="pivotCache/pivotCacheDefinition2.xml"/><Relationship Id="rId34" Type="http://schemas.openxmlformats.org/officeDocument/2006/relationships/pivotCacheDefinition" Target="pivotCache/pivotCacheDefinition3.xml"/><Relationship Id="rId35" Type="http://schemas.openxmlformats.org/officeDocument/2006/relationships/pivotCacheDefinition" Target="pivotCache/pivotCacheDefinition4.xml"/><Relationship Id="rId36" Type="http://schemas.openxmlformats.org/officeDocument/2006/relationships/pivotCacheDefinition" Target="pivotCache/pivotCacheDefinition5.xml"/><Relationship Id="rId37" Type="http://schemas.openxmlformats.org/officeDocument/2006/relationships/pivotCacheDefinition" Target="pivotCache/pivotCacheDefinition6.xml"/><Relationship Id="rId38" Type="http://schemas.openxmlformats.org/officeDocument/2006/relationships/connections" Target="connections.xml"/>
</Relationships>
</file>

<file path=xl/charts/_rels/chart1.xml.rels><?xml version="1.0" encoding="UTF-8"?>
<Relationships xmlns="http://schemas.openxmlformats.org/package/2006/relationships"><Relationship Id="rId1" Type="http://schemas.openxmlformats.org/officeDocument/2006/relationships/chartUserShapes" Target="../drawings/drawing2.xml"/>
</Relationships>
</file>

<file path=xl/charts/_rels/chart4.xml.rels><?xml version="1.0" encoding="UTF-8"?>
<Relationships xmlns="http://schemas.openxmlformats.org/package/2006/relationships"><Relationship Id="rId1" Type="http://schemas.openxmlformats.org/officeDocument/2006/relationships/chartUserShapes" Target="../drawings/drawing3.xml"/>
</Relationships>
</file>

<file path=xl/charts/_rels/chart5.xml.rels><?xml version="1.0" encoding="UTF-8"?>
<Relationships xmlns="http://schemas.openxmlformats.org/package/2006/relationships"><Relationship Id="rId1" Type="http://schemas.openxmlformats.org/officeDocument/2006/relationships/chartUserShapes" Target="../drawings/drawing5.xml"/>
</Relationships>
</file>

<file path=xl/charts/_rels/chart8.xml.rels><?xml version="1.0" encoding="UTF-8"?>
<Relationships xmlns="http://schemas.openxmlformats.org/package/2006/relationships"><Relationship Id="rId1" Type="http://schemas.openxmlformats.org/officeDocument/2006/relationships/chartUserShapes" Target="../drawings/drawing6.xml"/>
</Relationships>
</file>

<file path=xl/charts/_rels/chart9.xml.rels><?xml version="1.0" encoding="UTF-8"?>
<Relationships xmlns="http://schemas.openxmlformats.org/package/2006/relationships"><Relationship Id="rId1" Type="http://schemas.openxmlformats.org/officeDocument/2006/relationships/chartUserShapes" Target="../drawings/drawing8.xml"/>
</Relationships>
</file>

<file path=xl/charts/_rels/chart12.xml.rels><?xml version="1.0" encoding="UTF-8"?>
<Relationships xmlns="http://schemas.openxmlformats.org/package/2006/relationships"><Relationship Id="rId1" Type="http://schemas.openxmlformats.org/officeDocument/2006/relationships/chartUserShapes" Target="../drawings/drawing9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lang="ru-RU" sz="1400" strike="noStrike" u="none">
                <a:solidFill>
                  <a:srgbClr val="000000"/>
                </a:solidFill>
                <a:uFillTx/>
                <a:latin typeface="Bahnschrift Light SemiCondensed"/>
              </a:rPr>
              <a:t>СТАТИСТИКА УБОРКИ ОВОЩНОГО ГОРОШКА 2019-2026 гг.</a:t>
            </a:r>
          </a:p>
        </c:rich>
      </c:tx>
      <c:layout>
        <c:manualLayout>
          <c:xMode val="edge"/>
          <c:yMode val="edge"/>
          <c:x val="0.199435699435699"/>
          <c:y val="0.0102114195311376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43956043956044"/>
          <c:y val="0.132892276715087"/>
          <c:w val="0.926393426393426"/>
          <c:h val="0.7517618294261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"Валовый сбор, т"</c:f>
              <c:strCache>
                <c:ptCount val="1"/>
                <c:pt idx="0">
                  <c:v>Валовый сбор, т</c:v>
                </c:pt>
              </c:strCache>
            </c:strRef>
          </c:tx>
          <c:spPr>
            <a:solidFill>
              <a:srgbClr val="a9d18e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a9d18e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a9d18e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a9d18e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a9d18e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a9d18e"/>
              </a:solidFill>
              <a:ln w="0">
                <a:noFill/>
              </a:ln>
            </c:spPr>
          </c:dPt>
          <c:dPt>
            <c:idx val="5"/>
            <c:invertIfNegative val="0"/>
            <c:spPr>
              <a:solidFill>
                <a:srgbClr val="a9d18e"/>
              </a:solidFill>
              <a:ln w="0">
                <a:noFill/>
              </a:ln>
            </c:spPr>
          </c:dPt>
          <c:dPt>
            <c:idx val="6"/>
            <c:invertIfNegative val="0"/>
            <c:spPr>
              <a:solidFill>
                <a:srgbClr val="a9d18e"/>
              </a:solidFill>
              <a:ln w="0">
                <a:noFill/>
              </a:ln>
            </c:spPr>
          </c:dPt>
          <c:dPt>
            <c:idx val="7"/>
            <c:invertIfNegative val="0"/>
            <c:spPr>
              <a:solidFill>
                <a:srgbClr val="a9d18e"/>
              </a:solidFill>
              <a:ln w="0">
                <a:noFill/>
              </a:ln>
            </c:spPr>
          </c:dPt>
          <c:dLbls>
            <c:numFmt formatCode="#,##0" sourceLinked="0"/>
            <c:dLbl>
              <c:idx val="0"/>
              <c:numFmt formatCode="#,##0" sourceLinked="0"/>
              <c:txPr>
                <a:bodyPr wrap="square"/>
                <a:lstStyle/>
                <a:p>
                  <a:pPr>
                    <a:defRPr b="0" lang="en-US" sz="1000" strike="noStrike" u="none">
                      <a:solidFill>
                        <a:srgbClr val="000000"/>
                      </a:solidFill>
                      <a:uFillTx/>
                      <a:latin typeface="Bahnschrift Light SemiCondensed"/>
                    </a:defRPr>
                  </a:pPr>
                </a:p>
              </c:txPr>
              <c:tx>
                <c:rich>
                  <a:bodyPr/>
                  <a:p>
                    <a:fld id="{B682C57E-ED46-420F-9132-2C55F6531A5C}" type="CELLRANGE">
                      <a:rPr b="0" lang="ru-RU" sz="10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[CELLRANGE]</a:t>
                    </a:fld>
                  </a:p>
                  <a:p>
                    <a:fld id="{225E4949-B7B8-40DD-B0A8-605D1C7F2669}" type="VALUE">
                      <a:rPr b="0" lang="ru-RU" sz="10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6 813</a:t>
                    </a:fld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eparator>
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1"/>
              <c:numFmt formatCode="#,##0" sourceLinked="0"/>
              <c:txPr>
                <a:bodyPr wrap="square"/>
                <a:lstStyle/>
                <a:p>
                  <a:pPr>
                    <a:defRPr b="0" lang="en-US" sz="1000" strike="noStrike" u="none">
                      <a:solidFill>
                        <a:srgbClr val="000000"/>
                      </a:solidFill>
                      <a:uFillTx/>
                      <a:latin typeface="Bahnschrift Light SemiCondensed"/>
                    </a:defRPr>
                  </a:pPr>
                </a:p>
              </c:txPr>
              <c:tx>
                <c:rich>
                  <a:bodyPr/>
                  <a:p>
                    <a:fld id="{B682C57E-ED46-420F-9132-2C55F6531A5C}" type="CELLRANGE">
                      <a:rPr b="0" lang="ru-RU" sz="10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[CELLRANGE]</a:t>
                    </a:fld>
                  </a:p>
                  <a:p>
                    <a:fld id="{225E4949-B7B8-40DD-B0A8-605D1C7F2669}" type="VALUE">
                      <a:rPr b="0" lang="ru-RU" sz="10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12 761</a:t>
                    </a:fld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eparator>
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2"/>
              <c:numFmt formatCode="#,##0" sourceLinked="0"/>
              <c:txPr>
                <a:bodyPr wrap="square"/>
                <a:lstStyle/>
                <a:p>
                  <a:pPr>
                    <a:defRPr b="0" lang="en-US" sz="1000" strike="noStrike" u="none">
                      <a:solidFill>
                        <a:srgbClr val="000000"/>
                      </a:solidFill>
                      <a:uFillTx/>
                      <a:latin typeface="Bahnschrift Light SemiCondensed"/>
                    </a:defRPr>
                  </a:pPr>
                </a:p>
              </c:txPr>
              <c:tx>
                <c:rich>
                  <a:bodyPr/>
                  <a:p>
                    <a:fld id="{B682C57E-ED46-420F-9132-2C55F6531A5C}" type="CELLRANGE">
                      <a:rPr b="0" lang="ru-RU" sz="10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[CELLRANGE]</a:t>
                    </a:fld>
                  </a:p>
                  <a:p>
                    <a:fld id="{225E4949-B7B8-40DD-B0A8-605D1C7F2669}" type="VALUE">
                      <a:rPr b="0" lang="ru-RU" sz="10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10 161</a:t>
                    </a:fld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eparator>
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3"/>
              <c:numFmt formatCode="#,##0" sourceLinked="0"/>
              <c:txPr>
                <a:bodyPr wrap="square"/>
                <a:lstStyle/>
                <a:p>
                  <a:pPr>
                    <a:defRPr b="0" lang="en-US" sz="1000" strike="noStrike" u="none">
                      <a:solidFill>
                        <a:srgbClr val="000000"/>
                      </a:solidFill>
                      <a:uFillTx/>
                      <a:latin typeface="Bahnschrift Light SemiCondensed"/>
                    </a:defRPr>
                  </a:pPr>
                </a:p>
              </c:txPr>
              <c:tx>
                <c:rich>
                  <a:bodyPr/>
                  <a:p>
                    <a:fld id="{B682C57E-ED46-420F-9132-2C55F6531A5C}" type="CELLRANGE">
                      <a:rPr b="0" lang="ru-RU" sz="10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[CELLRANGE]</a:t>
                    </a:fld>
                  </a:p>
                  <a:p>
                    <a:fld id="{225E4949-B7B8-40DD-B0A8-605D1C7F2669}" type="VALUE">
                      <a:rPr b="0" lang="ru-RU" sz="10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6 505</a:t>
                    </a:fld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eparator>
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4"/>
              <c:numFmt formatCode="#,##0" sourceLinked="0"/>
              <c:txPr>
                <a:bodyPr wrap="square"/>
                <a:lstStyle/>
                <a:p>
                  <a:pPr>
                    <a:defRPr b="0" lang="en-US" sz="1000" strike="noStrike" u="none">
                      <a:solidFill>
                        <a:srgbClr val="000000"/>
                      </a:solidFill>
                      <a:uFillTx/>
                      <a:latin typeface="Bahnschrift Light SemiCondensed"/>
                    </a:defRPr>
                  </a:pPr>
                </a:p>
              </c:txPr>
              <c:tx>
                <c:rich>
                  <a:bodyPr/>
                  <a:p>
                    <a:fld id="{B682C57E-ED46-420F-9132-2C55F6531A5C}" type="CELLRANGE">
                      <a:rPr b="0" lang="ru-RU" sz="10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[CELLRANGE]</a:t>
                    </a:fld>
                  </a:p>
                  <a:p>
                    <a:fld id="{225E4949-B7B8-40DD-B0A8-605D1C7F2669}" type="VALUE">
                      <a:rPr b="0" lang="ru-RU" sz="10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6 656</a:t>
                    </a:fld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eparator>
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5"/>
              <c:numFmt formatCode="#,##0" sourceLinked="0"/>
              <c:txPr>
                <a:bodyPr wrap="square"/>
                <a:lstStyle/>
                <a:p>
                  <a:pPr>
                    <a:defRPr b="0" lang="en-US" sz="1000" strike="noStrike" u="none">
                      <a:solidFill>
                        <a:srgbClr val="000000"/>
                      </a:solidFill>
                      <a:uFillTx/>
                      <a:latin typeface="Bahnschrift Light SemiCondensed"/>
                    </a:defRPr>
                  </a:pPr>
                </a:p>
              </c:txPr>
              <c:tx>
                <c:rich>
                  <a:bodyPr/>
                  <a:p>
                    <a:fld id="{B682C57E-ED46-420F-9132-2C55F6531A5C}" type="CELLRANGE">
                      <a:rPr b="0" lang="ru-RU" sz="10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[CELLRANGE]</a:t>
                    </a:fld>
                  </a:p>
                  <a:p>
                    <a:fld id="{225E4949-B7B8-40DD-B0A8-605D1C7F2669}" type="VALUE">
                      <a:rPr b="0" lang="ru-RU" sz="10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4 372</a:t>
                    </a:fld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eparator>
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6"/>
              <c:numFmt formatCode="#,##0" sourceLinked="0"/>
              <c:txPr>
                <a:bodyPr wrap="square"/>
                <a:lstStyle/>
                <a:p>
                  <a:pPr>
                    <a:defRPr b="0" lang="en-US" sz="1000" strike="noStrike" u="none">
                      <a:solidFill>
                        <a:srgbClr val="000000"/>
                      </a:solidFill>
                      <a:uFillTx/>
                      <a:latin typeface="Bahnschrift Light SemiCondensed"/>
                    </a:defRPr>
                  </a:pPr>
                </a:p>
              </c:txPr>
              <c:tx>
                <c:rich>
                  <a:bodyPr/>
                  <a:p>
                    <a:fld id="{B682C57E-ED46-420F-9132-2C55F6531A5C}" type="CELLRANGE">
                      <a:rPr b="0" lang="ru-RU" sz="10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[CELLRANGE]</a:t>
                    </a:fld>
                  </a:p>
                  <a:p>
                    <a:fld id="{225E4949-B7B8-40DD-B0A8-605D1C7F2669}" type="VALUE">
                      <a:rPr b="0" lang="ru-RU" sz="10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7 098</a:t>
                    </a:fld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eparator>
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7"/>
              <c:numFmt formatCode="#,##0" sourceLinked="0"/>
              <c:txPr>
                <a:bodyPr wrap="square"/>
                <a:lstStyle/>
                <a:p>
                  <a:pPr>
                    <a:defRPr b="0" lang="en-US" sz="1000" strike="noStrike" u="none">
                      <a:solidFill>
                        <a:srgbClr val="000000"/>
                      </a:solidFill>
                      <a:uFillTx/>
                      <a:latin typeface="Bahnschrift Light SemiCondensed"/>
                    </a:defRPr>
                  </a:pPr>
                </a:p>
              </c:txPr>
              <c:tx>
                <c:rich>
                  <a:bodyPr/>
                  <a:p>
                    <a:fld id="{B682C57E-ED46-420F-9132-2C55F6531A5C}" type="CELLRANGE">
                      <a:rPr b="0" lang="ru-RU" sz="10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[CELLRANGE]</a:t>
                    </a:fld>
                  </a:p>
                  <a:p>
                    <a:fld id="{225E4949-B7B8-40DD-B0A8-605D1C7F2669}" type="VALUE">
                      <a:rPr b="0" lang="ru-RU" sz="10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1 356</a:t>
                    </a:fld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eparator>
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txPr>
              <a:bodyPr wrap="square"/>
              <a:lstStyle/>
              <a:p>
                <a:pPr>
                  <a:defRPr b="0" lang="en-US" sz="1000" strike="noStrike" u="none">
                    <a:solidFill>
                      <a:srgbClr val="000000"/>
                    </a:solidFill>
                    <a:uFillTx/>
                    <a:latin typeface="Bahnschrift Light SemiCondensed"/>
                  </a:defRPr>
                </a:pPr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eparator>
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'Данные 2026'!$D$15:$D$22</c:f>
              <c:strCache>
                <c:ptCount val="8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</c:strCache>
            </c:strRef>
          </c:cat>
          <c:val>
            <c:numRef>
              <c:f>'Данные 2026'!$G$15:$G$22</c:f>
              <c:numCache>
                <c:formatCode>0,000" тн"</c:formatCode>
                <c:ptCount val="8"/>
                <c:pt idx="0">
                  <c:v>6813</c:v>
                </c:pt>
                <c:pt idx="1">
                  <c:v>12761</c:v>
                </c:pt>
                <c:pt idx="2">
                  <c:v>10161</c:v>
                </c:pt>
                <c:pt idx="3">
                  <c:v>6505</c:v>
                </c:pt>
                <c:pt idx="4">
                  <c:v>6656</c:v>
                </c:pt>
                <c:pt idx="5">
                  <c:v>4371.9</c:v>
                </c:pt>
                <c:pt idx="6">
                  <c:v>7098.14</c:v>
                </c:pt>
                <c:pt idx="7">
                  <c:v>1356.3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'Данные 2026'!$F$15:$F$22</c15:f>
                <c15:dlblRangeCache>
                  <c:ptCount val="8"/>
                  <c:pt idx="0">
                    <c:v>3,3 тн/га</c:v>
                  </c:pt>
                  <c:pt idx="1">
                    <c:v>4,6 тн/га</c:v>
                  </c:pt>
                  <c:pt idx="2">
                    <c:v>4,2 тн/га</c:v>
                  </c:pt>
                  <c:pt idx="3">
                    <c:v>3,0 тн/га</c:v>
                  </c:pt>
                  <c:pt idx="4">
                    <c:v>5,6 тн/га</c:v>
                  </c:pt>
                  <c:pt idx="5">
                    <c:v>2,7 тн/га</c:v>
                  </c:pt>
                  <c:pt idx="6">
                    <c:v>4,8 тн/га</c:v>
                  </c:pt>
                  <c:pt idx="7">
                    <c:v>5,8 тн/га</c:v>
                  </c:pt>
                </c15:dlblRangeCache>
              </c15:datalabelsRange>
            </c:ext>
          </c:extLst>
        </c:ser>
        <c:gapWidth val="35"/>
        <c:overlap val="0"/>
        <c:axId val="88289061"/>
        <c:axId val="26230018"/>
      </c:barChart>
      <c:catAx>
        <c:axId val="8828906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Bahnschrift Light SemiCondensed"/>
              </a:defRPr>
            </a:pPr>
          </a:p>
        </c:txPr>
        <c:crossAx val="26230018"/>
        <c:crosses val="autoZero"/>
        <c:auto val="1"/>
        <c:lblAlgn val="ctr"/>
        <c:lblOffset val="100"/>
        <c:noMultiLvlLbl val="0"/>
      </c:catAx>
      <c:valAx>
        <c:axId val="26230018"/>
        <c:scaling>
          <c:orientation val="minMax"/>
        </c:scaling>
        <c:delete val="0"/>
        <c:axPos val="l"/>
        <c:numFmt formatCode="0\ 000&quot; тн&quot;" sourceLinked="0"/>
        <c:majorTickMark val="out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" strike="noStrike" u="none">
                <a:solidFill>
                  <a:srgbClr val="ffffff"/>
                </a:solidFill>
                <a:uFillTx/>
                <a:latin typeface="Bahnschrift Light SemiCondensed"/>
              </a:defRPr>
            </a:pPr>
          </a:p>
        </c:txPr>
        <c:crossAx val="8828906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19080">
      <a:solidFill>
        <a:srgbClr val="70ad47"/>
      </a:solidFill>
      <a:round/>
    </a:ln>
  </c:spPr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lang="ru-RU" sz="1400" strike="noStrike" u="none">
                <a:solidFill>
                  <a:srgbClr val="595959"/>
                </a:solidFill>
                <a:uFillTx/>
                <a:latin typeface="Bahnschrift Light SemiCondensed"/>
              </a:rPr>
              <a:t>ЕЖЕДНЕВНЫЙ СБОР СЫРЬЯ СО СРЕДНИМ ПОКАЗАТЕЛЕМ ФИНОМЕТРА</a:t>
            </a:r>
          </a:p>
        </c:rich>
      </c:tx>
      <c:layout>
        <c:manualLayout>
          <c:xMode val="edge"/>
          <c:yMode val="edge"/>
          <c:x val="0.33943717971373"/>
          <c:y val="0.0113424487259167"/>
        </c:manualLayout>
      </c:layout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1000">
                  <a:srgbClr val="f8fbf6"/>
                </a:gs>
                <a:gs pos="48000">
                  <a:srgbClr val="bedcaa"/>
                </a:gs>
                <a:gs pos="100000">
                  <a:srgbClr val="96b34d"/>
                </a:gs>
                <a:gs pos="100000">
                  <a:srgbClr val="789034"/>
                </a:gs>
                <a:gs pos="100000">
                  <a:srgbClr val="d4e8c6"/>
                </a:gs>
              </a:gsLst>
              <a:lin ang="16200000"/>
            </a:gradFill>
            <a:ln w="0">
              <a:noFill/>
            </a:ln>
          </c:spPr>
          <c:invertIfNegative val="0"/>
          <c:dPt>
            <c:idx val="2"/>
            <c:invertIfNegative val="0"/>
            <c:spPr>
              <a:gradFill>
                <a:gsLst>
                  <a:gs pos="1000">
                    <a:srgbClr val="f8fbf6"/>
                  </a:gs>
                  <a:gs pos="48000">
                    <a:srgbClr val="bedcaa"/>
                  </a:gs>
                  <a:gs pos="100000">
                    <a:srgbClr val="96b34d"/>
                  </a:gs>
                  <a:gs pos="100000">
                    <a:srgbClr val="789034"/>
                  </a:gs>
                  <a:gs pos="100000">
                    <a:srgbClr val="d4e8c6"/>
                  </a:gs>
                </a:gsLst>
                <a:lin ang="16200000"/>
              </a:gradFill>
              <a:ln w="0">
                <a:noFill/>
              </a:ln>
            </c:spPr>
          </c:dPt>
          <c:dLbls>
            <c:numFmt formatCode="0.0&quot; тн&quot;" sourceLinked="0"/>
            <c:dLbl>
              <c:idx val="2"/>
              <c:numFmt formatCode="0.0&quot; тн&quot;" sourceLinked="0"/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b="0" sz="800" strike="noStrike" u="none">
                      <a:solidFill>
                        <a:srgbClr val="ffffff"/>
                      </a:solidFill>
                      <a:uFillTx/>
                      <a:latin typeface="Bahnschrift Light SemiCondensed"/>
                    </a:defRPr>
                  </a:pPr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800" strike="noStrike" u="none">
                    <a:solidFill>
                      <a:srgbClr val="404040"/>
                    </a:solidFill>
                    <a:uFillTx/>
                    <a:latin typeface="Bahnschrift Light SemiCondensed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'Данные 2026'!$J$4:$J$48</c:f>
              <c:strCache>
                <c:ptCount val="45"/>
                <c:pt idx="0">
                  <c:v>03.06.2026</c:v>
                </c:pt>
                <c:pt idx="1">
                  <c:v>04.06.2026</c:v>
                </c:pt>
                <c:pt idx="2">
                  <c:v>05.06.2026</c:v>
                </c:pt>
                <c:pt idx="3">
                  <c:v>06.06.2026</c:v>
                </c:pt>
                <c:pt idx="4">
                  <c:v>07.06.2026</c:v>
                </c:pt>
                <c:pt idx="5">
                  <c:v>08.06.2026</c:v>
                </c:pt>
                <c:pt idx="6">
                  <c:v>09.06.2026</c:v>
                </c:pt>
                <c:pt idx="7">
                  <c:v>10.06.2026</c:v>
                </c:pt>
                <c:pt idx="8">
                  <c:v>11.06.2026</c:v>
                </c:pt>
                <c:pt idx="9">
                  <c:v>12.06.2026</c:v>
                </c:pt>
                <c:pt idx="10">
                  <c:v>13.06.2026</c:v>
                </c:pt>
                <c:pt idx="11">
                  <c:v>14.06.2026</c:v>
                </c:pt>
                <c:pt idx="12">
                  <c:v>15.06.2026</c:v>
                </c:pt>
                <c:pt idx="13">
                  <c:v>16.06.2026</c:v>
                </c:pt>
                <c:pt idx="14">
                  <c:v>17.06.2026</c:v>
                </c:pt>
                <c:pt idx="15">
                  <c:v>18.06.2026</c:v>
                </c:pt>
                <c:pt idx="16">
                  <c:v>19.06.2026</c:v>
                </c:pt>
                <c:pt idx="17">
                  <c:v>20.06.2026</c:v>
                </c:pt>
                <c:pt idx="18">
                  <c:v>21.06.2026</c:v>
                </c:pt>
                <c:pt idx="19">
                  <c:v>22.06.2026</c:v>
                </c:pt>
                <c:pt idx="20">
                  <c:v>23.06.2026</c:v>
                </c:pt>
                <c:pt idx="21">
                  <c:v>24.06.2026</c:v>
                </c:pt>
                <c:pt idx="22">
                  <c:v>25.06.2026</c:v>
                </c:pt>
                <c:pt idx="23">
                  <c:v>26.06.2026</c:v>
                </c:pt>
                <c:pt idx="24">
                  <c:v>27.06.2026</c:v>
                </c:pt>
                <c:pt idx="25">
                  <c:v>28.06.2026</c:v>
                </c:pt>
                <c:pt idx="26">
                  <c:v>29.06.2026</c:v>
                </c:pt>
                <c:pt idx="27">
                  <c:v>30.06.2026</c:v>
                </c:pt>
                <c:pt idx="28">
                  <c:v>01.07.2026</c:v>
                </c:pt>
                <c:pt idx="29">
                  <c:v>02.07.2026</c:v>
                </c:pt>
                <c:pt idx="30">
                  <c:v>03.07.2026</c:v>
                </c:pt>
                <c:pt idx="31">
                  <c:v>04.07.2026</c:v>
                </c:pt>
                <c:pt idx="32">
                  <c:v>05.07.2026</c:v>
                </c:pt>
                <c:pt idx="33">
                  <c:v>06.07.2026</c:v>
                </c:pt>
                <c:pt idx="34">
                  <c:v>07.07.2026</c:v>
                </c:pt>
                <c:pt idx="35">
                  <c:v>08.07.2026</c:v>
                </c:pt>
                <c:pt idx="36">
                  <c:v>09.07.2026</c:v>
                </c:pt>
                <c:pt idx="37">
                  <c:v>10.07.2026</c:v>
                </c:pt>
                <c:pt idx="38">
                  <c:v>11.07.2026</c:v>
                </c:pt>
                <c:pt idx="39">
                  <c:v>12.07.2026</c:v>
                </c:pt>
                <c:pt idx="40">
                  <c:v>13.07.2026</c:v>
                </c:pt>
                <c:pt idx="41">
                  <c:v>14.07.2026</c:v>
                </c:pt>
                <c:pt idx="42">
                  <c:v>15.07.2026</c:v>
                </c:pt>
                <c:pt idx="43">
                  <c:v>16.07.2026</c:v>
                </c:pt>
                <c:pt idx="44">
                  <c:v>17.07.2026</c:v>
                </c:pt>
              </c:strCache>
            </c:strRef>
          </c:cat>
          <c:val>
            <c:numRef>
              <c:f>'Данные 2026'!$K$4:$K$48</c:f>
              <c:numCache>
                <c:formatCode>General</c:formatCode>
                <c:ptCount val="45"/>
                <c:pt idx="0">
                  <c:v>191.51</c:v>
                </c:pt>
                <c:pt idx="1">
                  <c:v>117.37</c:v>
                </c:pt>
                <c:pt idx="3">
                  <c:v>268.92</c:v>
                </c:pt>
                <c:pt idx="4">
                  <c:v>222.31</c:v>
                </c:pt>
                <c:pt idx="5">
                  <c:v>246.5</c:v>
                </c:pt>
                <c:pt idx="6">
                  <c:v>309.69</c:v>
                </c:pt>
              </c:numCache>
            </c:numRef>
          </c:val>
        </c:ser>
        <c:gapWidth val="150"/>
        <c:overlap val="0"/>
        <c:axId val="3958137"/>
        <c:axId val="33615906"/>
      </c:barChart>
      <c:lineChart>
        <c:grouping val="standard"/>
        <c:varyColors val="0"/>
        <c:ser>
          <c:idx val="1"/>
          <c:order val="1"/>
          <c:spPr>
            <a:solidFill>
              <a:srgbClr val="ff9999"/>
            </a:solidFill>
            <a:ln cap="rnd" w="12600">
              <a:solidFill>
                <a:srgbClr val="ff9999"/>
              </a:solidFill>
              <a:prstDash val="sysDash"/>
              <a:round/>
            </a:ln>
          </c:spPr>
          <c:marker>
            <c:symbol val="circle"/>
            <c:size val="5"/>
            <c:spPr>
              <a:solidFill>
                <a:srgbClr val="ff9999"/>
              </a:solidFill>
            </c:spPr>
          </c:marker>
          <c:dPt>
            <c:idx val="2"/>
            <c:marker>
              <c:symbol val="circle"/>
              <c:size val="5"/>
              <c:spPr>
                <a:solidFill>
                  <a:srgbClr val="ff9999"/>
                </a:solidFill>
              </c:spPr>
            </c:marker>
          </c:dPt>
          <c:dPt>
            <c:idx val="3"/>
            <c:marker>
              <c:symbol val="circle"/>
              <c:size val="5"/>
              <c:spPr>
                <a:solidFill>
                  <a:srgbClr val="ff9999"/>
                </a:solidFill>
              </c:spPr>
            </c:marker>
          </c:dPt>
          <c:dLbls>
            <c:numFmt formatCode="0.0" sourceLinked="1"/>
            <c:dLbl>
              <c:idx val="2"/>
              <c:txPr>
                <a:bodyPr wrap="square"/>
                <a:lstStyle/>
                <a:p>
                  <a:pPr>
                    <a:defRPr b="0" sz="1100" strike="noStrike" u="none">
                      <a:solidFill>
                        <a:srgbClr val="ff0000"/>
                      </a:solidFill>
                      <a:uFillTx/>
                      <a:latin typeface="Bahnschrift Light SemiCondensed"/>
                    </a:defRPr>
                  </a:pPr>
                </a:p>
              </c:txPr>
              <c:dLblPos val="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layout>
                <c:manualLayout>
                  <c:x val="-0.0144231263602932"/>
                  <c:y val="-0.179973718151298"/>
                </c:manualLayout>
              </c:layout>
              <c:numFmt formatCode="0.0" sourceLinked="1"/>
              <c:txPr>
                <a:bodyPr wrap="square"/>
                <a:lstStyle/>
                <a:p>
                  <a:pPr>
                    <a:defRPr b="0" sz="1100" strike="noStrike" u="none">
                      <a:solidFill>
                        <a:srgbClr val="ff0000"/>
                      </a:solidFill>
                      <a:uFillTx/>
                      <a:latin typeface="Bahnschrift Light SemiCondensed"/>
                    </a:defRPr>
                  </a:pPr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100" strike="noStrike" u="none">
                    <a:solidFill>
                      <a:srgbClr val="ff0000"/>
                    </a:solidFill>
                    <a:uFillTx/>
                    <a:latin typeface="Bahnschrift Light SemiCondensed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1260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'Данные 2026'!$J$4:$J$48</c:f>
              <c:strCache>
                <c:ptCount val="45"/>
                <c:pt idx="0">
                  <c:v>03.06.2026</c:v>
                </c:pt>
                <c:pt idx="1">
                  <c:v>04.06.2026</c:v>
                </c:pt>
                <c:pt idx="2">
                  <c:v>05.06.2026</c:v>
                </c:pt>
                <c:pt idx="3">
                  <c:v>06.06.2026</c:v>
                </c:pt>
                <c:pt idx="4">
                  <c:v>07.06.2026</c:v>
                </c:pt>
                <c:pt idx="5">
                  <c:v>08.06.2026</c:v>
                </c:pt>
                <c:pt idx="6">
                  <c:v>09.06.2026</c:v>
                </c:pt>
                <c:pt idx="7">
                  <c:v>10.06.2026</c:v>
                </c:pt>
                <c:pt idx="8">
                  <c:v>11.06.2026</c:v>
                </c:pt>
                <c:pt idx="9">
                  <c:v>12.06.2026</c:v>
                </c:pt>
                <c:pt idx="10">
                  <c:v>13.06.2026</c:v>
                </c:pt>
                <c:pt idx="11">
                  <c:v>14.06.2026</c:v>
                </c:pt>
                <c:pt idx="12">
                  <c:v>15.06.2026</c:v>
                </c:pt>
                <c:pt idx="13">
                  <c:v>16.06.2026</c:v>
                </c:pt>
                <c:pt idx="14">
                  <c:v>17.06.2026</c:v>
                </c:pt>
                <c:pt idx="15">
                  <c:v>18.06.2026</c:v>
                </c:pt>
                <c:pt idx="16">
                  <c:v>19.06.2026</c:v>
                </c:pt>
                <c:pt idx="17">
                  <c:v>20.06.2026</c:v>
                </c:pt>
                <c:pt idx="18">
                  <c:v>21.06.2026</c:v>
                </c:pt>
                <c:pt idx="19">
                  <c:v>22.06.2026</c:v>
                </c:pt>
                <c:pt idx="20">
                  <c:v>23.06.2026</c:v>
                </c:pt>
                <c:pt idx="21">
                  <c:v>24.06.2026</c:v>
                </c:pt>
                <c:pt idx="22">
                  <c:v>25.06.2026</c:v>
                </c:pt>
                <c:pt idx="23">
                  <c:v>26.06.2026</c:v>
                </c:pt>
                <c:pt idx="24">
                  <c:v>27.06.2026</c:v>
                </c:pt>
                <c:pt idx="25">
                  <c:v>28.06.2026</c:v>
                </c:pt>
                <c:pt idx="26">
                  <c:v>29.06.2026</c:v>
                </c:pt>
                <c:pt idx="27">
                  <c:v>30.06.2026</c:v>
                </c:pt>
                <c:pt idx="28">
                  <c:v>01.07.2026</c:v>
                </c:pt>
                <c:pt idx="29">
                  <c:v>02.07.2026</c:v>
                </c:pt>
                <c:pt idx="30">
                  <c:v>03.07.2026</c:v>
                </c:pt>
                <c:pt idx="31">
                  <c:v>04.07.2026</c:v>
                </c:pt>
                <c:pt idx="32">
                  <c:v>05.07.2026</c:v>
                </c:pt>
                <c:pt idx="33">
                  <c:v>06.07.2026</c:v>
                </c:pt>
                <c:pt idx="34">
                  <c:v>07.07.2026</c:v>
                </c:pt>
                <c:pt idx="35">
                  <c:v>08.07.2026</c:v>
                </c:pt>
                <c:pt idx="36">
                  <c:v>09.07.2026</c:v>
                </c:pt>
                <c:pt idx="37">
                  <c:v>10.07.2026</c:v>
                </c:pt>
                <c:pt idx="38">
                  <c:v>11.07.2026</c:v>
                </c:pt>
                <c:pt idx="39">
                  <c:v>12.07.2026</c:v>
                </c:pt>
                <c:pt idx="40">
                  <c:v>13.07.2026</c:v>
                </c:pt>
                <c:pt idx="41">
                  <c:v>14.07.2026</c:v>
                </c:pt>
                <c:pt idx="42">
                  <c:v>15.07.2026</c:v>
                </c:pt>
                <c:pt idx="43">
                  <c:v>16.07.2026</c:v>
                </c:pt>
                <c:pt idx="44">
                  <c:v>17.07.2026</c:v>
                </c:pt>
              </c:strCache>
            </c:strRef>
          </c:cat>
          <c:val>
            <c:numRef>
              <c:f>'Данные 2026'!$L$4:$L$48</c:f>
              <c:numCache>
                <c:formatCode>0.0</c:formatCode>
                <c:ptCount val="45"/>
                <c:pt idx="0">
                  <c:v>52.2857142857143</c:v>
                </c:pt>
                <c:pt idx="1">
                  <c:v>52</c:v>
                </c:pt>
                <c:pt idx="3">
                  <c:v>47.8260869565217</c:v>
                </c:pt>
                <c:pt idx="4">
                  <c:v>51.2</c:v>
                </c:pt>
                <c:pt idx="5">
                  <c:v>49.55</c:v>
                </c:pt>
                <c:pt idx="6">
                  <c:v>53.2727272727273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2126267"/>
        <c:axId val="69997586"/>
      </c:lineChart>
      <c:catAx>
        <c:axId val="3958137"/>
        <c:scaling>
          <c:orientation val="minMax"/>
        </c:scaling>
        <c:delete val="0"/>
        <c:axPos val="b"/>
        <c:minorGridlines>
          <c:spPr>
            <a:ln w="9360">
              <a:solidFill>
                <a:srgbClr val="d9d9d9"/>
              </a:solidFill>
              <a:round/>
            </a:ln>
          </c:spPr>
        </c:minorGridlines>
        <c:numFmt formatCode="[$-419]d\ mmm;@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Bahnschrift Light SemiCondensed"/>
              </a:defRPr>
            </a:pPr>
          </a:p>
        </c:txPr>
        <c:crossAx val="33615906"/>
        <c:crosses val="autoZero"/>
        <c:auto val="1"/>
        <c:lblAlgn val="ctr"/>
        <c:lblOffset val="100"/>
        <c:noMultiLvlLbl val="0"/>
      </c:catAx>
      <c:valAx>
        <c:axId val="33615906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" strike="noStrike" u="none">
                <a:solidFill>
                  <a:srgbClr val="ffffff"/>
                </a:solidFill>
                <a:uFillTx/>
                <a:latin typeface="Bahnschrift Light SemiCondensed"/>
              </a:defRPr>
            </a:pPr>
          </a:p>
        </c:txPr>
        <c:crossAx val="3958137"/>
        <c:crossesAt val="1"/>
        <c:crossBetween val="between"/>
      </c:valAx>
      <c:dateAx>
        <c:axId val="92126267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Bahnschrift Light SemiCondensed"/>
              </a:defRPr>
            </a:pPr>
          </a:p>
        </c:txPr>
        <c:crossAx val="69997586"/>
        <c:auto val="1"/>
        <c:lblOffset val="100"/>
        <c:baseTimeUnit val="days"/>
        <c:noMultiLvlLbl val="0"/>
      </c:dateAx>
      <c:valAx>
        <c:axId val="69997586"/>
        <c:scaling>
          <c:orientation val="minMax"/>
        </c:scaling>
        <c:delete val="0"/>
        <c:axPos val="r"/>
        <c:numFmt formatCode="0.0" sourceLinked="0"/>
        <c:majorTickMark val="out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uFillTx/>
                <a:latin typeface="Bahnschrift Light SemiCondensed"/>
              </a:defRPr>
            </a:pPr>
          </a:p>
        </c:txPr>
        <c:crossAx val="92126267"/>
        <c:crosses val="max"/>
        <c:crossBetween val="between"/>
        <c:majorUnit val="5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19080">
      <a:solidFill>
        <a:srgbClr val="70ad47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lang="ru-RU" sz="1400" strike="noStrike" u="none">
                <a:solidFill>
                  <a:srgbClr val="595959"/>
                </a:solidFill>
                <a:uFillTx/>
                <a:latin typeface="Bahnschrift Light SemiCondensed"/>
              </a:rPr>
              <a:t>РАСПРЕДЕЛЕНИЕ СЫРЬЯ ПО ФИНОМЕТРУ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7357689039932"/>
          <c:y val="0.165107240535483"/>
          <c:w val="0.409670193867305"/>
          <c:h val="0.724485389376709"/>
        </c:manualLayout>
      </c:layout>
      <c:doughnutChart>
        <c:varyColors val="0"/>
        <c:ser>
          <c:idx val="0"/>
          <c:order val="0"/>
          <c:spPr>
            <a:solidFill>
              <a:srgbClr val="63993f"/>
            </a:solidFill>
            <a:ln w="19080">
              <a:solidFill>
                <a:srgbClr val="a6a6a6"/>
              </a:solidFill>
              <a:round/>
            </a:ln>
          </c:spPr>
          <c:explosion val="5"/>
          <c:dPt>
            <c:idx val="0"/>
            <c:spPr>
              <a:solidFill>
                <a:srgbClr val="677c2c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1"/>
            <c:spPr>
              <a:solidFill>
                <a:srgbClr val="97b541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2"/>
            <c:spPr>
              <a:solidFill>
                <a:srgbClr val="cddd9f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3"/>
            <c:spPr>
              <a:solidFill>
                <a:srgbClr val="ffffa7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4"/>
            <c:spPr>
              <a:solidFill>
                <a:srgbClr val="ffe699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5"/>
            <c:spPr>
              <a:solidFill>
                <a:srgbClr val="d9d9d9"/>
              </a:solidFill>
              <a:ln w="19080">
                <a:solidFill>
                  <a:srgbClr val="ffffff"/>
                </a:solidFill>
                <a:round/>
              </a:ln>
            </c:spPr>
          </c:dPt>
          <c:dLbls>
            <c:numFmt formatCode="0&quot; тн&quot;" sourceLinked="1"/>
            <c:dLbl>
              <c:idx val="0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Bahnschrift Light SemiCondensed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
</c:separator>
            </c:dLbl>
            <c:dLbl>
              <c:idx val="1"/>
              <c:layout>
                <c:manualLayout>
                  <c:x val="-0.181120762352993"/>
                  <c:y val="-0.0152689267597735"/>
                </c:manualLayout>
              </c:layout>
              <c:numFmt formatCode="0&quot; тн&quot;" sourceLinked="1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Bahnschrift Light SemiCondensed"/>
                    </a:defRPr>
                  </a:pPr>
                </a:p>
              </c:txPr>
              <c:tx>
                <c:rich>
                  <a:bodyPr/>
                  <a:p>
                    <a:fld id="{B9C24631-0BB8-4985-BC66-F0A27E6C2F31}" type="CELLRANGE">
                      <a:rPr b="0" lang="en-US" sz="10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[CELLRANGE]</a:t>
                    </a:fld>
                    <a:r>
                      <a:rPr b="0" lang="en-US" sz="10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
</a:t>
                    </a:r>
                    <a:fld id="{64BB69B9-0622-43DE-9B47-04CB72DD97D0}" type="CATEGORYNAME">
                      <a:rPr b="0" lang="en-US" sz="10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 40-52</a:t>
                    </a:fld>
                    <a:r>
                      <a:rPr b="0" lang="en-US" sz="10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
</a:t>
                    </a:r>
                    <a:fld id="{0AA983EE-03C5-4352-BBDA-4E8CD5243EF9}" type="VALUE">
                      <a:rPr b="0" lang="en-US" sz="10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788 тн</a:t>
                    </a:fld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eparator>
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2"/>
              <c:layout>
                <c:manualLayout>
                  <c:x val="0.175797236798249"/>
                  <c:y val="-0.14960173432188"/>
                </c:manualLayout>
              </c:layout>
              <c:numFmt formatCode="0&quot; тн&quot;" sourceLinked="1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Bahnschrift Light SemiCondensed"/>
                    </a:defRPr>
                  </a:pPr>
                </a:p>
              </c:txPr>
              <c:tx>
                <c:rich>
                  <a:bodyPr/>
                  <a:p>
                    <a:fld id="{D4DA0B22-94E0-40A3-94F5-DE5514EE48BE}" type="CELLRANGE">
                      <a:rPr b="0" lang="en-US" sz="10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[CELLRANGE]</a:t>
                    </a:fld>
                    <a:r>
                      <a:rPr b="0" lang="en-US" sz="10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
</a:t>
                    </a:r>
                    <a:fld id="{AE31E152-9D77-4911-8F1A-19FB7AE3C8CB}" type="CATEGORYNAME">
                      <a:rPr b="0" lang="en-US" sz="10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53-63</a:t>
                    </a:fld>
                    <a:r>
                      <a:rPr b="0" lang="en-US" sz="10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
</a:t>
                    </a:r>
                    <a:fld id="{8CAF6D78-CFF5-45F8-B6D7-8F6161D03BC5}" type="VALUE">
                      <a:rPr b="0" lang="en-US" sz="10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510 тн</a:t>
                    </a:fld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eparator>
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3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Bahnschrift Light SemiCondensed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Bahnschrift Light SemiCondensed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
</c:separator>
            </c:dLbl>
            <c:dLbl>
              <c:idx val="5"/>
              <c:layout>
                <c:manualLayout>
                  <c:x val="0.167702723131592"/>
                  <c:y val="0.0969449290128491"/>
                </c:manualLayout>
              </c:layout>
              <c:numFmt formatCode="0&quot; тн&quot;" sourceLinked="1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Bahnschrift Light SemiCondensed"/>
                    </a:defRPr>
                  </a:pPr>
                </a:p>
              </c:txPr>
              <c:tx>
                <c:rich>
                  <a:bodyPr/>
                  <a:p>
                    <a:fld id="{723BB56B-4188-4D14-9047-E6B49FD91CF0}" type="CELLRANGE">
                      <a:rPr b="0" lang="en-US" sz="10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[CELLRANGE]</a:t>
                    </a:fld>
                    <a:r>
                      <a:rPr b="0" lang="en-US" sz="10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
</a:t>
                    </a:r>
                    <a:fld id="{AB0EB58D-0A59-4625-BA00-AE088B5A06CF}" type="CATEGORYNAME">
                      <a:rPr b="0" lang="en-US" sz="10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нет данных</a:t>
                    </a:fld>
                    <a:r>
                      <a:rPr b="0" lang="en-US" sz="10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
</a:t>
                    </a:r>
                    <a:fld id="{11AE669A-EB00-455F-8907-FF9C38233F3E}" type="VALUE">
                      <a:rPr b="0" lang="en-US" sz="10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59 тн</a:t>
                    </a:fld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eparator>
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Bahnschrift Light SemiCondensed"/>
                  </a:defRPr>
                </a:pPr>
              </a:p>
            </c:txPr>
            <c:showLegendKey val="0"/>
            <c:showVal val="1"/>
            <c:showCatName val="1"/>
            <c:showSerName val="0"/>
            <c:showPercent val="0"/>
            <c:separator>
</c:separator>
            <c:showLeaderLines val="1"/>
            <c:leaderLines>
              <c:spPr>
                <a:ln w="9360">
                  <a:solidFill>
                    <a:srgbClr val="a6a6a6"/>
                  </a:solidFill>
                </a:ln>
              </c:spPr>
            </c:leaderLines>
          </c:dLbls>
          <c:cat>
            <c:strRef>
              <c:f>'Данные 2026'!$D$27:$D$32</c:f>
              <c:strCache>
                <c:ptCount val="6"/>
                <c:pt idx="0">
                  <c:v> до 40</c:v>
                </c:pt>
                <c:pt idx="1">
                  <c:v> 40-52</c:v>
                </c:pt>
                <c:pt idx="2">
                  <c:v>53-63</c:v>
                </c:pt>
                <c:pt idx="3">
                  <c:v> 64-66</c:v>
                </c:pt>
                <c:pt idx="4">
                  <c:v>67-85</c:v>
                </c:pt>
                <c:pt idx="5">
                  <c:v>нет данных</c:v>
                </c:pt>
              </c:strCache>
            </c:strRef>
          </c:cat>
          <c:val>
            <c:numRef>
              <c:f>'Данные 2026'!$F$27:$F$32</c:f>
              <c:numCache>
                <c:formatCode>0" тн"</c:formatCode>
                <c:ptCount val="6"/>
                <c:pt idx="0">
                  <c:v>0</c:v>
                </c:pt>
                <c:pt idx="1">
                  <c:v>787.55</c:v>
                </c:pt>
                <c:pt idx="2">
                  <c:v>509.69</c:v>
                </c:pt>
                <c:pt idx="3">
                  <c:v>0</c:v>
                </c:pt>
                <c:pt idx="4">
                  <c:v>0</c:v>
                </c:pt>
                <c:pt idx="5">
                  <c:v>59.06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'Данные 2026'!$G$27:$G$32</c15:f>
                <c15:dlblRangeCache>
                  <c:ptCount val="3"/>
                  <c:pt idx="1">
                    <c:v>58%</c:v>
                  </c:pt>
                  <c:pt idx="2">
                    <c:v>38%</c:v>
                  </c:pt>
                  <c:pt idx="5">
                    <c:v>4,4%</c:v>
                  </c:pt>
                </c15:dlblRangeCache>
              </c15:datalabelsRange>
            </c:ext>
          </c:extLst>
        </c:ser>
        <c:firstSliceAng val="132"/>
        <c:holeSize val="50"/>
      </c:doughnutChart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19080">
      <a:solidFill>
        <a:srgbClr val="70ad47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lang="ru-RU" sz="1400" strike="noStrike" u="none">
                <a:solidFill>
                  <a:srgbClr val="000000"/>
                </a:solidFill>
                <a:uFillTx/>
                <a:latin typeface="Bahnschrift Light SemiCondensed"/>
              </a:rPr>
              <a:t>ВЫПОЛНЕНИЕ ПЛАНА ПО СБОРУ</a:t>
            </a:r>
          </a:p>
        </c:rich>
      </c:tx>
      <c:layout>
        <c:manualLayout>
          <c:xMode val="edge"/>
          <c:yMode val="edge"/>
          <c:x val="0.208558406482107"/>
          <c:y val="8.45522955948254E-005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41728561782579"/>
          <c:y val="0.109748879682083"/>
          <c:w val="0.666863605671843"/>
          <c:h val="0.85736027733153"/>
        </c:manualLayout>
      </c:layout>
      <c:barChart>
        <c:barDir val="bar"/>
        <c:grouping val="clustered"/>
        <c:varyColors val="0"/>
        <c:ser>
          <c:idx val="0"/>
          <c:order val="0"/>
          <c:spPr>
            <a:pattFill prst="ltUpDiag">
              <a:fgClr>
                <a:srgbClr val="aecf85"/>
              </a:fgClr>
              <a:bgClr>
                <a:srgbClr val="ffffff"/>
              </a:bgClr>
            </a:pattFill>
            <a:ln w="0">
              <a:noFill/>
            </a:ln>
          </c:spPr>
          <c:invertIfNegative val="0"/>
          <c:dPt>
            <c:idx val="0"/>
            <c:invertIfNegative val="0"/>
            <c:spPr>
              <a:pattFill prst="ltUpDiag">
                <a:fgClr>
                  <a:srgbClr val="aecf85"/>
                </a:fgClr>
                <a:bgClr>
                  <a:srgbClr val="ffffff"/>
                </a:bgClr>
              </a:pattFill>
              <a:ln w="0">
                <a:noFill/>
              </a:ln>
            </c:spPr>
          </c:dPt>
          <c:dPt>
            <c:idx val="2"/>
            <c:invertIfNegative val="0"/>
            <c:spPr>
              <a:pattFill prst="ltUpDiag">
                <a:fgClr>
                  <a:srgbClr val="aecf85"/>
                </a:fgClr>
                <a:bgClr>
                  <a:srgbClr val="ffffff"/>
                </a:bgClr>
              </a:pattFill>
              <a:ln w="0">
                <a:noFill/>
              </a:ln>
            </c:spPr>
          </c:dPt>
          <c:dLbls>
            <c:numFmt formatCode="0\ 000&quot; тн&quot;" sourceLinked="1"/>
            <c:dLbl>
              <c:idx val="0"/>
              <c:numFmt formatCode="0\ 000&quot; тн&quot;" sourceLinked="1"/>
              <c:txPr>
                <a:bodyPr wrap="square"/>
                <a:lstStyle/>
                <a:p>
                  <a:pPr>
                    <a:defRPr b="0" sz="1200" strike="noStrike" u="none">
                      <a:solidFill>
                        <a:srgbClr val="000000"/>
                      </a:solidFill>
                      <a:uFillTx/>
                      <a:latin typeface="Bahnschrift Light SemiCondensed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layout>
                <c:manualLayout>
                  <c:x val="-0.00631986372980443"/>
                  <c:y val="9.46894151673979E-007"/>
                </c:manualLayout>
              </c:layout>
              <c:numFmt formatCode="0\ 000&quot; тн&quot;" sourceLinked="1"/>
              <c:txPr>
                <a:bodyPr wrap="square"/>
                <a:lstStyle/>
                <a:p>
                  <a:pPr>
                    <a:defRPr b="0" sz="1200" strike="noStrike" u="none">
                      <a:solidFill>
                        <a:srgbClr val="000000"/>
                      </a:solidFill>
                      <a:uFillTx/>
                      <a:latin typeface="Bahnschrift Light SemiCondensed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200" strike="noStrike" u="none">
                    <a:solidFill>
                      <a:srgbClr val="000000"/>
                    </a:solidFill>
                    <a:uFillTx/>
                    <a:latin typeface="Bahnschrift Light SemiCondensed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'Данные 2026'!$D$4:$D$7</c:f>
              <c:strCache>
                <c:ptCount val="4"/>
                <c:pt idx="0">
                  <c:v>ГРК (богара)</c:v>
                </c:pt>
                <c:pt idx="1">
                  <c:v>ГРК (полив)</c:v>
                </c:pt>
                <c:pt idx="2">
                  <c:v>Агролидер (полив)</c:v>
                </c:pt>
                <c:pt idx="3">
                  <c:v>Колос (полив)</c:v>
                </c:pt>
              </c:strCache>
            </c:strRef>
          </c:cat>
          <c:val>
            <c:numRef>
              <c:f>'Данные 2026'!$E$4:$E$7</c:f>
              <c:numCache>
                <c:formatCode>0,000" тн"</c:formatCode>
                <c:ptCount val="4"/>
                <c:pt idx="0">
                  <c:v>3890</c:v>
                </c:pt>
                <c:pt idx="1">
                  <c:v>2100</c:v>
                </c:pt>
                <c:pt idx="2">
                  <c:v>1345</c:v>
                </c:pt>
                <c:pt idx="3">
                  <c:v>2200.8</c:v>
                </c:pt>
              </c:numCache>
            </c:numRef>
          </c:val>
        </c:ser>
        <c:ser>
          <c:idx val="1"/>
          <c:order val="1"/>
          <c:spPr>
            <a:solidFill>
              <a:srgbClr val="aecf85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aecf85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aecf85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aecf85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aecf85"/>
              </a:solidFill>
              <a:ln w="0">
                <a:noFill/>
              </a:ln>
            </c:spPr>
          </c:dPt>
          <c:dLbls>
            <c:numFmt formatCode="0&quot; тн&quot;" sourceLinked="1"/>
            <c:dLbl>
              <c:idx val="0"/>
              <c:numFmt formatCode="0&quot; тн&quot;" sourceLinked="1"/>
              <c:txPr>
                <a:bodyPr wrap="square"/>
                <a:lstStyle/>
                <a:p>
                  <a:pPr>
                    <a:defRPr b="0" sz="1200" strike="noStrike" u="none">
                      <a:solidFill>
                        <a:srgbClr val="000000"/>
                      </a:solidFill>
                      <a:uFillTx/>
                      <a:latin typeface="Bahnschrift Light SemiCondensed"/>
                    </a:defRPr>
                  </a:pPr>
                </a:p>
              </c:txPr>
              <c:tx>
                <c:rich>
                  <a:bodyPr/>
                  <a:p>
                    <a:fld id="{8A09AED9-2B5F-46F8-9230-B42242734FE3}" type="CELLRANGE">
                      <a:rPr b="0" lang="en-US" sz="12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[CELLRANGE]</a:t>
                    </a:fld>
                    <a:r>
                      <a:rPr b="0" lang="en-US" sz="12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 </a:t>
                    </a:r>
                    <a:fld id="{83798430-AF7B-4284-A983-65F61D851008}" type="VALUE">
                      <a:rPr b="0" lang="en-US" sz="12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1356 тн</a:t>
                    </a:fld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eparator> 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1"/>
              <c:numFmt formatCode="0&quot; тн&quot;" sourceLinked="1"/>
              <c:txPr>
                <a:bodyPr wrap="square"/>
                <a:lstStyle/>
                <a:p>
                  <a:pPr>
                    <a:defRPr b="0" sz="1200" strike="noStrike" u="none">
                      <a:solidFill>
                        <a:srgbClr val="000000"/>
                      </a:solidFill>
                      <a:uFillTx/>
                      <a:latin typeface="Bahnschrift Light SemiCondensed"/>
                    </a:defRPr>
                  </a:pPr>
                </a:p>
              </c:txPr>
              <c:tx>
                <c:rich>
                  <a:bodyPr/>
                  <a:p>
                    <a:fld id="{1AD5CF3E-D2D2-4162-A88F-9A203A080053}" type="CELLRANGE">
                      <a:rPr b="0" lang="en-US" sz="12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[CELLRANGE]</a:t>
                    </a:fld>
                    <a:r>
                      <a:rPr b="0" lang="en-US" sz="12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 </a:t>
                    </a:r>
                    <a:fld id="{ACCAAA0F-5F43-45D0-AFEC-68CE4997A194}" type="VALUE">
                      <a:rPr b="0" lang="en-US" sz="12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0 тн</a:t>
                    </a:fld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eparator> 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2"/>
              <c:layout>
                <c:manualLayout>
                  <c:x val="-0.0100265092683984"/>
                  <c:y val="0.00299723945302568"/>
                </c:manualLayout>
              </c:layout>
              <c:numFmt formatCode="0&quot; тн&quot;" sourceLinked="1"/>
              <c:txPr>
                <a:bodyPr wrap="square"/>
                <a:lstStyle/>
                <a:p>
                  <a:pPr>
                    <a:defRPr b="0" sz="1200" strike="noStrike" u="none">
                      <a:solidFill>
                        <a:srgbClr val="000000"/>
                      </a:solidFill>
                      <a:uFillTx/>
                      <a:latin typeface="Bahnschrift Light SemiCondensed"/>
                    </a:defRPr>
                  </a:pPr>
                </a:p>
              </c:txPr>
              <c:tx>
                <c:rich>
                  <a:bodyPr/>
                  <a:p>
                    <a:fld id="{0ABFA9A0-7ECC-4AE4-A43E-F50C1E2A923F}" type="CELLRANGE">
                      <a:rPr b="0" lang="en-US" sz="12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[CELLRANGE]</a:t>
                    </a:fld>
                    <a:r>
                      <a:rPr b="0" lang="en-US" sz="12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 </a:t>
                    </a:r>
                    <a:fld id="{83316839-2020-45F3-8896-A3816410752F}" type="VALUE">
                      <a:rPr b="0" lang="en-US" sz="12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0 тн</a:t>
                    </a:fld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3"/>
              <c:numFmt formatCode="0&quot; тн&quot;" sourceLinked="1"/>
              <c:txPr>
                <a:bodyPr wrap="square"/>
                <a:lstStyle/>
                <a:p>
                  <a:pPr>
                    <a:defRPr b="0" sz="1200" strike="noStrike" u="none">
                      <a:solidFill>
                        <a:srgbClr val="000000"/>
                      </a:solidFill>
                      <a:uFillTx/>
                      <a:latin typeface="Bahnschrift Light SemiCondensed"/>
                    </a:defRPr>
                  </a:pPr>
                </a:p>
              </c:txPr>
              <c:tx>
                <c:rich>
                  <a:bodyPr/>
                  <a:p>
                    <a:fld id="{DCBAFF43-AE0C-4DAC-878F-ACBEB456A2B3}" type="CELLRANGE">
                      <a:rPr b="0" lang="en-US" sz="12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[CELLRANGE]</a:t>
                    </a:fld>
                    <a:r>
                      <a:rPr b="0" lang="en-US" sz="12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 </a:t>
                    </a:r>
                    <a:fld id="{1184B442-FBBE-448A-8C30-C237D4AEF2E1}" type="VALUE">
                      <a:rPr b="0" lang="en-US" sz="12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0 тн</a:t>
                    </a:fld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eparator> 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txPr>
              <a:bodyPr wrap="square"/>
              <a:lstStyle/>
              <a:p>
                <a:pPr>
                  <a:defRPr b="0" sz="1200" strike="noStrike" u="none">
                    <a:solidFill>
                      <a:srgbClr val="000000"/>
                    </a:solidFill>
                    <a:uFillTx/>
                    <a:latin typeface="Bahnschrift Light SemiCondensed"/>
                  </a:defRPr>
                </a:pPr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'Данные 2026'!$D$4:$D$7</c:f>
              <c:strCache>
                <c:ptCount val="4"/>
                <c:pt idx="0">
                  <c:v>ГРК (богара)</c:v>
                </c:pt>
                <c:pt idx="1">
                  <c:v>ГРК (полив)</c:v>
                </c:pt>
                <c:pt idx="2">
                  <c:v>Агролидер (полив)</c:v>
                </c:pt>
                <c:pt idx="3">
                  <c:v>Колос (полив)</c:v>
                </c:pt>
              </c:strCache>
            </c:strRef>
          </c:cat>
          <c:val>
            <c:numRef>
              <c:f>'Данные 2026'!$F$4:$F$7</c:f>
              <c:numCache>
                <c:formatCode>0" тн"</c:formatCode>
                <c:ptCount val="4"/>
                <c:pt idx="0">
                  <c:v>1356.3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'Данные 2026'!$G$4:$G$11</c15:f>
                <c15:dlblRangeCache>
                  <c:ptCount val="4"/>
                  <c:pt idx="0">
                    <c:v>34,9%</c:v>
                  </c:pt>
                  <c:pt idx="1">
                    <c:v>0,0%</c:v>
                  </c:pt>
                  <c:pt idx="2">
                    <c:v>0,0%</c:v>
                  </c:pt>
                  <c:pt idx="3">
                    <c:v>0,0%</c:v>
                  </c:pt>
                </c15:dlblRangeCache>
              </c15:datalabelsRange>
            </c:ext>
          </c:extLst>
        </c:ser>
        <c:gapWidth val="37"/>
        <c:overlap val="100"/>
        <c:axId val="81105035"/>
        <c:axId val="57388778"/>
      </c:barChart>
      <c:catAx>
        <c:axId val="81105035"/>
        <c:scaling>
          <c:orientation val="maxMin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1200" strike="noStrike" u="none">
                <a:solidFill>
                  <a:srgbClr val="000000"/>
                </a:solidFill>
                <a:uFillTx/>
                <a:latin typeface="Bahnschrift Light SemiCondensed"/>
              </a:defRPr>
            </a:pPr>
          </a:p>
        </c:txPr>
        <c:crossAx val="57388778"/>
        <c:crosses val="autoZero"/>
        <c:auto val="1"/>
        <c:lblAlgn val="ctr"/>
        <c:lblOffset val="100"/>
        <c:noMultiLvlLbl val="0"/>
      </c:catAx>
      <c:valAx>
        <c:axId val="57388778"/>
        <c:scaling>
          <c:orientation val="minMax"/>
        </c:scaling>
        <c:delete val="1"/>
        <c:axPos val="l"/>
        <c:numFmt formatCode="0,000&quot; тн&quot;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Bahnschrift Light SemiCondensed"/>
              </a:defRPr>
            </a:pPr>
          </a:p>
        </c:txPr>
        <c:crossAx val="81105035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19080">
      <a:solidFill>
        <a:srgbClr val="70ad47"/>
      </a:solidFill>
      <a:round/>
    </a:ln>
  </c:spPr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lang="ru-RU" sz="1400" strike="noStrike" u="none">
                <a:solidFill>
                  <a:srgbClr val="000000"/>
                </a:solidFill>
                <a:uFillTx/>
                <a:latin typeface="Bahnschrift Light SemiCondensed"/>
              </a:rPr>
              <a:t>СТАТИСТИКА УБОРКИ ОВОЩНОГО ГОРОШКА 2019-2025 гг.</a:t>
            </a:r>
          </a:p>
        </c:rich>
      </c:tx>
      <c:layout>
        <c:manualLayout>
          <c:xMode val="edge"/>
          <c:yMode val="edge"/>
          <c:x val="0.199435699435699"/>
          <c:y val="0.0102114195311376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43956043956044"/>
          <c:y val="0.132892276715087"/>
          <c:w val="0.926393426393426"/>
          <c:h val="0.7517618294261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"Валовый сбор, т"</c:f>
              <c:strCache>
                <c:ptCount val="1"/>
                <c:pt idx="0">
                  <c:v>Валовый сбор, т</c:v>
                </c:pt>
              </c:strCache>
            </c:strRef>
          </c:tx>
          <c:spPr>
            <a:solidFill>
              <a:srgbClr val="a9d18e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a9d18e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a9d18e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a9d18e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a9d18e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a9d18e"/>
              </a:solidFill>
              <a:ln w="0">
                <a:noFill/>
              </a:ln>
            </c:spPr>
          </c:dPt>
          <c:dPt>
            <c:idx val="5"/>
            <c:invertIfNegative val="0"/>
            <c:spPr>
              <a:solidFill>
                <a:srgbClr val="a9d18e"/>
              </a:solidFill>
              <a:ln w="0">
                <a:noFill/>
              </a:ln>
            </c:spPr>
          </c:dPt>
          <c:dPt>
            <c:idx val="6"/>
            <c:invertIfNegative val="0"/>
            <c:spPr>
              <a:solidFill>
                <a:srgbClr val="a9d18e"/>
              </a:solidFill>
              <a:ln w="0">
                <a:noFill/>
              </a:ln>
            </c:spPr>
          </c:dPt>
          <c:dLbls>
            <c:numFmt formatCode="0\ 000&quot; тн&quot;" sourceLinked="1"/>
            <c:dLbl>
              <c:idx val="0"/>
              <c:numFmt formatCode="0\ 000&quot; тн&quot;" sourceLinked="1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Bahnschrift Light SemiCondensed"/>
                    </a:defRPr>
                  </a:pPr>
                </a:p>
              </c:txPr>
              <c:tx>
                <c:rich>
                  <a:bodyPr/>
                  <a:p>
                    <a:fld id="{74734199-41E1-4A1F-9DB6-F784F6F16617}" type="CELLRANGE">
                      <a:rPr b="0" lang="ru-RU" sz="10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[CELLRANGE]</a:t>
                    </a:fld>
                  </a:p>
                  <a:p>
                    <a:fld id="{C106CD73-1DD3-4D51-A246-0990703A8C37}" type="VALUE">
                      <a:rPr b="0" lang="ru-RU" sz="10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6 813 тн</a:t>
                    </a:fld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eparator>
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1"/>
              <c:numFmt formatCode="0\ 000&quot; тн&quot;" sourceLinked="1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Bahnschrift Light SemiCondensed"/>
                    </a:defRPr>
                  </a:pPr>
                </a:p>
              </c:txPr>
              <c:tx>
                <c:rich>
                  <a:bodyPr/>
                  <a:p>
                    <a:fld id="{3CAB2574-5401-4CD2-8EA3-8FE5249FDD0D}" type="CELLRANGE">
                      <a:rPr b="0" lang="ru-RU" sz="10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[CELLRANGE]</a:t>
                    </a:fld>
                  </a:p>
                  <a:p>
                    <a:fld id="{E968D410-7B86-4AD6-9C5E-F22CD7217EDE}" type="VALUE">
                      <a:rPr b="0" lang="ru-RU" sz="10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12 761 тн</a:t>
                    </a:fld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eparator>
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2"/>
              <c:numFmt formatCode="0\ 000&quot; тн&quot;" sourceLinked="1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Bahnschrift Light SemiCondensed"/>
                    </a:defRPr>
                  </a:pPr>
                </a:p>
              </c:txPr>
              <c:tx>
                <c:rich>
                  <a:bodyPr/>
                  <a:p>
                    <a:fld id="{61C2C9AD-18B2-403B-8668-DA2E558636AD}" type="CELLRANGE">
                      <a:rPr b="0" lang="ru-RU" sz="10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[CELLRANGE]</a:t>
                    </a:fld>
                  </a:p>
                  <a:p>
                    <a:fld id="{A7181A7A-2B0A-4FE2-8AF9-BD0EF5F8DA57}" type="VALUE">
                      <a:rPr b="0" lang="ru-RU" sz="10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10 161 тн</a:t>
                    </a:fld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eparator>
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3"/>
              <c:numFmt formatCode="0\ 000&quot; тн&quot;" sourceLinked="1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Bahnschrift Light SemiCondensed"/>
                    </a:defRPr>
                  </a:pPr>
                </a:p>
              </c:txPr>
              <c:tx>
                <c:rich>
                  <a:bodyPr/>
                  <a:p>
                    <a:fld id="{D1399B78-740B-4097-8D73-22C0B29C7B5B}" type="CELLRANGE">
                      <a:rPr b="0" lang="ru-RU" sz="10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[CELLRANGE]</a:t>
                    </a:fld>
                  </a:p>
                  <a:p>
                    <a:fld id="{3CA9A5FA-D423-45D6-9D2F-DE4E7B182BB4}" type="VALUE">
                      <a:rPr b="0" lang="ru-RU" sz="10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6 505 тн</a:t>
                    </a:fld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eparator>
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4"/>
              <c:numFmt formatCode="0\ 000&quot; тн&quot;" sourceLinked="1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Bahnschrift Light SemiCondensed"/>
                    </a:defRPr>
                  </a:pPr>
                </a:p>
              </c:txPr>
              <c:tx>
                <c:rich>
                  <a:bodyPr/>
                  <a:p>
                    <a:fld id="{B791C3CC-B1A6-442B-893E-635A8940B829}" type="CELLRANGE">
                      <a:rPr b="0" lang="ru-RU" sz="10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[CELLRANGE]</a:t>
                    </a:fld>
                  </a:p>
                  <a:p>
                    <a:fld id="{E1EE4938-E12A-49FF-8613-D9B74002F70E}" type="VALUE">
                      <a:rPr b="0" lang="ru-RU" sz="10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6 656 тн</a:t>
                    </a:fld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eparator>
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5"/>
              <c:numFmt formatCode="0\ 000&quot; тн&quot;" sourceLinked="1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Bahnschrift Light SemiCondensed"/>
                    </a:defRPr>
                  </a:pPr>
                </a:p>
              </c:txPr>
              <c:tx>
                <c:rich>
                  <a:bodyPr/>
                  <a:p>
                    <a:fld id="{36B92E47-6DB9-4DBA-A29A-7971BB5E30C8}" type="CELLRANGE">
                      <a:rPr b="0" lang="ru-RU" sz="10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[CELLRANGE]</a:t>
                    </a:fld>
                  </a:p>
                  <a:p>
                    <a:fld id="{3C898081-5284-40FA-806D-11853D8B5109}" type="VALUE">
                      <a:rPr b="0" lang="ru-RU" sz="10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4 372 тн</a:t>
                    </a:fld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eparator>
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6"/>
              <c:numFmt formatCode="0\ 000&quot; тн&quot;" sourceLinked="1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Bahnschrift Light SemiCondensed"/>
                    </a:defRPr>
                  </a:pPr>
                </a:p>
              </c:txPr>
              <c:tx>
                <c:rich>
                  <a:bodyPr/>
                  <a:p>
                    <a:fld id="{B682C57E-ED46-420F-9132-2C55F6531A5C}" type="CELLRANGE">
                      <a:rPr b="0" lang="ru-RU" sz="10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[CELLRANGE]</a:t>
                    </a:fld>
                  </a:p>
                  <a:p>
                    <a:fld id="{225E4949-B7B8-40DD-B0A8-605D1C7F2669}" type="VALUE">
                      <a:rPr b="0" lang="ru-RU" sz="10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7098 тн</a:t>
                    </a:fld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eparator>
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Bahnschrift Light SemiCondensed"/>
                  </a:defRPr>
                </a:pPr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eparator>
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'Данные 2025'!$D$15:$D$21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strCache>
            </c:strRef>
          </c:cat>
          <c:val>
            <c:numRef>
              <c:f>'Данные 2025'!$G$15:$G$21</c:f>
              <c:numCache>
                <c:formatCode>0,000" тн"</c:formatCode>
                <c:ptCount val="7"/>
                <c:pt idx="0">
                  <c:v>6813</c:v>
                </c:pt>
                <c:pt idx="1">
                  <c:v>12761</c:v>
                </c:pt>
                <c:pt idx="2">
                  <c:v>10161</c:v>
                </c:pt>
                <c:pt idx="3">
                  <c:v>6505</c:v>
                </c:pt>
                <c:pt idx="4">
                  <c:v>6656</c:v>
                </c:pt>
                <c:pt idx="5">
                  <c:v>4371.9</c:v>
                </c:pt>
                <c:pt idx="6">
                  <c:v>7098.14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'Данные 2025'!$F$15:$F$21</c15:f>
                <c15:dlblRangeCache>
                  <c:ptCount val="7"/>
                  <c:pt idx="0">
                    <c:v>3,3 тн/га</c:v>
                  </c:pt>
                  <c:pt idx="1">
                    <c:v>4,6 тн/га</c:v>
                  </c:pt>
                  <c:pt idx="2">
                    <c:v>4,2 тн/га</c:v>
                  </c:pt>
                  <c:pt idx="3">
                    <c:v>3,0 тн/га</c:v>
                  </c:pt>
                  <c:pt idx="4">
                    <c:v>5,6 тн/га</c:v>
                  </c:pt>
                  <c:pt idx="5">
                    <c:v>2,7 тн/га</c:v>
                  </c:pt>
                  <c:pt idx="6">
                    <c:v>4,8 тн/га</c:v>
                  </c:pt>
                </c15:dlblRangeCache>
              </c15:datalabelsRange>
            </c:ext>
          </c:extLst>
        </c:ser>
        <c:gapWidth val="35"/>
        <c:overlap val="0"/>
        <c:axId val="83411167"/>
        <c:axId val="29302678"/>
      </c:barChart>
      <c:catAx>
        <c:axId val="8341116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Bahnschrift Light SemiCondensed"/>
              </a:defRPr>
            </a:pPr>
          </a:p>
        </c:txPr>
        <c:crossAx val="29302678"/>
        <c:crosses val="autoZero"/>
        <c:auto val="1"/>
        <c:lblAlgn val="ctr"/>
        <c:lblOffset val="100"/>
        <c:noMultiLvlLbl val="0"/>
      </c:catAx>
      <c:valAx>
        <c:axId val="29302678"/>
        <c:scaling>
          <c:orientation val="minMax"/>
        </c:scaling>
        <c:delete val="0"/>
        <c:axPos val="l"/>
        <c:numFmt formatCode="0\ 000&quot; тн&quot;" sourceLinked="0"/>
        <c:majorTickMark val="out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" strike="noStrike" u="none">
                <a:solidFill>
                  <a:srgbClr val="ffffff"/>
                </a:solidFill>
                <a:uFillTx/>
                <a:latin typeface="Bahnschrift Light SemiCondensed"/>
              </a:defRPr>
            </a:pPr>
          </a:p>
        </c:txPr>
        <c:crossAx val="8341116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19080">
      <a:solidFill>
        <a:srgbClr val="70ad47"/>
      </a:solidFill>
      <a:round/>
    </a:ln>
  </c:spPr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lang="ru-RU" sz="1400" strike="noStrike" u="none">
                <a:solidFill>
                  <a:srgbClr val="595959"/>
                </a:solidFill>
                <a:uFillTx/>
                <a:latin typeface="Bahnschrift Light SemiCondensed"/>
              </a:rPr>
              <a:t>ЕЖЕДНЕВНЫЙ СБОР СЫРЬЯ СО СРЕДНИМ ПОКАЗАТЕЛЕМ ФИНОМЕТРА</a:t>
            </a:r>
          </a:p>
        </c:rich>
      </c:tx>
      <c:layout>
        <c:manualLayout>
          <c:xMode val="edge"/>
          <c:yMode val="edge"/>
          <c:x val="0.33943717971373"/>
          <c:y val="0.0113424487259167"/>
        </c:manualLayout>
      </c:layout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1000">
                  <a:srgbClr val="f8fbf6"/>
                </a:gs>
                <a:gs pos="48000">
                  <a:srgbClr val="bedcaa"/>
                </a:gs>
                <a:gs pos="100000">
                  <a:srgbClr val="96b34d"/>
                </a:gs>
                <a:gs pos="100000">
                  <a:srgbClr val="789034"/>
                </a:gs>
                <a:gs pos="100000">
                  <a:srgbClr val="d4e8c6"/>
                </a:gs>
              </a:gsLst>
              <a:lin ang="16200000"/>
            </a:gradFill>
            <a:ln w="0">
              <a:noFill/>
            </a:ln>
          </c:spPr>
          <c:invertIfNegative val="0"/>
          <c:dLbls>
            <c:numFmt formatCode="0.0&quot; тн&quot;" sourceLinked="0"/>
            <c:txPr>
              <a:bodyPr wrap="square"/>
              <a:lstStyle/>
              <a:p>
                <a:pPr>
                  <a:defRPr b="0" sz="800" strike="noStrike" u="none">
                    <a:solidFill>
                      <a:srgbClr val="404040"/>
                    </a:solidFill>
                    <a:uFillTx/>
                    <a:latin typeface="Bahnschrift Light SemiCondensed"/>
                  </a:defRPr>
                </a:pPr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'Данные 2025'!$J$4:$J$48</c:f>
              <c:strCache>
                <c:ptCount val="45"/>
                <c:pt idx="0">
                  <c:v>27.05.2025</c:v>
                </c:pt>
                <c:pt idx="1">
                  <c:v>28.05.2025</c:v>
                </c:pt>
                <c:pt idx="2">
                  <c:v>29.05.2025</c:v>
                </c:pt>
                <c:pt idx="3">
                  <c:v>30.05.2025</c:v>
                </c:pt>
                <c:pt idx="4">
                  <c:v>31.05.2025</c:v>
                </c:pt>
                <c:pt idx="5">
                  <c:v>01.06.2025</c:v>
                </c:pt>
                <c:pt idx="6">
                  <c:v>02.06.2025</c:v>
                </c:pt>
                <c:pt idx="7">
                  <c:v>03.06.2025</c:v>
                </c:pt>
                <c:pt idx="8">
                  <c:v>04.06.2025</c:v>
                </c:pt>
                <c:pt idx="9">
                  <c:v>05.06.2025</c:v>
                </c:pt>
                <c:pt idx="10">
                  <c:v>06.06.2025</c:v>
                </c:pt>
                <c:pt idx="11">
                  <c:v>07.06.2025</c:v>
                </c:pt>
                <c:pt idx="12">
                  <c:v>08.06.2025</c:v>
                </c:pt>
                <c:pt idx="13">
                  <c:v>09.06.2025</c:v>
                </c:pt>
                <c:pt idx="14">
                  <c:v>10.06.2025</c:v>
                </c:pt>
                <c:pt idx="15">
                  <c:v>11.06.2025</c:v>
                </c:pt>
                <c:pt idx="16">
                  <c:v>12.06.2025</c:v>
                </c:pt>
                <c:pt idx="17">
                  <c:v>13.06.2025</c:v>
                </c:pt>
                <c:pt idx="18">
                  <c:v>14.06.2025</c:v>
                </c:pt>
                <c:pt idx="19">
                  <c:v>15.06.2025</c:v>
                </c:pt>
                <c:pt idx="20">
                  <c:v>16.06.2025</c:v>
                </c:pt>
                <c:pt idx="21">
                  <c:v>17.06.2025</c:v>
                </c:pt>
                <c:pt idx="22">
                  <c:v>18.06.2025</c:v>
                </c:pt>
                <c:pt idx="23">
                  <c:v>19.06.2025</c:v>
                </c:pt>
                <c:pt idx="24">
                  <c:v>20.06.2025</c:v>
                </c:pt>
                <c:pt idx="25">
                  <c:v>21.06.2025</c:v>
                </c:pt>
                <c:pt idx="26">
                  <c:v>22.06.2025</c:v>
                </c:pt>
                <c:pt idx="27">
                  <c:v>23.06.2025</c:v>
                </c:pt>
                <c:pt idx="28">
                  <c:v>24.06.2025</c:v>
                </c:pt>
                <c:pt idx="29">
                  <c:v>25.06.2025</c:v>
                </c:pt>
                <c:pt idx="30">
                  <c:v>26.06.2025</c:v>
                </c:pt>
                <c:pt idx="31">
                  <c:v>27.06.2025</c:v>
                </c:pt>
                <c:pt idx="32">
                  <c:v>28.06.2025</c:v>
                </c:pt>
                <c:pt idx="33">
                  <c:v>29.06.2025</c:v>
                </c:pt>
                <c:pt idx="34">
                  <c:v>30.06.2025</c:v>
                </c:pt>
                <c:pt idx="35">
                  <c:v>01.07.2025</c:v>
                </c:pt>
                <c:pt idx="36">
                  <c:v>02.07.2025</c:v>
                </c:pt>
                <c:pt idx="37">
                  <c:v>03.07.2025</c:v>
                </c:pt>
                <c:pt idx="38">
                  <c:v>04.07.2025</c:v>
                </c:pt>
                <c:pt idx="39">
                  <c:v>05.07.2025</c:v>
                </c:pt>
                <c:pt idx="40">
                  <c:v>06.07.2025</c:v>
                </c:pt>
                <c:pt idx="41">
                  <c:v>07.07.2025</c:v>
                </c:pt>
                <c:pt idx="42">
                  <c:v>08.07.2025</c:v>
                </c:pt>
                <c:pt idx="43">
                  <c:v>09.07.2025</c:v>
                </c:pt>
                <c:pt idx="44">
                  <c:v>10.07.2025</c:v>
                </c:pt>
              </c:strCache>
            </c:strRef>
          </c:cat>
          <c:val>
            <c:numRef>
              <c:f>'Данные 2025'!$K$4:$K$48</c:f>
              <c:numCache>
                <c:formatCode>General</c:formatCode>
                <c:ptCount val="45"/>
                <c:pt idx="0">
                  <c:v>71.35</c:v>
                </c:pt>
                <c:pt idx="1">
                  <c:v>98.78</c:v>
                </c:pt>
                <c:pt idx="2">
                  <c:v>10.74</c:v>
                </c:pt>
                <c:pt idx="4">
                  <c:v>55.61</c:v>
                </c:pt>
                <c:pt idx="5">
                  <c:v>206.19</c:v>
                </c:pt>
                <c:pt idx="6">
                  <c:v>198.3</c:v>
                </c:pt>
                <c:pt idx="7">
                  <c:v>285.91</c:v>
                </c:pt>
                <c:pt idx="8">
                  <c:v>339.79</c:v>
                </c:pt>
                <c:pt idx="9">
                  <c:v>240.45</c:v>
                </c:pt>
                <c:pt idx="10">
                  <c:v>417.43</c:v>
                </c:pt>
                <c:pt idx="11">
                  <c:v>163.35</c:v>
                </c:pt>
                <c:pt idx="12">
                  <c:v>233.26</c:v>
                </c:pt>
                <c:pt idx="13">
                  <c:v>100.73</c:v>
                </c:pt>
                <c:pt idx="14">
                  <c:v>243.58</c:v>
                </c:pt>
                <c:pt idx="15">
                  <c:v>127.99</c:v>
                </c:pt>
                <c:pt idx="16">
                  <c:v>302.41</c:v>
                </c:pt>
                <c:pt idx="17">
                  <c:v>251.82</c:v>
                </c:pt>
                <c:pt idx="18">
                  <c:v>260.19</c:v>
                </c:pt>
                <c:pt idx="19">
                  <c:v>251.63</c:v>
                </c:pt>
                <c:pt idx="20">
                  <c:v>182.08</c:v>
                </c:pt>
                <c:pt idx="21">
                  <c:v>231.15</c:v>
                </c:pt>
                <c:pt idx="22">
                  <c:v>157.45</c:v>
                </c:pt>
                <c:pt idx="23">
                  <c:v>304.92</c:v>
                </c:pt>
                <c:pt idx="24">
                  <c:v>252.94</c:v>
                </c:pt>
                <c:pt idx="25">
                  <c:v>123.3</c:v>
                </c:pt>
                <c:pt idx="26">
                  <c:v>272.42</c:v>
                </c:pt>
                <c:pt idx="27">
                  <c:v>109.28</c:v>
                </c:pt>
                <c:pt idx="28">
                  <c:v>200.28</c:v>
                </c:pt>
                <c:pt idx="29">
                  <c:v>19.23</c:v>
                </c:pt>
                <c:pt idx="31">
                  <c:v>17.56</c:v>
                </c:pt>
                <c:pt idx="32">
                  <c:v>43.19</c:v>
                </c:pt>
                <c:pt idx="33">
                  <c:v>71.97</c:v>
                </c:pt>
                <c:pt idx="34">
                  <c:v>25.63</c:v>
                </c:pt>
                <c:pt idx="35">
                  <c:v>176.53</c:v>
                </c:pt>
                <c:pt idx="36">
                  <c:v>192.78</c:v>
                </c:pt>
                <c:pt idx="37">
                  <c:v>204.08</c:v>
                </c:pt>
                <c:pt idx="38">
                  <c:v>147.51</c:v>
                </c:pt>
                <c:pt idx="39">
                  <c:v>163.17</c:v>
                </c:pt>
                <c:pt idx="40">
                  <c:v>120.94</c:v>
                </c:pt>
                <c:pt idx="42">
                  <c:v>131.84</c:v>
                </c:pt>
                <c:pt idx="43">
                  <c:v>63.8</c:v>
                </c:pt>
                <c:pt idx="44">
                  <c:v>26.58</c:v>
                </c:pt>
              </c:numCache>
            </c:numRef>
          </c:val>
        </c:ser>
        <c:gapWidth val="150"/>
        <c:overlap val="0"/>
        <c:axId val="87114197"/>
        <c:axId val="49343415"/>
      </c:barChart>
      <c:lineChart>
        <c:grouping val="standard"/>
        <c:varyColors val="0"/>
        <c:ser>
          <c:idx val="1"/>
          <c:order val="1"/>
          <c:spPr>
            <a:solidFill>
              <a:srgbClr val="ff9999"/>
            </a:solidFill>
            <a:ln cap="rnd" w="12600">
              <a:solidFill>
                <a:srgbClr val="ff9999"/>
              </a:solidFill>
              <a:prstDash val="sysDash"/>
              <a:round/>
            </a:ln>
          </c:spPr>
          <c:marker>
            <c:symbol val="circle"/>
            <c:size val="5"/>
            <c:spPr>
              <a:solidFill>
                <a:srgbClr val="ff9999"/>
              </a:solidFill>
            </c:spPr>
          </c:marker>
          <c:dLbls>
            <c:numFmt formatCode="0.0" sourceLinked="1"/>
            <c:txPr>
              <a:bodyPr wrap="square"/>
              <a:lstStyle/>
              <a:p>
                <a:pPr>
                  <a:defRPr b="0" sz="1100" strike="noStrike" u="none">
                    <a:solidFill>
                      <a:srgbClr val="ff0000"/>
                    </a:solidFill>
                    <a:uFillTx/>
                    <a:latin typeface="Bahnschrift Light SemiCondensed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1260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'Данные 2025'!$J$4:$J$48</c:f>
              <c:strCache>
                <c:ptCount val="45"/>
                <c:pt idx="0">
                  <c:v>27.05.2025</c:v>
                </c:pt>
                <c:pt idx="1">
                  <c:v>28.05.2025</c:v>
                </c:pt>
                <c:pt idx="2">
                  <c:v>29.05.2025</c:v>
                </c:pt>
                <c:pt idx="3">
                  <c:v>30.05.2025</c:v>
                </c:pt>
                <c:pt idx="4">
                  <c:v>31.05.2025</c:v>
                </c:pt>
                <c:pt idx="5">
                  <c:v>01.06.2025</c:v>
                </c:pt>
                <c:pt idx="6">
                  <c:v>02.06.2025</c:v>
                </c:pt>
                <c:pt idx="7">
                  <c:v>03.06.2025</c:v>
                </c:pt>
                <c:pt idx="8">
                  <c:v>04.06.2025</c:v>
                </c:pt>
                <c:pt idx="9">
                  <c:v>05.06.2025</c:v>
                </c:pt>
                <c:pt idx="10">
                  <c:v>06.06.2025</c:v>
                </c:pt>
                <c:pt idx="11">
                  <c:v>07.06.2025</c:v>
                </c:pt>
                <c:pt idx="12">
                  <c:v>08.06.2025</c:v>
                </c:pt>
                <c:pt idx="13">
                  <c:v>09.06.2025</c:v>
                </c:pt>
                <c:pt idx="14">
                  <c:v>10.06.2025</c:v>
                </c:pt>
                <c:pt idx="15">
                  <c:v>11.06.2025</c:v>
                </c:pt>
                <c:pt idx="16">
                  <c:v>12.06.2025</c:v>
                </c:pt>
                <c:pt idx="17">
                  <c:v>13.06.2025</c:v>
                </c:pt>
                <c:pt idx="18">
                  <c:v>14.06.2025</c:v>
                </c:pt>
                <c:pt idx="19">
                  <c:v>15.06.2025</c:v>
                </c:pt>
                <c:pt idx="20">
                  <c:v>16.06.2025</c:v>
                </c:pt>
                <c:pt idx="21">
                  <c:v>17.06.2025</c:v>
                </c:pt>
                <c:pt idx="22">
                  <c:v>18.06.2025</c:v>
                </c:pt>
                <c:pt idx="23">
                  <c:v>19.06.2025</c:v>
                </c:pt>
                <c:pt idx="24">
                  <c:v>20.06.2025</c:v>
                </c:pt>
                <c:pt idx="25">
                  <c:v>21.06.2025</c:v>
                </c:pt>
                <c:pt idx="26">
                  <c:v>22.06.2025</c:v>
                </c:pt>
                <c:pt idx="27">
                  <c:v>23.06.2025</c:v>
                </c:pt>
                <c:pt idx="28">
                  <c:v>24.06.2025</c:v>
                </c:pt>
                <c:pt idx="29">
                  <c:v>25.06.2025</c:v>
                </c:pt>
                <c:pt idx="30">
                  <c:v>26.06.2025</c:v>
                </c:pt>
                <c:pt idx="31">
                  <c:v>27.06.2025</c:v>
                </c:pt>
                <c:pt idx="32">
                  <c:v>28.06.2025</c:v>
                </c:pt>
                <c:pt idx="33">
                  <c:v>29.06.2025</c:v>
                </c:pt>
                <c:pt idx="34">
                  <c:v>30.06.2025</c:v>
                </c:pt>
                <c:pt idx="35">
                  <c:v>01.07.2025</c:v>
                </c:pt>
                <c:pt idx="36">
                  <c:v>02.07.2025</c:v>
                </c:pt>
                <c:pt idx="37">
                  <c:v>03.07.2025</c:v>
                </c:pt>
                <c:pt idx="38">
                  <c:v>04.07.2025</c:v>
                </c:pt>
                <c:pt idx="39">
                  <c:v>05.07.2025</c:v>
                </c:pt>
                <c:pt idx="40">
                  <c:v>06.07.2025</c:v>
                </c:pt>
                <c:pt idx="41">
                  <c:v>07.07.2025</c:v>
                </c:pt>
                <c:pt idx="42">
                  <c:v>08.07.2025</c:v>
                </c:pt>
                <c:pt idx="43">
                  <c:v>09.07.2025</c:v>
                </c:pt>
                <c:pt idx="44">
                  <c:v>10.07.2025</c:v>
                </c:pt>
              </c:strCache>
            </c:strRef>
          </c:cat>
          <c:val>
            <c:numRef>
              <c:f>'Данные 2025'!$L$4:$L$48</c:f>
              <c:numCache>
                <c:formatCode>0.0</c:formatCode>
                <c:ptCount val="45"/>
                <c:pt idx="0">
                  <c:v>41.3333333333333</c:v>
                </c:pt>
                <c:pt idx="1">
                  <c:v>44</c:v>
                </c:pt>
                <c:pt idx="2">
                  <c:v>42.5</c:v>
                </c:pt>
                <c:pt idx="4">
                  <c:v>45.625</c:v>
                </c:pt>
                <c:pt idx="5">
                  <c:v>51.5882352941176</c:v>
                </c:pt>
                <c:pt idx="6">
                  <c:v>52.9375</c:v>
                </c:pt>
                <c:pt idx="7">
                  <c:v>54.6666666666667</c:v>
                </c:pt>
                <c:pt idx="8">
                  <c:v>57.6666666666667</c:v>
                </c:pt>
                <c:pt idx="9">
                  <c:v>53.4736842105263</c:v>
                </c:pt>
                <c:pt idx="10">
                  <c:v>57.2285714285714</c:v>
                </c:pt>
                <c:pt idx="11">
                  <c:v>60.9333333333333</c:v>
                </c:pt>
                <c:pt idx="12">
                  <c:v>60.8695652173913</c:v>
                </c:pt>
                <c:pt idx="13">
                  <c:v>68.1</c:v>
                </c:pt>
                <c:pt idx="14">
                  <c:v>62.5416666666667</c:v>
                </c:pt>
                <c:pt idx="15">
                  <c:v>65.0909090909091</c:v>
                </c:pt>
                <c:pt idx="16">
                  <c:v>54.2173913043478</c:v>
                </c:pt>
                <c:pt idx="17">
                  <c:v>53.5833333333333</c:v>
                </c:pt>
                <c:pt idx="18">
                  <c:v>63.15</c:v>
                </c:pt>
                <c:pt idx="19">
                  <c:v>67.0952380952381</c:v>
                </c:pt>
                <c:pt idx="20">
                  <c:v>61.375</c:v>
                </c:pt>
                <c:pt idx="21">
                  <c:v>58.1176470588235</c:v>
                </c:pt>
                <c:pt idx="22">
                  <c:v>55.5</c:v>
                </c:pt>
                <c:pt idx="23">
                  <c:v>62.8260869565217</c:v>
                </c:pt>
                <c:pt idx="24">
                  <c:v>64.5263157894737</c:v>
                </c:pt>
                <c:pt idx="25">
                  <c:v>60</c:v>
                </c:pt>
                <c:pt idx="26">
                  <c:v>49.4</c:v>
                </c:pt>
                <c:pt idx="27">
                  <c:v>52.875</c:v>
                </c:pt>
                <c:pt idx="28">
                  <c:v>49.375</c:v>
                </c:pt>
                <c:pt idx="29">
                  <c:v>48.5</c:v>
                </c:pt>
                <c:pt idx="31">
                  <c:v>46</c:v>
                </c:pt>
                <c:pt idx="32">
                  <c:v>48</c:v>
                </c:pt>
                <c:pt idx="33">
                  <c:v>48.4444444444444</c:v>
                </c:pt>
                <c:pt idx="34">
                  <c:v>52</c:v>
                </c:pt>
                <c:pt idx="35">
                  <c:v>54</c:v>
                </c:pt>
                <c:pt idx="36">
                  <c:v>52.3571428571429</c:v>
                </c:pt>
                <c:pt idx="37">
                  <c:v>55.6875</c:v>
                </c:pt>
                <c:pt idx="38">
                  <c:v>61.3636363636364</c:v>
                </c:pt>
                <c:pt idx="39">
                  <c:v>61.25</c:v>
                </c:pt>
                <c:pt idx="40">
                  <c:v>53.2222222222222</c:v>
                </c:pt>
                <c:pt idx="42">
                  <c:v>67.1</c:v>
                </c:pt>
                <c:pt idx="43">
                  <c:v>71.4</c:v>
                </c:pt>
                <c:pt idx="44">
                  <c:v>70.5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8007609"/>
        <c:axId val="19990514"/>
      </c:lineChart>
      <c:catAx>
        <c:axId val="87114197"/>
        <c:scaling>
          <c:orientation val="minMax"/>
        </c:scaling>
        <c:delete val="0"/>
        <c:axPos val="b"/>
        <c:minorGridlines>
          <c:spPr>
            <a:ln w="9360">
              <a:solidFill>
                <a:srgbClr val="d9d9d9"/>
              </a:solidFill>
              <a:round/>
            </a:ln>
          </c:spPr>
        </c:minorGridlines>
        <c:numFmt formatCode="[$-419]d\ mmm;@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Bahnschrift Light SemiCondensed"/>
              </a:defRPr>
            </a:pPr>
          </a:p>
        </c:txPr>
        <c:crossAx val="49343415"/>
        <c:crosses val="autoZero"/>
        <c:auto val="1"/>
        <c:lblAlgn val="ctr"/>
        <c:lblOffset val="100"/>
        <c:noMultiLvlLbl val="0"/>
      </c:catAx>
      <c:valAx>
        <c:axId val="49343415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" strike="noStrike" u="none">
                <a:solidFill>
                  <a:srgbClr val="ffffff"/>
                </a:solidFill>
                <a:uFillTx/>
                <a:latin typeface="Bahnschrift Light SemiCondensed"/>
              </a:defRPr>
            </a:pPr>
          </a:p>
        </c:txPr>
        <c:crossAx val="87114197"/>
        <c:crossesAt val="1"/>
        <c:crossBetween val="between"/>
      </c:valAx>
      <c:dateAx>
        <c:axId val="18007609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Bahnschrift Light SemiCondensed"/>
              </a:defRPr>
            </a:pPr>
          </a:p>
        </c:txPr>
        <c:crossAx val="19990514"/>
        <c:auto val="1"/>
        <c:lblOffset val="100"/>
        <c:baseTimeUnit val="days"/>
        <c:majorUnit val="1"/>
        <c:majorTimeUnit val="days"/>
        <c:minorUnit val="1"/>
        <c:minorTimeUnit val="days"/>
        <c:noMultiLvlLbl val="0"/>
      </c:dateAx>
      <c:valAx>
        <c:axId val="19990514"/>
        <c:scaling>
          <c:orientation val="minMax"/>
          <c:max val="72"/>
          <c:min val="30"/>
        </c:scaling>
        <c:delete val="0"/>
        <c:axPos val="r"/>
        <c:numFmt formatCode="0.0" sourceLinked="0"/>
        <c:majorTickMark val="out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ffffff"/>
                </a:solidFill>
                <a:uFillTx/>
                <a:latin typeface="Bahnschrift Light SemiCondensed"/>
              </a:defRPr>
            </a:pPr>
          </a:p>
        </c:txPr>
        <c:crossAx val="18007609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19080">
      <a:solidFill>
        <a:srgbClr val="70ad47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lang="ru-RU" sz="1400" strike="noStrike" u="none">
                <a:solidFill>
                  <a:srgbClr val="595959"/>
                </a:solidFill>
                <a:uFillTx/>
                <a:latin typeface="Bahnschrift Light SemiCondensed"/>
              </a:rPr>
              <a:t>РАСПРЕДЕЛЕНИЕ СЫРЬЯ ПО ФИНОМЕТРУ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7357689039932"/>
          <c:y val="0.165159994260296"/>
          <c:w val="0.409670193867305"/>
          <c:h val="0.72449418854929"/>
        </c:manualLayout>
      </c:layout>
      <c:doughnutChart>
        <c:varyColors val="0"/>
        <c:ser>
          <c:idx val="0"/>
          <c:order val="0"/>
          <c:tx>
            <c:strRef>
              <c:f>"Итоговый показатель финометра"</c:f>
              <c:strCache>
                <c:ptCount val="1"/>
                <c:pt idx="0">
                  <c:v>Итоговый показатель финометра</c:v>
                </c:pt>
              </c:strCache>
            </c:strRef>
          </c:tx>
          <c:spPr>
            <a:solidFill>
              <a:srgbClr val="63993f"/>
            </a:solidFill>
            <a:ln w="19080">
              <a:solidFill>
                <a:srgbClr val="a6a6a6"/>
              </a:solidFill>
              <a:round/>
            </a:ln>
          </c:spPr>
          <c:explosion val="5"/>
          <c:dPt>
            <c:idx val="0"/>
            <c:spPr>
              <a:solidFill>
                <a:srgbClr val="677c2c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1"/>
            <c:spPr>
              <a:solidFill>
                <a:srgbClr val="97b541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2"/>
            <c:spPr>
              <a:solidFill>
                <a:srgbClr val="cddd9f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3"/>
            <c:spPr>
              <a:solidFill>
                <a:srgbClr val="ffffa7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4"/>
            <c:spPr>
              <a:solidFill>
                <a:srgbClr val="ffe699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5"/>
            <c:spPr>
              <a:solidFill>
                <a:srgbClr val="d9d9d9"/>
              </a:solidFill>
              <a:ln w="19080">
                <a:solidFill>
                  <a:srgbClr val="ffffff"/>
                </a:solidFill>
                <a:round/>
              </a:ln>
            </c:spPr>
          </c:dPt>
          <c:dLbls>
            <c:numFmt formatCode="0&quot; тн&quot;" sourceLinked="1"/>
            <c:dLbl>
              <c:idx val="0"/>
              <c:layout>
                <c:manualLayout>
                  <c:x val="0.124050342495704"/>
                  <c:y val="0.157869160040244"/>
                </c:manualLayout>
              </c:layout>
              <c:numFmt formatCode="0&quot; тн&quot;" sourceLinked="1"/>
              <c:txPr>
                <a:bodyPr wrap="square"/>
                <a:lstStyle/>
                <a:p>
                  <a:pPr>
                    <a:defRPr b="0" sz="900" strike="noStrike" u="none">
                      <a:solidFill>
                        <a:srgbClr val="404040"/>
                      </a:solidFill>
                      <a:uFillTx/>
                      <a:latin typeface="Bahnschrift Light SemiCondensed"/>
                    </a:defRPr>
                  </a:pPr>
                </a:p>
              </c:txPr>
              <c:tx>
                <c:rich>
                  <a:bodyPr/>
                  <a:p>
                    <a:fld id="{D5C40904-FCBD-4779-8F67-E02FFE122017}" type="CELLRANGE">
                      <a:rPr b="0" lang="en-US" sz="900" strike="noStrike" u="none">
                        <a:solidFill>
                          <a:srgbClr val="404040"/>
                        </a:solidFill>
                        <a:uFillTx/>
                        <a:latin typeface="Bahnschrift Light SemiCondensed"/>
                      </a:rPr>
                      <a:t>[CELLRANGE]</a:t>
                    </a:fld>
                    <a:r>
                      <a:rPr b="0" lang="en-US" sz="900" strike="noStrike" u="none">
                        <a:solidFill>
                          <a:srgbClr val="404040"/>
                        </a:solidFill>
                        <a:uFillTx/>
                        <a:latin typeface="Bahnschrift Light SemiCondensed"/>
                      </a:rPr>
                      <a:t>
</a:t>
                    </a:r>
                    <a:fld id="{86634B41-0012-4A03-AE5E-9A74C4B2A616}" type="CATEGORYNAME">
                      <a:rPr b="0" lang="en-US" sz="900" strike="noStrike" u="none">
                        <a:solidFill>
                          <a:srgbClr val="404040"/>
                        </a:solidFill>
                        <a:uFillTx/>
                        <a:latin typeface="Bahnschrift Light SemiCondensed"/>
                      </a:rPr>
                      <a:t> до 40</a:t>
                    </a:fld>
                    <a:r>
                      <a:rPr b="0" lang="en-US" sz="900" strike="noStrike" u="none">
                        <a:solidFill>
                          <a:srgbClr val="404040"/>
                        </a:solidFill>
                        <a:uFillTx/>
                        <a:latin typeface="Bahnschrift Light SemiCondensed"/>
                      </a:rPr>
                      <a:t>
</a:t>
                    </a:r>
                    <a:fld id="{35595C2F-EAF2-4054-A81D-0BA381BB7DE6}" type="VALUE">
                      <a:rPr b="0" lang="en-US" sz="900" strike="noStrike" u="none">
                        <a:solidFill>
                          <a:srgbClr val="404040"/>
                        </a:solidFill>
                        <a:uFillTx/>
                        <a:latin typeface="Bahnschrift Light SemiCondensed"/>
                      </a:rPr>
                      <a:t>16 тн</a:t>
                    </a:fld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eparator>
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1"/>
              <c:layout>
                <c:manualLayout>
                  <c:x val="-0.244299637409098"/>
                  <c:y val="-0.0101667092956373"/>
                </c:manualLayout>
              </c:layout>
              <c:numFmt formatCode="0&quot; тн&quot;" sourceLinked="1"/>
              <c:txPr>
                <a:bodyPr wrap="square"/>
                <a:lstStyle/>
                <a:p>
                  <a:pPr>
                    <a:defRPr b="0" sz="900" strike="noStrike" u="none">
                      <a:solidFill>
                        <a:srgbClr val="404040"/>
                      </a:solidFill>
                      <a:uFillTx/>
                      <a:latin typeface="Bahnschrift Light SemiCondensed"/>
                    </a:defRPr>
                  </a:pPr>
                </a:p>
              </c:txPr>
              <c:tx>
                <c:rich>
                  <a:bodyPr/>
                  <a:p>
                    <a:fld id="{A7BA4E82-A493-410D-B7B2-361DAA01D9B7}" type="CELLRANGE">
                      <a:rPr b="0" lang="en-US" sz="900" strike="noStrike" u="none">
                        <a:solidFill>
                          <a:srgbClr val="404040"/>
                        </a:solidFill>
                        <a:uFillTx/>
                        <a:latin typeface="Bahnschrift Light SemiCondensed"/>
                      </a:rPr>
                      <a:t>[CELLRANGE]</a:t>
                    </a:fld>
                    <a:r>
                      <a:rPr b="0" lang="en-US" sz="900" strike="noStrike" u="none">
                        <a:solidFill>
                          <a:srgbClr val="404040"/>
                        </a:solidFill>
                        <a:uFillTx/>
                        <a:latin typeface="Bahnschrift Light SemiCondensed"/>
                      </a:rPr>
                      <a:t>
</a:t>
                    </a:r>
                    <a:fld id="{F4A95D8D-64D4-44C1-8073-CD5E6D2A26C9}" type="CATEGORYNAME">
                      <a:rPr b="0" lang="en-US" sz="900" strike="noStrike" u="none">
                        <a:solidFill>
                          <a:srgbClr val="404040"/>
                        </a:solidFill>
                        <a:uFillTx/>
                        <a:latin typeface="Bahnschrift Light SemiCondensed"/>
                      </a:rPr>
                      <a:t> 40-52</a:t>
                    </a:fld>
                    <a:r>
                      <a:rPr b="0" lang="en-US" sz="900" strike="noStrike" u="none">
                        <a:solidFill>
                          <a:srgbClr val="404040"/>
                        </a:solidFill>
                        <a:uFillTx/>
                        <a:latin typeface="Bahnschrift Light SemiCondensed"/>
                      </a:rPr>
                      <a:t>
</a:t>
                    </a:r>
                    <a:fld id="{30AF31DE-C932-42CE-8D23-BD3B4EB65BAF}" type="VALUE">
                      <a:rPr b="0" lang="en-US" sz="900" strike="noStrike" u="none">
                        <a:solidFill>
                          <a:srgbClr val="404040"/>
                        </a:solidFill>
                        <a:uFillTx/>
                        <a:latin typeface="Bahnschrift Light SemiCondensed"/>
                      </a:rPr>
                      <a:t>1875 тн</a:t>
                    </a:fld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eparator>
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2"/>
              <c:layout>
                <c:manualLayout>
                  <c:x val="-0.142259560047923"/>
                  <c:y val="-0.0808063159723348"/>
                </c:manualLayout>
              </c:layout>
              <c:numFmt formatCode="0&quot; тн&quot;" sourceLinked="1"/>
              <c:txPr>
                <a:bodyPr wrap="square"/>
                <a:lstStyle/>
                <a:p>
                  <a:pPr>
                    <a:defRPr b="0" sz="900" strike="noStrike" u="none">
                      <a:solidFill>
                        <a:srgbClr val="404040"/>
                      </a:solidFill>
                      <a:uFillTx/>
                      <a:latin typeface="Bahnschrift Light SemiCondensed"/>
                    </a:defRPr>
                  </a:pPr>
                </a:p>
              </c:txPr>
              <c:tx>
                <c:rich>
                  <a:bodyPr/>
                  <a:p>
                    <a:fld id="{D339DB48-8A77-49BD-9EF8-CEC6CDF9D3C3}" type="CELLRANGE">
                      <a:rPr b="0" lang="en-US" sz="900" strike="noStrike" u="none">
                        <a:solidFill>
                          <a:srgbClr val="404040"/>
                        </a:solidFill>
                        <a:uFillTx/>
                        <a:latin typeface="Bahnschrift Light SemiCondensed"/>
                      </a:rPr>
                      <a:t>[CELLRANGE]</a:t>
                    </a:fld>
                    <a:r>
                      <a:rPr b="0" lang="en-US" sz="900" strike="noStrike" u="none">
                        <a:solidFill>
                          <a:srgbClr val="404040"/>
                        </a:solidFill>
                        <a:uFillTx/>
                        <a:latin typeface="Bahnschrift Light SemiCondensed"/>
                      </a:rPr>
                      <a:t>
</a:t>
                    </a:r>
                    <a:fld id="{F794ED69-7E4F-49A8-A3A7-2268943B3CDA}" type="CATEGORYNAME">
                      <a:rPr b="0" lang="en-US" sz="900" strike="noStrike" u="none">
                        <a:solidFill>
                          <a:srgbClr val="404040"/>
                        </a:solidFill>
                        <a:uFillTx/>
                        <a:latin typeface="Bahnschrift Light SemiCondensed"/>
                      </a:rPr>
                      <a:t>53-63</a:t>
                    </a:fld>
                    <a:r>
                      <a:rPr b="0" lang="en-US" sz="900" strike="noStrike" u="none">
                        <a:solidFill>
                          <a:srgbClr val="404040"/>
                        </a:solidFill>
                        <a:uFillTx/>
                        <a:latin typeface="Bahnschrift Light SemiCondensed"/>
                      </a:rPr>
                      <a:t>
</a:t>
                    </a:r>
                    <a:fld id="{68AA1006-776C-4C19-A106-4F67DE675031}" type="VALUE">
                      <a:rPr b="0" lang="en-US" sz="900" strike="noStrike" u="none">
                        <a:solidFill>
                          <a:srgbClr val="404040"/>
                        </a:solidFill>
                        <a:uFillTx/>
                        <a:latin typeface="Bahnschrift Light SemiCondensed"/>
                      </a:rPr>
                      <a:t>3154 тн</a:t>
                    </a:fld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eparator>
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3"/>
              <c:layout>
                <c:manualLayout>
                  <c:x val="0.165216300602619"/>
                  <c:y val="-0.0249124199911601"/>
                </c:manualLayout>
              </c:layout>
              <c:numFmt formatCode="0&quot; тн&quot;" sourceLinked="1"/>
              <c:txPr>
                <a:bodyPr wrap="square"/>
                <a:lstStyle/>
                <a:p>
                  <a:pPr>
                    <a:defRPr b="0" sz="900" strike="noStrike" u="none">
                      <a:solidFill>
                        <a:srgbClr val="404040"/>
                      </a:solidFill>
                      <a:uFillTx/>
                      <a:latin typeface="Bahnschrift Light SemiCondensed"/>
                    </a:defRPr>
                  </a:pPr>
                </a:p>
              </c:txPr>
              <c:tx>
                <c:rich>
                  <a:bodyPr/>
                  <a:p>
                    <a:fld id="{D5799592-562B-4605-95A8-024DEBAE6D02}" type="CELLRANGE">
                      <a:rPr b="0" lang="en-US" sz="900" strike="noStrike" u="none">
                        <a:solidFill>
                          <a:srgbClr val="404040"/>
                        </a:solidFill>
                        <a:uFillTx/>
                        <a:latin typeface="Bahnschrift Light SemiCondensed"/>
                      </a:rPr>
                      <a:t>[CELLRANGE]</a:t>
                    </a:fld>
                    <a:r>
                      <a:rPr b="0" lang="en-US" sz="900" strike="noStrike" u="none">
                        <a:solidFill>
                          <a:srgbClr val="404040"/>
                        </a:solidFill>
                        <a:uFillTx/>
                        <a:latin typeface="Bahnschrift Light SemiCondensed"/>
                      </a:rPr>
                      <a:t>
</a:t>
                    </a:r>
                    <a:fld id="{F3F6DA28-31D5-4CA8-8242-45C6041F9768}" type="CATEGORYNAME">
                      <a:rPr b="0" lang="en-US" sz="900" strike="noStrike" u="none">
                        <a:solidFill>
                          <a:srgbClr val="404040"/>
                        </a:solidFill>
                        <a:uFillTx/>
                        <a:latin typeface="Bahnschrift Light SemiCondensed"/>
                      </a:rPr>
                      <a:t> 64-66</a:t>
                    </a:fld>
                    <a:r>
                      <a:rPr b="0" lang="en-US" sz="900" strike="noStrike" u="none">
                        <a:solidFill>
                          <a:srgbClr val="404040"/>
                        </a:solidFill>
                        <a:uFillTx/>
                        <a:latin typeface="Bahnschrift Light SemiCondensed"/>
                      </a:rPr>
                      <a:t>
</a:t>
                    </a:r>
                    <a:fld id="{6A07023B-2B07-4BE2-9C3F-595A92119398}" type="VALUE">
                      <a:rPr b="0" lang="en-US" sz="900" strike="noStrike" u="none">
                        <a:solidFill>
                          <a:srgbClr val="404040"/>
                        </a:solidFill>
                        <a:uFillTx/>
                        <a:latin typeface="Bahnschrift Light SemiCondensed"/>
                      </a:rPr>
                      <a:t>571 тн</a:t>
                    </a:fld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eparator>
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4"/>
              <c:layout>
                <c:manualLayout>
                  <c:x val="0.202997270271212"/>
                  <c:y val="-0.0102321537717032"/>
                </c:manualLayout>
              </c:layout>
              <c:numFmt formatCode="0&quot; тн&quot;" sourceLinked="1"/>
              <c:txPr>
                <a:bodyPr wrap="square"/>
                <a:lstStyle/>
                <a:p>
                  <a:pPr>
                    <a:defRPr b="0" sz="900" strike="noStrike" u="none">
                      <a:solidFill>
                        <a:srgbClr val="404040"/>
                      </a:solidFill>
                      <a:uFillTx/>
                      <a:latin typeface="Bahnschrift Light SemiCondensed"/>
                    </a:defRPr>
                  </a:pPr>
                </a:p>
              </c:txPr>
              <c:tx>
                <c:rich>
                  <a:bodyPr/>
                  <a:p>
                    <a:fld id="{CE4CC783-187E-4075-A3DC-2E386FC7B586}" type="CELLRANGE">
                      <a:rPr b="0" lang="en-US" sz="900" strike="noStrike" u="none">
                        <a:solidFill>
                          <a:srgbClr val="404040"/>
                        </a:solidFill>
                        <a:uFillTx/>
                        <a:latin typeface="Bahnschrift Light SemiCondensed"/>
                      </a:rPr>
                      <a:t>[CELLRANGE]</a:t>
                    </a:fld>
                    <a:r>
                      <a:rPr b="0" lang="en-US" sz="900" strike="noStrike" u="none">
                        <a:solidFill>
                          <a:srgbClr val="404040"/>
                        </a:solidFill>
                        <a:uFillTx/>
                        <a:latin typeface="Bahnschrift Light SemiCondensed"/>
                      </a:rPr>
                      <a:t>
</a:t>
                    </a:r>
                    <a:fld id="{A7028EF6-4044-4030-95F8-4AD40E2CED92}" type="CATEGORYNAME">
                      <a:rPr b="0" lang="en-US" sz="900" strike="noStrike" u="none">
                        <a:solidFill>
                          <a:srgbClr val="404040"/>
                        </a:solidFill>
                        <a:uFillTx/>
                        <a:latin typeface="Bahnschrift Light SemiCondensed"/>
                      </a:rPr>
                      <a:t>67-85</a:t>
                    </a:fld>
                    <a:r>
                      <a:rPr b="0" lang="en-US" sz="900" strike="noStrike" u="none">
                        <a:solidFill>
                          <a:srgbClr val="404040"/>
                        </a:solidFill>
                        <a:uFillTx/>
                        <a:latin typeface="Bahnschrift Light SemiCondensed"/>
                      </a:rPr>
                      <a:t>
</a:t>
                    </a:r>
                    <a:fld id="{3B9B039D-8B28-4F18-97D2-F28CB972E563}" type="VALUE">
                      <a:rPr b="0" lang="en-US" sz="900" strike="noStrike" u="none">
                        <a:solidFill>
                          <a:srgbClr val="404040"/>
                        </a:solidFill>
                        <a:uFillTx/>
                        <a:latin typeface="Bahnschrift Light SemiCondensed"/>
                      </a:rPr>
                      <a:t>1443 тн</a:t>
                    </a:fld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eparator>
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5"/>
              <c:layout>
                <c:manualLayout>
                  <c:x val="0.279534678607021"/>
                  <c:y val="0.0321389984775812"/>
                </c:manualLayout>
              </c:layout>
              <c:numFmt formatCode="0&quot; тн&quot;" sourceLinked="1"/>
              <c:txPr>
                <a:bodyPr wrap="square"/>
                <a:lstStyle/>
                <a:p>
                  <a:pPr>
                    <a:defRPr b="0" sz="900" strike="noStrike" u="none">
                      <a:solidFill>
                        <a:srgbClr val="404040"/>
                      </a:solidFill>
                      <a:uFillTx/>
                      <a:latin typeface="Bahnschrift Light SemiCondensed"/>
                    </a:defRPr>
                  </a:pPr>
                </a:p>
              </c:txPr>
              <c:tx>
                <c:rich>
                  <a:bodyPr/>
                  <a:p>
                    <a:fld id="{40895827-D3AA-4A7F-B4E8-AD69824C9ED2}" type="CELLRANGE">
                      <a:rPr b="0" lang="en-US" sz="900" strike="noStrike" u="none">
                        <a:solidFill>
                          <a:srgbClr val="404040"/>
                        </a:solidFill>
                        <a:uFillTx/>
                        <a:latin typeface="Bahnschrift Light SemiCondensed"/>
                      </a:rPr>
                      <a:t>[CELLRANGE]</a:t>
                    </a:fld>
                    <a:r>
                      <a:rPr b="0" lang="en-US" sz="900" strike="noStrike" u="none">
                        <a:solidFill>
                          <a:srgbClr val="404040"/>
                        </a:solidFill>
                        <a:uFillTx/>
                        <a:latin typeface="Bahnschrift Light SemiCondensed"/>
                      </a:rPr>
                      <a:t>
</a:t>
                    </a:r>
                    <a:fld id="{B82F4AB8-8E51-4A85-99F0-5A25C2039182}" type="CATEGORYNAME">
                      <a:rPr b="0" lang="en-US" sz="900" strike="noStrike" u="none">
                        <a:solidFill>
                          <a:srgbClr val="404040"/>
                        </a:solidFill>
                        <a:uFillTx/>
                        <a:latin typeface="Bahnschrift Light SemiCondensed"/>
                      </a:rPr>
                      <a:t>нет данных</a:t>
                    </a:fld>
                    <a:r>
                      <a:rPr b="0" lang="en-US" sz="900" strike="noStrike" u="none">
                        <a:solidFill>
                          <a:srgbClr val="404040"/>
                        </a:solidFill>
                        <a:uFillTx/>
                        <a:latin typeface="Bahnschrift Light SemiCondensed"/>
                      </a:rPr>
                      <a:t>
</a:t>
                    </a:r>
                    <a:fld id="{02B5A424-B40C-4023-BAF2-D46627647096}" type="VALUE">
                      <a:rPr b="0" lang="en-US" sz="900" strike="noStrike" u="none">
                        <a:solidFill>
                          <a:srgbClr val="404040"/>
                        </a:solidFill>
                        <a:uFillTx/>
                        <a:latin typeface="Bahnschrift Light SemiCondensed"/>
                      </a:rPr>
                      <a:t>39 тн</a:t>
                    </a:fld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eparator>
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Bahnschrift Light SemiCondensed"/>
                  </a:defRPr>
                </a:pPr>
              </a:p>
            </c:txPr>
            <c:showLegendKey val="0"/>
            <c:showVal val="1"/>
            <c:showCatName val="1"/>
            <c:showSerName val="0"/>
            <c:showPercent val="0"/>
            <c:separator>
</c:separator>
            <c:showLeaderLines val="1"/>
            <c:leaderLines>
              <c:spPr>
                <a:ln w="9360">
                  <a:solidFill>
                    <a:srgbClr val="a6a6a6"/>
                  </a:solidFill>
                </a:ln>
              </c:spPr>
            </c:leaderLines>
          </c:dLbls>
          <c:cat>
            <c:strRef>
              <c:f>'Данные 2025'!$D$27:$D$32</c:f>
              <c:strCache>
                <c:ptCount val="6"/>
                <c:pt idx="0">
                  <c:v> до 40</c:v>
                </c:pt>
                <c:pt idx="1">
                  <c:v> 40-52</c:v>
                </c:pt>
                <c:pt idx="2">
                  <c:v>53-63</c:v>
                </c:pt>
                <c:pt idx="3">
                  <c:v> 64-66</c:v>
                </c:pt>
                <c:pt idx="4">
                  <c:v>67-85</c:v>
                </c:pt>
                <c:pt idx="5">
                  <c:v>нет данных</c:v>
                </c:pt>
              </c:strCache>
            </c:strRef>
          </c:cat>
          <c:val>
            <c:numRef>
              <c:f>'Данные 2025'!$F$27:$F$32</c:f>
              <c:numCache>
                <c:formatCode>0" тн"</c:formatCode>
                <c:ptCount val="6"/>
                <c:pt idx="0">
                  <c:v>15.6</c:v>
                </c:pt>
                <c:pt idx="1">
                  <c:v>1875.175</c:v>
                </c:pt>
                <c:pt idx="2">
                  <c:v>3153.785</c:v>
                </c:pt>
                <c:pt idx="3">
                  <c:v>570.75</c:v>
                </c:pt>
                <c:pt idx="4">
                  <c:v>1443.44</c:v>
                </c:pt>
                <c:pt idx="5">
                  <c:v>39.39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'Данные 2025'!$G$27:$G$32</c15:f>
                <c15:dlblRangeCache>
                  <c:ptCount val="6"/>
                  <c:pt idx="0">
                    <c:v>0,2%</c:v>
                  </c:pt>
                  <c:pt idx="1">
                    <c:v>26%</c:v>
                  </c:pt>
                  <c:pt idx="2">
                    <c:v>44%</c:v>
                  </c:pt>
                  <c:pt idx="3">
                    <c:v>8%</c:v>
                  </c:pt>
                  <c:pt idx="4">
                    <c:v>20%</c:v>
                  </c:pt>
                  <c:pt idx="5">
                    <c:v>0,6%</c:v>
                  </c:pt>
                </c15:dlblRangeCache>
              </c15:datalabelsRange>
            </c:ext>
          </c:extLst>
        </c:ser>
        <c:firstSliceAng val="132"/>
        <c:holeSize val="50"/>
      </c:doughnutChart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19080">
      <a:solidFill>
        <a:srgbClr val="70ad47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lang="ru-RU" sz="1400" strike="noStrike" u="none">
                <a:solidFill>
                  <a:srgbClr val="000000"/>
                </a:solidFill>
                <a:uFillTx/>
                <a:latin typeface="Bahnschrift Light SemiCondensed"/>
              </a:rPr>
              <a:t>ВЫПОЛНЕНИЕ ПЛАНА ПО СБОРУ</a:t>
            </a:r>
          </a:p>
        </c:rich>
      </c:tx>
      <c:layout>
        <c:manualLayout>
          <c:xMode val="edge"/>
          <c:yMode val="edge"/>
          <c:x val="0.208558406482107"/>
          <c:y val="8.45522955948254E-005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41728561782579"/>
          <c:y val="0.109748879682083"/>
          <c:w val="0.666863605671843"/>
          <c:h val="0.85736027733153"/>
        </c:manualLayout>
      </c:layout>
      <c:barChart>
        <c:barDir val="bar"/>
        <c:grouping val="clustered"/>
        <c:varyColors val="0"/>
        <c:ser>
          <c:idx val="0"/>
          <c:order val="0"/>
          <c:spPr>
            <a:pattFill prst="ltUpDiag">
              <a:fgClr>
                <a:srgbClr val="aecf85"/>
              </a:fgClr>
              <a:bgClr>
                <a:srgbClr val="ffffff"/>
              </a:bgClr>
            </a:pattFill>
            <a:ln w="0">
              <a:noFill/>
            </a:ln>
          </c:spPr>
          <c:invertIfNegative val="0"/>
          <c:dPt>
            <c:idx val="0"/>
            <c:invertIfNegative val="0"/>
            <c:spPr>
              <a:pattFill prst="ltUpDiag">
                <a:fgClr>
                  <a:srgbClr val="aecf85"/>
                </a:fgClr>
                <a:bgClr>
                  <a:srgbClr val="ffffff"/>
                </a:bgClr>
              </a:pattFill>
              <a:ln w="0">
                <a:noFill/>
              </a:ln>
            </c:spPr>
          </c:dPt>
          <c:dPt>
            <c:idx val="2"/>
            <c:invertIfNegative val="0"/>
            <c:spPr>
              <a:pattFill prst="ltUpDiag">
                <a:fgClr>
                  <a:srgbClr val="aecf85"/>
                </a:fgClr>
                <a:bgClr>
                  <a:srgbClr val="ffffff"/>
                </a:bgClr>
              </a:pattFill>
              <a:ln w="0">
                <a:noFill/>
              </a:ln>
            </c:spPr>
          </c:dPt>
          <c:dLbls>
            <c:numFmt formatCode="000&quot; тн&quot;" sourceLinked="1"/>
            <c:dLbl>
              <c:idx val="0"/>
              <c:layout>
                <c:manualLayout>
                  <c:x val="-0.077345671450514"/>
                  <c:y val="0.000566831319998044"/>
                </c:manualLayout>
              </c:layout>
              <c:numFmt formatCode="000&quot; тн&quot;" sourceLinked="1"/>
              <c:txPr>
                <a:bodyPr wrap="square"/>
                <a:lstStyle/>
                <a:p>
                  <a:pPr>
                    <a:defRPr b="0" sz="900" strike="noStrike" u="none">
                      <a:solidFill>
                        <a:srgbClr val="000000"/>
                      </a:solidFill>
                      <a:uFillTx/>
                      <a:latin typeface="Bahnschrift Light SemiCondensed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layout>
                <c:manualLayout>
                  <c:x val="0.00930728844890012"/>
                  <c:y val="-0.0269718512938796"/>
                </c:manualLayout>
              </c:layout>
              <c:numFmt formatCode="000&quot; тн&quot;" sourceLinked="1"/>
              <c:txPr>
                <a:bodyPr wrap="square"/>
                <a:lstStyle/>
                <a:p>
                  <a:pPr>
                    <a:defRPr b="0" sz="900" strike="noStrike" u="none">
                      <a:solidFill>
                        <a:srgbClr val="000000"/>
                      </a:solidFill>
                      <a:uFillTx/>
                      <a:latin typeface="Bahnschrift Light SemiCondensed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900" strike="noStrike" u="none">
                    <a:solidFill>
                      <a:srgbClr val="000000"/>
                    </a:solidFill>
                    <a:uFillTx/>
                    <a:latin typeface="Bahnschrift Light SemiCondensed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'Данные 2025'!$D$4:$D$11</c:f>
              <c:strCache>
                <c:ptCount val="8"/>
                <c:pt idx="0">
                  <c:v>Учхоз Кубань (богара)</c:v>
                </c:pt>
                <c:pt idx="1">
                  <c:v>ГРК собственные семена (богара)</c:v>
                </c:pt>
                <c:pt idx="2">
                  <c:v>ГРК демо (богара)</c:v>
                </c:pt>
                <c:pt idx="3">
                  <c:v>ГРК (богара)</c:v>
                </c:pt>
                <c:pt idx="4">
                  <c:v>Братковский (полив)</c:v>
                </c:pt>
                <c:pt idx="5">
                  <c:v>Братковский закупка (полив)</c:v>
                </c:pt>
                <c:pt idx="6">
                  <c:v>Агролидер (полив)</c:v>
                </c:pt>
                <c:pt idx="7">
                  <c:v>Колос (полив)</c:v>
                </c:pt>
              </c:strCache>
            </c:strRef>
          </c:cat>
          <c:val>
            <c:numRef>
              <c:f>'Данные 2025'!$E$4:$E$11</c:f>
              <c:numCache>
                <c:formatCode>0,000" тн"</c:formatCode>
                <c:ptCount val="8"/>
                <c:pt idx="0">
                  <c:v>1157.4</c:v>
                </c:pt>
                <c:pt idx="1">
                  <c:v>910</c:v>
                </c:pt>
                <c:pt idx="2">
                  <c:v>136.5</c:v>
                </c:pt>
                <c:pt idx="3">
                  <c:v>936.2</c:v>
                </c:pt>
                <c:pt idx="4">
                  <c:v>765</c:v>
                </c:pt>
                <c:pt idx="5">
                  <c:v>522.325</c:v>
                </c:pt>
                <c:pt idx="6">
                  <c:v>586.5</c:v>
                </c:pt>
                <c:pt idx="7">
                  <c:v>1784.12</c:v>
                </c:pt>
              </c:numCache>
            </c:numRef>
          </c:val>
        </c:ser>
        <c:ser>
          <c:idx val="1"/>
          <c:order val="1"/>
          <c:spPr>
            <a:solidFill>
              <a:srgbClr val="aecf85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aecf85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aecf85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aecf85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aecf85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aecf85"/>
              </a:solidFill>
              <a:ln w="0">
                <a:noFill/>
              </a:ln>
            </c:spPr>
          </c:dPt>
          <c:dPt>
            <c:idx val="5"/>
            <c:invertIfNegative val="0"/>
            <c:spPr>
              <a:solidFill>
                <a:srgbClr val="aecf85"/>
              </a:solidFill>
              <a:ln w="0">
                <a:noFill/>
              </a:ln>
            </c:spPr>
          </c:dPt>
          <c:dPt>
            <c:idx val="6"/>
            <c:invertIfNegative val="0"/>
            <c:spPr>
              <a:solidFill>
                <a:srgbClr val="aecf85"/>
              </a:solidFill>
              <a:ln w="0">
                <a:noFill/>
              </a:ln>
            </c:spPr>
          </c:dPt>
          <c:dPt>
            <c:idx val="7"/>
            <c:invertIfNegative val="0"/>
            <c:spPr>
              <a:solidFill>
                <a:srgbClr val="aecf85"/>
              </a:solidFill>
              <a:ln w="0">
                <a:noFill/>
              </a:ln>
            </c:spPr>
          </c:dPt>
          <c:dLbls>
            <c:numFmt formatCode="0&quot; тн&quot;" sourceLinked="1"/>
            <c:dLbl>
              <c:idx val="0"/>
              <c:numFmt formatCode="0&quot; тн&quot;" sourceLinked="1"/>
              <c:txPr>
                <a:bodyPr wrap="square"/>
                <a:lstStyle/>
                <a:p>
                  <a:pPr>
                    <a:defRPr b="0" sz="900" strike="noStrike" u="none">
                      <a:solidFill>
                        <a:srgbClr val="000000"/>
                      </a:solidFill>
                      <a:uFillTx/>
                      <a:latin typeface="Bahnschrift Light SemiCondensed"/>
                    </a:defRPr>
                  </a:pPr>
                </a:p>
              </c:txPr>
              <c:tx>
                <c:rich>
                  <a:bodyPr/>
                  <a:p>
                    <a:fld id="{CA94DA3B-2927-49C7-9875-743E72B55F90}" type="CELLRANGE">
                      <a:rPr b="0" lang="ru-RU" sz="9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[CELLRANGE]</a:t>
                    </a:fld>
                    <a:r>
                      <a:rPr b="0" lang="ru-RU" sz="9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 </a:t>
                    </a:r>
                    <a:fld id="{5ECCBB3A-A1E7-4153-8E22-3B23F5D1733D}" type="VALUE">
                      <a:rPr b="0" lang="ru-RU" sz="9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1320 тн</a:t>
                    </a:fld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eparator> 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1"/>
              <c:numFmt formatCode="0&quot; тн&quot;" sourceLinked="1"/>
              <c:txPr>
                <a:bodyPr wrap="square"/>
                <a:lstStyle/>
                <a:p>
                  <a:pPr>
                    <a:defRPr b="0" sz="900" strike="noStrike" u="none">
                      <a:solidFill>
                        <a:srgbClr val="000000"/>
                      </a:solidFill>
                      <a:uFillTx/>
                      <a:latin typeface="Bahnschrift Light SemiCondensed"/>
                    </a:defRPr>
                  </a:pPr>
                </a:p>
              </c:txPr>
              <c:tx>
                <c:rich>
                  <a:bodyPr/>
                  <a:p>
                    <a:fld id="{B52C7412-7F2F-4703-A712-7D150D2E374C}" type="CELLRANGE">
                      <a:rPr b="0" lang="ru-RU" sz="9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[CELLRANGE]</a:t>
                    </a:fld>
                    <a:r>
                      <a:rPr b="0" lang="ru-RU" sz="9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 </a:t>
                    </a:r>
                    <a:fld id="{A1714456-F61D-414A-BB7D-3097D6CA4B51}" type="VALUE">
                      <a:rPr b="0" lang="ru-RU" sz="9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504 тн</a:t>
                    </a:fld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eparator> 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2"/>
              <c:layout>
                <c:manualLayout>
                  <c:x val="-0.0100265092683984"/>
                  <c:y val="0.00299723945302568"/>
                </c:manualLayout>
              </c:layout>
              <c:numFmt formatCode="0&quot; тн&quot;" sourceLinked="1"/>
              <c:txPr>
                <a:bodyPr wrap="square"/>
                <a:lstStyle/>
                <a:p>
                  <a:pPr>
                    <a:defRPr b="0" sz="900" strike="noStrike" u="none">
                      <a:solidFill>
                        <a:srgbClr val="000000"/>
                      </a:solidFill>
                      <a:uFillTx/>
                      <a:latin typeface="Bahnschrift Light SemiCondensed"/>
                    </a:defRPr>
                  </a:pPr>
                </a:p>
              </c:txPr>
              <c:tx>
                <c:rich>
                  <a:bodyPr/>
                  <a:p>
                    <a:fld id="{2DEEC422-8983-4A30-A052-F61EB4C2249D}" type="CELLRANGE">
                      <a:rPr b="0" lang="en-US" sz="9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[CELLRANGE]</a:t>
                    </a:fld>
                    <a:r>
                      <a:rPr b="0" lang="en-US" sz="9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 </a:t>
                    </a:r>
                    <a:fld id="{DDB67528-7082-4D60-9840-45FEA6F55B5D}" type="VALUE">
                      <a:rPr b="0" lang="en-US" sz="9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92 тн</a:t>
                    </a:fld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3"/>
              <c:numFmt formatCode="0&quot; тн&quot;" sourceLinked="1"/>
              <c:txPr>
                <a:bodyPr wrap="square"/>
                <a:lstStyle/>
                <a:p>
                  <a:pPr>
                    <a:defRPr b="0" sz="900" strike="noStrike" u="none">
                      <a:solidFill>
                        <a:srgbClr val="000000"/>
                      </a:solidFill>
                      <a:uFillTx/>
                      <a:latin typeface="Bahnschrift Light SemiCondensed"/>
                    </a:defRPr>
                  </a:pPr>
                </a:p>
              </c:txPr>
              <c:tx>
                <c:rich>
                  <a:bodyPr/>
                  <a:p>
                    <a:fld id="{E5902EAF-CB0B-4BBF-81D7-6D8DFBDE8052}" type="CELLRANGE">
                      <a:rPr b="0" lang="ru-RU" sz="9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[CELLRANGE]</a:t>
                    </a:fld>
                    <a:r>
                      <a:rPr b="0" lang="ru-RU" sz="9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 </a:t>
                    </a:r>
                    <a:fld id="{2ED42719-C018-4FF4-9975-561D69612376}" type="VALUE">
                      <a:rPr b="0" lang="ru-RU" sz="9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769 тн</a:t>
                    </a:fld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eparator> 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4"/>
              <c:numFmt formatCode="0&quot; тн&quot;" sourceLinked="1"/>
              <c:txPr>
                <a:bodyPr wrap="square"/>
                <a:lstStyle/>
                <a:p>
                  <a:pPr>
                    <a:defRPr b="0" sz="900" strike="noStrike" u="none">
                      <a:solidFill>
                        <a:srgbClr val="000000"/>
                      </a:solidFill>
                      <a:uFillTx/>
                      <a:latin typeface="Bahnschrift Light SemiCondensed"/>
                    </a:defRPr>
                  </a:pPr>
                </a:p>
              </c:txPr>
              <c:tx>
                <c:rich>
                  <a:bodyPr/>
                  <a:p>
                    <a:fld id="{CD566EF0-F0AB-43C9-A695-D7FE0D8507B1}" type="CELLRANGE">
                      <a:rPr b="0" lang="ru-RU" sz="9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[CELLRANGE]</a:t>
                    </a:fld>
                    <a:r>
                      <a:rPr b="0" lang="ru-RU" sz="9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 </a:t>
                    </a:r>
                    <a:fld id="{00081182-AE49-4334-A68B-973F8236CE3A}" type="VALUE">
                      <a:rPr b="0" lang="ru-RU" sz="9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842 тн</a:t>
                    </a:fld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eparator> 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5"/>
              <c:numFmt formatCode="0&quot; тн&quot;" sourceLinked="1"/>
              <c:txPr>
                <a:bodyPr wrap="square"/>
                <a:lstStyle/>
                <a:p>
                  <a:pPr>
                    <a:defRPr b="0" sz="900" strike="noStrike" u="none">
                      <a:solidFill>
                        <a:srgbClr val="000000"/>
                      </a:solidFill>
                      <a:uFillTx/>
                      <a:latin typeface="Bahnschrift Light SemiCondensed"/>
                    </a:defRPr>
                  </a:pPr>
                </a:p>
              </c:txPr>
              <c:tx>
                <c:rich>
                  <a:bodyPr/>
                  <a:p>
                    <a:fld id="{B87248D4-B274-4EC0-9217-894CEEAB75E0}" type="CELLRANGE">
                      <a:rPr b="0" lang="ru-RU" sz="9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[CELLRANGE]</a:t>
                    </a:fld>
                    <a:r>
                      <a:rPr b="0" lang="ru-RU" sz="9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 </a:t>
                    </a:r>
                    <a:fld id="{64C1710D-D6A3-455B-B7BA-E274FA7EB576}" type="VALUE">
                      <a:rPr b="0" lang="ru-RU" sz="9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561 тн</a:t>
                    </a:fld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eparator> 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6"/>
              <c:numFmt formatCode="0&quot; тн&quot;" sourceLinked="1"/>
              <c:txPr>
                <a:bodyPr wrap="square"/>
                <a:lstStyle/>
                <a:p>
                  <a:pPr>
                    <a:defRPr b="0" sz="900" strike="noStrike" u="none">
                      <a:solidFill>
                        <a:srgbClr val="000000"/>
                      </a:solidFill>
                      <a:uFillTx/>
                      <a:latin typeface="Bahnschrift Light SemiCondensed"/>
                    </a:defRPr>
                  </a:pPr>
                </a:p>
              </c:txPr>
              <c:tx>
                <c:rich>
                  <a:bodyPr/>
                  <a:p>
                    <a:fld id="{FF7D1938-0A5A-433A-AB36-E231596417BA}" type="CELLRANGE">
                      <a:rPr b="0" lang="ru-RU" sz="9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[CELLRANGE]</a:t>
                    </a:fld>
                    <a:r>
                      <a:rPr b="0" lang="ru-RU" sz="9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 </a:t>
                    </a:r>
                    <a:fld id="{7C9C1671-9C9B-411D-96DA-6313D3BE7452}" type="VALUE">
                      <a:rPr b="0" lang="ru-RU" sz="9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1018 тн</a:t>
                    </a:fld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eparator> 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7"/>
              <c:numFmt formatCode="0&quot; тн&quot;" sourceLinked="1"/>
              <c:txPr>
                <a:bodyPr wrap="square"/>
                <a:lstStyle/>
                <a:p>
                  <a:pPr>
                    <a:defRPr b="0" sz="900" strike="noStrike" u="none">
                      <a:solidFill>
                        <a:srgbClr val="000000"/>
                      </a:solidFill>
                      <a:uFillTx/>
                      <a:latin typeface="Bahnschrift Light SemiCondensed"/>
                    </a:defRPr>
                  </a:pPr>
                </a:p>
              </c:txPr>
              <c:tx>
                <c:rich>
                  <a:bodyPr/>
                  <a:p>
                    <a:fld id="{B0C4FA1B-F0FD-4AB8-A229-70F458DF83C4}" type="CELLRANGE">
                      <a:rPr b="0" lang="ru-RU" sz="9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[CELLRANGE]</a:t>
                    </a:fld>
                    <a:r>
                      <a:rPr b="0" lang="ru-RU" sz="9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 </a:t>
                    </a:r>
                    <a:fld id="{C997016E-8F8A-464C-AF10-32121732E9CB}" type="VALUE">
                      <a:rPr b="0" lang="ru-RU" sz="9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1992 тн</a:t>
                    </a:fld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eparator> 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txPr>
              <a:bodyPr wrap="square"/>
              <a:lstStyle/>
              <a:p>
                <a:pPr>
                  <a:defRPr b="0" sz="900" strike="noStrike" u="none">
                    <a:solidFill>
                      <a:srgbClr val="000000"/>
                    </a:solidFill>
                    <a:uFillTx/>
                    <a:latin typeface="Bahnschrift Light SemiCondensed"/>
                  </a:defRPr>
                </a:pPr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'Данные 2025'!$D$4:$D$11</c:f>
              <c:strCache>
                <c:ptCount val="8"/>
                <c:pt idx="0">
                  <c:v>Учхоз Кубань (богара)</c:v>
                </c:pt>
                <c:pt idx="1">
                  <c:v>ГРК собственные семена (богара)</c:v>
                </c:pt>
                <c:pt idx="2">
                  <c:v>ГРК демо (богара)</c:v>
                </c:pt>
                <c:pt idx="3">
                  <c:v>ГРК (богара)</c:v>
                </c:pt>
                <c:pt idx="4">
                  <c:v>Братковский (полив)</c:v>
                </c:pt>
                <c:pt idx="5">
                  <c:v>Братковский закупка (полив)</c:v>
                </c:pt>
                <c:pt idx="6">
                  <c:v>Агролидер (полив)</c:v>
                </c:pt>
                <c:pt idx="7">
                  <c:v>Колос (полив)</c:v>
                </c:pt>
              </c:strCache>
            </c:strRef>
          </c:cat>
          <c:val>
            <c:numRef>
              <c:f>'Данные 2025'!$F$4:$F$11</c:f>
              <c:numCache>
                <c:formatCode>0" тн"</c:formatCode>
                <c:ptCount val="8"/>
                <c:pt idx="0">
                  <c:v>1320.13</c:v>
                </c:pt>
                <c:pt idx="1">
                  <c:v>503.65</c:v>
                </c:pt>
                <c:pt idx="2">
                  <c:v>91.8</c:v>
                </c:pt>
                <c:pt idx="3">
                  <c:v>769.25</c:v>
                </c:pt>
                <c:pt idx="4">
                  <c:v>842.08</c:v>
                </c:pt>
                <c:pt idx="5">
                  <c:v>561.3</c:v>
                </c:pt>
                <c:pt idx="6">
                  <c:v>1017.73</c:v>
                </c:pt>
                <c:pt idx="7">
                  <c:v>1992.2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'Данные 2025'!$G$4:$G$11</c15:f>
                <c15:dlblRangeCache>
                  <c:ptCount val="8"/>
                  <c:pt idx="0">
                    <c:v>114,1%</c:v>
                  </c:pt>
                  <c:pt idx="1">
                    <c:v>55,3%</c:v>
                  </c:pt>
                  <c:pt idx="2">
                    <c:v>67,3%</c:v>
                  </c:pt>
                  <c:pt idx="3">
                    <c:v>82,2%</c:v>
                  </c:pt>
                  <c:pt idx="4">
                    <c:v>110,1%</c:v>
                  </c:pt>
                  <c:pt idx="5">
                    <c:v>107,5%</c:v>
                  </c:pt>
                  <c:pt idx="6">
                    <c:v>173,5%</c:v>
                  </c:pt>
                  <c:pt idx="7">
                    <c:v>111,7%</c:v>
                  </c:pt>
                </c15:dlblRangeCache>
              </c15:datalabelsRange>
            </c:ext>
          </c:extLst>
        </c:ser>
        <c:gapWidth val="42"/>
        <c:overlap val="100"/>
        <c:axId val="59546339"/>
        <c:axId val="42375798"/>
      </c:barChart>
      <c:catAx>
        <c:axId val="59546339"/>
        <c:scaling>
          <c:orientation val="maxMin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000000"/>
                </a:solidFill>
                <a:uFillTx/>
                <a:latin typeface="Bahnschrift Light SemiCondensed"/>
              </a:defRPr>
            </a:pPr>
          </a:p>
        </c:txPr>
        <c:crossAx val="42375798"/>
        <c:crosses val="autoZero"/>
        <c:auto val="1"/>
        <c:lblAlgn val="ctr"/>
        <c:lblOffset val="100"/>
        <c:noMultiLvlLbl val="0"/>
      </c:catAx>
      <c:valAx>
        <c:axId val="42375798"/>
        <c:scaling>
          <c:orientation val="minMax"/>
        </c:scaling>
        <c:delete val="1"/>
        <c:axPos val="l"/>
        <c:numFmt formatCode="0,000&quot; тн&quot;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Bahnschrift Light SemiCondensed"/>
              </a:defRPr>
            </a:pPr>
          </a:p>
        </c:txPr>
        <c:crossAx val="59546339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19080">
      <a:solidFill>
        <a:srgbClr val="70ad47"/>
      </a:solidFill>
      <a:round/>
    </a:ln>
  </c:spPr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lang="ru-RU" sz="1400" strike="noStrike" u="none">
                <a:solidFill>
                  <a:srgbClr val="000000"/>
                </a:solidFill>
                <a:uFillTx/>
                <a:latin typeface="Bahnschrift Light SemiCondensed"/>
              </a:rPr>
              <a:t>СТАТИСТИКА УБОРКИ ОВОЩНОГО ГОРОШКА 2019-2024 гг.</a:t>
            </a:r>
          </a:p>
        </c:rich>
      </c:tx>
      <c:layout>
        <c:manualLayout>
          <c:xMode val="edge"/>
          <c:yMode val="edge"/>
          <c:x val="0.199443920361452"/>
          <c:y val="0.0102040816326531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439402214388561"/>
          <c:y val="0.132796780684105"/>
          <c:w val="0.926418747827814"/>
          <c:h val="0.7516527737855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Валовый сбор, тн.</c:v>
                </c:pt>
              </c:strCache>
            </c:strRef>
          </c:tx>
          <c:spPr>
            <a:solidFill>
              <a:srgbClr val="c8d997"/>
            </a:solidFill>
            <a:ln w="12600">
              <a:solidFill>
                <a:srgbClr val="a6a6a6"/>
              </a:solidFill>
              <a:round/>
            </a:ln>
          </c:spPr>
          <c:invertIfNegative val="0"/>
          <c:dPt>
            <c:idx val="0"/>
            <c:invertIfNegative val="0"/>
            <c:spPr>
              <a:solidFill>
                <a:srgbClr val="c8d997"/>
              </a:solidFill>
              <a:ln w="12600">
                <a:solidFill>
                  <a:srgbClr val="a6a6a6"/>
                </a:solidFill>
                <a:round/>
              </a:ln>
            </c:spPr>
          </c:dPt>
          <c:dPt>
            <c:idx val="1"/>
            <c:invertIfNegative val="0"/>
            <c:spPr>
              <a:solidFill>
                <a:srgbClr val="c8d997"/>
              </a:solidFill>
              <a:ln w="12600">
                <a:solidFill>
                  <a:srgbClr val="a6a6a6"/>
                </a:solidFill>
                <a:round/>
              </a:ln>
            </c:spPr>
          </c:dPt>
          <c:dPt>
            <c:idx val="2"/>
            <c:invertIfNegative val="0"/>
            <c:spPr>
              <a:solidFill>
                <a:srgbClr val="c8d997"/>
              </a:solidFill>
              <a:ln w="12600">
                <a:solidFill>
                  <a:srgbClr val="a6a6a6"/>
                </a:solidFill>
                <a:round/>
              </a:ln>
            </c:spPr>
          </c:dPt>
          <c:dPt>
            <c:idx val="3"/>
            <c:invertIfNegative val="0"/>
            <c:spPr>
              <a:solidFill>
                <a:srgbClr val="c8d997"/>
              </a:solidFill>
              <a:ln w="12600">
                <a:solidFill>
                  <a:srgbClr val="a6a6a6"/>
                </a:solidFill>
                <a:round/>
              </a:ln>
            </c:spPr>
          </c:dPt>
          <c:dPt>
            <c:idx val="4"/>
            <c:invertIfNegative val="0"/>
            <c:spPr>
              <a:solidFill>
                <a:srgbClr val="c8d997"/>
              </a:solidFill>
              <a:ln w="12600">
                <a:solidFill>
                  <a:srgbClr val="a6a6a6"/>
                </a:solidFill>
                <a:round/>
              </a:ln>
            </c:spPr>
          </c:dPt>
          <c:dPt>
            <c:idx val="5"/>
            <c:invertIfNegative val="0"/>
            <c:spPr>
              <a:solidFill>
                <a:srgbClr val="c8d997"/>
              </a:solidFill>
              <a:ln w="12600">
                <a:solidFill>
                  <a:srgbClr val="a6a6a6"/>
                </a:solidFill>
                <a:round/>
              </a:ln>
            </c:spPr>
          </c:dPt>
          <c:dLbls>
            <c:numFmt formatCode="#,##0.0" sourceLinked="0"/>
            <c:dLbl>
              <c:idx val="0"/>
              <c:numFmt formatCode="#,##0.0" sourceLinked="0"/>
              <c:txPr>
                <a:bodyPr wrap="square"/>
                <a:lstStyle/>
                <a:p>
                  <a:pPr>
                    <a:defRPr b="0" sz="1200" strike="noStrike" u="none">
                      <a:solidFill>
                        <a:srgbClr val="000000"/>
                      </a:solidFill>
                      <a:uFillTx/>
                      <a:latin typeface="Bahnschrift Light SemiCondensed"/>
                    </a:defRPr>
                  </a:pPr>
                </a:p>
              </c:txPr>
              <c:tx>
                <c:rich>
                  <a:bodyPr/>
                  <a:p>
                    <a:fld id="{52A4BE8D-8BFA-4031-907F-F575FDF39371}" type="CELLRANGE">
                      <a:rPr b="0" lang="en-US" sz="12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[CELLRANGE]</a:t>
                    </a:fld>
                  </a:p>
                  <a:p>
                    <a:fld id="{7645A776-E5A8-4267-B125-376690D2A516}" type="VALUE">
                      <a:rPr b="0" lang="en-US" sz="12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6 813,0</a:t>
                    </a:fld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eparator>
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1"/>
              <c:numFmt formatCode="#,##0.0" sourceLinked="0"/>
              <c:txPr>
                <a:bodyPr wrap="square"/>
                <a:lstStyle/>
                <a:p>
                  <a:pPr>
                    <a:defRPr b="0" sz="1200" strike="noStrike" u="none">
                      <a:solidFill>
                        <a:srgbClr val="000000"/>
                      </a:solidFill>
                      <a:uFillTx/>
                      <a:latin typeface="Bahnschrift Light SemiCondensed"/>
                    </a:defRPr>
                  </a:pPr>
                </a:p>
              </c:txPr>
              <c:tx>
                <c:rich>
                  <a:bodyPr/>
                  <a:p>
                    <a:fld id="{B68524C8-F045-450D-9B8B-290433CA96EB}" type="CELLRANGE">
                      <a:rPr b="0" lang="en-US" sz="12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[CELLRANGE]</a:t>
                    </a:fld>
                  </a:p>
                  <a:p>
                    <a:fld id="{0025459B-5CFC-4D36-B72B-51C26194FF7F}" type="VALUE">
                      <a:rPr b="0" lang="en-US" sz="12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12 761,0</a:t>
                    </a:fld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eparator>
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2"/>
              <c:numFmt formatCode="#,##0.0" sourceLinked="0"/>
              <c:txPr>
                <a:bodyPr wrap="square"/>
                <a:lstStyle/>
                <a:p>
                  <a:pPr>
                    <a:defRPr b="0" sz="1200" strike="noStrike" u="none">
                      <a:solidFill>
                        <a:srgbClr val="000000"/>
                      </a:solidFill>
                      <a:uFillTx/>
                      <a:latin typeface="Bahnschrift Light SemiCondensed"/>
                    </a:defRPr>
                  </a:pPr>
                </a:p>
              </c:txPr>
              <c:tx>
                <c:rich>
                  <a:bodyPr/>
                  <a:p>
                    <a:fld id="{4E09B2C2-D9B6-4C14-A4CB-9B05227F4D41}" type="CELLRANGE">
                      <a:rPr b="0" lang="en-US" sz="12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[CELLRANGE]</a:t>
                    </a:fld>
                  </a:p>
                  <a:p>
                    <a:fld id="{4EC66CBC-F363-41D9-A1EE-202E2DE6A2EC}" type="VALUE">
                      <a:rPr b="0" lang="en-US" sz="12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10 161,0</a:t>
                    </a:fld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eparator>
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3"/>
              <c:numFmt formatCode="#,##0.0" sourceLinked="0"/>
              <c:txPr>
                <a:bodyPr wrap="square"/>
                <a:lstStyle/>
                <a:p>
                  <a:pPr>
                    <a:defRPr b="0" sz="1200" strike="noStrike" u="none">
                      <a:solidFill>
                        <a:srgbClr val="000000"/>
                      </a:solidFill>
                      <a:uFillTx/>
                      <a:latin typeface="Bahnschrift Light SemiCondensed"/>
                    </a:defRPr>
                  </a:pPr>
                </a:p>
              </c:txPr>
              <c:tx>
                <c:rich>
                  <a:bodyPr/>
                  <a:p>
                    <a:fld id="{F5EC7016-AD22-4B3D-BA75-7B1FD8F43F25}" type="CELLRANGE">
                      <a:rPr b="0" lang="en-US" sz="12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[CELLRANGE]</a:t>
                    </a:fld>
                  </a:p>
                  <a:p>
                    <a:fld id="{8463BDF0-1B4C-4EB4-8316-6EA242983FB7}" type="VALUE">
                      <a:rPr b="0" lang="en-US" sz="12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6 505,0</a:t>
                    </a:fld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eparator>
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4"/>
              <c:numFmt formatCode="#,##0.0" sourceLinked="0"/>
              <c:txPr>
                <a:bodyPr wrap="square"/>
                <a:lstStyle/>
                <a:p>
                  <a:pPr>
                    <a:defRPr b="0" sz="1200" strike="noStrike" u="none">
                      <a:solidFill>
                        <a:srgbClr val="000000"/>
                      </a:solidFill>
                      <a:uFillTx/>
                      <a:latin typeface="Bahnschrift Light SemiCondensed"/>
                    </a:defRPr>
                  </a:pPr>
                </a:p>
              </c:txPr>
              <c:tx>
                <c:rich>
                  <a:bodyPr/>
                  <a:p>
                    <a:fld id="{27C5B082-2FB3-42FE-B32C-E94B0669349B}" type="CELLRANGE">
                      <a:rPr b="0" lang="en-US" sz="12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[CELLRANGE]</a:t>
                    </a:fld>
                  </a:p>
                  <a:p>
                    <a:fld id="{8ABFEC5C-4E8C-423B-9402-00BD8F7F5509}" type="VALUE">
                      <a:rPr b="0" lang="en-US" sz="12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6 656,0</a:t>
                    </a:fld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eparator>
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5"/>
              <c:numFmt formatCode="#,##0.0" sourceLinked="0"/>
              <c:txPr>
                <a:bodyPr wrap="square"/>
                <a:lstStyle/>
                <a:p>
                  <a:pPr>
                    <a:defRPr b="0" sz="1200" strike="noStrike" u="none">
                      <a:solidFill>
                        <a:srgbClr val="000000"/>
                      </a:solidFill>
                      <a:uFillTx/>
                      <a:latin typeface="Bahnschrift Light SemiCondensed"/>
                    </a:defRPr>
                  </a:pPr>
                </a:p>
              </c:txPr>
              <c:tx>
                <c:rich>
                  <a:bodyPr/>
                  <a:p>
                    <a:fld id="{AA8B53B3-38F9-4597-BAEF-D44BFCD65BB4}" type="CELLRANGE">
                      <a:rPr b="0" lang="en-US" sz="12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[CELLRANGE]</a:t>
                    </a:fld>
                  </a:p>
                  <a:p>
                    <a:fld id="{19824502-3286-4777-BB9D-977A940587EB}" type="VALUE">
                      <a:rPr b="0" lang="en-US" sz="12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4 371,9</a:t>
                    </a:fld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eparator>
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txPr>
              <a:bodyPr wrap="square"/>
              <a:lstStyle/>
              <a:p>
                <a:pPr>
                  <a:defRPr b="0" sz="1200" strike="noStrike" u="none">
                    <a:solidFill>
                      <a:srgbClr val="000000"/>
                    </a:solidFill>
                    <a:uFillTx/>
                    <a:latin typeface="Bahnschrift Light SemiCondensed"/>
                  </a:defRPr>
                </a:pPr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categories</c:f>
              <c:strCache>
                <c:ptCount val="6"/>
                <c:pt idx="0">
                  <c:v>2019 г.</c:v>
                </c:pt>
                <c:pt idx="1">
                  <c:v>2020 г.</c:v>
                </c:pt>
                <c:pt idx="2">
                  <c:v>2021 г.</c:v>
                </c:pt>
                <c:pt idx="3">
                  <c:v>2022 г.</c:v>
                </c:pt>
                <c:pt idx="4">
                  <c:v>2023 г.</c:v>
                </c:pt>
                <c:pt idx="5">
                  <c:v>2024 г.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6"/>
                <c:pt idx="0">
                  <c:v>6813</c:v>
                </c:pt>
                <c:pt idx="1">
                  <c:v>12761</c:v>
                </c:pt>
                <c:pt idx="2">
                  <c:v>10161</c:v>
                </c:pt>
                <c:pt idx="3">
                  <c:v>6505</c:v>
                </c:pt>
                <c:pt idx="4">
                  <c:v>6656.01</c:v>
                </c:pt>
                <c:pt idx="5">
                  <c:v>4371.92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{"3,304073715","4,564020029","4,152431549","2,990942112","5,624955633","2,743595858"}</c15:f>
                <c15:dlblRangeCache>
                  <c:ptCount val="6"/>
                  <c:pt idx="0">
                    <c:v>3,304073715</c:v>
                  </c:pt>
                  <c:pt idx="1">
                    <c:v>4,564020029</c:v>
                  </c:pt>
                  <c:pt idx="2">
                    <c:v>4,152431549</c:v>
                  </c:pt>
                  <c:pt idx="3">
                    <c:v>2,990942112</c:v>
                  </c:pt>
                  <c:pt idx="4">
                    <c:v>5,624955633</c:v>
                  </c:pt>
                  <c:pt idx="5">
                    <c:v>2,743595858</c:v>
                  </c:pt>
                </c15:dlblRangeCache>
              </c15:datalabelsRange>
            </c:ext>
          </c:extLst>
        </c:ser>
        <c:gapWidth val="35"/>
        <c:overlap val="0"/>
        <c:axId val="86425136"/>
        <c:axId val="27010245"/>
      </c:barChart>
      <c:lineChart>
        <c:grouping val="standard"/>
        <c:varyColors val="0"/>
        <c:ser>
          <c:idx val="1"/>
          <c:order val="1"/>
          <c:tx>
            <c:strRef>
              <c:f>label 1</c:f>
              <c:strCache>
                <c:ptCount val="1"/>
                <c:pt idx="0">
                  <c:v>Урожайность</c:v>
                </c:pt>
              </c:strCache>
            </c:strRef>
          </c:tx>
          <c:spPr>
            <a:solidFill>
              <a:srgbClr val="99ccff"/>
            </a:solidFill>
            <a:ln w="28440">
              <a:noFill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6"/>
                <c:pt idx="0">
                  <c:v>2019 г.</c:v>
                </c:pt>
                <c:pt idx="1">
                  <c:v>2020 г.</c:v>
                </c:pt>
                <c:pt idx="2">
                  <c:v>2021 г.</c:v>
                </c:pt>
                <c:pt idx="3">
                  <c:v>2022 г.</c:v>
                </c:pt>
                <c:pt idx="4">
                  <c:v>2023 г.</c:v>
                </c:pt>
                <c:pt idx="5">
                  <c:v>2024 г.</c:v>
                </c:pt>
              </c:strCache>
            </c:strRef>
          </c:cat>
          <c:val>
            <c:numRef>
              <c:f>1</c:f>
              <c:numCache>
                <c:formatCode>General</c:formatCode>
                <c:ptCount val="6"/>
                <c:pt idx="0">
                  <c:v>3.30407371483996</c:v>
                </c:pt>
                <c:pt idx="1">
                  <c:v>4.5640200286123</c:v>
                </c:pt>
                <c:pt idx="2">
                  <c:v>4.15243154883531</c:v>
                </c:pt>
                <c:pt idx="3">
                  <c:v>2.99094211228102</c:v>
                </c:pt>
                <c:pt idx="4">
                  <c:v>5.62495563255303</c:v>
                </c:pt>
                <c:pt idx="5">
                  <c:v>2.74359585817383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8092597"/>
        <c:axId val="52545148"/>
      </c:lineChart>
      <c:catAx>
        <c:axId val="864251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Bahnschrift Light SemiCondensed"/>
              </a:defRPr>
            </a:pPr>
          </a:p>
        </c:txPr>
        <c:crossAx val="27010245"/>
        <c:crosses val="autoZero"/>
        <c:auto val="1"/>
        <c:lblAlgn val="ctr"/>
        <c:lblOffset val="100"/>
        <c:noMultiLvlLbl val="0"/>
      </c:catAx>
      <c:valAx>
        <c:axId val="27010245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" strike="noStrike" u="none">
                <a:solidFill>
                  <a:srgbClr val="ffffff"/>
                </a:solidFill>
                <a:uFillTx/>
                <a:latin typeface="Bahnschrift Light SemiCondensed"/>
              </a:defRPr>
            </a:pPr>
          </a:p>
        </c:txPr>
        <c:crossAx val="86425136"/>
        <c:crosses val="autoZero"/>
        <c:crossBetween val="between"/>
      </c:valAx>
      <c:catAx>
        <c:axId val="88092597"/>
        <c:scaling>
          <c:orientation val="minMax"/>
        </c:scaling>
        <c:delete val="1"/>
        <c:axPos val="t"/>
        <c:numFmt formatCode="[$-419]dd/mm/yyyy" sourceLinked="1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Bahnschrift Light SemiCondensed"/>
              </a:defRPr>
            </a:pPr>
          </a:p>
        </c:txPr>
        <c:crossAx val="52545148"/>
        <c:auto val="1"/>
        <c:lblAlgn val="ctr"/>
        <c:lblOffset val="100"/>
        <c:noMultiLvlLbl val="0"/>
      </c:catAx>
      <c:valAx>
        <c:axId val="52545148"/>
        <c:scaling>
          <c:orientation val="minMax"/>
          <c:max val="8"/>
          <c:min val="0"/>
        </c:scaling>
        <c:delete val="0"/>
        <c:axPos val="r"/>
        <c:numFmt formatCode="General" sourceLinked="0"/>
        <c:majorTickMark val="out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" strike="noStrike" u="none">
                <a:solidFill>
                  <a:srgbClr val="ffffff"/>
                </a:solidFill>
                <a:uFillTx/>
                <a:latin typeface="Bahnschrift Light SemiCondensed"/>
              </a:defRPr>
            </a:pPr>
          </a:p>
        </c:txPr>
        <c:crossAx val="88092597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19080">
      <a:solidFill>
        <a:srgbClr val="70ad47"/>
      </a:solidFill>
      <a:round/>
    </a:ln>
  </c:spPr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lang="ru-RU" sz="1400" strike="noStrike" u="none">
                <a:solidFill>
                  <a:srgbClr val="595959"/>
                </a:solidFill>
                <a:uFillTx/>
                <a:latin typeface="Bahnschrift Light SemiCondensed"/>
              </a:rPr>
              <a:t>ЕЖЕДНЕВНЫЙ СБОР СЫРЬЯ СО СРЕДНИМ ПОКАЗАТЕЛЕМ ФИНОМЕТРА</a:t>
            </a:r>
          </a:p>
        </c:rich>
      </c:tx>
      <c:layout>
        <c:manualLayout>
          <c:xMode val="edge"/>
          <c:yMode val="edge"/>
          <c:x val="0.189099862472827"/>
          <c:y val="0.000155545185876497"/>
        </c:manualLayout>
      </c:layout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Валовый сбор</c:v>
                </c:pt>
              </c:strCache>
            </c:strRef>
          </c:tx>
          <c:spPr>
            <a:gradFill>
              <a:gsLst>
                <a:gs pos="1000">
                  <a:srgbClr val="f8fbf6"/>
                </a:gs>
                <a:gs pos="48000">
                  <a:srgbClr val="bedcaa"/>
                </a:gs>
                <a:gs pos="100000">
                  <a:srgbClr val="96b34d"/>
                </a:gs>
                <a:gs pos="100000">
                  <a:srgbClr val="789034"/>
                </a:gs>
                <a:gs pos="100000">
                  <a:srgbClr val="d4e8c6"/>
                </a:gs>
              </a:gsLst>
              <a:lin ang="16200000"/>
            </a:gradFill>
            <a:ln w="0">
              <a:noFill/>
            </a:ln>
          </c:spPr>
          <c:invertIfNegative val="0"/>
          <c:dLbls>
            <c:numFmt formatCode="0.0&quot; тн.&quot;" sourceLinked="0"/>
            <c:txPr>
              <a:bodyPr wrap="square"/>
              <a:lstStyle/>
              <a:p>
                <a:pPr>
                  <a:defRPr b="0" sz="1000" strike="noStrike" u="none">
                    <a:solidFill>
                      <a:srgbClr val="404040"/>
                    </a:solidFill>
                    <a:uFillTx/>
                    <a:latin typeface="Bahnschrift Light SemiCondensed"/>
                  </a:defRPr>
                </a:pPr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categories</c:f>
              <c:strCache>
                <c:ptCount val="3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12</c:v>
                </c:pt>
                <c:pt idx="9">
                  <c:v>13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28</c:v>
                </c:pt>
                <c:pt idx="21">
                  <c:v>29</c:v>
                </c:pt>
                <c:pt idx="22">
                  <c:v>30</c:v>
                </c:pt>
                <c:pt idx="23">
                  <c:v>31</c:v>
                </c:pt>
                <c:pt idx="24">
                  <c:v>33</c:v>
                </c:pt>
                <c:pt idx="25">
                  <c:v>34</c:v>
                </c:pt>
                <c:pt idx="26">
                  <c:v>35</c:v>
                </c:pt>
                <c:pt idx="27">
                  <c:v>36</c:v>
                </c:pt>
                <c:pt idx="28">
                  <c:v>37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34"/>
                <c:pt idx="0">
                  <c:v>64.89</c:v>
                </c:pt>
                <c:pt idx="1">
                  <c:v>35.46</c:v>
                </c:pt>
                <c:pt idx="2">
                  <c:v>86.6</c:v>
                </c:pt>
                <c:pt idx="3">
                  <c:v>153.86</c:v>
                </c:pt>
                <c:pt idx="4">
                  <c:v>130.93</c:v>
                </c:pt>
                <c:pt idx="5">
                  <c:v>160.49</c:v>
                </c:pt>
                <c:pt idx="6">
                  <c:v>173.54</c:v>
                </c:pt>
                <c:pt idx="7">
                  <c:v>135.62</c:v>
                </c:pt>
                <c:pt idx="8">
                  <c:v>108.44</c:v>
                </c:pt>
                <c:pt idx="9">
                  <c:v>100.26</c:v>
                </c:pt>
                <c:pt idx="10">
                  <c:v>195.04</c:v>
                </c:pt>
                <c:pt idx="11">
                  <c:v>92.27</c:v>
                </c:pt>
                <c:pt idx="12">
                  <c:v>196.11</c:v>
                </c:pt>
                <c:pt idx="13">
                  <c:v>208.6</c:v>
                </c:pt>
                <c:pt idx="14">
                  <c:v>193.39</c:v>
                </c:pt>
                <c:pt idx="15">
                  <c:v>85.61</c:v>
                </c:pt>
                <c:pt idx="16">
                  <c:v>185.19</c:v>
                </c:pt>
                <c:pt idx="17">
                  <c:v>212.2</c:v>
                </c:pt>
                <c:pt idx="18">
                  <c:v>120.87</c:v>
                </c:pt>
                <c:pt idx="19">
                  <c:v>220.08</c:v>
                </c:pt>
                <c:pt idx="20">
                  <c:v>195.02</c:v>
                </c:pt>
                <c:pt idx="21">
                  <c:v>203.05</c:v>
                </c:pt>
                <c:pt idx="22">
                  <c:v>27.77</c:v>
                </c:pt>
                <c:pt idx="23">
                  <c:v>116.4</c:v>
                </c:pt>
                <c:pt idx="24">
                  <c:v>84.64</c:v>
                </c:pt>
                <c:pt idx="25">
                  <c:v>134.77</c:v>
                </c:pt>
                <c:pt idx="26">
                  <c:v>163.99</c:v>
                </c:pt>
                <c:pt idx="27">
                  <c:v>71.26</c:v>
                </c:pt>
                <c:pt idx="28">
                  <c:v>9.22</c:v>
                </c:pt>
                <c:pt idx="29">
                  <c:v>106.62</c:v>
                </c:pt>
                <c:pt idx="30">
                  <c:v>107</c:v>
                </c:pt>
                <c:pt idx="31">
                  <c:v>124.52</c:v>
                </c:pt>
                <c:pt idx="32">
                  <c:v>133.79</c:v>
                </c:pt>
                <c:pt idx="33">
                  <c:v>34.42</c:v>
                </c:pt>
              </c:numCache>
            </c:numRef>
          </c:val>
        </c:ser>
        <c:gapWidth val="149"/>
        <c:overlap val="-14"/>
        <c:axId val="85941058"/>
        <c:axId val="95038186"/>
      </c:barChart>
      <c:lineChart>
        <c:grouping val="standard"/>
        <c:varyColors val="0"/>
        <c:ser>
          <c:idx val="1"/>
          <c:order val="1"/>
          <c:tx>
            <c:strRef>
              <c:f>label 1</c:f>
              <c:strCache>
                <c:ptCount val="1"/>
                <c:pt idx="0">
                  <c:v> Фср.</c:v>
                </c:pt>
              </c:strCache>
            </c:strRef>
          </c:tx>
          <c:spPr>
            <a:solidFill>
              <a:srgbClr val="ff9393"/>
            </a:solidFill>
            <a:ln cap="rnd" w="12600">
              <a:solidFill>
                <a:srgbClr val="ff9393"/>
              </a:solidFill>
              <a:prstDash val="sysDash"/>
              <a:round/>
            </a:ln>
          </c:spPr>
          <c:marker>
            <c:symbol val="circle"/>
            <c:size val="5"/>
            <c:spPr>
              <a:solidFill>
                <a:srgbClr val="ff9393"/>
              </a:solidFill>
            </c:spPr>
          </c:marker>
          <c:dLbls>
            <c:numFmt formatCode="#,##0.0" sourceLinked="0"/>
            <c:txPr>
              <a:bodyPr wrap="square"/>
              <a:lstStyle/>
              <a:p>
                <a:pPr>
                  <a:defRPr b="0" sz="1100" strike="noStrike" u="none">
                    <a:solidFill>
                      <a:srgbClr val="ff0000"/>
                    </a:solidFill>
                    <a:uFillTx/>
                    <a:latin typeface="Bahnschrift Light SemiCondensed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categories</c:f>
              <c:strCache>
                <c:ptCount val="3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12</c:v>
                </c:pt>
                <c:pt idx="9">
                  <c:v>13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28</c:v>
                </c:pt>
                <c:pt idx="21">
                  <c:v>29</c:v>
                </c:pt>
                <c:pt idx="22">
                  <c:v>30</c:v>
                </c:pt>
                <c:pt idx="23">
                  <c:v>31</c:v>
                </c:pt>
                <c:pt idx="24">
                  <c:v>33</c:v>
                </c:pt>
                <c:pt idx="25">
                  <c:v>34</c:v>
                </c:pt>
                <c:pt idx="26">
                  <c:v>35</c:v>
                </c:pt>
                <c:pt idx="27">
                  <c:v>36</c:v>
                </c:pt>
                <c:pt idx="28">
                  <c:v>37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</c:strCache>
            </c:strRef>
          </c:cat>
          <c:val>
            <c:numRef>
              <c:f>1</c:f>
              <c:numCache>
                <c:formatCode>General</c:formatCode>
                <c:ptCount val="34"/>
                <c:pt idx="0">
                  <c:v>47.6666666666667</c:v>
                </c:pt>
                <c:pt idx="1">
                  <c:v>34.5</c:v>
                </c:pt>
                <c:pt idx="2">
                  <c:v>45</c:v>
                </c:pt>
                <c:pt idx="3">
                  <c:v>45</c:v>
                </c:pt>
                <c:pt idx="4">
                  <c:v>46.7272727272727</c:v>
                </c:pt>
                <c:pt idx="5">
                  <c:v>47.6</c:v>
                </c:pt>
                <c:pt idx="6">
                  <c:v>52.2307692307692</c:v>
                </c:pt>
                <c:pt idx="7">
                  <c:v>50.3181818181818</c:v>
                </c:pt>
                <c:pt idx="8">
                  <c:v>50.6428571428571</c:v>
                </c:pt>
                <c:pt idx="9">
                  <c:v>51.0625</c:v>
                </c:pt>
                <c:pt idx="10">
                  <c:v>59.7142857142857</c:v>
                </c:pt>
                <c:pt idx="11">
                  <c:v>59.125</c:v>
                </c:pt>
                <c:pt idx="12">
                  <c:v>45.5357142857143</c:v>
                </c:pt>
                <c:pt idx="13">
                  <c:v>47.7333333333333</c:v>
                </c:pt>
                <c:pt idx="14">
                  <c:v>53.9</c:v>
                </c:pt>
                <c:pt idx="15">
                  <c:v>52.0714285714286</c:v>
                </c:pt>
                <c:pt idx="16">
                  <c:v>47.0384615384615</c:v>
                </c:pt>
                <c:pt idx="17">
                  <c:v>46.6875</c:v>
                </c:pt>
                <c:pt idx="18">
                  <c:v>58.9375</c:v>
                </c:pt>
                <c:pt idx="19">
                  <c:v>56.46875</c:v>
                </c:pt>
                <c:pt idx="20">
                  <c:v>59.6153846153846</c:v>
                </c:pt>
                <c:pt idx="21">
                  <c:v>64.8076923076923</c:v>
                </c:pt>
                <c:pt idx="22">
                  <c:v>70.5</c:v>
                </c:pt>
                <c:pt idx="23">
                  <c:v>52.9</c:v>
                </c:pt>
                <c:pt idx="24">
                  <c:v>48.1428571428571</c:v>
                </c:pt>
                <c:pt idx="25">
                  <c:v>51.4444444444444</c:v>
                </c:pt>
                <c:pt idx="26">
                  <c:v>52.6666666666667</c:v>
                </c:pt>
                <c:pt idx="27">
                  <c:v>59.75</c:v>
                </c:pt>
                <c:pt idx="28">
                  <c:v>55.5</c:v>
                </c:pt>
                <c:pt idx="29">
                  <c:v>56.375</c:v>
                </c:pt>
                <c:pt idx="30">
                  <c:v>55</c:v>
                </c:pt>
                <c:pt idx="31">
                  <c:v>59.125</c:v>
                </c:pt>
                <c:pt idx="32">
                  <c:v>65.1875</c:v>
                </c:pt>
                <c:pt idx="33">
                  <c:v>64.375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2895817"/>
        <c:axId val="84253300"/>
      </c:lineChart>
      <c:catAx>
        <c:axId val="8594105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Bahnschrift Light SemiCondensed"/>
              </a:defRPr>
            </a:pPr>
          </a:p>
        </c:txPr>
        <c:crossAx val="95038186"/>
        <c:crosses val="autoZero"/>
        <c:auto val="1"/>
        <c:lblAlgn val="ctr"/>
        <c:lblOffset val="100"/>
        <c:noMultiLvlLbl val="0"/>
      </c:catAx>
      <c:valAx>
        <c:axId val="95038186"/>
        <c:scaling>
          <c:orientation val="minMax"/>
          <c:max val="200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" strike="noStrike" u="none">
                <a:solidFill>
                  <a:srgbClr val="ffffff"/>
                </a:solidFill>
                <a:uFillTx/>
                <a:latin typeface="Bahnschrift Light SemiCondensed"/>
              </a:defRPr>
            </a:pPr>
          </a:p>
        </c:txPr>
        <c:crossAx val="85941058"/>
        <c:crosses val="autoZero"/>
        <c:crossBetween val="between"/>
      </c:valAx>
      <c:catAx>
        <c:axId val="72895817"/>
        <c:scaling>
          <c:orientation val="minMax"/>
        </c:scaling>
        <c:delete val="1"/>
        <c:axPos val="t"/>
        <c:numFmt formatCode="[$-419]dd/mm/yyyy" sourceLinked="1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Bahnschrift Light SemiCondensed"/>
              </a:defRPr>
            </a:pPr>
          </a:p>
        </c:txPr>
        <c:crossAx val="84253300"/>
        <c:auto val="1"/>
        <c:lblAlgn val="ctr"/>
        <c:lblOffset val="100"/>
        <c:noMultiLvlLbl val="0"/>
      </c:catAx>
      <c:valAx>
        <c:axId val="84253300"/>
        <c:scaling>
          <c:orientation val="minMax"/>
          <c:max val="80"/>
          <c:min val="0"/>
        </c:scaling>
        <c:delete val="0"/>
        <c:axPos val="r"/>
        <c:numFmt formatCode="General" sourceLinked="0"/>
        <c:majorTickMark val="out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" strike="noStrike" u="none">
                <a:solidFill>
                  <a:srgbClr val="ffffff"/>
                </a:solidFill>
                <a:uFillTx/>
                <a:latin typeface="Bahnschrift Light SemiCondensed"/>
              </a:defRPr>
            </a:pPr>
          </a:p>
        </c:txPr>
        <c:crossAx val="72895817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19080">
      <a:solidFill>
        <a:srgbClr val="70ad47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lang="ru-RU" sz="1400" strike="noStrike" u="none">
                <a:solidFill>
                  <a:srgbClr val="595959"/>
                </a:solidFill>
                <a:uFillTx/>
                <a:latin typeface="Bahnschrift Light SemiCondensed"/>
              </a:rPr>
              <a:t>РАСПРЕДЕЛЕНИЕ СЫРЬЯ ПО ФИНОМЕТРУ</a:t>
            </a:r>
          </a:p>
        </c:rich>
      </c:tx>
      <c:layout>
        <c:manualLayout>
          <c:xMode val="edge"/>
          <c:yMode val="edge"/>
          <c:x val="0.109701377069472"/>
          <c:y val="0.00258695027306697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823920779823611"/>
          <c:y val="0.137252083932164"/>
          <c:w val="0.644901748414049"/>
          <c:h val="0.847801092267893"/>
        </c:manualLayout>
      </c:layout>
      <c:doughnutChart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rgbClr val="70ad47"/>
            </a:solidFill>
            <a:ln w="19080">
              <a:solidFill>
                <a:srgbClr val="ffffff"/>
              </a:solidFill>
              <a:round/>
            </a:ln>
          </c:spPr>
          <c:explosion val="9"/>
          <c:dPt>
            <c:idx val="0"/>
            <c:spPr>
              <a:solidFill>
                <a:srgbClr val="677c2c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1"/>
            <c:spPr>
              <a:solidFill>
                <a:srgbClr val="97b541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2"/>
            <c:spPr>
              <a:solidFill>
                <a:srgbClr val="cddd9f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3"/>
            <c:spPr>
              <a:solidFill>
                <a:srgbClr val="ffffa7"/>
              </a:solidFill>
              <a:ln w="19080">
                <a:solidFill>
                  <a:srgbClr val="ffffff"/>
                </a:solidFill>
                <a:round/>
              </a:ln>
            </c:spPr>
          </c:dPt>
          <c:dLbls>
            <c:numFmt formatCode="General" sourceLinked="1"/>
            <c:dLbl>
              <c:idx val="0"/>
              <c:layout>
                <c:manualLayout>
                  <c:x val="0.127167601117928"/>
                  <c:y val="0.240811352953504"/>
                </c:manualLayout>
              </c:layout>
              <c:numFmt formatCode="General" sourceLinked="1"/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595959"/>
                      </a:solidFill>
                      <a:uFillTx/>
                      <a:latin typeface="Bahnschrift Light SemiCondensed"/>
                    </a:defRPr>
                  </a:pPr>
                </a:p>
              </c:txPr>
              <c:showLegendKey val="0"/>
              <c:showVal val="1"/>
              <c:showCatName val="1"/>
              <c:showSerName val="0"/>
              <c:showPercent val="1"/>
              <c:separator>
</c:separator>
            </c:dLbl>
            <c:dLbl>
              <c:idx val="1"/>
              <c:layout>
                <c:manualLayout>
                  <c:x val="-0.144508637634009"/>
                  <c:y val="-0.0329529056016287"/>
                </c:manualLayout>
              </c:layout>
              <c:numFmt formatCode="General" sourceLinked="1"/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595959"/>
                      </a:solidFill>
                      <a:uFillTx/>
                      <a:latin typeface="Bahnschrift Light SemiCondensed"/>
                    </a:defRPr>
                  </a:pPr>
                </a:p>
              </c:txPr>
              <c:showLegendKey val="0"/>
              <c:showVal val="1"/>
              <c:showCatName val="1"/>
              <c:showSerName val="0"/>
              <c:showPercent val="1"/>
              <c:separator>
</c:separator>
            </c:dLbl>
            <c:dLbl>
              <c:idx val="2"/>
              <c:layout>
                <c:manualLayout>
                  <c:x val="0.127167601117928"/>
                  <c:y val="-0.167300380228137"/>
                </c:manualLayout>
              </c:layout>
              <c:numFmt formatCode="General" sourceLinked="1"/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595959"/>
                      </a:solidFill>
                      <a:uFillTx/>
                      <a:latin typeface="Bahnschrift Light SemiCondensed"/>
                    </a:defRPr>
                  </a:pPr>
                </a:p>
              </c:txPr>
              <c:showLegendKey val="0"/>
              <c:showVal val="1"/>
              <c:showCatName val="1"/>
              <c:showSerName val="0"/>
              <c:showPercent val="1"/>
              <c:separator>
</c:separator>
            </c:dLbl>
            <c:dLbl>
              <c:idx val="3"/>
              <c:layout>
                <c:manualLayout>
                  <c:x val="0.16763001965545"/>
                  <c:y val="4.6471790995054E-017"/>
                </c:manualLayout>
              </c:layout>
              <c:numFmt formatCode="General" sourceLinked="1"/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595959"/>
                      </a:solidFill>
                      <a:uFillTx/>
                      <a:latin typeface="Bahnschrift Light SemiCondensed"/>
                    </a:defRPr>
                  </a:pPr>
                </a:p>
              </c:txPr>
              <c:showLegendKey val="0"/>
              <c:showVal val="1"/>
              <c:showCatName val="1"/>
              <c:showSerName val="0"/>
              <c:showPercent val="1"/>
              <c:separator>
</c:separator>
            </c:dLbl>
            <c:spPr>
              <a:solidFill>
                <a:srgbClr val="ffffff"/>
              </a:solidFill>
            </c:spPr>
            <c:txPr>
              <a:bodyPr wrap="square"/>
              <a:lstStyle/>
              <a:p>
                <a:pPr>
                  <a:defRPr b="0" sz="1000" strike="noStrike" u="none">
                    <a:solidFill>
                      <a:srgbClr val="595959"/>
                    </a:solidFill>
                    <a:uFillTx/>
                    <a:latin typeface="Bahnschrift Light SemiCondensed"/>
                  </a:defRPr>
                </a:pPr>
              </a:p>
            </c:txPr>
            <c:showLegendKey val="0"/>
            <c:showVal val="1"/>
            <c:showCatName val="1"/>
            <c:showSerName val="0"/>
            <c:showPercent val="1"/>
            <c:separator>
</c:separator>
            <c:showLeaderLines val="0"/>
          </c:dLbls>
          <c:cat>
            <c:strRef>
              <c:f>categories</c:f>
              <c:strCache>
                <c:ptCount val="4"/>
                <c:pt idx="0">
                  <c:v>до 40</c:v>
                </c:pt>
                <c:pt idx="1">
                  <c:v>40-62</c:v>
                </c:pt>
                <c:pt idx="2">
                  <c:v>63-66</c:v>
                </c:pt>
                <c:pt idx="3">
                  <c:v>67-85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4"/>
                <c:pt idx="0">
                  <c:v>169.91</c:v>
                </c:pt>
                <c:pt idx="1">
                  <c:v>3695.83</c:v>
                </c:pt>
                <c:pt idx="2">
                  <c:v>305.91</c:v>
                </c:pt>
                <c:pt idx="3">
                  <c:v>200.27</c:v>
                </c:pt>
              </c:numCache>
            </c:numRef>
          </c:val>
        </c:ser>
        <c:firstSliceAng val="90"/>
        <c:holeSize val="50"/>
      </c:doughnutChart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19080">
      <a:solidFill>
        <a:srgbClr val="70ad47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lang="ru-RU" sz="1400" strike="noStrike" u="none">
                <a:solidFill>
                  <a:srgbClr val="000000"/>
                </a:solidFill>
                <a:uFillTx/>
                <a:latin typeface="Bahnschrift Light SemiCondensed"/>
              </a:rPr>
              <a:t>ВЫПОЛНЕНИЕ ПЛАНА ПО СБОРУ</a:t>
            </a:r>
          </a:p>
        </c:rich>
      </c:tx>
      <c:layout>
        <c:manualLayout>
          <c:xMode val="edge"/>
          <c:yMode val="edge"/>
          <c:x val="0.208562019758507"/>
          <c:y val="8.45522955948254E-005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41661741112894"/>
          <c:y val="0.109748879682083"/>
          <c:w val="0.666807396774466"/>
          <c:h val="0.8573602773315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План</c:v>
                </c:pt>
              </c:strCache>
            </c:strRef>
          </c:tx>
          <c:spPr>
            <a:pattFill prst="ltDnDiag">
              <a:fgClr>
                <a:srgbClr val="c5e0b4"/>
              </a:fgClr>
              <a:bgClr>
                <a:srgbClr val="ffffff"/>
              </a:bgClr>
            </a:pattFill>
            <a:ln w="0">
              <a:solidFill>
                <a:srgbClr val="97b541"/>
              </a:solidFill>
            </a:ln>
          </c:spPr>
          <c:invertIfNegative val="0"/>
          <c:dLbls>
            <c:numFmt formatCode="General" sourceLinked="0"/>
            <c:txPr>
              <a:bodyPr wrap="square"/>
              <a:lstStyle/>
              <a:p>
                <a:pPr>
                  <a:defRPr b="0" sz="1050" strike="noStrike" u="none">
                    <a:solidFill>
                      <a:srgbClr val="000000"/>
                    </a:solidFill>
                    <a:uFillTx/>
                    <a:latin typeface="Bahnschrift Light SemiCondensed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97b541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4"/>
                <c:pt idx="0">
                  <c:v>ООО Кубань Хлеб</c:v>
                </c:pt>
                <c:pt idx="1">
                  <c:v>Учхоз</c:v>
                </c:pt>
                <c:pt idx="2">
                  <c:v>ООО ГРК</c:v>
                </c:pt>
                <c:pt idx="3">
                  <c:v>ООО Колос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4"/>
                <c:pt idx="0">
                  <c:v>929.5</c:v>
                </c:pt>
                <c:pt idx="1">
                  <c:v>1328.85</c:v>
                </c:pt>
                <c:pt idx="2">
                  <c:v>2184.6</c:v>
                </c:pt>
                <c:pt idx="3">
                  <c:v>3467.65</c:v>
                </c:pt>
              </c:numCache>
            </c:numRef>
          </c:val>
        </c:ser>
        <c:ser>
          <c:idx val="1"/>
          <c:order val="1"/>
          <c:tx>
            <c:strRef>
              <c:f>label 1</c:f>
              <c:strCache>
                <c:ptCount val="1"/>
                <c:pt idx="0">
                  <c:v>Факт</c:v>
                </c:pt>
              </c:strCache>
            </c:strRef>
          </c:tx>
          <c:spPr>
            <a:solidFill>
              <a:srgbClr val="cddd9f"/>
            </a:solidFill>
            <a:ln w="0">
              <a:solidFill>
                <a:srgbClr val="97b541"/>
              </a:solidFill>
            </a:ln>
          </c:spPr>
          <c:invertIfNegative val="0"/>
          <c:dPt>
            <c:idx val="0"/>
            <c:invertIfNegative val="0"/>
            <c:spPr>
              <a:solidFill>
                <a:srgbClr val="cddd9f"/>
              </a:solidFill>
              <a:ln w="0">
                <a:solidFill>
                  <a:srgbClr val="97b541"/>
                </a:solidFill>
              </a:ln>
            </c:spPr>
          </c:dPt>
          <c:dPt>
            <c:idx val="1"/>
            <c:invertIfNegative val="0"/>
            <c:spPr>
              <a:solidFill>
                <a:srgbClr val="cddd9f"/>
              </a:solidFill>
              <a:ln w="0">
                <a:solidFill>
                  <a:srgbClr val="97b541"/>
                </a:solidFill>
              </a:ln>
            </c:spPr>
          </c:dPt>
          <c:dPt>
            <c:idx val="2"/>
            <c:invertIfNegative val="0"/>
            <c:spPr>
              <a:solidFill>
                <a:srgbClr val="cddd9f"/>
              </a:solidFill>
              <a:ln w="0">
                <a:solidFill>
                  <a:srgbClr val="97b541"/>
                </a:solidFill>
              </a:ln>
            </c:spPr>
          </c:dPt>
          <c:dPt>
            <c:idx val="3"/>
            <c:invertIfNegative val="0"/>
            <c:spPr>
              <a:solidFill>
                <a:srgbClr val="cddd9f"/>
              </a:solidFill>
              <a:ln w="0">
                <a:solidFill>
                  <a:srgbClr val="97b541"/>
                </a:solidFill>
              </a:ln>
            </c:spPr>
          </c:dPt>
          <c:dLbls>
            <c:numFmt formatCode="General" sourceLinked="0"/>
            <c:dLbl>
              <c:idx val="0"/>
              <c:numFmt formatCode="General" sourceLinked="0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Bahnschrift Light SemiCondensed"/>
                    </a:defRPr>
                  </a:pPr>
                </a:p>
              </c:txPr>
              <c:tx>
                <c:rich>
                  <a:bodyPr/>
                  <a:p>
                    <a:fld id="{1F92A8B7-2193-4EF0-B251-8BD6BBF34535}" type="CELLRANGE">
                      <a:rPr b="0" lang="en-US" sz="10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[CELLRANGE]</a:t>
                    </a:fld>
                    <a:r>
                      <a:rPr b="0" lang="en-US" sz="10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 </a:t>
                    </a:r>
                    <a:fld id="{CF53866F-0157-4F01-B4F5-7918B79EBAB8}" type="VALUE">
                      <a:rPr b="0" lang="en-US" sz="10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495,0400000001</a:t>
                    </a:fld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eparator> 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1"/>
              <c:numFmt formatCode="General" sourceLinked="0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Bahnschrift Light SemiCondensed"/>
                    </a:defRPr>
                  </a:pPr>
                </a:p>
              </c:txPr>
              <c:tx>
                <c:rich>
                  <a:bodyPr/>
                  <a:p>
                    <a:fld id="{07D68ECD-5444-4BCA-9CAC-C83BAA81977E}" type="CELLRANGE">
                      <a:rPr b="0" lang="en-US" sz="10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[CELLRANGE]</a:t>
                    </a:fld>
                    <a:r>
                      <a:rPr b="0" lang="en-US" sz="10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 </a:t>
                    </a:r>
                    <a:fld id="{653A8279-B7D0-4291-9581-17A0D0008A61}" type="VALUE">
                      <a:rPr b="0" lang="en-US" sz="10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498,63</a:t>
                    </a:fld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eparator> 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2"/>
              <c:numFmt formatCode="General" sourceLinked="0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Bahnschrift Light SemiCondensed"/>
                    </a:defRPr>
                  </a:pPr>
                </a:p>
              </c:txPr>
              <c:tx>
                <c:rich>
                  <a:bodyPr/>
                  <a:p>
                    <a:fld id="{995CA864-CF46-4ABC-A5BF-39D638B250AE}" type="CELLRANGE">
                      <a:rPr b="0" lang="en-US" sz="10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[CELLRANGE]</a:t>
                    </a:fld>
                    <a:r>
                      <a:rPr b="0" lang="en-US" sz="10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 </a:t>
                    </a:r>
                    <a:fld id="{BFFBF9DF-5D79-4225-87AB-4E4DE5109A9C}" type="VALUE">
                      <a:rPr b="0" lang="en-US" sz="10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1640,77</a:t>
                    </a:fld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eparator> 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3"/>
              <c:numFmt formatCode="General" sourceLinked="0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Bahnschrift Light SemiCondensed"/>
                    </a:defRPr>
                  </a:pPr>
                </a:p>
              </c:txPr>
              <c:tx>
                <c:rich>
                  <a:bodyPr/>
                  <a:p>
                    <a:fld id="{B823DC2D-D0E8-424D-B79D-8987550EDD8E}" type="CELLRANGE">
                      <a:rPr b="0" lang="en-US" sz="10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[CELLRANGE]</a:t>
                    </a:fld>
                    <a:r>
                      <a:rPr b="0" lang="en-US" sz="10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 </a:t>
                    </a:r>
                    <a:fld id="{C35C8959-2A41-4E8E-9D12-860B3865C781}" type="VALUE">
                      <a:rPr b="0" lang="en-US" sz="1000" strike="noStrike" u="none">
                        <a:solidFill>
                          <a:srgbClr val="000000"/>
                        </a:solidFill>
                        <a:uFillTx/>
                        <a:latin typeface="Bahnschrift Light SemiCondensed"/>
                      </a:rPr>
                      <a:t>1737,4800000002</a:t>
                    </a:fld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eparator> 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Bahnschrift Light SemiCondensed"/>
                  </a:defRPr>
                </a:pPr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categories</c:f>
              <c:strCache>
                <c:ptCount val="4"/>
                <c:pt idx="0">
                  <c:v>ООО Кубань Хлеб</c:v>
                </c:pt>
                <c:pt idx="1">
                  <c:v>Учхоз</c:v>
                </c:pt>
                <c:pt idx="2">
                  <c:v>ООО ГРК</c:v>
                </c:pt>
                <c:pt idx="3">
                  <c:v>ООО Колос</c:v>
                </c:pt>
              </c:strCache>
            </c:strRef>
          </c:cat>
          <c:val>
            <c:numRef>
              <c:f>1</c:f>
              <c:numCache>
                <c:formatCode>General</c:formatCode>
                <c:ptCount val="4"/>
                <c:pt idx="0">
                  <c:v>495.0400000001</c:v>
                </c:pt>
                <c:pt idx="1">
                  <c:v>498.63</c:v>
                </c:pt>
                <c:pt idx="2">
                  <c:v>1640.77</c:v>
                </c:pt>
                <c:pt idx="3">
                  <c:v>1737.4800000002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{"53,3 % -","37,6 % -","75,2 % -","50,2 % -"}</c15:f>
                <c15:dlblRangeCache>
                  <c:ptCount val="4"/>
                  <c:pt idx="0">
                    <c:v>53,3 % -</c:v>
                  </c:pt>
                  <c:pt idx="1">
                    <c:v>37,6 % -</c:v>
                  </c:pt>
                  <c:pt idx="2">
                    <c:v>75,2 % -</c:v>
                  </c:pt>
                  <c:pt idx="3">
                    <c:v>50,2 % -</c:v>
                  </c:pt>
                </c15:dlblRangeCache>
              </c15:datalabelsRange>
            </c:ext>
          </c:extLst>
        </c:ser>
        <c:gapWidth val="42"/>
        <c:overlap val="100"/>
        <c:axId val="3808513"/>
        <c:axId val="17528871"/>
      </c:barChart>
      <c:catAx>
        <c:axId val="380851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000000"/>
                </a:solidFill>
                <a:uFillTx/>
                <a:latin typeface="Bahnschrift Light SemiCondensed"/>
              </a:defRPr>
            </a:pPr>
          </a:p>
        </c:txPr>
        <c:crossAx val="17528871"/>
        <c:crosses val="autoZero"/>
        <c:auto val="1"/>
        <c:lblAlgn val="ctr"/>
        <c:lblOffset val="100"/>
        <c:noMultiLvlLbl val="0"/>
      </c:catAx>
      <c:valAx>
        <c:axId val="1752887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Bahnschrift Light SemiCondensed"/>
              </a:defRPr>
            </a:pPr>
          </a:p>
        </c:txPr>
        <c:crossAx val="3808513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19080">
      <a:solidFill>
        <a:srgbClr val="70ad47"/>
      </a:solidFill>
      <a:round/>
    </a:ln>
  </c:spPr>
  <c:userShapes r:id="rId1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lang="ru-RU" sz="1400" strike="noStrike" u="none">
                <a:solidFill>
                  <a:srgbClr val="595959"/>
                </a:solidFill>
                <a:uFillTx/>
                <a:latin typeface="Calibri"/>
              </a:rPr>
              <a:t>Поступление сырья на завод (без учета продаж)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'Поступление на завод по дням'!$J$4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'Поступление на завод по дням'!$I$5:$I$53</c:f>
              <c:strCache>
                <c:ptCount val="49"/>
                <c:pt idx="0">
                  <c:v>6 485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/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</c:strCache>
            </c:strRef>
          </c:cat>
          <c:val>
            <c:numRef>
              <c:f>'Поступление на завод по дням'!$J$5:$J$53</c:f>
              <c:numCache>
                <c:formatCode>General</c:formatCode>
                <c:ptCount val="49"/>
              </c:numCache>
            </c:numRef>
          </c:val>
        </c:ser>
        <c:gapWidth val="219"/>
        <c:overlap val="-27"/>
        <c:axId val="42554066"/>
        <c:axId val="93204062"/>
      </c:barChart>
      <c:catAx>
        <c:axId val="4255406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93204062"/>
        <c:crosses val="autoZero"/>
        <c:auto val="1"/>
        <c:lblAlgn val="ctr"/>
        <c:lblOffset val="100"/>
        <c:noMultiLvlLbl val="0"/>
      </c:catAx>
      <c:valAx>
        <c:axId val="9320406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4255406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lang="ru-RU" sz="1400" strike="noStrike" u="none">
                <a:solidFill>
                  <a:srgbClr val="595959"/>
                </a:solidFill>
                <a:uFillTx/>
                <a:latin typeface="Calibri"/>
              </a:rPr>
              <a:t>Характеристика</a:t>
            </a:r>
            <a:r>
              <a:rPr b="0" lang="ru-RU" sz="1400" strike="noStrike" u="none">
                <a:solidFill>
                  <a:srgbClr val="595959"/>
                </a:solidFill>
                <a:uFillTx/>
                <a:latin typeface="Calibri"/>
              </a:rPr>
              <a:t> (сорт)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9699836178196"/>
          <c:y val="0.158158010887156"/>
          <c:w val="0.840247318078529"/>
          <c:h val="0.62762983669265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'Хар-ка качества 2023-2025'!$A$4</c:f>
              <c:strCache>
                <c:ptCount val="1"/>
                <c:pt idx="0">
                  <c:v>высший сорт</c:v>
                </c:pt>
              </c:strCache>
            </c:strRef>
          </c:tx>
          <c:spPr>
            <a:solidFill>
              <a:srgbClr val="c5e0b4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c5e0b4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c5e0b4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c5e0b4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1" sz="900" strike="noStrike" u="none">
                      <a:solidFill>
                        <a:srgbClr val="404040"/>
                      </a:solidFill>
                      <a:uFillTx/>
                      <a:latin typeface="Calibri"/>
                    </a:defRPr>
                  </a:pPr>
                </a:p>
              </c:txPr>
              <c:tx>
                <c:rich>
                  <a:bodyPr/>
                  <a:p>
                    <a:fld id="{5FF432B8-55AD-44E2-90DF-72E38A14F704}" type="CELLRANGE">
                      <a:rPr b="0" lang="en-US" sz="900" strike="noStrike" u="none">
                        <a:solidFill>
                          <a:srgbClr val="404040"/>
                        </a:solidFill>
                        <a:uFillTx/>
                        <a:latin typeface="Calibri"/>
                      </a:rPr>
                      <a:t>[CELLRANGE]</a:t>
                    </a:fld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eparator>
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1"/>
              <c:txPr>
                <a:bodyPr wrap="square"/>
                <a:lstStyle/>
                <a:p>
                  <a:pPr>
                    <a:defRPr b="1" sz="900" strike="noStrike" u="none">
                      <a:solidFill>
                        <a:srgbClr val="404040"/>
                      </a:solidFill>
                      <a:uFillTx/>
                      <a:latin typeface="Calibri"/>
                    </a:defRPr>
                  </a:pPr>
                </a:p>
              </c:txPr>
              <c:tx>
                <c:rich>
                  <a:bodyPr/>
                  <a:p>
                    <a:fld id="{311F3726-DA79-4CBE-A880-00D7ECF1AAC7}" type="CELLRANGE">
                      <a:rPr b="0" lang="ru-RU" sz="900" strike="noStrike" u="none">
                        <a:solidFill>
                          <a:srgbClr val="404040"/>
                        </a:solidFill>
                        <a:uFillTx/>
                        <a:latin typeface="Calibri"/>
                      </a:rPr>
                      <a:t>[CELLRANGE]</a:t>
                    </a:fld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eparator>
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2"/>
              <c:txPr>
                <a:bodyPr wrap="square"/>
                <a:lstStyle/>
                <a:p>
                  <a:pPr>
                    <a:defRPr b="1" sz="900" strike="noStrike" u="none">
                      <a:solidFill>
                        <a:srgbClr val="404040"/>
                      </a:solidFill>
                      <a:uFillTx/>
                      <a:latin typeface="Calibri"/>
                    </a:defRPr>
                  </a:pPr>
                </a:p>
              </c:txPr>
              <c:tx>
                <c:rich>
                  <a:bodyPr/>
                  <a:p>
                    <a:fld id="{8D6CC63E-C3F4-45AB-95B0-4B5DEA17A819}" type="CELLRANGE">
                      <a:rPr b="0" lang="ru-RU" sz="900" strike="noStrike" u="none">
                        <a:solidFill>
                          <a:srgbClr val="404040"/>
                        </a:solidFill>
                        <a:uFillTx/>
                        <a:latin typeface="Calibri"/>
                      </a:rPr>
                      <a:t>[CELLRANGE]</a:t>
                    </a:fld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eparator>
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txPr>
              <a:bodyPr wrap="square"/>
              <a:lstStyle/>
              <a:p>
                <a:pPr>
                  <a:defRPr b="1" sz="900" strike="noStrike" u="none">
                    <a:solidFill>
                      <a:srgbClr val="404040"/>
                    </a:solidFill>
                    <a:uFillTx/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
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'Хар-ка качества 2023-2025'!$B$3:$D$3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'Хар-ка качества 2023-2025'!$B$4:$D$4</c:f>
              <c:numCache>
                <c:formatCode>_-* #,##0_-;\-* #,##0_-;_-* \-??_-;_-@_-</c:formatCode>
                <c:ptCount val="3"/>
                <c:pt idx="0">
                  <c:v>3863.86549393185</c:v>
                </c:pt>
                <c:pt idx="1">
                  <c:v>3926.09</c:v>
                </c:pt>
                <c:pt idx="2">
                  <c:v>5098.72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'Хар-ка качества 2023-2025'!$E$4:$G$4</c15:f>
                <c15:dlblRangeCache>
                  <c:ptCount val="3"/>
                  <c:pt idx="0">
                    <c:v>58%</c:v>
                  </c:pt>
                  <c:pt idx="1">
                    <c:v>90%</c:v>
                  </c:pt>
                  <c:pt idx="2">
                    <c:v>72%</c:v>
                  </c:pt>
                </c15:dlblRangeCache>
              </c15:datalabelsRange>
            </c:ext>
          </c:extLst>
        </c:ser>
        <c:ser>
          <c:idx val="1"/>
          <c:order val="1"/>
          <c:tx>
            <c:strRef>
              <c:f>'Хар-ка качества 2023-2025'!$A$5</c:f>
              <c:strCache>
                <c:ptCount val="1"/>
                <c:pt idx="0">
                  <c:v>первый сорт</c:v>
                </c:pt>
              </c:strCache>
            </c:strRef>
          </c:tx>
          <c:spPr>
            <a:solidFill>
              <a:srgbClr val="e2f0d9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e2f0d9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e2f0d9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e2f0d9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1" sz="900" strike="noStrike" u="none">
                      <a:solidFill>
                        <a:srgbClr val="404040"/>
                      </a:solidFill>
                      <a:uFillTx/>
                      <a:latin typeface="Calibri"/>
                    </a:defRPr>
                  </a:pPr>
                </a:p>
              </c:txPr>
              <c:tx>
                <c:rich>
                  <a:bodyPr/>
                  <a:p>
                    <a:fld id="{56B07843-076E-4381-8CF4-F7F49C7F56BD}" type="CELLRANGE">
                      <a:rPr b="0" lang="en-US" sz="900" strike="noStrike" u="none">
                        <a:solidFill>
                          <a:srgbClr val="404040"/>
                        </a:solidFill>
                        <a:uFillTx/>
                        <a:latin typeface="Calibri"/>
                      </a:rPr>
                      <a:t>[CELLRANGE]</a:t>
                    </a:fld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eparator>
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1"/>
              <c:txPr>
                <a:bodyPr wrap="square"/>
                <a:lstStyle/>
                <a:p>
                  <a:pPr>
                    <a:defRPr b="1" sz="900" strike="noStrike" u="none">
                      <a:solidFill>
                        <a:srgbClr val="404040"/>
                      </a:solidFill>
                      <a:uFillTx/>
                      <a:latin typeface="Calibri"/>
                    </a:defRPr>
                  </a:pPr>
                </a:p>
              </c:txPr>
              <c:tx>
                <c:rich>
                  <a:bodyPr/>
                  <a:p>
                    <a:fld id="{F58B073A-AD2A-4A27-9B94-9D101F2C92D3}" type="CELLRANGE">
                      <a:rPr b="0" lang="ru-RU" sz="900" strike="noStrike" u="none">
                        <a:solidFill>
                          <a:srgbClr val="404040"/>
                        </a:solidFill>
                        <a:uFillTx/>
                        <a:latin typeface="Calibri"/>
                      </a:rPr>
                      <a:t>[CELLRANGE]</a:t>
                    </a:fld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eparator>
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2"/>
              <c:txPr>
                <a:bodyPr wrap="square"/>
                <a:lstStyle/>
                <a:p>
                  <a:pPr>
                    <a:defRPr b="1" sz="900" strike="noStrike" u="none">
                      <a:solidFill>
                        <a:srgbClr val="404040"/>
                      </a:solidFill>
                      <a:uFillTx/>
                      <a:latin typeface="Calibri"/>
                    </a:defRPr>
                  </a:pPr>
                </a:p>
              </c:txPr>
              <c:tx>
                <c:rich>
                  <a:bodyPr/>
                  <a:p>
                    <a:fld id="{C0120DE7-40EB-4E26-8007-7FC4D5B243E6}" type="CELLRANGE">
                      <a:rPr b="0" lang="ru-RU" sz="900" strike="noStrike" u="none">
                        <a:solidFill>
                          <a:srgbClr val="404040"/>
                        </a:solidFill>
                        <a:uFillTx/>
                        <a:latin typeface="Calibri"/>
                      </a:rPr>
                      <a:t>[CELLRANGE]</a:t>
                    </a:fld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eparator>
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txPr>
              <a:bodyPr wrap="square"/>
              <a:lstStyle/>
              <a:p>
                <a:pPr>
                  <a:defRPr b="1" sz="900" strike="noStrike" u="none">
                    <a:solidFill>
                      <a:srgbClr val="404040"/>
                    </a:solidFill>
                    <a:uFillTx/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
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'Хар-ка качества 2023-2025'!$B$3:$D$3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'Хар-ка качества 2023-2025'!$B$5:$D$5</c:f>
              <c:numCache>
                <c:formatCode>_-* #,##0_-;\-* #,##0_-;_-* \-??_-;_-@_-</c:formatCode>
                <c:ptCount val="3"/>
                <c:pt idx="0">
                  <c:v>1760.81064686599</c:v>
                </c:pt>
                <c:pt idx="1">
                  <c:v>433.13</c:v>
                </c:pt>
                <c:pt idx="2">
                  <c:v>1461.13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'Хар-ка качества 2023-2025'!$E$5:$G$5</c15:f>
                <c15:dlblRangeCache>
                  <c:ptCount val="3"/>
                  <c:pt idx="0">
                    <c:v>27%</c:v>
                  </c:pt>
                  <c:pt idx="1">
                    <c:v>10%</c:v>
                  </c:pt>
                  <c:pt idx="2">
                    <c:v>21%</c:v>
                  </c:pt>
                </c15:dlblRangeCache>
              </c15:datalabelsRange>
            </c:ext>
          </c:extLst>
        </c:ser>
        <c:ser>
          <c:idx val="2"/>
          <c:order val="2"/>
          <c:tx>
            <c:strRef>
              <c:f>'Хар-ка качества 2023-2025'!$A$6</c:f>
              <c:strCache>
                <c:ptCount val="1"/>
                <c:pt idx="0">
                  <c:v>второй сорт</c:v>
                </c:pt>
              </c:strCache>
            </c:strRef>
          </c:tx>
          <c:spPr>
            <a:solidFill>
              <a:srgbClr val="fff2cc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fff2cc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fff2cc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fff2cc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1" sz="900" strike="noStrike" u="none">
                      <a:solidFill>
                        <a:srgbClr val="404040"/>
                      </a:solidFill>
                      <a:uFillTx/>
                      <a:latin typeface="Calibri"/>
                    </a:defRPr>
                  </a:pPr>
                </a:p>
              </c:txPr>
              <c:tx>
                <c:rich>
                  <a:bodyPr/>
                  <a:p>
                    <a:fld id="{56E44A92-0BB2-4DBA-A53E-204B850107A4}" type="CELLRANGE">
                      <a:rPr b="0" lang="en-US" sz="900" strike="noStrike" u="none">
                        <a:solidFill>
                          <a:srgbClr val="404040"/>
                        </a:solidFill>
                        <a:uFillTx/>
                        <a:latin typeface="Calibri"/>
                      </a:rPr>
                      <a:t>[CELLRANGE]</a:t>
                    </a:fld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eparator>
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1"/>
              <c:layout>
                <c:manualLayout>
                  <c:x val="0"/>
                  <c:y val="-0.0307422046552482"/>
                </c:manualLayout>
              </c:layout>
              <c:txPr>
                <a:bodyPr wrap="square"/>
                <a:lstStyle/>
                <a:p>
                  <a:pPr>
                    <a:defRPr b="1" sz="900" strike="noStrike" u="none">
                      <a:solidFill>
                        <a:srgbClr val="404040"/>
                      </a:solidFill>
                      <a:uFillTx/>
                      <a:latin typeface="Calibri"/>
                    </a:defRPr>
                  </a:pPr>
                </a:p>
              </c:txPr>
              <c:tx>
                <c:rich>
                  <a:bodyPr/>
                  <a:p>
                    <a:fld id="{B60E36D5-AAF5-4AAD-8192-FAFEC2967376}" type="CELLRANGE">
                      <a:rPr b="0" lang="en-US" sz="900" strike="noStrike" u="none">
                        <a:solidFill>
                          <a:srgbClr val="404040"/>
                        </a:solidFill>
                        <a:uFillTx/>
                        <a:latin typeface="Calibri"/>
                      </a:rPr>
                      <a:t>[CELLRANGE]</a:t>
                    </a:fld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eparator>
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2"/>
              <c:txPr>
                <a:bodyPr wrap="square"/>
                <a:lstStyle/>
                <a:p>
                  <a:pPr>
                    <a:defRPr b="1" sz="900" strike="noStrike" u="none">
                      <a:solidFill>
                        <a:srgbClr val="404040"/>
                      </a:solidFill>
                      <a:uFillTx/>
                      <a:latin typeface="Calibri"/>
                    </a:defRPr>
                  </a:pPr>
                </a:p>
              </c:txPr>
              <c:tx>
                <c:rich>
                  <a:bodyPr/>
                  <a:p>
                    <a:fld id="{E6866707-8660-44B1-A4BF-69F03A840927}" type="CELLRANGE">
                      <a:rPr b="0" lang="ru-RU" sz="900" strike="noStrike" u="none">
                        <a:solidFill>
                          <a:srgbClr val="404040"/>
                        </a:solidFill>
                        <a:uFillTx/>
                        <a:latin typeface="Calibri"/>
                      </a:rPr>
                      <a:t>[CELLRANGE]</a:t>
                    </a:fld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eparator>
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txPr>
              <a:bodyPr wrap="square"/>
              <a:lstStyle/>
              <a:p>
                <a:pPr>
                  <a:defRPr b="1" sz="900" strike="noStrike" u="none">
                    <a:solidFill>
                      <a:srgbClr val="404040"/>
                    </a:solidFill>
                    <a:uFillTx/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
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'Хар-ка качества 2023-2025'!$B$3:$D$3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'Хар-ка качества 2023-2025'!$B$6:$D$6</c:f>
              <c:numCache>
                <c:formatCode>_-* #,##0_-;\-* #,##0_-;_-* \-??_-;_-@_-</c:formatCode>
                <c:ptCount val="3"/>
                <c:pt idx="0">
                  <c:v>1018.35385920217</c:v>
                </c:pt>
                <c:pt idx="1">
                  <c:v>12.7</c:v>
                </c:pt>
                <c:pt idx="2">
                  <c:v>538.29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'Хар-ка качества 2023-2025'!$E$6:$G$6</c15:f>
                <c15:dlblRangeCache>
                  <c:ptCount val="3"/>
                  <c:pt idx="0">
                    <c:v>15%</c:v>
                  </c:pt>
                  <c:pt idx="1">
                    <c:v>0,3%</c:v>
                  </c:pt>
                  <c:pt idx="2">
                    <c:v>8%</c:v>
                  </c:pt>
                </c15:dlblRangeCache>
              </c15:datalabelsRange>
            </c:ext>
          </c:extLst>
        </c:ser>
        <c:gapWidth val="95"/>
        <c:overlap val="100"/>
        <c:axId val="46250607"/>
        <c:axId val="10748564"/>
      </c:barChart>
      <c:catAx>
        <c:axId val="4625060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10748564"/>
        <c:crosses val="autoZero"/>
        <c:auto val="1"/>
        <c:lblAlgn val="ctr"/>
        <c:lblOffset val="100"/>
        <c:noMultiLvlLbl val="0"/>
      </c:catAx>
      <c:valAx>
        <c:axId val="10748564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lang="ru-RU" sz="1000" strike="noStrike" u="none">
                    <a:solidFill>
                      <a:srgbClr val="595959"/>
                    </a:solidFill>
                    <a:uFillTx/>
                    <a:latin typeface="Calibri"/>
                  </a:rPr>
                  <a:t>Физ.вес,</a:t>
                </a:r>
                <a:r>
                  <a:rPr b="0" lang="ru-RU" sz="1000" strike="noStrike" u="none">
                    <a:solidFill>
                      <a:srgbClr val="595959"/>
                    </a:solidFill>
                    <a:uFillTx/>
                    <a:latin typeface="Calibri"/>
                  </a:rPr>
                  <a:t> т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_-* #\ ##0_-;\-* #\ ##0_-;_-* \-??_-;_-@_-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462506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Calibri"/>
              </a:defRPr>
            </a:pPr>
          </a:p>
        </c:txPr>
      </c:dTable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stacked"/>
        <c:varyColors val="0"/>
        <c:ser>
          <c:idx val="0"/>
          <c:order val="0"/>
          <c:tx>
            <c:strRef>
              <c:f>'Хар-ка качества 2023-2025'!$A$4</c:f>
              <c:strCache>
                <c:ptCount val="1"/>
                <c:pt idx="0">
                  <c:v>высший сорт</c:v>
                </c:pt>
              </c:strCache>
            </c:strRef>
          </c:tx>
          <c:spPr>
            <a:solidFill>
              <a:srgbClr val="c5e0b4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c5e0b4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c5e0b4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c5e0b4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900" strike="noStrike" u="none">
                      <a:solidFill>
                        <a:srgbClr val="404040"/>
                      </a:solidFill>
                      <a:uFillTx/>
                      <a:latin typeface="Calibri"/>
                    </a:defRPr>
                  </a:pPr>
                </a:p>
              </c:txPr>
              <c:tx>
                <c:rich>
                  <a:bodyPr/>
                  <a:p>
                    <a:fld id="{83ED3309-0B33-4B95-9555-DA3CB8284CCD}" type="CELLRANGE">
                      <a:rPr b="0" lang="en-US" sz="900" strike="noStrike" u="none">
                        <a:solidFill>
                          <a:srgbClr val="404040"/>
                        </a:solidFill>
                        <a:uFillTx/>
                        <a:latin typeface="Calibri"/>
                      </a:rPr>
                      <a:t>[CELLRANGE]</a:t>
                    </a:fld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eparator>
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1"/>
              <c:txPr>
                <a:bodyPr wrap="square"/>
                <a:lstStyle/>
                <a:p>
                  <a:pPr>
                    <a:defRPr b="0" sz="900" strike="noStrike" u="none">
                      <a:solidFill>
                        <a:srgbClr val="404040"/>
                      </a:solidFill>
                      <a:uFillTx/>
                      <a:latin typeface="Calibri"/>
                    </a:defRPr>
                  </a:pPr>
                </a:p>
              </c:txPr>
              <c:tx>
                <c:rich>
                  <a:bodyPr/>
                  <a:p>
                    <a:fld id="{1F2F7B29-7E1D-40FA-A7FE-2D15D2639AA9}" type="CELLRANGE">
                      <a:rPr b="0" lang="ru-RU" sz="900" strike="noStrike" u="none">
                        <a:solidFill>
                          <a:srgbClr val="404040"/>
                        </a:solidFill>
                        <a:uFillTx/>
                        <a:latin typeface="Calibri"/>
                      </a:rPr>
                      <a:t>[CELLRANGE]</a:t>
                    </a:fld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eparator>
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2"/>
              <c:txPr>
                <a:bodyPr wrap="square"/>
                <a:lstStyle/>
                <a:p>
                  <a:pPr>
                    <a:defRPr b="0" sz="900" strike="noStrike" u="none">
                      <a:solidFill>
                        <a:srgbClr val="404040"/>
                      </a:solidFill>
                      <a:uFillTx/>
                      <a:latin typeface="Calibri"/>
                    </a:defRPr>
                  </a:pPr>
                </a:p>
              </c:txPr>
              <c:tx>
                <c:rich>
                  <a:bodyPr/>
                  <a:p>
                    <a:fld id="{659C3839-658A-4D5F-8461-5D247AB165F3}" type="CELLRANGE">
                      <a:rPr b="0" lang="ru-RU" sz="900" strike="noStrike" u="none">
                        <a:solidFill>
                          <a:srgbClr val="404040"/>
                        </a:solidFill>
                        <a:uFillTx/>
                        <a:latin typeface="Calibri"/>
                      </a:rPr>
                      <a:t>[CELLRANGE]</a:t>
                    </a:fld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eparator>
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
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'Хар-ка качества 2023-2025'!$B$3:$D$3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'Хар-ка качества 2023-2025'!$B$4:$D$4</c:f>
              <c:numCache>
                <c:formatCode>_-* #,##0_-;\-* #,##0_-;_-* \-??_-;_-@_-</c:formatCode>
                <c:ptCount val="3"/>
                <c:pt idx="0">
                  <c:v>3863.86549393185</c:v>
                </c:pt>
                <c:pt idx="1">
                  <c:v>3926.09</c:v>
                </c:pt>
                <c:pt idx="2">
                  <c:v>5098.72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'Хар-ка качества 2023-2025'!$E$4:$G$4</c15:f>
                <c15:dlblRangeCache>
                  <c:ptCount val="3"/>
                  <c:pt idx="0">
                    <c:v>58%</c:v>
                  </c:pt>
                  <c:pt idx="1">
                    <c:v>90%</c:v>
                  </c:pt>
                  <c:pt idx="2">
                    <c:v>72%</c:v>
                  </c:pt>
                </c15:dlblRangeCache>
              </c15:datalabelsRange>
            </c:ext>
          </c:extLst>
        </c:ser>
        <c:ser>
          <c:idx val="1"/>
          <c:order val="1"/>
          <c:tx>
            <c:strRef>
              <c:f>'Хар-ка качества 2023-2025'!$A$5</c:f>
              <c:strCache>
                <c:ptCount val="1"/>
                <c:pt idx="0">
                  <c:v>первый сорт</c:v>
                </c:pt>
              </c:strCache>
            </c:strRef>
          </c:tx>
          <c:spPr>
            <a:solidFill>
              <a:srgbClr val="e2f0d9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e2f0d9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e2f0d9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e2f0d9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900" strike="noStrike" u="none">
                      <a:solidFill>
                        <a:srgbClr val="404040"/>
                      </a:solidFill>
                      <a:uFillTx/>
                      <a:latin typeface="Calibri"/>
                    </a:defRPr>
                  </a:pPr>
                </a:p>
              </c:txPr>
              <c:tx>
                <c:rich>
                  <a:bodyPr/>
                  <a:p>
                    <a:fld id="{53540300-D29D-474E-B448-9AA0B0CDF80A}" type="CELLRANGE">
                      <a:rPr b="0" lang="en-US" sz="900" strike="noStrike" u="none">
                        <a:solidFill>
                          <a:srgbClr val="404040"/>
                        </a:solidFill>
                        <a:uFillTx/>
                        <a:latin typeface="Calibri"/>
                      </a:rPr>
                      <a:t>[CELLRANGE]</a:t>
                    </a:fld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eparator>
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1"/>
              <c:txPr>
                <a:bodyPr wrap="square"/>
                <a:lstStyle/>
                <a:p>
                  <a:pPr>
                    <a:defRPr b="0" sz="900" strike="noStrike" u="none">
                      <a:solidFill>
                        <a:srgbClr val="404040"/>
                      </a:solidFill>
                      <a:uFillTx/>
                      <a:latin typeface="Calibri"/>
                    </a:defRPr>
                  </a:pPr>
                </a:p>
              </c:txPr>
              <c:tx>
                <c:rich>
                  <a:bodyPr/>
                  <a:p>
                    <a:fld id="{6C31B961-BD65-42B7-9023-5D1527F4EB43}" type="CELLRANGE">
                      <a:rPr b="0" lang="ru-RU" sz="900" strike="noStrike" u="none">
                        <a:solidFill>
                          <a:srgbClr val="404040"/>
                        </a:solidFill>
                        <a:uFillTx/>
                        <a:latin typeface="Calibri"/>
                      </a:rPr>
                      <a:t>[CELLRANGE]</a:t>
                    </a:fld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eparator>
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2"/>
              <c:txPr>
                <a:bodyPr wrap="square"/>
                <a:lstStyle/>
                <a:p>
                  <a:pPr>
                    <a:defRPr b="0" sz="900" strike="noStrike" u="none">
                      <a:solidFill>
                        <a:srgbClr val="404040"/>
                      </a:solidFill>
                      <a:uFillTx/>
                      <a:latin typeface="Calibri"/>
                    </a:defRPr>
                  </a:pPr>
                </a:p>
              </c:txPr>
              <c:tx>
                <c:rich>
                  <a:bodyPr/>
                  <a:p>
                    <a:fld id="{B0F075DE-F073-4AA5-9A4A-19A0D7ACAADF}" type="CELLRANGE">
                      <a:rPr b="0" lang="ru-RU" sz="900" strike="noStrike" u="none">
                        <a:solidFill>
                          <a:srgbClr val="404040"/>
                        </a:solidFill>
                        <a:uFillTx/>
                        <a:latin typeface="Calibri"/>
                      </a:rPr>
                      <a:t>[CELLRANGE]</a:t>
                    </a:fld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eparator>
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
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'Хар-ка качества 2023-2025'!$B$3:$D$3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'Хар-ка качества 2023-2025'!$B$5:$D$5</c:f>
              <c:numCache>
                <c:formatCode>_-* #,##0_-;\-* #,##0_-;_-* \-??_-;_-@_-</c:formatCode>
                <c:ptCount val="3"/>
                <c:pt idx="0">
                  <c:v>1760.81064686599</c:v>
                </c:pt>
                <c:pt idx="1">
                  <c:v>433.13</c:v>
                </c:pt>
                <c:pt idx="2">
                  <c:v>1461.13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'Хар-ка качества 2023-2025'!$E$5:$G$5</c15:f>
                <c15:dlblRangeCache>
                  <c:ptCount val="3"/>
                  <c:pt idx="0">
                    <c:v>27%</c:v>
                  </c:pt>
                  <c:pt idx="1">
                    <c:v>10%</c:v>
                  </c:pt>
                  <c:pt idx="2">
                    <c:v>21%</c:v>
                  </c:pt>
                </c15:dlblRangeCache>
              </c15:datalabelsRange>
            </c:ext>
          </c:extLst>
        </c:ser>
        <c:ser>
          <c:idx val="2"/>
          <c:order val="2"/>
          <c:tx>
            <c:strRef>
              <c:f>'Хар-ка качества 2023-2025'!$A$6</c:f>
              <c:strCache>
                <c:ptCount val="1"/>
                <c:pt idx="0">
                  <c:v>второй сорт</c:v>
                </c:pt>
              </c:strCache>
            </c:strRef>
          </c:tx>
          <c:spPr>
            <a:solidFill>
              <a:srgbClr val="fff2cc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fff2cc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fff2cc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fff2cc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900" strike="noStrike" u="none">
                      <a:solidFill>
                        <a:srgbClr val="404040"/>
                      </a:solidFill>
                      <a:uFillTx/>
                      <a:latin typeface="Calibri"/>
                    </a:defRPr>
                  </a:pPr>
                </a:p>
              </c:txPr>
              <c:tx>
                <c:rich>
                  <a:bodyPr/>
                  <a:p>
                    <a:fld id="{35592600-646F-49FD-9510-936F0B8FC67E}" type="CELLRANGE">
                      <a:rPr b="0" lang="en-US" sz="900" strike="noStrike" u="none">
                        <a:solidFill>
                          <a:srgbClr val="404040"/>
                        </a:solidFill>
                        <a:uFillTx/>
                        <a:latin typeface="Calibri"/>
                      </a:rPr>
                      <a:t>[CELLRANGE]</a:t>
                    </a:fld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eparator>
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1"/>
              <c:layout>
                <c:manualLayout>
                  <c:x val="0"/>
                  <c:y val="-0.0307422046552482"/>
                </c:manualLayout>
              </c:layout>
              <c:txPr>
                <a:bodyPr wrap="square"/>
                <a:lstStyle/>
                <a:p>
                  <a:pPr>
                    <a:defRPr b="0" sz="900" strike="noStrike" u="none">
                      <a:solidFill>
                        <a:srgbClr val="404040"/>
                      </a:solidFill>
                      <a:uFillTx/>
                      <a:latin typeface="Calibri"/>
                    </a:defRPr>
                  </a:pPr>
                </a:p>
              </c:txPr>
              <c:tx>
                <c:rich>
                  <a:bodyPr/>
                  <a:p>
                    <a:fld id="{646431C1-1BFE-4384-B2EF-DD1D0FBEF838}" type="CELLRANGE">
                      <a:rPr b="0" lang="en-US" sz="900" strike="noStrike" u="none">
                        <a:solidFill>
                          <a:srgbClr val="404040"/>
                        </a:solidFill>
                        <a:uFillTx/>
                        <a:latin typeface="Calibri"/>
                      </a:rPr>
                      <a:t>[CELLRANGE]</a:t>
                    </a:fld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eparator>
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2"/>
              <c:txPr>
                <a:bodyPr wrap="square"/>
                <a:lstStyle/>
                <a:p>
                  <a:pPr>
                    <a:defRPr b="0" sz="900" strike="noStrike" u="none">
                      <a:solidFill>
                        <a:srgbClr val="404040"/>
                      </a:solidFill>
                      <a:uFillTx/>
                      <a:latin typeface="Calibri"/>
                    </a:defRPr>
                  </a:pPr>
                </a:p>
              </c:txPr>
              <c:tx>
                <c:rich>
                  <a:bodyPr/>
                  <a:p>
                    <a:fld id="{7724D7F8-C23F-481C-9F82-7BB504CDD35F}" type="CELLRANGE">
                      <a:rPr b="0" lang="ru-RU" sz="900" strike="noStrike" u="none">
                        <a:solidFill>
                          <a:srgbClr val="404040"/>
                        </a:solidFill>
                        <a:uFillTx/>
                        <a:latin typeface="Calibri"/>
                      </a:rPr>
                      <a:t>[CELLRANGE]</a:t>
                    </a:fld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eparator>
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
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'Хар-ка качества 2023-2025'!$B$3:$D$3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'Хар-ка качества 2023-2025'!$B$6:$D$6</c:f>
              <c:numCache>
                <c:formatCode>_-* #,##0_-;\-* #,##0_-;_-* \-??_-;_-@_-</c:formatCode>
                <c:ptCount val="3"/>
                <c:pt idx="0">
                  <c:v>1018.35385920217</c:v>
                </c:pt>
                <c:pt idx="1">
                  <c:v>12.7</c:v>
                </c:pt>
                <c:pt idx="2">
                  <c:v>538.29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'Хар-ка качества 2023-2025'!$E$6:$G$6</c15:f>
                <c15:dlblRangeCache>
                  <c:ptCount val="3"/>
                  <c:pt idx="0">
                    <c:v>15%</c:v>
                  </c:pt>
                  <c:pt idx="1">
                    <c:v>0,3%</c:v>
                  </c:pt>
                  <c:pt idx="2">
                    <c:v>8%</c:v>
                  </c:pt>
                </c15:dlblRangeCache>
              </c15:datalabelsRange>
            </c:ext>
          </c:extLst>
        </c:ser>
        <c:gapWidth val="95"/>
        <c:overlap val="100"/>
        <c:axId val="95936356"/>
        <c:axId val="35279441"/>
      </c:barChart>
      <c:catAx>
        <c:axId val="959363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35279441"/>
        <c:crosses val="autoZero"/>
        <c:auto val="1"/>
        <c:lblAlgn val="ctr"/>
        <c:lblOffset val="100"/>
        <c:noMultiLvlLbl val="0"/>
      </c:catAx>
      <c:valAx>
        <c:axId val="3527944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lang="ru-RU" sz="1000" strike="noStrike" u="none">
                    <a:solidFill>
                      <a:srgbClr val="595959"/>
                    </a:solidFill>
                    <a:uFillTx/>
                    <a:latin typeface="Calibri"/>
                  </a:rPr>
                  <a:t>Физ.вес,</a:t>
                </a:r>
                <a:r>
                  <a:rPr b="0" lang="ru-RU" sz="1000" strike="noStrike" u="none">
                    <a:solidFill>
                      <a:srgbClr val="595959"/>
                    </a:solidFill>
                    <a:uFillTx/>
                    <a:latin typeface="Calibri"/>
                  </a:rPr>
                  <a:t> т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_-* #\ ##0_-;\-* #\ ##0_-;_-* \-??_-;_-@_-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9593635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Calibri"/>
              </a:defRPr>
            </a:pPr>
          </a:p>
        </c:txPr>
      </c:dTable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svg"/><Relationship Id="rId3" Type="http://schemas.openxmlformats.org/officeDocument/2006/relationships/image" Target="../media/image3.png"/><Relationship Id="rId4" Type="http://schemas.openxmlformats.org/officeDocument/2006/relationships/image" Target="../media/image4.svg"/><Relationship Id="rId5" Type="http://schemas.openxmlformats.org/officeDocument/2006/relationships/chart" Target="../charts/chart1.xml"/><Relationship Id="rId6" Type="http://schemas.openxmlformats.org/officeDocument/2006/relationships/chart" Target="../charts/chart2.xml"/><Relationship Id="rId7" Type="http://schemas.openxmlformats.org/officeDocument/2006/relationships/image" Target="../media/image5.png"/><Relationship Id="rId8" Type="http://schemas.openxmlformats.org/officeDocument/2006/relationships/image" Target="../media/image6.svg"/><Relationship Id="rId9" Type="http://schemas.openxmlformats.org/officeDocument/2006/relationships/chart" Target="../charts/chart3.xml"/><Relationship Id="rId10" Type="http://schemas.openxmlformats.org/officeDocument/2006/relationships/image" Target="../media/image7.png"/><Relationship Id="rId11" Type="http://schemas.openxmlformats.org/officeDocument/2006/relationships/chart" Target="../charts/chart4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svg"/><Relationship Id="rId3" Type="http://schemas.openxmlformats.org/officeDocument/2006/relationships/image" Target="../media/image3.png"/><Relationship Id="rId4" Type="http://schemas.openxmlformats.org/officeDocument/2006/relationships/image" Target="../media/image4.svg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image" Target="../media/image5.png"/><Relationship Id="rId8" Type="http://schemas.openxmlformats.org/officeDocument/2006/relationships/image" Target="../media/image6.svg"/><Relationship Id="rId9" Type="http://schemas.openxmlformats.org/officeDocument/2006/relationships/chart" Target="../charts/chart7.xml"/><Relationship Id="rId10" Type="http://schemas.openxmlformats.org/officeDocument/2006/relationships/image" Target="../media/image7.png"/><Relationship Id="rId11" Type="http://schemas.openxmlformats.org/officeDocument/2006/relationships/chart" Target="../charts/chart8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svg"/><Relationship Id="rId3" Type="http://schemas.openxmlformats.org/officeDocument/2006/relationships/image" Target="../media/image3.png"/><Relationship Id="rId4" Type="http://schemas.openxmlformats.org/officeDocument/2006/relationships/image" Target="../media/image4.svg"/><Relationship Id="rId5" Type="http://schemas.openxmlformats.org/officeDocument/2006/relationships/chart" Target="../charts/chart9.xml"/><Relationship Id="rId6" Type="http://schemas.openxmlformats.org/officeDocument/2006/relationships/chart" Target="../charts/chart10.xml"/><Relationship Id="rId7" Type="http://schemas.openxmlformats.org/officeDocument/2006/relationships/image" Target="../media/image5.png"/><Relationship Id="rId8" Type="http://schemas.openxmlformats.org/officeDocument/2006/relationships/image" Target="../media/image6.svg"/><Relationship Id="rId9" Type="http://schemas.openxmlformats.org/officeDocument/2006/relationships/chart" Target="../charts/chart11.xml"/><Relationship Id="rId10" Type="http://schemas.openxmlformats.org/officeDocument/2006/relationships/image" Target="../media/image7.png"/><Relationship Id="rId11" Type="http://schemas.openxmlformats.org/officeDocument/2006/relationships/chart" Target="../charts/chart12.xml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chart" Target="../charts/chart13.xml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chart" Target="../charts/chart14.xml"/>
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chart" Target="../charts/chart1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9</xdr:col>
      <xdr:colOff>68400</xdr:colOff>
      <xdr:row>3</xdr:row>
      <xdr:rowOff>77400</xdr:rowOff>
    </xdr:from>
    <xdr:to>
      <xdr:col>10</xdr:col>
      <xdr:colOff>266400</xdr:colOff>
      <xdr:row>4</xdr:row>
      <xdr:rowOff>77400</xdr:rowOff>
    </xdr:to>
    <xdr:sp>
      <xdr:nvSpPr>
        <xdr:cNvPr id="0" name="Прямоугольник 1"/>
        <xdr:cNvSpPr/>
      </xdr:nvSpPr>
      <xdr:spPr>
        <a:xfrm>
          <a:off x="2484720" y="809640"/>
          <a:ext cx="1184760" cy="18072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15</xdr:col>
      <xdr:colOff>282600</xdr:colOff>
      <xdr:row>3</xdr:row>
      <xdr:rowOff>37800</xdr:rowOff>
    </xdr:from>
    <xdr:to>
      <xdr:col>19</xdr:col>
      <xdr:colOff>106920</xdr:colOff>
      <xdr:row>12</xdr:row>
      <xdr:rowOff>173880</xdr:rowOff>
    </xdr:to>
    <xdr:grpSp>
      <xdr:nvGrpSpPr>
        <xdr:cNvPr id="1" name="Группа 2"/>
        <xdr:cNvGrpSpPr/>
      </xdr:nvGrpSpPr>
      <xdr:grpSpPr>
        <a:xfrm>
          <a:off x="7240320" y="770040"/>
          <a:ext cx="2402280" cy="1764720"/>
          <a:chOff x="7240320" y="770040"/>
          <a:chExt cx="2402280" cy="1764720"/>
        </a:xfrm>
      </xdr:grpSpPr>
      <xdr:grpSp>
        <xdr:nvGrpSpPr>
          <xdr:cNvPr id="2" name="Группа 3"/>
          <xdr:cNvGrpSpPr/>
        </xdr:nvGrpSpPr>
        <xdr:grpSpPr>
          <a:xfrm>
            <a:off x="7240320" y="770040"/>
            <a:ext cx="2402280" cy="1712160"/>
            <a:chOff x="7240320" y="770040"/>
            <a:chExt cx="2402280" cy="1712160"/>
          </a:xfrm>
        </xdr:grpSpPr>
        <xdr:sp>
          <xdr:nvSpPr>
            <xdr:cNvPr id="3" name="Прямоугольник 5"/>
            <xdr:cNvSpPr/>
          </xdr:nvSpPr>
          <xdr:spPr>
            <a:xfrm>
              <a:off x="7240320" y="770040"/>
              <a:ext cx="2402280" cy="1712160"/>
            </a:xfrm>
            <a:prstGeom prst="rect">
              <a:avLst/>
            </a:prstGeom>
            <a:solidFill>
              <a:srgbClr val="ffffff"/>
            </a:solidFill>
            <a:ln w="19050">
              <a:solidFill>
                <a:srgbClr val="70ad47"/>
              </a:solidFill>
              <a:miter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/>
          </xdr:style>
          <xdr:txBody>
            <a:bodyPr horzOverflow="clip" vertOverflow="clip" lIns="90000" rIns="90000" tIns="45000" bIns="45000" anchor="t">
              <a:noAutofit/>
            </a:bodyPr>
            <a:p>
              <a:pPr algn="ctr">
                <a:lnSpc>
                  <a:spcPct val="100000"/>
                </a:lnSpc>
              </a:pPr>
              <a:r>
                <a:rPr b="0" lang="ru-RU" sz="1400" strike="noStrike" u="none">
                  <a:solidFill>
                    <a:schemeClr val="dk1"/>
                  </a:solidFill>
                  <a:effectLst/>
                  <a:uFillTx/>
                  <a:latin typeface="Bahnschrift Light SemiCondensed"/>
                </a:rPr>
                <a:t>УРОЖАЙНОСТЬ ФИЗ.ВЕС</a:t>
              </a:r>
              <a:endParaRPr b="0" lang="ru-RU" sz="1400" strike="noStrike" u="none">
                <a:effectLst/>
                <a:uFillTx/>
                <a:latin typeface="Times New Roman"/>
              </a:endParaRPr>
            </a:p>
          </xdr:txBody>
        </xdr:sp>
        <xdr:cxnSp>
          <xdr:nvCxnSpPr>
            <xdr:cNvPr id="4" name="Прямая соединительная линия 6"/>
            <xdr:cNvCxnSpPr/>
          </xdr:nvCxnSpPr>
          <xdr:spPr>
            <a:xfrm>
              <a:off x="7288920" y="1025280"/>
              <a:ext cx="2313000" cy="360"/>
            </a:xfrm>
            <a:prstGeom prst="straightConnector1">
              <a:avLst/>
            </a:prstGeom>
            <a:ln w="6350">
              <a:solidFill>
                <a:srgbClr val="70ad47"/>
              </a:solidFill>
              <a:miter/>
            </a:ln>
          </xdr:spPr>
        </xdr:cxnSp>
        <xdr:sp>
          <xdr:nvSpPr>
            <xdr:cNvPr id="5" name="Прямоугольник 7"/>
            <xdr:cNvSpPr/>
          </xdr:nvSpPr>
          <xdr:spPr>
            <a:xfrm>
              <a:off x="7295400" y="1089360"/>
              <a:ext cx="735120" cy="192960"/>
            </a:xfrm>
            <a:prstGeom prst="rect">
              <a:avLst/>
            </a:prstGeom>
            <a:noFill/>
            <a:ln w="12700"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/>
          </xdr:style>
          <xdr:txBody>
            <a:bodyPr horzOverflow="clip" vertOverflow="clip" lIns="90000" rIns="90000" tIns="45000" bIns="45000" anchor="ctr">
              <a:noAutofit/>
            </a:bodyPr>
            <a:p>
              <a:pPr>
                <a:lnSpc>
                  <a:spcPct val="100000"/>
                </a:lnSpc>
              </a:pPr>
              <a:r>
                <a:rPr b="0" lang="ru-RU" sz="1100" strike="noStrike" u="none">
                  <a:solidFill>
                    <a:schemeClr val="dk1"/>
                  </a:solidFill>
                  <a:effectLst/>
                  <a:uFillTx/>
                  <a:latin typeface="Bahnschrift Light SemiCondensed"/>
                </a:rPr>
                <a:t>ПЛАН:</a:t>
              </a:r>
              <a:endParaRPr b="0" lang="ru-RU" sz="1100" strike="noStrike" u="none">
                <a:effectLst/>
                <a:uFillTx/>
                <a:latin typeface="Times New Roman"/>
              </a:endParaRPr>
            </a:p>
          </xdr:txBody>
        </xdr:sp>
        <xdr:sp>
          <xdr:nvSpPr>
            <xdr:cNvPr id="6" name="Прямоугольник 8"/>
            <xdr:cNvSpPr/>
          </xdr:nvSpPr>
          <xdr:spPr>
            <a:xfrm>
              <a:off x="7292880" y="1357200"/>
              <a:ext cx="735120" cy="192960"/>
            </a:xfrm>
            <a:prstGeom prst="rect">
              <a:avLst/>
            </a:prstGeom>
            <a:noFill/>
            <a:ln w="12700"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/>
          </xdr:style>
          <xdr:txBody>
            <a:bodyPr horzOverflow="clip" vertOverflow="clip" lIns="90000" rIns="90000" tIns="45000" bIns="45000" anchor="ctr">
              <a:noAutofit/>
            </a:bodyPr>
            <a:p>
              <a:pPr>
                <a:lnSpc>
                  <a:spcPct val="100000"/>
                </a:lnSpc>
              </a:pPr>
              <a:r>
                <a:rPr b="0" lang="ru-RU" sz="1100" strike="noStrike" u="none">
                  <a:solidFill>
                    <a:schemeClr val="dk1"/>
                  </a:solidFill>
                  <a:effectLst/>
                  <a:uFillTx/>
                  <a:latin typeface="Bahnschrift Light SemiCondensed"/>
                </a:rPr>
                <a:t>ФАКТ:</a:t>
              </a:r>
              <a:endParaRPr b="0" lang="ru-RU" sz="1100" strike="noStrike" u="none">
                <a:effectLst/>
                <a:uFillTx/>
                <a:latin typeface="Times New Roman"/>
              </a:endParaRPr>
            </a:p>
          </xdr:txBody>
        </xdr:sp>
        <xdr:sp textlink="'Данные 2026'!B23">
          <xdr:nvSpPr>
            <xdr:cNvPr id="7" name="TextBox 9"/>
            <xdr:cNvSpPr/>
          </xdr:nvSpPr>
          <xdr:spPr>
            <a:xfrm>
              <a:off x="8422920" y="1045800"/>
              <a:ext cx="1176120" cy="277920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0"/>
            <a:fillRef idx="0"/>
            <a:effectRef idx="0"/>
            <a:fontRef idx="minor"/>
          </xdr:style>
          <xdr:txBody>
            <a:bodyPr horzOverflow="clip" vertOverflow="clip" lIns="90000" rIns="90000" tIns="45000" bIns="45000" anchor="ctr">
              <a:noAutofit/>
            </a:bodyPr>
            <a:p>
              <a:pPr algn="r">
                <a:lnSpc>
                  <a:spcPct val="100000"/>
                </a:lnSpc>
                <a:tabLst>
                  <a:tab algn="l" pos="0"/>
                </a:tabLst>
              </a:pPr>
              <a:r>
                <a:rPr b="0" lang="en-US" sz="1400" strike="noStrike" u="none">
                  <a:solidFill>
                    <a:schemeClr val="accent6">
                      <a:lumMod val="50000"/>
                    </a:schemeClr>
                  </a:solidFill>
                  <a:effectLst/>
                  <a:uFillTx/>
                  <a:latin typeface="Bahnschrift Light SemiCondensed"/>
                </a:rPr>
                <a:t>5,0 тн/га</a:t>
              </a:r>
              <a:endParaRPr b="0" lang="ru-RU" sz="1400" strike="noStrike" u="none">
                <a:effectLst/>
                <a:uFillTx/>
                <a:latin typeface="Times New Roman"/>
              </a:endParaRPr>
            </a:p>
          </xdr:txBody>
        </xdr:sp>
        <xdr:sp textlink="'Данные 2026'!B24">
          <xdr:nvSpPr>
            <xdr:cNvPr id="8" name="TextBox 10"/>
            <xdr:cNvSpPr/>
          </xdr:nvSpPr>
          <xdr:spPr>
            <a:xfrm>
              <a:off x="8427960" y="1311120"/>
              <a:ext cx="1171080" cy="238320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0"/>
            <a:fillRef idx="0"/>
            <a:effectRef idx="0"/>
            <a:fontRef idx="minor"/>
          </xdr:style>
          <xdr:txBody>
            <a:bodyPr horzOverflow="clip" vertOverflow="clip" lIns="90000" rIns="90000" tIns="45000" bIns="45000" anchor="ctr">
              <a:noAutofit/>
            </a:bodyPr>
            <a:p>
              <a:pPr algn="r">
                <a:lnSpc>
                  <a:spcPct val="100000"/>
                </a:lnSpc>
                <a:tabLst>
                  <a:tab algn="l" pos="0"/>
                </a:tabLst>
              </a:pPr>
              <a:r>
                <a:rPr b="0" lang="en-US" sz="1400" strike="noStrike" u="none">
                  <a:solidFill>
                    <a:schemeClr val="accent6">
                      <a:lumMod val="50000"/>
                    </a:schemeClr>
                  </a:solidFill>
                  <a:effectLst/>
                  <a:uFillTx/>
                  <a:latin typeface="Bahnschrift Light SemiCondensed"/>
                </a:rPr>
                <a:t>5,8 тн/га</a:t>
              </a:r>
              <a:endParaRPr b="0" lang="ru-RU" sz="1400" strike="noStrike" u="none">
                <a:effectLst/>
                <a:uFillTx/>
                <a:latin typeface="Times New Roman"/>
              </a:endParaRPr>
            </a:p>
          </xdr:txBody>
        </xdr:sp>
      </xdr:grpSp>
      <xdr:pic>
        <xdr:nvPicPr>
          <xdr:cNvPr id="9" name="Рисунок 4" descr="Открытая ладонь с растением"/>
          <xdr:cNvPicPr/>
        </xdr:nvPicPr>
        <xdr:blipFill>
          <a:blip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/>
        </xdr:blipFill>
        <xdr:spPr>
          <a:xfrm>
            <a:off x="7267680" y="1616760"/>
            <a:ext cx="1051920" cy="918000"/>
          </a:xfrm>
          <a:prstGeom prst="rect">
            <a:avLst/>
          </a:prstGeom>
          <a:noFill/>
          <a:ln w="0">
            <a:noFill/>
          </a:ln>
        </xdr:spPr>
      </xdr:pic>
    </xdr:grpSp>
    <xdr:clientData/>
  </xdr:twoCellAnchor>
  <xdr:twoCellAnchor editAs="twoCell">
    <xdr:from>
      <xdr:col>8</xdr:col>
      <xdr:colOff>209160</xdr:colOff>
      <xdr:row>3</xdr:row>
      <xdr:rowOff>32040</xdr:rowOff>
    </xdr:from>
    <xdr:to>
      <xdr:col>11</xdr:col>
      <xdr:colOff>380520</xdr:colOff>
      <xdr:row>13</xdr:row>
      <xdr:rowOff>77400</xdr:rowOff>
    </xdr:to>
    <xdr:grpSp>
      <xdr:nvGrpSpPr>
        <xdr:cNvPr id="10" name="Группа 11"/>
        <xdr:cNvGrpSpPr/>
      </xdr:nvGrpSpPr>
      <xdr:grpSpPr>
        <a:xfrm>
          <a:off x="2373840" y="764280"/>
          <a:ext cx="2386440" cy="1855080"/>
          <a:chOff x="2373840" y="764280"/>
          <a:chExt cx="2386440" cy="1855080"/>
        </a:xfrm>
      </xdr:grpSpPr>
      <xdr:grpSp>
        <xdr:nvGrpSpPr>
          <xdr:cNvPr id="11" name="Группа 12"/>
          <xdr:cNvGrpSpPr/>
        </xdr:nvGrpSpPr>
        <xdr:grpSpPr>
          <a:xfrm>
            <a:off x="2373840" y="764280"/>
            <a:ext cx="2386440" cy="1719360"/>
            <a:chOff x="2373840" y="764280"/>
            <a:chExt cx="2386440" cy="1719360"/>
          </a:xfrm>
        </xdr:grpSpPr>
        <xdr:sp>
          <xdr:nvSpPr>
            <xdr:cNvPr id="12" name="Прямоугольник 14"/>
            <xdr:cNvSpPr/>
          </xdr:nvSpPr>
          <xdr:spPr>
            <a:xfrm>
              <a:off x="2373840" y="764280"/>
              <a:ext cx="2386440" cy="1719360"/>
            </a:xfrm>
            <a:prstGeom prst="rect">
              <a:avLst/>
            </a:prstGeom>
            <a:solidFill>
              <a:srgbClr val="ffffff"/>
            </a:solidFill>
            <a:ln w="19050">
              <a:solidFill>
                <a:srgbClr val="70ad47"/>
              </a:solidFill>
              <a:miter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/>
          </xdr:style>
          <xdr:txBody>
            <a:bodyPr horzOverflow="clip" vertOverflow="clip" lIns="90000" rIns="90000" tIns="45000" bIns="45000" anchor="t">
              <a:noAutofit/>
            </a:bodyPr>
            <a:p>
              <a:pPr algn="ctr">
                <a:lnSpc>
                  <a:spcPct val="100000"/>
                </a:lnSpc>
              </a:pPr>
              <a:r>
                <a:rPr b="0" lang="ru-RU" sz="1400" strike="noStrike" u="none">
                  <a:solidFill>
                    <a:schemeClr val="dk1"/>
                  </a:solidFill>
                  <a:effectLst/>
                  <a:uFillTx/>
                  <a:latin typeface="Bahnschrift Light SemiCondensed"/>
                </a:rPr>
                <a:t>ВАЛОВЫЙ СБОР</a:t>
              </a:r>
              <a:endParaRPr b="0" lang="ru-RU" sz="1400" strike="noStrike" u="none">
                <a:effectLst/>
                <a:uFillTx/>
                <a:latin typeface="Times New Roman"/>
              </a:endParaRPr>
            </a:p>
          </xdr:txBody>
        </xdr:sp>
        <xdr:cxnSp>
          <xdr:nvCxnSpPr>
            <xdr:cNvPr id="13" name="Прямая соединительная линия 15"/>
            <xdr:cNvCxnSpPr/>
          </xdr:nvCxnSpPr>
          <xdr:spPr>
            <a:xfrm>
              <a:off x="2422080" y="1020600"/>
              <a:ext cx="2297880" cy="360"/>
            </a:xfrm>
            <a:prstGeom prst="straightConnector1">
              <a:avLst/>
            </a:prstGeom>
            <a:ln w="6350">
              <a:solidFill>
                <a:srgbClr val="70ad47"/>
              </a:solidFill>
              <a:miter/>
            </a:ln>
          </xdr:spPr>
        </xdr:cxnSp>
        <xdr:sp>
          <xdr:nvSpPr>
            <xdr:cNvPr id="14" name="Прямоугольник 16"/>
            <xdr:cNvSpPr/>
          </xdr:nvSpPr>
          <xdr:spPr>
            <a:xfrm>
              <a:off x="2428560" y="1084680"/>
              <a:ext cx="730080" cy="193680"/>
            </a:xfrm>
            <a:prstGeom prst="rect">
              <a:avLst/>
            </a:prstGeom>
            <a:noFill/>
            <a:ln w="12700"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/>
          </xdr:style>
          <xdr:txBody>
            <a:bodyPr horzOverflow="clip" vertOverflow="clip" lIns="90000" rIns="90000" tIns="45000" bIns="45000" anchor="ctr">
              <a:noAutofit/>
            </a:bodyPr>
            <a:p>
              <a:pPr>
                <a:lnSpc>
                  <a:spcPct val="100000"/>
                </a:lnSpc>
              </a:pPr>
              <a:r>
                <a:rPr b="0" lang="ru-RU" sz="1100" strike="noStrike" u="none">
                  <a:solidFill>
                    <a:schemeClr val="dk1"/>
                  </a:solidFill>
                  <a:effectLst/>
                  <a:uFillTx/>
                  <a:latin typeface="Bahnschrift Light SemiCondensed"/>
                </a:rPr>
                <a:t>ПЛАН:</a:t>
              </a:r>
              <a:endParaRPr b="0" lang="ru-RU" sz="1100" strike="noStrike" u="none">
                <a:effectLst/>
                <a:uFillTx/>
                <a:latin typeface="Times New Roman"/>
              </a:endParaRPr>
            </a:p>
          </xdr:txBody>
        </xdr:sp>
        <xdr:sp>
          <xdr:nvSpPr>
            <xdr:cNvPr id="15" name="Прямоугольник 17"/>
            <xdr:cNvSpPr/>
          </xdr:nvSpPr>
          <xdr:spPr>
            <a:xfrm>
              <a:off x="2426400" y="1353960"/>
              <a:ext cx="730080" cy="193680"/>
            </a:xfrm>
            <a:prstGeom prst="rect">
              <a:avLst/>
            </a:prstGeom>
            <a:noFill/>
            <a:ln w="12700"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/>
          </xdr:style>
          <xdr:txBody>
            <a:bodyPr horzOverflow="clip" vertOverflow="clip" lIns="90000" rIns="90000" tIns="45000" bIns="45000" anchor="ctr">
              <a:noAutofit/>
            </a:bodyPr>
            <a:p>
              <a:pPr>
                <a:lnSpc>
                  <a:spcPct val="100000"/>
                </a:lnSpc>
              </a:pPr>
              <a:r>
                <a:rPr b="0" lang="ru-RU" sz="1100" strike="noStrike" u="none">
                  <a:solidFill>
                    <a:schemeClr val="dk1"/>
                  </a:solidFill>
                  <a:effectLst/>
                  <a:uFillTx/>
                  <a:latin typeface="Bahnschrift Light SemiCondensed"/>
                </a:rPr>
                <a:t>ФАКТ:</a:t>
              </a:r>
              <a:endParaRPr b="0" lang="ru-RU" sz="1100" strike="noStrike" u="none">
                <a:effectLst/>
                <a:uFillTx/>
                <a:latin typeface="Times New Roman"/>
              </a:endParaRPr>
            </a:p>
          </xdr:txBody>
        </xdr:sp>
        <xdr:sp textlink="'Данные 2026'!B4">
          <xdr:nvSpPr>
            <xdr:cNvPr id="16" name="TextBox 18"/>
            <xdr:cNvSpPr/>
          </xdr:nvSpPr>
          <xdr:spPr>
            <a:xfrm>
              <a:off x="3548880" y="1041120"/>
              <a:ext cx="1168560" cy="279000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0"/>
            <a:fillRef idx="0"/>
            <a:effectRef idx="0"/>
            <a:fontRef idx="minor"/>
          </xdr:style>
          <xdr:txBody>
            <a:bodyPr horzOverflow="clip" vertOverflow="clip" lIns="90000" rIns="90000" tIns="45000" bIns="45000" anchor="ctr">
              <a:noAutofit/>
            </a:bodyPr>
            <a:p>
              <a:pPr algn="r">
                <a:lnSpc>
                  <a:spcPct val="100000"/>
                </a:lnSpc>
                <a:tabLst>
                  <a:tab algn="l" pos="0"/>
                </a:tabLst>
              </a:pPr>
              <a:r>
                <a:rPr b="0" lang="en-US" sz="1400" strike="noStrike" u="none">
                  <a:solidFill>
                    <a:schemeClr val="accent6">
                      <a:lumMod val="50000"/>
                    </a:schemeClr>
                  </a:solidFill>
                  <a:effectLst/>
                  <a:uFillTx/>
                  <a:latin typeface="Bahnschrift Light SemiCondensed"/>
                </a:rPr>
                <a:t>9536 тн</a:t>
              </a:r>
              <a:endParaRPr b="0" lang="ru-RU" sz="1400" strike="noStrike" u="none">
                <a:effectLst/>
                <a:uFillTx/>
                <a:latin typeface="Times New Roman"/>
              </a:endParaRPr>
            </a:p>
          </xdr:txBody>
        </xdr:sp>
        <xdr:sp textlink="'Данные 2026'!B5">
          <xdr:nvSpPr>
            <xdr:cNvPr id="17" name="TextBox 19"/>
            <xdr:cNvSpPr/>
          </xdr:nvSpPr>
          <xdr:spPr>
            <a:xfrm>
              <a:off x="3553920" y="1307520"/>
              <a:ext cx="1163160" cy="239400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0"/>
            <a:fillRef idx="0"/>
            <a:effectRef idx="0"/>
            <a:fontRef idx="minor"/>
          </xdr:style>
          <xdr:txBody>
            <a:bodyPr horzOverflow="clip" vertOverflow="clip" lIns="90000" rIns="90000" tIns="45000" bIns="45000" anchor="ctr">
              <a:noAutofit/>
            </a:bodyPr>
            <a:p>
              <a:pPr algn="r">
                <a:lnSpc>
                  <a:spcPct val="100000"/>
                </a:lnSpc>
                <a:tabLst>
                  <a:tab algn="l" pos="0"/>
                </a:tabLst>
              </a:pPr>
              <a:r>
                <a:rPr b="0" lang="en-US" sz="1400" strike="noStrike" u="none">
                  <a:solidFill>
                    <a:schemeClr val="accent6">
                      <a:lumMod val="50000"/>
                    </a:schemeClr>
                  </a:solidFill>
                  <a:effectLst/>
                  <a:uFillTx/>
                  <a:latin typeface="Bahnschrift Light SemiCondensed"/>
                </a:rPr>
                <a:t>1356 тн</a:t>
              </a:r>
              <a:endParaRPr b="0" lang="ru-RU" sz="1400" strike="noStrike" u="none">
                <a:effectLst/>
                <a:uFillTx/>
                <a:latin typeface="Times New Roman"/>
              </a:endParaRPr>
            </a:p>
          </xdr:txBody>
        </xdr:sp>
        <xdr:sp textlink="'Данные 2026'!B6">
          <xdr:nvSpPr>
            <xdr:cNvPr id="18" name="TextBox 20"/>
            <xdr:cNvSpPr/>
          </xdr:nvSpPr>
          <xdr:spPr>
            <a:xfrm>
              <a:off x="3865320" y="1964880"/>
              <a:ext cx="748440" cy="385920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0"/>
            <a:fillRef idx="0"/>
            <a:effectRef idx="0"/>
            <a:fontRef idx="minor"/>
          </xdr:style>
          <xdr:txBody>
            <a:bodyPr horzOverflow="clip" vertOverflow="clip" lIns="90000" rIns="90000" tIns="45000" bIns="45000" anchor="ctr">
              <a:noAutofit/>
            </a:bodyPr>
            <a:p>
              <a:pPr algn="r">
                <a:lnSpc>
                  <a:spcPct val="100000"/>
                </a:lnSpc>
              </a:pPr>
              <a:r>
                <a:rPr b="0" lang="en-US" sz="1600" strike="noStrike" u="none">
                  <a:solidFill>
                    <a:srgbClr val="ff0000"/>
                  </a:solidFill>
                  <a:effectLst/>
                  <a:uFillTx/>
                  <a:latin typeface="Bahnschrift SemiLight"/>
                </a:rPr>
                <a:t>14%</a:t>
              </a:r>
              <a:endParaRPr b="0" lang="ru-RU" sz="1600" strike="noStrike" u="none">
                <a:effectLst/>
                <a:uFillTx/>
                <a:latin typeface="Times New Roman"/>
              </a:endParaRPr>
            </a:p>
          </xdr:txBody>
        </xdr:sp>
      </xdr:grpSp>
      <xdr:pic>
        <xdr:nvPicPr>
          <xdr:cNvPr id="19" name="Рисунок 13" descr="Самосвал"/>
          <xdr:cNvPicPr/>
        </xdr:nvPicPr>
        <xdr:blipFill>
          <a:blip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/>
        </xdr:blipFill>
        <xdr:spPr>
          <a:xfrm>
            <a:off x="2422800" y="1697400"/>
            <a:ext cx="1044720" cy="921960"/>
          </a:xfrm>
          <a:prstGeom prst="rect">
            <a:avLst/>
          </a:prstGeom>
          <a:noFill/>
          <a:ln w="0">
            <a:noFill/>
          </a:ln>
        </xdr:spPr>
      </xdr:pic>
    </xdr:grpSp>
    <xdr:clientData/>
  </xdr:twoCellAnchor>
  <xdr:twoCellAnchor editAs="oneCell">
    <xdr:from>
      <xdr:col>8</xdr:col>
      <xdr:colOff>201240</xdr:colOff>
      <xdr:row>12</xdr:row>
      <xdr:rowOff>161640</xdr:rowOff>
    </xdr:from>
    <xdr:to>
      <xdr:col>19</xdr:col>
      <xdr:colOff>102600</xdr:colOff>
      <xdr:row>25</xdr:row>
      <xdr:rowOff>187920</xdr:rowOff>
    </xdr:to>
    <xdr:graphicFrame>
      <xdr:nvGraphicFramePr>
        <xdr:cNvPr id="20" name="Диаграмма 21"/>
        <xdr:cNvGraphicFramePr/>
      </xdr:nvGraphicFramePr>
      <xdr:xfrm>
        <a:off x="2365920" y="2522520"/>
        <a:ext cx="7272360" cy="2502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8</xdr:col>
      <xdr:colOff>206640</xdr:colOff>
      <xdr:row>26</xdr:row>
      <xdr:rowOff>35640</xdr:rowOff>
    </xdr:from>
    <xdr:to>
      <xdr:col>33</xdr:col>
      <xdr:colOff>10080</xdr:colOff>
      <xdr:row>37</xdr:row>
      <xdr:rowOff>57240</xdr:rowOff>
    </xdr:to>
    <xdr:graphicFrame>
      <xdr:nvGraphicFramePr>
        <xdr:cNvPr id="22" name="Диаграмма 22"/>
        <xdr:cNvGraphicFramePr/>
      </xdr:nvGraphicFramePr>
      <xdr:xfrm>
        <a:off x="2371320" y="5063400"/>
        <a:ext cx="16297560" cy="2316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twoCell">
    <xdr:from>
      <xdr:col>11</xdr:col>
      <xdr:colOff>423000</xdr:colOff>
      <xdr:row>3</xdr:row>
      <xdr:rowOff>37440</xdr:rowOff>
    </xdr:from>
    <xdr:to>
      <xdr:col>15</xdr:col>
      <xdr:colOff>233280</xdr:colOff>
      <xdr:row>13</xdr:row>
      <xdr:rowOff>19800</xdr:rowOff>
    </xdr:to>
    <xdr:grpSp>
      <xdr:nvGrpSpPr>
        <xdr:cNvPr id="23" name="Группа 23"/>
        <xdr:cNvGrpSpPr/>
      </xdr:nvGrpSpPr>
      <xdr:grpSpPr>
        <a:xfrm>
          <a:off x="4802760" y="769680"/>
          <a:ext cx="2388240" cy="1792080"/>
          <a:chOff x="4802760" y="769680"/>
          <a:chExt cx="2388240" cy="1792080"/>
        </a:xfrm>
      </xdr:grpSpPr>
      <xdr:grpSp>
        <xdr:nvGrpSpPr>
          <xdr:cNvPr id="24" name="Группа 24"/>
          <xdr:cNvGrpSpPr/>
        </xdr:nvGrpSpPr>
        <xdr:grpSpPr>
          <a:xfrm>
            <a:off x="4802760" y="769680"/>
            <a:ext cx="2388240" cy="1716480"/>
            <a:chOff x="4802760" y="769680"/>
            <a:chExt cx="2388240" cy="1716480"/>
          </a:xfrm>
        </xdr:grpSpPr>
        <xdr:grpSp>
          <xdr:nvGrpSpPr>
            <xdr:cNvPr id="25" name="Группа 26"/>
            <xdr:cNvGrpSpPr/>
          </xdr:nvGrpSpPr>
          <xdr:grpSpPr>
            <a:xfrm>
              <a:off x="4802760" y="769680"/>
              <a:ext cx="2388240" cy="1716480"/>
              <a:chOff x="4802760" y="769680"/>
              <a:chExt cx="2388240" cy="1716480"/>
            </a:xfrm>
          </xdr:grpSpPr>
          <xdr:sp>
            <xdr:nvSpPr>
              <xdr:cNvPr id="26" name="Прямоугольник 29"/>
              <xdr:cNvSpPr/>
            </xdr:nvSpPr>
            <xdr:spPr>
              <a:xfrm>
                <a:off x="4802760" y="769680"/>
                <a:ext cx="2388240" cy="1716480"/>
              </a:xfrm>
              <a:prstGeom prst="rect">
                <a:avLst/>
              </a:prstGeom>
              <a:solidFill>
                <a:srgbClr val="ffffff"/>
              </a:solidFill>
              <a:ln w="19050">
                <a:solidFill>
                  <a:srgbClr val="70ad47"/>
                </a:solidFill>
                <a:miter/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/>
            </xdr:style>
            <xdr:txBody>
              <a:bodyPr horzOverflow="clip" vertOverflow="clip" lIns="90000" rIns="90000" tIns="45000" bIns="45000" anchor="t">
                <a:noAutofit/>
              </a:bodyPr>
              <a:p>
                <a:pPr algn="ctr">
                  <a:lnSpc>
                    <a:spcPct val="100000"/>
                  </a:lnSpc>
                </a:pPr>
                <a:r>
                  <a:rPr b="0" lang="ru-RU" sz="1400" strike="noStrike" u="none">
                    <a:solidFill>
                      <a:schemeClr val="dk1"/>
                    </a:solidFill>
                    <a:effectLst/>
                    <a:uFillTx/>
                    <a:latin typeface="Bahnschrift Light SemiCondensed"/>
                  </a:rPr>
                  <a:t>ПЛОЩАДЬ УБОРКИ</a:t>
                </a:r>
                <a:endParaRPr b="0" lang="ru-RU" sz="1400" strike="noStrike" u="none">
                  <a:effectLst/>
                  <a:uFillTx/>
                  <a:latin typeface="Times New Roman"/>
                </a:endParaRPr>
              </a:p>
            </xdr:txBody>
          </xdr:sp>
          <xdr:cxnSp>
            <xdr:nvCxnSpPr>
              <xdr:cNvPr id="27" name="Прямая соединительная линия 30"/>
              <xdr:cNvCxnSpPr/>
            </xdr:nvCxnSpPr>
            <xdr:spPr>
              <a:xfrm>
                <a:off x="4847760" y="1030680"/>
                <a:ext cx="2278440" cy="360"/>
              </a:xfrm>
              <a:prstGeom prst="straightConnector1">
                <a:avLst/>
              </a:prstGeom>
              <a:ln w="6350">
                <a:solidFill>
                  <a:srgbClr val="70ad47"/>
                </a:solidFill>
                <a:miter/>
              </a:ln>
            </xdr:spPr>
          </xdr:cxnSp>
          <xdr:sp>
            <xdr:nvSpPr>
              <xdr:cNvPr id="28" name="Прямоугольник 31"/>
              <xdr:cNvSpPr/>
            </xdr:nvSpPr>
            <xdr:spPr>
              <a:xfrm>
                <a:off x="4854240" y="1098000"/>
                <a:ext cx="730800" cy="193320"/>
              </a:xfrm>
              <a:prstGeom prst="rect">
                <a:avLst/>
              </a:prstGeom>
              <a:noFill/>
              <a:ln w="12700"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/>
            </xdr:style>
            <xdr:txBody>
              <a:bodyPr horzOverflow="clip" vertOverflow="clip" lIns="90000" rIns="90000" tIns="45000" bIns="45000" anchor="ctr">
                <a:noAutofit/>
              </a:bodyPr>
              <a:p>
                <a:pPr>
                  <a:lnSpc>
                    <a:spcPct val="100000"/>
                  </a:lnSpc>
                </a:pPr>
                <a:r>
                  <a:rPr b="0" lang="ru-RU" sz="1100" strike="noStrike" u="none">
                    <a:solidFill>
                      <a:schemeClr val="dk1"/>
                    </a:solidFill>
                    <a:effectLst/>
                    <a:uFillTx/>
                    <a:latin typeface="Bahnschrift Light SemiCondensed"/>
                  </a:rPr>
                  <a:t>ПЛАН:</a:t>
                </a:r>
                <a:endParaRPr b="0" lang="ru-RU" sz="1100" strike="noStrike" u="none">
                  <a:effectLst/>
                  <a:uFillTx/>
                  <a:latin typeface="Times New Roman"/>
                </a:endParaRPr>
              </a:p>
            </xdr:txBody>
          </xdr:sp>
          <xdr:sp>
            <xdr:nvSpPr>
              <xdr:cNvPr id="29" name="Прямоугольник 32"/>
              <xdr:cNvSpPr/>
            </xdr:nvSpPr>
            <xdr:spPr>
              <a:xfrm>
                <a:off x="4852080" y="1366560"/>
                <a:ext cx="730800" cy="193320"/>
              </a:xfrm>
              <a:prstGeom prst="rect">
                <a:avLst/>
              </a:prstGeom>
              <a:noFill/>
              <a:ln w="12700"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/>
            </xdr:style>
            <xdr:txBody>
              <a:bodyPr horzOverflow="clip" vertOverflow="clip" lIns="90000" rIns="90000" tIns="45000" bIns="45000" anchor="ctr">
                <a:noAutofit/>
              </a:bodyPr>
              <a:p>
                <a:pPr>
                  <a:lnSpc>
                    <a:spcPct val="100000"/>
                  </a:lnSpc>
                </a:pPr>
                <a:r>
                  <a:rPr b="0" lang="ru-RU" sz="1100" strike="noStrike" u="none">
                    <a:solidFill>
                      <a:schemeClr val="dk1"/>
                    </a:solidFill>
                    <a:effectLst/>
                    <a:uFillTx/>
                    <a:latin typeface="Bahnschrift Light SemiCondensed"/>
                  </a:rPr>
                  <a:t>ФАКТ:</a:t>
                </a:r>
                <a:endParaRPr b="0" lang="ru-RU" sz="1100" strike="noStrike" u="none">
                  <a:effectLst/>
                  <a:uFillTx/>
                  <a:latin typeface="Times New Roman"/>
                </a:endParaRPr>
              </a:p>
            </xdr:txBody>
          </xdr:sp>
          <xdr:sp textlink="'Данные 2026'!B15">
            <xdr:nvSpPr>
              <xdr:cNvPr id="30" name="TextBox 33"/>
              <xdr:cNvSpPr/>
            </xdr:nvSpPr>
            <xdr:spPr>
              <a:xfrm>
                <a:off x="6007680" y="1035000"/>
                <a:ext cx="1169280" cy="278640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0"/>
              <a:fillRef idx="0"/>
              <a:effectRef idx="0"/>
              <a:fontRef idx="minor"/>
            </xdr:style>
            <xdr:txBody>
              <a:bodyPr horzOverflow="clip" vertOverflow="clip" lIns="90000" rIns="90000" tIns="45000" bIns="45000" anchor="ctr">
                <a:noAutofit/>
              </a:bodyPr>
              <a:p>
                <a:pPr algn="r">
                  <a:lnSpc>
                    <a:spcPct val="100000"/>
                  </a:lnSpc>
                  <a:tabLst>
                    <a:tab algn="l" pos="0"/>
                  </a:tabLst>
                </a:pPr>
                <a:r>
                  <a:rPr b="0" lang="en-US" sz="1400" strike="noStrike" u="none">
                    <a:solidFill>
                      <a:schemeClr val="accent6">
                        <a:lumMod val="50000"/>
                      </a:schemeClr>
                    </a:solidFill>
                    <a:effectLst/>
                    <a:uFillTx/>
                    <a:latin typeface="Bahnschrift Light SemiCondensed"/>
                  </a:rPr>
                  <a:t>1907 га</a:t>
                </a:r>
                <a:endParaRPr b="0" lang="ru-RU" sz="1400" strike="noStrike" u="none">
                  <a:effectLst/>
                  <a:uFillTx/>
                  <a:latin typeface="Times New Roman"/>
                </a:endParaRPr>
              </a:p>
            </xdr:txBody>
          </xdr:sp>
          <xdr:sp textlink="'Данные 2026'!B16">
            <xdr:nvSpPr>
              <xdr:cNvPr id="31" name="TextBox 34"/>
              <xdr:cNvSpPr/>
            </xdr:nvSpPr>
            <xdr:spPr>
              <a:xfrm>
                <a:off x="6005520" y="1320480"/>
                <a:ext cx="1163880" cy="239040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0"/>
              <a:fillRef idx="0"/>
              <a:effectRef idx="0"/>
              <a:fontRef idx="minor"/>
            </xdr:style>
            <xdr:txBody>
              <a:bodyPr horzOverflow="clip" vertOverflow="clip" lIns="90000" rIns="90000" tIns="45000" bIns="45000" anchor="ctr">
                <a:noAutofit/>
              </a:bodyPr>
              <a:p>
                <a:pPr algn="r">
                  <a:lnSpc>
                    <a:spcPct val="100000"/>
                  </a:lnSpc>
                  <a:tabLst>
                    <a:tab algn="l" pos="0"/>
                  </a:tabLst>
                </a:pPr>
                <a:r>
                  <a:rPr b="0" lang="en-US" sz="1400" strike="noStrike" u="none">
                    <a:solidFill>
                      <a:schemeClr val="accent6">
                        <a:lumMod val="50000"/>
                      </a:schemeClr>
                    </a:solidFill>
                    <a:effectLst/>
                    <a:uFillTx/>
                    <a:latin typeface="Bahnschrift Light SemiCondensed"/>
                  </a:rPr>
                  <a:t>235 га</a:t>
                </a:r>
                <a:endParaRPr b="0" lang="ru-RU" sz="1400" strike="noStrike" u="none">
                  <a:effectLst/>
                  <a:uFillTx/>
                  <a:latin typeface="Times New Roman"/>
                </a:endParaRPr>
              </a:p>
            </xdr:txBody>
          </xdr:sp>
          <xdr:sp textlink="'Данные 2026'!B18">
            <xdr:nvSpPr>
              <xdr:cNvPr id="32" name="TextBox 35"/>
              <xdr:cNvSpPr/>
            </xdr:nvSpPr>
            <xdr:spPr>
              <a:xfrm>
                <a:off x="6195600" y="1976400"/>
                <a:ext cx="895680" cy="385200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0"/>
              <a:fillRef idx="0"/>
              <a:effectRef idx="0"/>
              <a:fontRef idx="minor"/>
            </xdr:style>
            <xdr:txBody>
              <a:bodyPr horzOverflow="clip" vertOverflow="clip" lIns="90000" rIns="90000" tIns="45000" bIns="45000" anchor="ctr">
                <a:noAutofit/>
              </a:bodyPr>
              <a:p>
                <a:pPr algn="r">
                  <a:lnSpc>
                    <a:spcPct val="100000"/>
                  </a:lnSpc>
                </a:pPr>
                <a:r>
                  <a:rPr b="0" lang="en-US" sz="1600" strike="noStrike" u="none">
                    <a:solidFill>
                      <a:srgbClr val="ff0000"/>
                    </a:solidFill>
                    <a:effectLst/>
                    <a:uFillTx/>
                    <a:latin typeface="Bahnschrift SemiLight"/>
                  </a:rPr>
                  <a:t>12%</a:t>
                </a:r>
                <a:endParaRPr b="0" lang="ru-RU" sz="1600" strike="noStrike" u="none">
                  <a:effectLst/>
                  <a:uFillTx/>
                  <a:latin typeface="Times New Roman"/>
                </a:endParaRPr>
              </a:p>
            </xdr:txBody>
          </xdr:sp>
        </xdr:grpSp>
        <xdr:sp>
          <xdr:nvSpPr>
            <xdr:cNvPr id="33" name="Прямоугольник 27"/>
            <xdr:cNvSpPr/>
          </xdr:nvSpPr>
          <xdr:spPr>
            <a:xfrm>
              <a:off x="4866480" y="1621440"/>
              <a:ext cx="845640" cy="193320"/>
            </a:xfrm>
            <a:prstGeom prst="rect">
              <a:avLst/>
            </a:prstGeom>
            <a:noFill/>
            <a:ln w="12700"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/>
          </xdr:style>
          <xdr:txBody>
            <a:bodyPr horzOverflow="clip" vertOverflow="clip" lIns="90000" rIns="90000" tIns="45000" bIns="45000" anchor="ctr">
              <a:noAutofit/>
            </a:bodyPr>
            <a:p>
              <a:pPr>
                <a:lnSpc>
                  <a:spcPct val="100000"/>
                </a:lnSpc>
              </a:pPr>
              <a:r>
                <a:rPr b="0" lang="ru-RU" sz="1100" strike="noStrike" u="none">
                  <a:solidFill>
                    <a:schemeClr val="dk1"/>
                  </a:solidFill>
                  <a:effectLst/>
                  <a:uFillTx/>
                  <a:latin typeface="Bahnschrift Light SemiCondensed"/>
                </a:rPr>
                <a:t>ОСТАТОК:</a:t>
              </a:r>
              <a:endParaRPr b="0" lang="ru-RU" sz="1100" strike="noStrike" u="none">
                <a:effectLst/>
                <a:uFillTx/>
                <a:latin typeface="Times New Roman"/>
              </a:endParaRPr>
            </a:p>
          </xdr:txBody>
        </xdr:sp>
        <xdr:sp textlink="'Данные 2026'!B17">
          <xdr:nvSpPr>
            <xdr:cNvPr id="34" name="TextBox 28"/>
            <xdr:cNvSpPr/>
          </xdr:nvSpPr>
          <xdr:spPr>
            <a:xfrm>
              <a:off x="6173280" y="1596600"/>
              <a:ext cx="1007640" cy="216360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0"/>
            <a:fillRef idx="0"/>
            <a:effectRef idx="0"/>
            <a:fontRef idx="minor"/>
          </xdr:style>
          <xdr:txBody>
            <a:bodyPr horzOverflow="clip" vertOverflow="clip" lIns="90000" rIns="90000" tIns="45000" bIns="45000" anchor="ctr">
              <a:noAutofit/>
            </a:bodyPr>
            <a:p>
              <a:pPr algn="r">
                <a:lnSpc>
                  <a:spcPct val="100000"/>
                </a:lnSpc>
                <a:tabLst>
                  <a:tab algn="l" pos="0"/>
                </a:tabLst>
              </a:pPr>
              <a:r>
                <a:rPr b="0" lang="en-US" sz="1400" strike="noStrike" u="none">
                  <a:solidFill>
                    <a:schemeClr val="accent6">
                      <a:lumMod val="50000"/>
                    </a:schemeClr>
                  </a:solidFill>
                  <a:effectLst/>
                  <a:uFillTx/>
                  <a:latin typeface="Bahnschrift Light SemiCondensed"/>
                </a:rPr>
                <a:t>1672 га</a:t>
              </a:r>
              <a:endParaRPr b="0" lang="ru-RU" sz="1400" strike="noStrike" u="none">
                <a:effectLst/>
                <a:uFillTx/>
                <a:latin typeface="Times New Roman"/>
              </a:endParaRPr>
            </a:p>
          </xdr:txBody>
        </xdr:sp>
      </xdr:grpSp>
      <xdr:pic>
        <xdr:nvPicPr>
          <xdr:cNvPr id="35" name="Рисунок 25" descr="Карта с кнопкой"/>
          <xdr:cNvPicPr/>
        </xdr:nvPicPr>
        <xdr:blipFill>
          <a:blip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tretch/>
        </xdr:blipFill>
        <xdr:spPr>
          <a:xfrm>
            <a:off x="4863600" y="1640520"/>
            <a:ext cx="973080" cy="921240"/>
          </a:xfrm>
          <a:prstGeom prst="rect">
            <a:avLst/>
          </a:prstGeom>
          <a:noFill/>
          <a:ln w="0">
            <a:noFill/>
          </a:ln>
        </xdr:spPr>
      </xdr:pic>
    </xdr:grpSp>
    <xdr:clientData/>
  </xdr:twoCellAnchor>
  <xdr:twoCellAnchor editAs="oneCell">
    <xdr:from>
      <xdr:col>19</xdr:col>
      <xdr:colOff>142200</xdr:colOff>
      <xdr:row>12</xdr:row>
      <xdr:rowOff>162720</xdr:rowOff>
    </xdr:from>
    <xdr:to>
      <xdr:col>25</xdr:col>
      <xdr:colOff>9720</xdr:colOff>
      <xdr:row>25</xdr:row>
      <xdr:rowOff>186840</xdr:rowOff>
    </xdr:to>
    <xdr:graphicFrame>
      <xdr:nvGraphicFramePr>
        <xdr:cNvPr id="36" name="Диаграмма 36"/>
        <xdr:cNvGraphicFramePr/>
      </xdr:nvGraphicFramePr>
      <xdr:xfrm>
        <a:off x="9677880" y="2523600"/>
        <a:ext cx="4660560" cy="2500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twoCell">
    <xdr:from>
      <xdr:col>19</xdr:col>
      <xdr:colOff>137160</xdr:colOff>
      <xdr:row>3</xdr:row>
      <xdr:rowOff>39240</xdr:rowOff>
    </xdr:from>
    <xdr:to>
      <xdr:col>25</xdr:col>
      <xdr:colOff>14760</xdr:colOff>
      <xdr:row>12</xdr:row>
      <xdr:rowOff>115560</xdr:rowOff>
    </xdr:to>
    <xdr:grpSp>
      <xdr:nvGrpSpPr>
        <xdr:cNvPr id="37" name="Группа 37"/>
        <xdr:cNvGrpSpPr/>
      </xdr:nvGrpSpPr>
      <xdr:grpSpPr>
        <a:xfrm>
          <a:off x="9672840" y="771480"/>
          <a:ext cx="4670640" cy="1704960"/>
          <a:chOff x="9672840" y="771480"/>
          <a:chExt cx="4670640" cy="1704960"/>
        </a:xfrm>
      </xdr:grpSpPr>
      <xdr:grpSp>
        <xdr:nvGrpSpPr>
          <xdr:cNvPr id="38" name="Группа 38"/>
          <xdr:cNvGrpSpPr/>
        </xdr:nvGrpSpPr>
        <xdr:grpSpPr>
          <a:xfrm>
            <a:off x="9672840" y="771480"/>
            <a:ext cx="4670640" cy="1704960"/>
            <a:chOff x="9672840" y="771480"/>
            <a:chExt cx="4670640" cy="1704960"/>
          </a:xfrm>
        </xdr:grpSpPr>
        <xdr:grpSp>
          <xdr:nvGrpSpPr>
            <xdr:cNvPr id="39" name="Группа 44"/>
            <xdr:cNvGrpSpPr/>
          </xdr:nvGrpSpPr>
          <xdr:grpSpPr>
            <a:xfrm>
              <a:off x="9672840" y="771480"/>
              <a:ext cx="4670640" cy="1704960"/>
              <a:chOff x="9672840" y="771480"/>
              <a:chExt cx="4670640" cy="1704960"/>
            </a:xfrm>
          </xdr:grpSpPr>
          <xdr:sp>
            <xdr:nvSpPr>
              <xdr:cNvPr id="40" name="Прямоугольник 46"/>
              <xdr:cNvSpPr/>
            </xdr:nvSpPr>
            <xdr:spPr>
              <a:xfrm>
                <a:off x="9672840" y="771480"/>
                <a:ext cx="4670640" cy="1704960"/>
              </a:xfrm>
              <a:prstGeom prst="rect">
                <a:avLst/>
              </a:prstGeom>
              <a:solidFill>
                <a:srgbClr val="ffffff"/>
              </a:solidFill>
              <a:ln w="19050">
                <a:solidFill>
                  <a:srgbClr val="70ad47"/>
                </a:solidFill>
                <a:miter/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/>
            </xdr:style>
            <xdr:txBody>
              <a:bodyPr horzOverflow="clip" vertOverflow="clip" lIns="90000" rIns="90000" tIns="45000" bIns="45000" anchor="t">
                <a:noAutofit/>
              </a:bodyPr>
              <a:p>
                <a:pPr algn="ctr">
                  <a:lnSpc>
                    <a:spcPct val="100000"/>
                  </a:lnSpc>
                </a:pPr>
                <a:r>
                  <a:rPr b="0" lang="ru-RU" sz="1400" strike="noStrike" u="none">
                    <a:solidFill>
                      <a:schemeClr val="dk1"/>
                    </a:solidFill>
                    <a:effectLst/>
                    <a:uFillTx/>
                    <a:latin typeface="Bahnschrift Light SemiCondensed"/>
                  </a:rPr>
                  <a:t>ИНФОРМАЦИЯ ПО СЫРЬЮ</a:t>
                </a:r>
                <a:endParaRPr b="0" lang="ru-RU" sz="1400" strike="noStrike" u="none">
                  <a:effectLst/>
                  <a:uFillTx/>
                  <a:latin typeface="Times New Roman"/>
                </a:endParaRPr>
              </a:p>
            </xdr:txBody>
          </xdr:sp>
          <xdr:cxnSp>
            <xdr:nvCxnSpPr>
              <xdr:cNvPr id="41" name="Прямая соединительная линия 47"/>
              <xdr:cNvCxnSpPr/>
            </xdr:nvCxnSpPr>
            <xdr:spPr>
              <a:xfrm>
                <a:off x="9767160" y="1025640"/>
                <a:ext cx="4497120" cy="360"/>
              </a:xfrm>
              <a:prstGeom prst="straightConnector1">
                <a:avLst/>
              </a:prstGeom>
              <a:ln w="6350">
                <a:solidFill>
                  <a:srgbClr val="70ad47"/>
                </a:solidFill>
                <a:miter/>
              </a:ln>
            </xdr:spPr>
          </xdr:cxnSp>
          <xdr:sp>
            <xdr:nvSpPr>
              <xdr:cNvPr id="42" name="Прямоугольник 48"/>
              <xdr:cNvSpPr/>
            </xdr:nvSpPr>
            <xdr:spPr>
              <a:xfrm>
                <a:off x="9672840" y="1089360"/>
                <a:ext cx="1429200" cy="191880"/>
              </a:xfrm>
              <a:prstGeom prst="rect">
                <a:avLst/>
              </a:prstGeom>
              <a:noFill/>
              <a:ln w="12700"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/>
            </xdr:style>
            <xdr:txBody>
              <a:bodyPr horzOverflow="clip" vertOverflow="clip" lIns="90000" rIns="90000" tIns="45000" bIns="45000" anchor="ctr">
                <a:noAutofit/>
              </a:bodyPr>
              <a:p>
                <a:pPr>
                  <a:lnSpc>
                    <a:spcPct val="100000"/>
                  </a:lnSpc>
                </a:pPr>
                <a:r>
                  <a:rPr b="0" lang="ru-RU" sz="1100" strike="noStrike" u="none">
                    <a:solidFill>
                      <a:schemeClr val="dk1"/>
                    </a:solidFill>
                    <a:effectLst/>
                    <a:uFillTx/>
                    <a:latin typeface="Bahnschrift Light SemiCondensed"/>
                  </a:rPr>
                  <a:t>Переработка:</a:t>
                </a:r>
                <a:endParaRPr b="0" lang="ru-RU" sz="1100" strike="noStrike" u="none">
                  <a:effectLst/>
                  <a:uFillTx/>
                  <a:latin typeface="Times New Roman"/>
                </a:endParaRPr>
              </a:p>
            </xdr:txBody>
          </xdr:sp>
          <xdr:sp>
            <xdr:nvSpPr>
              <xdr:cNvPr id="43" name="Прямоугольник 49"/>
              <xdr:cNvSpPr/>
            </xdr:nvSpPr>
            <xdr:spPr>
              <a:xfrm>
                <a:off x="9672840" y="1324080"/>
                <a:ext cx="1429200" cy="191880"/>
              </a:xfrm>
              <a:prstGeom prst="rect">
                <a:avLst/>
              </a:prstGeom>
              <a:noFill/>
              <a:ln w="12700"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/>
            </xdr:style>
            <xdr:txBody>
              <a:bodyPr horzOverflow="clip" vertOverflow="clip" lIns="90000" rIns="90000" tIns="45000" bIns="45000" anchor="ctr">
                <a:noAutofit/>
              </a:bodyPr>
              <a:p>
                <a:pPr>
                  <a:lnSpc>
                    <a:spcPct val="100000"/>
                  </a:lnSpc>
                </a:pPr>
                <a:r>
                  <a:rPr b="0" lang="ru-RU" sz="1100" strike="noStrike" u="none">
                    <a:solidFill>
                      <a:schemeClr val="dk1"/>
                    </a:solidFill>
                    <a:effectLst/>
                    <a:uFillTx/>
                    <a:latin typeface="Bahnschrift Light SemiCondensed"/>
                  </a:rPr>
                  <a:t>Утилизация:</a:t>
                </a:r>
                <a:endParaRPr b="0" lang="ru-RU" sz="1100" strike="noStrike" u="none">
                  <a:effectLst/>
                  <a:uFillTx/>
                  <a:latin typeface="Times New Roman"/>
                </a:endParaRPr>
              </a:p>
            </xdr:txBody>
          </xdr:sp>
          <xdr:sp>
            <xdr:nvSpPr>
              <xdr:cNvPr id="44" name="Прямоугольник 50"/>
              <xdr:cNvSpPr/>
            </xdr:nvSpPr>
            <xdr:spPr>
              <a:xfrm>
                <a:off x="9672840" y="1552680"/>
                <a:ext cx="1429200" cy="191880"/>
              </a:xfrm>
              <a:prstGeom prst="rect">
                <a:avLst/>
              </a:prstGeom>
              <a:noFill/>
              <a:ln w="12700"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/>
            </xdr:style>
            <xdr:txBody>
              <a:bodyPr horzOverflow="clip" vertOverflow="clip" lIns="90000" rIns="90000" tIns="45000" bIns="45000" anchor="ctr">
                <a:noAutofit/>
              </a:bodyPr>
              <a:p>
                <a:pPr>
                  <a:lnSpc>
                    <a:spcPct val="100000"/>
                  </a:lnSpc>
                </a:pPr>
                <a:r>
                  <a:rPr b="0" lang="ru-RU" sz="1100" strike="noStrike" u="none">
                    <a:solidFill>
                      <a:schemeClr val="dk1"/>
                    </a:solidFill>
                    <a:effectLst/>
                    <a:uFillTx/>
                    <a:latin typeface="Bahnschrift Light SemiCondensed"/>
                  </a:rPr>
                  <a:t>Реализация:</a:t>
                </a:r>
                <a:endParaRPr b="0" lang="ru-RU" sz="1100" strike="noStrike" u="none">
                  <a:effectLst/>
                  <a:uFillTx/>
                  <a:latin typeface="Times New Roman"/>
                </a:endParaRPr>
              </a:p>
            </xdr:txBody>
          </xdr:sp>
          <xdr:cxnSp>
            <xdr:nvCxnSpPr>
              <xdr:cNvPr id="45" name="Прямая соединительная линия 51"/>
              <xdr:cNvCxnSpPr/>
            </xdr:nvCxnSpPr>
            <xdr:spPr>
              <a:xfrm>
                <a:off x="9763560" y="1847880"/>
                <a:ext cx="2194560" cy="360"/>
              </a:xfrm>
              <a:prstGeom prst="straightConnector1">
                <a:avLst/>
              </a:prstGeom>
              <a:ln w="6350">
                <a:solidFill>
                  <a:srgbClr val="70ad47"/>
                </a:solidFill>
                <a:miter/>
              </a:ln>
            </xdr:spPr>
          </xdr:cxnSp>
          <xdr:sp>
            <xdr:nvSpPr>
              <xdr:cNvPr id="46" name="Прямоугольник 52"/>
              <xdr:cNvSpPr/>
            </xdr:nvSpPr>
            <xdr:spPr>
              <a:xfrm>
                <a:off x="9672840" y="1886040"/>
                <a:ext cx="1429200" cy="191880"/>
              </a:xfrm>
              <a:prstGeom prst="rect">
                <a:avLst/>
              </a:prstGeom>
              <a:noFill/>
              <a:ln w="12700"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/>
            </xdr:style>
            <xdr:txBody>
              <a:bodyPr horzOverflow="clip" vertOverflow="clip" lIns="90000" rIns="90000" tIns="45000" bIns="45000" anchor="ctr">
                <a:noAutofit/>
              </a:bodyPr>
              <a:p>
                <a:pPr>
                  <a:lnSpc>
                    <a:spcPct val="100000"/>
                  </a:lnSpc>
                </a:pPr>
                <a:r>
                  <a:rPr b="0" lang="ru-RU" sz="1100" strike="noStrike" u="none">
                    <a:solidFill>
                      <a:schemeClr val="dk1"/>
                    </a:solidFill>
                    <a:effectLst/>
                    <a:uFillTx/>
                    <a:latin typeface="Bahnschrift Light SemiCondensed"/>
                  </a:rPr>
                  <a:t>Собственное сырье:</a:t>
                </a:r>
                <a:endParaRPr b="0" lang="ru-RU" sz="1100" strike="noStrike" u="none">
                  <a:effectLst/>
                  <a:uFillTx/>
                  <a:latin typeface="Times New Roman"/>
                </a:endParaRPr>
              </a:p>
            </xdr:txBody>
          </xdr:sp>
          <xdr:sp>
            <xdr:nvSpPr>
              <xdr:cNvPr id="47" name="Прямоугольник 53"/>
              <xdr:cNvSpPr/>
            </xdr:nvSpPr>
            <xdr:spPr>
              <a:xfrm>
                <a:off x="9672840" y="2133720"/>
                <a:ext cx="1429200" cy="191880"/>
              </a:xfrm>
              <a:prstGeom prst="rect">
                <a:avLst/>
              </a:prstGeom>
              <a:noFill/>
              <a:ln w="12700"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/>
            </xdr:style>
            <xdr:txBody>
              <a:bodyPr horzOverflow="clip" vertOverflow="clip" lIns="90000" rIns="90000" tIns="45000" bIns="45000" anchor="ctr">
                <a:noAutofit/>
              </a:bodyPr>
              <a:p>
                <a:pPr>
                  <a:lnSpc>
                    <a:spcPct val="100000"/>
                  </a:lnSpc>
                </a:pPr>
                <a:r>
                  <a:rPr b="0" lang="ru-RU" sz="1100" strike="noStrike" u="none">
                    <a:solidFill>
                      <a:schemeClr val="dk1"/>
                    </a:solidFill>
                    <a:effectLst/>
                    <a:uFillTx/>
                    <a:latin typeface="Bahnschrift Light SemiCondensed"/>
                  </a:rPr>
                  <a:t>Закупка:</a:t>
                </a:r>
                <a:endParaRPr b="0" lang="ru-RU" sz="1100" strike="noStrike" u="none">
                  <a:effectLst/>
                  <a:uFillTx/>
                  <a:latin typeface="Times New Roman"/>
                </a:endParaRPr>
              </a:p>
            </xdr:txBody>
          </xdr:sp>
        </xdr:grpSp>
        <xdr:pic>
          <xdr:nvPicPr>
            <xdr:cNvPr id="48" name="Рисунок 45" descr=""/>
            <xdr:cNvPicPr/>
          </xdr:nvPicPr>
          <xdr:blipFill>
            <a:blip r:embed="rId10"/>
            <a:stretch/>
          </xdr:blipFill>
          <xdr:spPr>
            <a:xfrm>
              <a:off x="12463200" y="1209600"/>
              <a:ext cx="1734120" cy="1117440"/>
            </a:xfrm>
            <a:prstGeom prst="rect">
              <a:avLst/>
            </a:prstGeom>
            <a:noFill/>
            <a:ln w="0">
              <a:noFill/>
            </a:ln>
          </xdr:spPr>
        </xdr:pic>
      </xdr:grpSp>
      <xdr:sp textlink="'Данные 2026'!B34">
        <xdr:nvSpPr>
          <xdr:cNvPr id="49" name="TextBox 39"/>
          <xdr:cNvSpPr/>
        </xdr:nvSpPr>
        <xdr:spPr>
          <a:xfrm>
            <a:off x="11219760" y="1057320"/>
            <a:ext cx="747720" cy="199800"/>
          </a:xfrm>
          <a:prstGeom prst="rect">
            <a:avLst/>
          </a:prstGeom>
          <a:noFill/>
          <a:ln w="9525">
            <a:noFill/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ctr">
            <a:noAutofit/>
          </a:bodyPr>
          <a:p>
            <a:pPr algn="r">
              <a:lnSpc>
                <a:spcPct val="100000"/>
              </a:lnSpc>
              <a:tabLst>
                <a:tab algn="l" pos="0"/>
              </a:tabLst>
            </a:pPr>
            <a:r>
              <a:rPr b="0" lang="en-US" sz="1200" strike="noStrike" u="none">
                <a:solidFill>
                  <a:srgbClr val="000000"/>
                </a:solidFill>
                <a:effectLst/>
                <a:uFillTx/>
                <a:latin typeface="Bahnschrift SemiLight SemiConde"/>
              </a:rPr>
              <a:t>1297 тн</a:t>
            </a:r>
            <a:endParaRPr b="0" lang="ru-RU" sz="1200" strike="noStrike" u="none">
              <a:effectLst/>
              <a:uFillTx/>
              <a:latin typeface="Times New Roman"/>
            </a:endParaRPr>
          </a:p>
        </xdr:txBody>
      </xdr:sp>
      <xdr:sp textlink="'Данные 2026'!B35">
        <xdr:nvSpPr>
          <xdr:cNvPr id="50" name="TextBox 40"/>
          <xdr:cNvSpPr/>
        </xdr:nvSpPr>
        <xdr:spPr>
          <a:xfrm>
            <a:off x="11219760" y="1314360"/>
            <a:ext cx="747720" cy="199800"/>
          </a:xfrm>
          <a:prstGeom prst="rect">
            <a:avLst/>
          </a:prstGeom>
          <a:noFill/>
          <a:ln w="9525">
            <a:noFill/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ctr">
            <a:noAutofit/>
          </a:bodyPr>
          <a:p>
            <a:pPr algn="r">
              <a:lnSpc>
                <a:spcPct val="100000"/>
              </a:lnSpc>
              <a:tabLst>
                <a:tab algn="l" pos="0"/>
              </a:tabLst>
            </a:pPr>
            <a:r>
              <a:rPr b="0" lang="en-US" sz="1200" strike="noStrike" u="none">
                <a:solidFill>
                  <a:srgbClr val="000000"/>
                </a:solidFill>
                <a:effectLst/>
                <a:uFillTx/>
                <a:latin typeface="Bahnschrift SemiLight SemiConde"/>
              </a:rPr>
              <a:t>0 тн</a:t>
            </a:r>
            <a:endParaRPr b="0" lang="ru-RU" sz="1200" strike="noStrike" u="none">
              <a:effectLst/>
              <a:uFillTx/>
              <a:latin typeface="Times New Roman"/>
            </a:endParaRPr>
          </a:p>
        </xdr:txBody>
      </xdr:sp>
      <xdr:sp textlink="'Данные 2026'!B36">
        <xdr:nvSpPr>
          <xdr:cNvPr id="51" name="TextBox 41"/>
          <xdr:cNvSpPr/>
        </xdr:nvSpPr>
        <xdr:spPr>
          <a:xfrm>
            <a:off x="11219760" y="1562040"/>
            <a:ext cx="747720" cy="199800"/>
          </a:xfrm>
          <a:prstGeom prst="rect">
            <a:avLst/>
          </a:prstGeom>
          <a:noFill/>
          <a:ln w="9525">
            <a:noFill/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ctr">
            <a:noAutofit/>
          </a:bodyPr>
          <a:p>
            <a:pPr algn="r">
              <a:lnSpc>
                <a:spcPct val="100000"/>
              </a:lnSpc>
              <a:tabLst>
                <a:tab algn="l" pos="0"/>
              </a:tabLst>
            </a:pPr>
            <a:r>
              <a:rPr b="0" lang="en-US" sz="1200" strike="noStrike" u="none">
                <a:solidFill>
                  <a:srgbClr val="000000"/>
                </a:solidFill>
                <a:effectLst/>
                <a:uFillTx/>
                <a:latin typeface="Bahnschrift SemiLight SemiConde"/>
              </a:rPr>
              <a:t>59 тн</a:t>
            </a:r>
            <a:endParaRPr b="0" lang="ru-RU" sz="1200" strike="noStrike" u="none">
              <a:effectLst/>
              <a:uFillTx/>
              <a:latin typeface="Times New Roman"/>
            </a:endParaRPr>
          </a:p>
        </xdr:txBody>
      </xdr:sp>
      <xdr:sp textlink="'Данные 2026'!B37">
        <xdr:nvSpPr>
          <xdr:cNvPr id="52" name="TextBox 42"/>
          <xdr:cNvSpPr/>
        </xdr:nvSpPr>
        <xdr:spPr>
          <a:xfrm>
            <a:off x="11229840" y="1876320"/>
            <a:ext cx="747720" cy="199800"/>
          </a:xfrm>
          <a:prstGeom prst="rect">
            <a:avLst/>
          </a:prstGeom>
          <a:noFill/>
          <a:ln w="9525">
            <a:noFill/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ctr">
            <a:noAutofit/>
          </a:bodyPr>
          <a:p>
            <a:pPr algn="r">
              <a:lnSpc>
                <a:spcPct val="100000"/>
              </a:lnSpc>
              <a:tabLst>
                <a:tab algn="l" pos="0"/>
              </a:tabLst>
            </a:pPr>
            <a:r>
              <a:rPr b="0" lang="en-US" sz="1200" strike="noStrike" u="none">
                <a:solidFill>
                  <a:srgbClr val="000000"/>
                </a:solidFill>
                <a:effectLst/>
                <a:uFillTx/>
                <a:latin typeface="Bahnschrift SemiLight SemiConde"/>
              </a:rPr>
              <a:t>1356 тн</a:t>
            </a:r>
            <a:endParaRPr b="0" lang="ru-RU" sz="1200" strike="noStrike" u="none">
              <a:effectLst/>
              <a:uFillTx/>
              <a:latin typeface="Times New Roman"/>
            </a:endParaRPr>
          </a:p>
        </xdr:txBody>
      </xdr:sp>
      <xdr:sp textlink="'Данные 2026'!B38">
        <xdr:nvSpPr>
          <xdr:cNvPr id="53" name="TextBox 43"/>
          <xdr:cNvSpPr/>
        </xdr:nvSpPr>
        <xdr:spPr>
          <a:xfrm>
            <a:off x="11229840" y="2114640"/>
            <a:ext cx="747720" cy="199800"/>
          </a:xfrm>
          <a:prstGeom prst="rect">
            <a:avLst/>
          </a:prstGeom>
          <a:noFill/>
          <a:ln w="9525">
            <a:noFill/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ctr">
            <a:noAutofit/>
          </a:bodyPr>
          <a:p>
            <a:pPr algn="r">
              <a:lnSpc>
                <a:spcPct val="100000"/>
              </a:lnSpc>
              <a:tabLst>
                <a:tab algn="l" pos="0"/>
              </a:tabLst>
            </a:pPr>
            <a:r>
              <a:rPr b="0" lang="en-US" sz="1200" strike="noStrike" u="none">
                <a:solidFill>
                  <a:srgbClr val="000000"/>
                </a:solidFill>
                <a:effectLst/>
                <a:uFillTx/>
                <a:latin typeface="Bahnschrift SemiLight SemiConde"/>
              </a:rPr>
              <a:t>0 тн</a:t>
            </a:r>
            <a:endParaRPr b="0" lang="ru-RU" sz="1200" strike="noStrike" u="none">
              <a:effectLst/>
              <a:uFillTx/>
              <a:latin typeface="Times New Roman"/>
            </a:endParaRPr>
          </a:p>
        </xdr:txBody>
      </xdr:sp>
    </xdr:grpSp>
    <xdr:clientData/>
  </xdr:twoCellAnchor>
  <xdr:twoCellAnchor editAs="oneCell">
    <xdr:from>
      <xdr:col>25</xdr:col>
      <xdr:colOff>64800</xdr:colOff>
      <xdr:row>3</xdr:row>
      <xdr:rowOff>35280</xdr:rowOff>
    </xdr:from>
    <xdr:to>
      <xdr:col>32</xdr:col>
      <xdr:colOff>321480</xdr:colOff>
      <xdr:row>25</xdr:row>
      <xdr:rowOff>187560</xdr:rowOff>
    </xdr:to>
    <xdr:graphicFrame>
      <xdr:nvGraphicFramePr>
        <xdr:cNvPr id="54" name="Диаграмма 54"/>
        <xdr:cNvGraphicFramePr/>
      </xdr:nvGraphicFramePr>
      <xdr:xfrm>
        <a:off x="14393520" y="767520"/>
        <a:ext cx="4264920" cy="4257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absolute">
    <xdr:from>
      <xdr:col>1</xdr:col>
      <xdr:colOff>28440</xdr:colOff>
      <xdr:row>3</xdr:row>
      <xdr:rowOff>67680</xdr:rowOff>
    </xdr:from>
    <xdr:to>
      <xdr:col>8</xdr:col>
      <xdr:colOff>23400</xdr:colOff>
      <xdr:row>11</xdr:row>
      <xdr:rowOff>79560</xdr:rowOff>
    </xdr:to>
    <xdr:sp>
      <xdr:nvSpPr>
        <xdr:cNvPr id="56" name=""/>
        <xdr:cNvSpPr/>
      </xdr:nvSpPr>
      <xdr:spPr>
        <a:xfrm>
          <a:off x="219600" y="799920"/>
          <a:ext cx="1968480" cy="145944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ru-RU" sz="1100" strike="noStrike" u="none">
              <a:effectLst/>
              <a:uFillTx/>
              <a:latin typeface="Times New Roman"/>
            </a:rPr>
            <a:t>Эта фигура представляет срез таблицы. Срезы таблиц не поддерживаются в этой версии Excel.</a:t>
          </a:r>
          <a:endParaRPr b="0" lang="ru-RU" sz="1100" strike="noStrike" u="none">
            <a:effectLst/>
            <a:uFillTx/>
            <a:latin typeface="Times New Roman"/>
          </a:endParaRPr>
        </a:p>
        <a:p>
          <a:endParaRPr b="0" lang="ru-RU" sz="1100" strike="noStrike" u="non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lang="ru-RU" sz="1100" strike="noStrike" u="none">
              <a:effectLst/>
              <a:uFillTx/>
              <a:latin typeface="Times New Roman"/>
            </a:rPr>
            <a:t>Если фигура была изменена в более ранней версии Excel или если книга была сохранена в Excel 2007 или более ранней версии, использовать срез невозможно.</a:t>
          </a:r>
          <a:endParaRPr b="0" lang="ru-RU" sz="11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absolute">
    <xdr:from>
      <xdr:col>1</xdr:col>
      <xdr:colOff>35640</xdr:colOff>
      <xdr:row>11</xdr:row>
      <xdr:rowOff>175320</xdr:rowOff>
    </xdr:from>
    <xdr:to>
      <xdr:col>8</xdr:col>
      <xdr:colOff>30600</xdr:colOff>
      <xdr:row>17</xdr:row>
      <xdr:rowOff>67320</xdr:rowOff>
    </xdr:to>
    <xdr:sp>
      <xdr:nvSpPr>
        <xdr:cNvPr id="57" name=""/>
        <xdr:cNvSpPr/>
      </xdr:nvSpPr>
      <xdr:spPr>
        <a:xfrm>
          <a:off x="226800" y="2355120"/>
          <a:ext cx="1968480" cy="97812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ru-RU" sz="1100" strike="noStrike" u="none">
              <a:effectLst/>
              <a:uFillTx/>
              <a:latin typeface="Times New Roman"/>
            </a:rPr>
            <a:t>Эта фигура представляет срез таблицы. Срезы таблиц не поддерживаются в этой версии Excel.</a:t>
          </a:r>
          <a:endParaRPr b="0" lang="ru-RU" sz="1100" strike="noStrike" u="none">
            <a:effectLst/>
            <a:uFillTx/>
            <a:latin typeface="Times New Roman"/>
          </a:endParaRPr>
        </a:p>
        <a:p>
          <a:endParaRPr b="0" lang="ru-RU" sz="1100" strike="noStrike" u="non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lang="ru-RU" sz="1100" strike="noStrike" u="none">
              <a:effectLst/>
              <a:uFillTx/>
              <a:latin typeface="Times New Roman"/>
            </a:rPr>
            <a:t>Если фигура была изменена в более ранней версии Excel или если книга была сохранена в Excel 2007 или более ранней версии, использовать срез невозможно.</a:t>
          </a:r>
          <a:endParaRPr b="0" lang="ru-RU" sz="1100" strike="noStrike" u="none">
            <a:effectLst/>
            <a:uFillTx/>
            <a:latin typeface="Times New Roman"/>
          </a:endParaRPr>
        </a:p>
      </xdr:txBody>
    </xdr:sp>
    <xdr:clientData/>
  </xdr:twoCellAnchor>
</xdr:wsDr>
</file>

<file path=xl/drawings/drawing2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0.3999603999604</cdr:x>
      <cdr:y>0.333237451459802</cdr:y>
    </cdr:from>
    <cdr:to>
      <cdr:x>0.5998910998911</cdr:x>
      <cdr:y>0.666331080109305</cdr:y>
    </cdr:to>
    <cdr:sp>
      <cdr:nvSpPr>
        <cdr:cNvPr id="21" name="TextBox 1"/>
        <cdr:cNvSpPr/>
      </cdr:nvSpPr>
      <cdr:spPr>
        <a:xfrm>
          <a:off x="2908800" y="834120"/>
          <a:ext cx="1454040" cy="83376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</cdr:sp>
  </cdr:relSizeAnchor>
</c:userShapes>
</file>

<file path=xl/drawings/drawing3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0.0283592167454423</cdr:x>
      <cdr:y>0.0558890673881796</cdr:y>
    </cdr:from>
    <cdr:to>
      <cdr:x>0.966745442268737</cdr:x>
      <cdr:y>0.0580874270736451</cdr:y>
    </cdr:to>
    <cdr:cxnSp>
      <cdr:nvCxnSpPr>
        <cdr:cNvPr id="55" name="Прямая соединительная линия 2"/>
        <cdr:cNvCxnSpPr/>
      </cdr:nvCxnSpPr>
      <cdr:spPr>
        <a:xfrm flipV="1">
          <a:off x="120960" y="237960"/>
          <a:ext cx="4002840" cy="9720"/>
        </a:xfrm>
        <a:prstGeom prst="straightConnector1">
          <a:avLst/>
        </a:prstGeom>
        <a:ln w="6350">
          <a:solidFill>
            <a:srgbClr val="70ad47"/>
          </a:solidFill>
          <a:miter/>
        </a:ln>
      </cdr:spPr>
    </cdr:cxn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9</xdr:col>
      <xdr:colOff>68400</xdr:colOff>
      <xdr:row>3</xdr:row>
      <xdr:rowOff>77400</xdr:rowOff>
    </xdr:from>
    <xdr:to>
      <xdr:col>10</xdr:col>
      <xdr:colOff>266400</xdr:colOff>
      <xdr:row>4</xdr:row>
      <xdr:rowOff>77400</xdr:rowOff>
    </xdr:to>
    <xdr:sp>
      <xdr:nvSpPr>
        <xdr:cNvPr id="58" name="Прямоугольник 4"/>
        <xdr:cNvSpPr/>
      </xdr:nvSpPr>
      <xdr:spPr>
        <a:xfrm>
          <a:off x="2484720" y="809640"/>
          <a:ext cx="1184760" cy="18072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15</xdr:col>
      <xdr:colOff>282600</xdr:colOff>
      <xdr:row>3</xdr:row>
      <xdr:rowOff>37800</xdr:rowOff>
    </xdr:from>
    <xdr:to>
      <xdr:col>19</xdr:col>
      <xdr:colOff>91800</xdr:colOff>
      <xdr:row>12</xdr:row>
      <xdr:rowOff>173880</xdr:rowOff>
    </xdr:to>
    <xdr:grpSp>
      <xdr:nvGrpSpPr>
        <xdr:cNvPr id="59" name="Группа 5"/>
        <xdr:cNvGrpSpPr/>
      </xdr:nvGrpSpPr>
      <xdr:grpSpPr>
        <a:xfrm>
          <a:off x="7240320" y="770040"/>
          <a:ext cx="2387160" cy="1764720"/>
          <a:chOff x="7240320" y="770040"/>
          <a:chExt cx="2387160" cy="1764720"/>
        </a:xfrm>
      </xdr:grpSpPr>
      <xdr:grpSp>
        <xdr:nvGrpSpPr>
          <xdr:cNvPr id="60" name="Группа 6"/>
          <xdr:cNvGrpSpPr/>
        </xdr:nvGrpSpPr>
        <xdr:grpSpPr>
          <a:xfrm>
            <a:off x="7240320" y="770040"/>
            <a:ext cx="2387160" cy="1712160"/>
            <a:chOff x="7240320" y="770040"/>
            <a:chExt cx="2387160" cy="1712160"/>
          </a:xfrm>
        </xdr:grpSpPr>
        <xdr:sp>
          <xdr:nvSpPr>
            <xdr:cNvPr id="61" name="Прямоугольник 8"/>
            <xdr:cNvSpPr/>
          </xdr:nvSpPr>
          <xdr:spPr>
            <a:xfrm>
              <a:off x="7240320" y="770040"/>
              <a:ext cx="2387160" cy="1712160"/>
            </a:xfrm>
            <a:prstGeom prst="rect">
              <a:avLst/>
            </a:prstGeom>
            <a:solidFill>
              <a:srgbClr val="ffffff"/>
            </a:solidFill>
            <a:ln w="19050">
              <a:solidFill>
                <a:srgbClr val="70ad47"/>
              </a:solidFill>
              <a:miter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/>
          </xdr:style>
          <xdr:txBody>
            <a:bodyPr horzOverflow="clip" vertOverflow="clip" lIns="90000" rIns="90000" tIns="45000" bIns="45000" anchor="t">
              <a:noAutofit/>
            </a:bodyPr>
            <a:p>
              <a:pPr algn="ctr">
                <a:lnSpc>
                  <a:spcPct val="100000"/>
                </a:lnSpc>
              </a:pPr>
              <a:r>
                <a:rPr b="0" lang="ru-RU" sz="1400" strike="noStrike" u="none">
                  <a:solidFill>
                    <a:schemeClr val="dk1"/>
                  </a:solidFill>
                  <a:effectLst/>
                  <a:uFillTx/>
                  <a:latin typeface="Bahnschrift Light SemiCondensed"/>
                </a:rPr>
                <a:t>УРОЖАЙНОСТЬ ФИЗ.ВЕС</a:t>
              </a:r>
              <a:endParaRPr b="0" lang="ru-RU" sz="1400" strike="noStrike" u="none">
                <a:effectLst/>
                <a:uFillTx/>
                <a:latin typeface="Times New Roman"/>
              </a:endParaRPr>
            </a:p>
          </xdr:txBody>
        </xdr:sp>
        <xdr:cxnSp>
          <xdr:nvCxnSpPr>
            <xdr:cNvPr id="62" name="Прямая соединительная линия 9"/>
            <xdr:cNvCxnSpPr/>
          </xdr:nvCxnSpPr>
          <xdr:spPr>
            <a:xfrm>
              <a:off x="7288560" y="1025280"/>
              <a:ext cx="2298600" cy="360"/>
            </a:xfrm>
            <a:prstGeom prst="straightConnector1">
              <a:avLst/>
            </a:prstGeom>
            <a:ln w="6350">
              <a:solidFill>
                <a:srgbClr val="70ad47"/>
              </a:solidFill>
              <a:miter/>
            </a:ln>
          </xdr:spPr>
        </xdr:cxnSp>
        <xdr:sp>
          <xdr:nvSpPr>
            <xdr:cNvPr id="63" name="Прямоугольник 10"/>
            <xdr:cNvSpPr/>
          </xdr:nvSpPr>
          <xdr:spPr>
            <a:xfrm>
              <a:off x="7295040" y="1089360"/>
              <a:ext cx="730440" cy="192960"/>
            </a:xfrm>
            <a:prstGeom prst="rect">
              <a:avLst/>
            </a:prstGeom>
            <a:noFill/>
            <a:ln w="12700"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/>
          </xdr:style>
          <xdr:txBody>
            <a:bodyPr horzOverflow="clip" vertOverflow="clip" lIns="90000" rIns="90000" tIns="45000" bIns="45000" anchor="ctr">
              <a:noAutofit/>
            </a:bodyPr>
            <a:p>
              <a:pPr>
                <a:lnSpc>
                  <a:spcPct val="100000"/>
                </a:lnSpc>
              </a:pPr>
              <a:r>
                <a:rPr b="0" lang="ru-RU" sz="1100" strike="noStrike" u="none">
                  <a:solidFill>
                    <a:schemeClr val="dk1"/>
                  </a:solidFill>
                  <a:effectLst/>
                  <a:uFillTx/>
                  <a:latin typeface="Bahnschrift Light SemiCondensed"/>
                </a:rPr>
                <a:t>ПЛАН:</a:t>
              </a:r>
              <a:endParaRPr b="0" lang="ru-RU" sz="1100" strike="noStrike" u="none">
                <a:effectLst/>
                <a:uFillTx/>
                <a:latin typeface="Times New Roman"/>
              </a:endParaRPr>
            </a:p>
          </xdr:txBody>
        </xdr:sp>
        <xdr:sp>
          <xdr:nvSpPr>
            <xdr:cNvPr id="64" name="Прямоугольник 11"/>
            <xdr:cNvSpPr/>
          </xdr:nvSpPr>
          <xdr:spPr>
            <a:xfrm>
              <a:off x="7292520" y="1357200"/>
              <a:ext cx="730440" cy="192960"/>
            </a:xfrm>
            <a:prstGeom prst="rect">
              <a:avLst/>
            </a:prstGeom>
            <a:noFill/>
            <a:ln w="12700"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/>
          </xdr:style>
          <xdr:txBody>
            <a:bodyPr horzOverflow="clip" vertOverflow="clip" lIns="90000" rIns="90000" tIns="45000" bIns="45000" anchor="ctr">
              <a:noAutofit/>
            </a:bodyPr>
            <a:p>
              <a:pPr>
                <a:lnSpc>
                  <a:spcPct val="100000"/>
                </a:lnSpc>
              </a:pPr>
              <a:r>
                <a:rPr b="0" lang="ru-RU" sz="1100" strike="noStrike" u="none">
                  <a:solidFill>
                    <a:schemeClr val="dk1"/>
                  </a:solidFill>
                  <a:effectLst/>
                  <a:uFillTx/>
                  <a:latin typeface="Bahnschrift Light SemiCondensed"/>
                </a:rPr>
                <a:t>ФАКТ:</a:t>
              </a:r>
              <a:endParaRPr b="0" lang="ru-RU" sz="1100" strike="noStrike" u="none">
                <a:effectLst/>
                <a:uFillTx/>
                <a:latin typeface="Times New Roman"/>
              </a:endParaRPr>
            </a:p>
          </xdr:txBody>
        </xdr:sp>
        <xdr:sp textlink="'Данные 2025'!B23">
          <xdr:nvSpPr>
            <xdr:cNvPr id="65" name="TextBox 12"/>
            <xdr:cNvSpPr/>
          </xdr:nvSpPr>
          <xdr:spPr>
            <a:xfrm>
              <a:off x="8415360" y="1045800"/>
              <a:ext cx="1168920" cy="277920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0"/>
            <a:fillRef idx="0"/>
            <a:effectRef idx="0"/>
            <a:fontRef idx="minor"/>
          </xdr:style>
          <xdr:txBody>
            <a:bodyPr horzOverflow="clip" vertOverflow="clip" lIns="90000" rIns="90000" tIns="45000" bIns="45000" anchor="ctr">
              <a:noAutofit/>
            </a:bodyPr>
            <a:p>
              <a:pPr algn="r">
                <a:lnSpc>
                  <a:spcPct val="100000"/>
                </a:lnSpc>
                <a:tabLst>
                  <a:tab algn="l" pos="0"/>
                </a:tabLst>
              </a:pPr>
              <a:r>
                <a:rPr b="0" lang="en-US" sz="1400" strike="noStrike" u="none">
                  <a:solidFill>
                    <a:schemeClr val="accent6">
                      <a:lumMod val="50000"/>
                    </a:schemeClr>
                  </a:solidFill>
                  <a:effectLst/>
                  <a:uFillTx/>
                  <a:latin typeface="Bahnschrift Light SemiCondensed"/>
                </a:rPr>
                <a:t>4,1 тн/га</a:t>
              </a:r>
              <a:endParaRPr b="0" lang="ru-RU" sz="1400" strike="noStrike" u="none">
                <a:effectLst/>
                <a:uFillTx/>
                <a:latin typeface="Times New Roman"/>
              </a:endParaRPr>
            </a:p>
          </xdr:txBody>
        </xdr:sp>
        <xdr:sp textlink="'Данные 2025'!B24">
          <xdr:nvSpPr>
            <xdr:cNvPr id="66" name="TextBox 13"/>
            <xdr:cNvSpPr/>
          </xdr:nvSpPr>
          <xdr:spPr>
            <a:xfrm>
              <a:off x="8420760" y="1311120"/>
              <a:ext cx="1163520" cy="238320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0"/>
            <a:fillRef idx="0"/>
            <a:effectRef idx="0"/>
            <a:fontRef idx="minor"/>
          </xdr:style>
          <xdr:txBody>
            <a:bodyPr horzOverflow="clip" vertOverflow="clip" lIns="90000" rIns="90000" tIns="45000" bIns="45000" anchor="ctr">
              <a:noAutofit/>
            </a:bodyPr>
            <a:p>
              <a:pPr algn="r">
                <a:lnSpc>
                  <a:spcPct val="100000"/>
                </a:lnSpc>
                <a:tabLst>
                  <a:tab algn="l" pos="0"/>
                </a:tabLst>
              </a:pPr>
              <a:r>
                <a:rPr b="0" lang="en-US" sz="1400" strike="noStrike" u="none">
                  <a:solidFill>
                    <a:schemeClr val="accent6">
                      <a:lumMod val="50000"/>
                    </a:schemeClr>
                  </a:solidFill>
                  <a:effectLst/>
                  <a:uFillTx/>
                  <a:latin typeface="Bahnschrift Light SemiCondensed"/>
                </a:rPr>
                <a:t>4,8 тн/га</a:t>
              </a:r>
              <a:endParaRPr b="0" lang="ru-RU" sz="1400" strike="noStrike" u="none">
                <a:effectLst/>
                <a:uFillTx/>
                <a:latin typeface="Times New Roman"/>
              </a:endParaRPr>
            </a:p>
          </xdr:txBody>
        </xdr:sp>
      </xdr:grpSp>
      <xdr:pic>
        <xdr:nvPicPr>
          <xdr:cNvPr id="67" name="Рисунок 7" descr="Открытая ладонь с растением"/>
          <xdr:cNvPicPr/>
        </xdr:nvPicPr>
        <xdr:blipFill>
          <a:blip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/>
        </xdr:blipFill>
        <xdr:spPr>
          <a:xfrm>
            <a:off x="7267320" y="1616760"/>
            <a:ext cx="1045080" cy="918000"/>
          </a:xfrm>
          <a:prstGeom prst="rect">
            <a:avLst/>
          </a:prstGeom>
          <a:noFill/>
          <a:ln w="0">
            <a:noFill/>
          </a:ln>
        </xdr:spPr>
      </xdr:pic>
    </xdr:grpSp>
    <xdr:clientData/>
  </xdr:twoCellAnchor>
  <xdr:twoCellAnchor editAs="twoCell">
    <xdr:from>
      <xdr:col>8</xdr:col>
      <xdr:colOff>209160</xdr:colOff>
      <xdr:row>3</xdr:row>
      <xdr:rowOff>40680</xdr:rowOff>
    </xdr:from>
    <xdr:to>
      <xdr:col>11</xdr:col>
      <xdr:colOff>380520</xdr:colOff>
      <xdr:row>13</xdr:row>
      <xdr:rowOff>77040</xdr:rowOff>
    </xdr:to>
    <xdr:grpSp>
      <xdr:nvGrpSpPr>
        <xdr:cNvPr id="68" name="Группа 14"/>
        <xdr:cNvGrpSpPr/>
      </xdr:nvGrpSpPr>
      <xdr:grpSpPr>
        <a:xfrm>
          <a:off x="2373840" y="772920"/>
          <a:ext cx="2386440" cy="1846080"/>
          <a:chOff x="2373840" y="772920"/>
          <a:chExt cx="2386440" cy="1846080"/>
        </a:xfrm>
      </xdr:grpSpPr>
      <xdr:grpSp>
        <xdr:nvGrpSpPr>
          <xdr:cNvPr id="69" name="Группа 15"/>
          <xdr:cNvGrpSpPr/>
        </xdr:nvGrpSpPr>
        <xdr:grpSpPr>
          <a:xfrm>
            <a:off x="2373840" y="772920"/>
            <a:ext cx="2386440" cy="1711800"/>
            <a:chOff x="2373840" y="772920"/>
            <a:chExt cx="2386440" cy="1711800"/>
          </a:xfrm>
        </xdr:grpSpPr>
        <xdr:sp>
          <xdr:nvSpPr>
            <xdr:cNvPr id="70" name="Прямоугольник 17"/>
            <xdr:cNvSpPr/>
          </xdr:nvSpPr>
          <xdr:spPr>
            <a:xfrm>
              <a:off x="2373840" y="772920"/>
              <a:ext cx="2386440" cy="1711800"/>
            </a:xfrm>
            <a:prstGeom prst="rect">
              <a:avLst/>
            </a:prstGeom>
            <a:solidFill>
              <a:srgbClr val="ffffff"/>
            </a:solidFill>
            <a:ln w="19050">
              <a:solidFill>
                <a:srgbClr val="70ad47"/>
              </a:solidFill>
              <a:miter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/>
          </xdr:style>
          <xdr:txBody>
            <a:bodyPr horzOverflow="clip" vertOverflow="clip" lIns="90000" rIns="90000" tIns="45000" bIns="45000" anchor="t">
              <a:noAutofit/>
            </a:bodyPr>
            <a:p>
              <a:pPr algn="ctr">
                <a:lnSpc>
                  <a:spcPct val="100000"/>
                </a:lnSpc>
              </a:pPr>
              <a:r>
                <a:rPr b="0" lang="ru-RU" sz="1400" strike="noStrike" u="none">
                  <a:solidFill>
                    <a:schemeClr val="dk1"/>
                  </a:solidFill>
                  <a:effectLst/>
                  <a:uFillTx/>
                  <a:latin typeface="Bahnschrift Light SemiCondensed"/>
                </a:rPr>
                <a:t>ВАЛОВЫЙ СБОР</a:t>
              </a:r>
              <a:endParaRPr b="0" lang="ru-RU" sz="1400" strike="noStrike" u="none">
                <a:effectLst/>
                <a:uFillTx/>
                <a:latin typeface="Times New Roman"/>
              </a:endParaRPr>
            </a:p>
          </xdr:txBody>
        </xdr:sp>
        <xdr:cxnSp>
          <xdr:nvCxnSpPr>
            <xdr:cNvPr id="71" name="Прямая соединительная линия 18"/>
            <xdr:cNvCxnSpPr/>
          </xdr:nvCxnSpPr>
          <xdr:spPr>
            <a:xfrm>
              <a:off x="2422080" y="1027800"/>
              <a:ext cx="2297880" cy="360"/>
            </a:xfrm>
            <a:prstGeom prst="straightConnector1">
              <a:avLst/>
            </a:prstGeom>
            <a:ln w="6350">
              <a:solidFill>
                <a:srgbClr val="70ad47"/>
              </a:solidFill>
              <a:miter/>
            </a:ln>
          </xdr:spPr>
        </xdr:cxnSp>
        <xdr:sp>
          <xdr:nvSpPr>
            <xdr:cNvPr id="72" name="Прямоугольник 19"/>
            <xdr:cNvSpPr/>
          </xdr:nvSpPr>
          <xdr:spPr>
            <a:xfrm>
              <a:off x="2428560" y="1091880"/>
              <a:ext cx="730080" cy="192960"/>
            </a:xfrm>
            <a:prstGeom prst="rect">
              <a:avLst/>
            </a:prstGeom>
            <a:noFill/>
            <a:ln w="12700"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/>
          </xdr:style>
          <xdr:txBody>
            <a:bodyPr horzOverflow="clip" vertOverflow="clip" lIns="90000" rIns="90000" tIns="45000" bIns="45000" anchor="ctr">
              <a:noAutofit/>
            </a:bodyPr>
            <a:p>
              <a:pPr>
                <a:lnSpc>
                  <a:spcPct val="100000"/>
                </a:lnSpc>
              </a:pPr>
              <a:r>
                <a:rPr b="0" lang="ru-RU" sz="1100" strike="noStrike" u="none">
                  <a:solidFill>
                    <a:schemeClr val="dk1"/>
                  </a:solidFill>
                  <a:effectLst/>
                  <a:uFillTx/>
                  <a:latin typeface="Bahnschrift Light SemiCondensed"/>
                </a:rPr>
                <a:t>ПЛАН:</a:t>
              </a:r>
              <a:endParaRPr b="0" lang="ru-RU" sz="1100" strike="noStrike" u="none">
                <a:effectLst/>
                <a:uFillTx/>
                <a:latin typeface="Times New Roman"/>
              </a:endParaRPr>
            </a:p>
          </xdr:txBody>
        </xdr:sp>
        <xdr:sp>
          <xdr:nvSpPr>
            <xdr:cNvPr id="73" name="Прямоугольник 20"/>
            <xdr:cNvSpPr/>
          </xdr:nvSpPr>
          <xdr:spPr>
            <a:xfrm>
              <a:off x="2426400" y="1359720"/>
              <a:ext cx="730080" cy="192960"/>
            </a:xfrm>
            <a:prstGeom prst="rect">
              <a:avLst/>
            </a:prstGeom>
            <a:noFill/>
            <a:ln w="12700"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/>
          </xdr:style>
          <xdr:txBody>
            <a:bodyPr horzOverflow="clip" vertOverflow="clip" lIns="90000" rIns="90000" tIns="45000" bIns="45000" anchor="ctr">
              <a:noAutofit/>
            </a:bodyPr>
            <a:p>
              <a:pPr>
                <a:lnSpc>
                  <a:spcPct val="100000"/>
                </a:lnSpc>
              </a:pPr>
              <a:r>
                <a:rPr b="0" lang="ru-RU" sz="1100" strike="noStrike" u="none">
                  <a:solidFill>
                    <a:schemeClr val="dk1"/>
                  </a:solidFill>
                  <a:effectLst/>
                  <a:uFillTx/>
                  <a:latin typeface="Bahnschrift Light SemiCondensed"/>
                </a:rPr>
                <a:t>ФАКТ:</a:t>
              </a:r>
              <a:endParaRPr b="0" lang="ru-RU" sz="1100" strike="noStrike" u="none">
                <a:effectLst/>
                <a:uFillTx/>
                <a:latin typeface="Times New Roman"/>
              </a:endParaRPr>
            </a:p>
          </xdr:txBody>
        </xdr:sp>
        <xdr:sp textlink="'Данные 2025'!B4">
          <xdr:nvSpPr>
            <xdr:cNvPr id="74" name="TextBox 21"/>
            <xdr:cNvSpPr/>
          </xdr:nvSpPr>
          <xdr:spPr>
            <a:xfrm>
              <a:off x="3548880" y="1048320"/>
              <a:ext cx="1168560" cy="277920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0"/>
            <a:fillRef idx="0"/>
            <a:effectRef idx="0"/>
            <a:fontRef idx="minor"/>
          </xdr:style>
          <xdr:txBody>
            <a:bodyPr horzOverflow="clip" vertOverflow="clip" lIns="90000" rIns="90000" tIns="45000" bIns="45000" anchor="ctr">
              <a:noAutofit/>
            </a:bodyPr>
            <a:p>
              <a:pPr algn="r">
                <a:lnSpc>
                  <a:spcPct val="100000"/>
                </a:lnSpc>
                <a:tabLst>
                  <a:tab algn="l" pos="0"/>
                </a:tabLst>
              </a:pPr>
              <a:r>
                <a:rPr b="0" lang="en-US" sz="1400" strike="noStrike" u="none">
                  <a:solidFill>
                    <a:schemeClr val="accent6">
                      <a:lumMod val="50000"/>
                    </a:schemeClr>
                  </a:solidFill>
                  <a:effectLst/>
                  <a:uFillTx/>
                  <a:latin typeface="Bahnschrift Light SemiCondensed"/>
                </a:rPr>
                <a:t>6798 тн</a:t>
              </a:r>
              <a:endParaRPr b="0" lang="ru-RU" sz="1400" strike="noStrike" u="none">
                <a:effectLst/>
                <a:uFillTx/>
                <a:latin typeface="Times New Roman"/>
              </a:endParaRPr>
            </a:p>
          </xdr:txBody>
        </xdr:sp>
        <xdr:sp textlink="'Данные 2025'!B5">
          <xdr:nvSpPr>
            <xdr:cNvPr id="75" name="TextBox 22"/>
            <xdr:cNvSpPr/>
          </xdr:nvSpPr>
          <xdr:spPr>
            <a:xfrm>
              <a:off x="3553920" y="1313640"/>
              <a:ext cx="1163160" cy="238320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0"/>
            <a:fillRef idx="0"/>
            <a:effectRef idx="0"/>
            <a:fontRef idx="minor"/>
          </xdr:style>
          <xdr:txBody>
            <a:bodyPr horzOverflow="clip" vertOverflow="clip" lIns="90000" rIns="90000" tIns="45000" bIns="45000" anchor="ctr">
              <a:noAutofit/>
            </a:bodyPr>
            <a:p>
              <a:pPr algn="r">
                <a:lnSpc>
                  <a:spcPct val="100000"/>
                </a:lnSpc>
                <a:tabLst>
                  <a:tab algn="l" pos="0"/>
                </a:tabLst>
              </a:pPr>
              <a:r>
                <a:rPr b="0" lang="en-US" sz="1400" strike="noStrike" u="none">
                  <a:solidFill>
                    <a:schemeClr val="accent6">
                      <a:lumMod val="50000"/>
                    </a:schemeClr>
                  </a:solidFill>
                  <a:effectLst/>
                  <a:uFillTx/>
                  <a:latin typeface="Bahnschrift Light SemiCondensed"/>
                </a:rPr>
                <a:t>7098 тн</a:t>
              </a:r>
              <a:endParaRPr b="0" lang="ru-RU" sz="1400" strike="noStrike" u="none">
                <a:effectLst/>
                <a:uFillTx/>
                <a:latin typeface="Times New Roman"/>
              </a:endParaRPr>
            </a:p>
          </xdr:txBody>
        </xdr:sp>
        <xdr:sp textlink="'Данные 2025'!B6">
          <xdr:nvSpPr>
            <xdr:cNvPr id="76" name="TextBox 23"/>
            <xdr:cNvSpPr/>
          </xdr:nvSpPr>
          <xdr:spPr>
            <a:xfrm>
              <a:off x="3865320" y="1968120"/>
              <a:ext cx="748440" cy="384120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0"/>
            <a:fillRef idx="0"/>
            <a:effectRef idx="0"/>
            <a:fontRef idx="minor"/>
          </xdr:style>
          <xdr:txBody>
            <a:bodyPr horzOverflow="clip" vertOverflow="clip" lIns="90000" rIns="90000" tIns="45000" bIns="45000" anchor="ctr">
              <a:noAutofit/>
            </a:bodyPr>
            <a:p>
              <a:pPr algn="r">
                <a:lnSpc>
                  <a:spcPct val="100000"/>
                </a:lnSpc>
              </a:pPr>
              <a:r>
                <a:rPr b="0" lang="en-US" sz="1800" strike="noStrike" u="none">
                  <a:solidFill>
                    <a:srgbClr val="ff0000"/>
                  </a:solidFill>
                  <a:effectLst/>
                  <a:uFillTx/>
                  <a:latin typeface="Bahnschrift Light SemiCondensed"/>
                </a:rPr>
                <a:t>104%</a:t>
              </a:r>
              <a:endParaRPr b="0" lang="ru-RU" sz="1800" strike="noStrike" u="none">
                <a:effectLst/>
                <a:uFillTx/>
                <a:latin typeface="Times New Roman"/>
              </a:endParaRPr>
            </a:p>
          </xdr:txBody>
        </xdr:sp>
      </xdr:grpSp>
      <xdr:pic>
        <xdr:nvPicPr>
          <xdr:cNvPr id="77" name="Рисунок 16" descr="Самосвал"/>
          <xdr:cNvPicPr/>
        </xdr:nvPicPr>
        <xdr:blipFill>
          <a:blip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/>
        </xdr:blipFill>
        <xdr:spPr>
          <a:xfrm>
            <a:off x="2422800" y="1701360"/>
            <a:ext cx="1044720" cy="917640"/>
          </a:xfrm>
          <a:prstGeom prst="rect">
            <a:avLst/>
          </a:prstGeom>
          <a:noFill/>
          <a:ln w="0">
            <a:noFill/>
          </a:ln>
        </xdr:spPr>
      </xdr:pic>
    </xdr:grpSp>
    <xdr:clientData/>
  </xdr:twoCellAnchor>
  <xdr:twoCellAnchor editAs="oneCell">
    <xdr:from>
      <xdr:col>8</xdr:col>
      <xdr:colOff>201240</xdr:colOff>
      <xdr:row>12</xdr:row>
      <xdr:rowOff>161640</xdr:rowOff>
    </xdr:from>
    <xdr:to>
      <xdr:col>19</xdr:col>
      <xdr:colOff>102600</xdr:colOff>
      <xdr:row>25</xdr:row>
      <xdr:rowOff>187920</xdr:rowOff>
    </xdr:to>
    <xdr:graphicFrame>
      <xdr:nvGraphicFramePr>
        <xdr:cNvPr id="78" name="Диаграмма 24"/>
        <xdr:cNvGraphicFramePr/>
      </xdr:nvGraphicFramePr>
      <xdr:xfrm>
        <a:off x="2365920" y="2522520"/>
        <a:ext cx="7272360" cy="2502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8</xdr:col>
      <xdr:colOff>206640</xdr:colOff>
      <xdr:row>26</xdr:row>
      <xdr:rowOff>35640</xdr:rowOff>
    </xdr:from>
    <xdr:to>
      <xdr:col>33</xdr:col>
      <xdr:colOff>10080</xdr:colOff>
      <xdr:row>37</xdr:row>
      <xdr:rowOff>57240</xdr:rowOff>
    </xdr:to>
    <xdr:graphicFrame>
      <xdr:nvGraphicFramePr>
        <xdr:cNvPr id="80" name="Диаграмма 25"/>
        <xdr:cNvGraphicFramePr/>
      </xdr:nvGraphicFramePr>
      <xdr:xfrm>
        <a:off x="2371320" y="5063400"/>
        <a:ext cx="16297560" cy="2316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twoCell">
    <xdr:from>
      <xdr:col>11</xdr:col>
      <xdr:colOff>434880</xdr:colOff>
      <xdr:row>3</xdr:row>
      <xdr:rowOff>37440</xdr:rowOff>
    </xdr:from>
    <xdr:to>
      <xdr:col>15</xdr:col>
      <xdr:colOff>245160</xdr:colOff>
      <xdr:row>13</xdr:row>
      <xdr:rowOff>13680</xdr:rowOff>
    </xdr:to>
    <xdr:grpSp>
      <xdr:nvGrpSpPr>
        <xdr:cNvPr id="81" name="Группа 26"/>
        <xdr:cNvGrpSpPr/>
      </xdr:nvGrpSpPr>
      <xdr:grpSpPr>
        <a:xfrm>
          <a:off x="4814640" y="769680"/>
          <a:ext cx="2388240" cy="1785960"/>
          <a:chOff x="4814640" y="769680"/>
          <a:chExt cx="2388240" cy="1785960"/>
        </a:xfrm>
      </xdr:grpSpPr>
      <xdr:grpSp>
        <xdr:nvGrpSpPr>
          <xdr:cNvPr id="82" name="Группа 27"/>
          <xdr:cNvGrpSpPr/>
        </xdr:nvGrpSpPr>
        <xdr:grpSpPr>
          <a:xfrm>
            <a:off x="4814640" y="769680"/>
            <a:ext cx="2388240" cy="1710720"/>
            <a:chOff x="4814640" y="769680"/>
            <a:chExt cx="2388240" cy="1710720"/>
          </a:xfrm>
        </xdr:grpSpPr>
        <xdr:grpSp>
          <xdr:nvGrpSpPr>
            <xdr:cNvPr id="83" name="Группа 29"/>
            <xdr:cNvGrpSpPr/>
          </xdr:nvGrpSpPr>
          <xdr:grpSpPr>
            <a:xfrm>
              <a:off x="4814640" y="769680"/>
              <a:ext cx="2388240" cy="1710720"/>
              <a:chOff x="4814640" y="769680"/>
              <a:chExt cx="2388240" cy="1710720"/>
            </a:xfrm>
          </xdr:grpSpPr>
          <xdr:sp>
            <xdr:nvSpPr>
              <xdr:cNvPr id="84" name="Прямоугольник 32"/>
              <xdr:cNvSpPr/>
            </xdr:nvSpPr>
            <xdr:spPr>
              <a:xfrm>
                <a:off x="4814640" y="769680"/>
                <a:ext cx="2388240" cy="1710720"/>
              </a:xfrm>
              <a:prstGeom prst="rect">
                <a:avLst/>
              </a:prstGeom>
              <a:solidFill>
                <a:srgbClr val="ffffff"/>
              </a:solidFill>
              <a:ln w="19050">
                <a:solidFill>
                  <a:srgbClr val="70ad47"/>
                </a:solidFill>
                <a:miter/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/>
            </xdr:style>
            <xdr:txBody>
              <a:bodyPr horzOverflow="clip" vertOverflow="clip" lIns="90000" rIns="90000" tIns="45000" bIns="45000" anchor="t">
                <a:noAutofit/>
              </a:bodyPr>
              <a:p>
                <a:pPr algn="ctr">
                  <a:lnSpc>
                    <a:spcPct val="100000"/>
                  </a:lnSpc>
                </a:pPr>
                <a:r>
                  <a:rPr b="0" lang="ru-RU" sz="1400" strike="noStrike" u="none">
                    <a:solidFill>
                      <a:schemeClr val="dk1"/>
                    </a:solidFill>
                    <a:effectLst/>
                    <a:uFillTx/>
                    <a:latin typeface="Bahnschrift Light SemiCondensed"/>
                  </a:rPr>
                  <a:t>ПЛОЩАДЬ УБОРКИ</a:t>
                </a:r>
                <a:endParaRPr b="0" lang="ru-RU" sz="1400" strike="noStrike" u="none">
                  <a:effectLst/>
                  <a:uFillTx/>
                  <a:latin typeface="Times New Roman"/>
                </a:endParaRPr>
              </a:p>
            </xdr:txBody>
          </xdr:sp>
          <xdr:cxnSp>
            <xdr:nvCxnSpPr>
              <xdr:cNvPr id="85" name="Прямая соединительная линия 33"/>
              <xdr:cNvCxnSpPr/>
            </xdr:nvCxnSpPr>
            <xdr:spPr>
              <a:xfrm>
                <a:off x="4860000" y="1029960"/>
                <a:ext cx="2278080" cy="360"/>
              </a:xfrm>
              <a:prstGeom prst="straightConnector1">
                <a:avLst/>
              </a:prstGeom>
              <a:ln w="6350">
                <a:solidFill>
                  <a:srgbClr val="70ad47"/>
                </a:solidFill>
                <a:miter/>
              </a:ln>
            </xdr:spPr>
          </xdr:cxnSp>
          <xdr:sp>
            <xdr:nvSpPr>
              <xdr:cNvPr id="86" name="Прямоугольник 34"/>
              <xdr:cNvSpPr/>
            </xdr:nvSpPr>
            <xdr:spPr>
              <a:xfrm>
                <a:off x="4866480" y="1096920"/>
                <a:ext cx="730800" cy="192600"/>
              </a:xfrm>
              <a:prstGeom prst="rect">
                <a:avLst/>
              </a:prstGeom>
              <a:noFill/>
              <a:ln w="12700"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/>
            </xdr:style>
            <xdr:txBody>
              <a:bodyPr horzOverflow="clip" vertOverflow="clip" lIns="90000" rIns="90000" tIns="45000" bIns="45000" anchor="ctr">
                <a:noAutofit/>
              </a:bodyPr>
              <a:p>
                <a:pPr>
                  <a:lnSpc>
                    <a:spcPct val="100000"/>
                  </a:lnSpc>
                </a:pPr>
                <a:r>
                  <a:rPr b="0" lang="ru-RU" sz="1100" strike="noStrike" u="none">
                    <a:solidFill>
                      <a:schemeClr val="dk1"/>
                    </a:solidFill>
                    <a:effectLst/>
                    <a:uFillTx/>
                    <a:latin typeface="Bahnschrift Light SemiCondensed"/>
                  </a:rPr>
                  <a:t>ПЛАН:</a:t>
                </a:r>
                <a:endParaRPr b="0" lang="ru-RU" sz="1100" strike="noStrike" u="none">
                  <a:effectLst/>
                  <a:uFillTx/>
                  <a:latin typeface="Times New Roman"/>
                </a:endParaRPr>
              </a:p>
            </xdr:txBody>
          </xdr:sp>
          <xdr:sp>
            <xdr:nvSpPr>
              <xdr:cNvPr id="87" name="Прямоугольник 35"/>
              <xdr:cNvSpPr/>
            </xdr:nvSpPr>
            <xdr:spPr>
              <a:xfrm>
                <a:off x="4863960" y="1364400"/>
                <a:ext cx="730800" cy="192600"/>
              </a:xfrm>
              <a:prstGeom prst="rect">
                <a:avLst/>
              </a:prstGeom>
              <a:noFill/>
              <a:ln w="12700"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/>
            </xdr:style>
            <xdr:txBody>
              <a:bodyPr horzOverflow="clip" vertOverflow="clip" lIns="90000" rIns="90000" tIns="45000" bIns="45000" anchor="ctr">
                <a:noAutofit/>
              </a:bodyPr>
              <a:p>
                <a:pPr>
                  <a:lnSpc>
                    <a:spcPct val="100000"/>
                  </a:lnSpc>
                </a:pPr>
                <a:r>
                  <a:rPr b="0" lang="ru-RU" sz="1100" strike="noStrike" u="none">
                    <a:solidFill>
                      <a:schemeClr val="dk1"/>
                    </a:solidFill>
                    <a:effectLst/>
                    <a:uFillTx/>
                    <a:latin typeface="Bahnschrift Light SemiCondensed"/>
                  </a:rPr>
                  <a:t>ФАКТ:</a:t>
                </a:r>
                <a:endParaRPr b="0" lang="ru-RU" sz="1100" strike="noStrike" u="none">
                  <a:effectLst/>
                  <a:uFillTx/>
                  <a:latin typeface="Times New Roman"/>
                </a:endParaRPr>
              </a:p>
            </xdr:txBody>
          </xdr:sp>
          <xdr:sp textlink="'Данные 2025'!B15">
            <xdr:nvSpPr>
              <xdr:cNvPr id="88" name="TextBox 36"/>
              <xdr:cNvSpPr/>
            </xdr:nvSpPr>
            <xdr:spPr>
              <a:xfrm>
                <a:off x="6019560" y="1033920"/>
                <a:ext cx="1169280" cy="277560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0"/>
              <a:fillRef idx="0"/>
              <a:effectRef idx="0"/>
              <a:fontRef idx="minor"/>
            </xdr:style>
            <xdr:txBody>
              <a:bodyPr horzOverflow="clip" vertOverflow="clip" lIns="90000" rIns="90000" tIns="45000" bIns="45000" anchor="ctr">
                <a:noAutofit/>
              </a:bodyPr>
              <a:p>
                <a:pPr algn="r">
                  <a:lnSpc>
                    <a:spcPct val="100000"/>
                  </a:lnSpc>
                  <a:tabLst>
                    <a:tab algn="l" pos="0"/>
                  </a:tabLst>
                </a:pPr>
                <a:r>
                  <a:rPr b="0" lang="en-US" sz="1400" strike="noStrike" u="none">
                    <a:solidFill>
                      <a:schemeClr val="accent6">
                        <a:lumMod val="50000"/>
                      </a:schemeClr>
                    </a:solidFill>
                    <a:effectLst/>
                    <a:uFillTx/>
                    <a:latin typeface="Bahnschrift Light SemiCondensed"/>
                  </a:rPr>
                  <a:t>1676 га</a:t>
                </a:r>
                <a:endParaRPr b="0" lang="ru-RU" sz="1400" strike="noStrike" u="none">
                  <a:effectLst/>
                  <a:uFillTx/>
                  <a:latin typeface="Times New Roman"/>
                </a:endParaRPr>
              </a:p>
            </xdr:txBody>
          </xdr:sp>
          <xdr:sp textlink="'Данные 2025'!B16">
            <xdr:nvSpPr>
              <xdr:cNvPr id="89" name="TextBox 37"/>
              <xdr:cNvSpPr/>
            </xdr:nvSpPr>
            <xdr:spPr>
              <a:xfrm>
                <a:off x="6017400" y="1318320"/>
                <a:ext cx="1163880" cy="238320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0"/>
              <a:fillRef idx="0"/>
              <a:effectRef idx="0"/>
              <a:fontRef idx="minor"/>
            </xdr:style>
            <xdr:txBody>
              <a:bodyPr horzOverflow="clip" vertOverflow="clip" lIns="90000" rIns="90000" tIns="45000" bIns="45000" anchor="ctr">
                <a:noAutofit/>
              </a:bodyPr>
              <a:p>
                <a:pPr algn="r">
                  <a:lnSpc>
                    <a:spcPct val="100000"/>
                  </a:lnSpc>
                  <a:tabLst>
                    <a:tab algn="l" pos="0"/>
                  </a:tabLst>
                </a:pPr>
                <a:r>
                  <a:rPr b="0" lang="en-US" sz="1400" strike="noStrike" u="none">
                    <a:solidFill>
                      <a:schemeClr val="accent6">
                        <a:lumMod val="50000"/>
                      </a:schemeClr>
                    </a:solidFill>
                    <a:effectLst/>
                    <a:uFillTx/>
                    <a:latin typeface="Bahnschrift Light SemiCondensed"/>
                  </a:rPr>
                  <a:t>1484 га</a:t>
                </a:r>
                <a:endParaRPr b="0" lang="ru-RU" sz="1400" strike="noStrike" u="none">
                  <a:effectLst/>
                  <a:uFillTx/>
                  <a:latin typeface="Times New Roman"/>
                </a:endParaRPr>
              </a:p>
            </xdr:txBody>
          </xdr:sp>
          <xdr:sp textlink="'Данные 2025'!B18">
            <xdr:nvSpPr>
              <xdr:cNvPr id="90" name="TextBox 38"/>
              <xdr:cNvSpPr/>
            </xdr:nvSpPr>
            <xdr:spPr>
              <a:xfrm>
                <a:off x="6207480" y="1972440"/>
                <a:ext cx="895680" cy="383760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0"/>
              <a:fillRef idx="0"/>
              <a:effectRef idx="0"/>
              <a:fontRef idx="minor"/>
            </xdr:style>
            <xdr:txBody>
              <a:bodyPr horzOverflow="clip" vertOverflow="clip" lIns="90000" rIns="90000" tIns="45000" bIns="45000" anchor="ctr">
                <a:noAutofit/>
              </a:bodyPr>
              <a:p>
                <a:pPr algn="r">
                  <a:lnSpc>
                    <a:spcPct val="100000"/>
                  </a:lnSpc>
                </a:pPr>
                <a:r>
                  <a:rPr b="0" lang="en-US" sz="1800" strike="noStrike" u="none">
                    <a:solidFill>
                      <a:srgbClr val="ff0000"/>
                    </a:solidFill>
                    <a:effectLst/>
                    <a:uFillTx/>
                    <a:latin typeface="Bahnschrift Light SemiCondensed"/>
                  </a:rPr>
                  <a:t>89%</a:t>
                </a:r>
                <a:endParaRPr b="0" lang="ru-RU" sz="1800" strike="noStrike" u="none">
                  <a:effectLst/>
                  <a:uFillTx/>
                  <a:latin typeface="Times New Roman"/>
                </a:endParaRPr>
              </a:p>
            </xdr:txBody>
          </xdr:sp>
        </xdr:grpSp>
        <xdr:sp>
          <xdr:nvSpPr>
            <xdr:cNvPr id="91" name="Прямоугольник 30"/>
            <xdr:cNvSpPr/>
          </xdr:nvSpPr>
          <xdr:spPr>
            <a:xfrm>
              <a:off x="4878360" y="1618560"/>
              <a:ext cx="845640" cy="192600"/>
            </a:xfrm>
            <a:prstGeom prst="rect">
              <a:avLst/>
            </a:prstGeom>
            <a:noFill/>
            <a:ln w="12700"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/>
          </xdr:style>
          <xdr:txBody>
            <a:bodyPr horzOverflow="clip" vertOverflow="clip" lIns="90000" rIns="90000" tIns="45000" bIns="45000" anchor="ctr">
              <a:noAutofit/>
            </a:bodyPr>
            <a:p>
              <a:pPr>
                <a:lnSpc>
                  <a:spcPct val="100000"/>
                </a:lnSpc>
              </a:pPr>
              <a:r>
                <a:rPr b="0" lang="ru-RU" sz="1100" strike="noStrike" u="none">
                  <a:solidFill>
                    <a:schemeClr val="dk1"/>
                  </a:solidFill>
                  <a:effectLst/>
                  <a:uFillTx/>
                  <a:latin typeface="Bahnschrift Light SemiCondensed"/>
                </a:rPr>
                <a:t>ОСТАТОК:</a:t>
              </a:r>
              <a:endParaRPr b="0" lang="ru-RU" sz="1100" strike="noStrike" u="none">
                <a:effectLst/>
                <a:uFillTx/>
                <a:latin typeface="Times New Roman"/>
              </a:endParaRPr>
            </a:p>
          </xdr:txBody>
        </xdr:sp>
        <xdr:sp textlink="'Данные 2025'!B17">
          <xdr:nvSpPr>
            <xdr:cNvPr id="92" name="TextBox 31"/>
            <xdr:cNvSpPr/>
          </xdr:nvSpPr>
          <xdr:spPr>
            <a:xfrm>
              <a:off x="6185160" y="1594080"/>
              <a:ext cx="1007640" cy="215640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0"/>
            <a:fillRef idx="0"/>
            <a:effectRef idx="0"/>
            <a:fontRef idx="minor"/>
          </xdr:style>
          <xdr:txBody>
            <a:bodyPr horzOverflow="clip" vertOverflow="clip" lIns="90000" rIns="90000" tIns="45000" bIns="45000" anchor="ctr">
              <a:noAutofit/>
            </a:bodyPr>
            <a:p>
              <a:pPr algn="r">
                <a:lnSpc>
                  <a:spcPct val="100000"/>
                </a:lnSpc>
                <a:tabLst>
                  <a:tab algn="l" pos="0"/>
                </a:tabLst>
              </a:pPr>
              <a:r>
                <a:rPr b="0" lang="en-US" sz="1400" strike="noStrike" u="none">
                  <a:solidFill>
                    <a:schemeClr val="accent6">
                      <a:lumMod val="50000"/>
                    </a:schemeClr>
                  </a:solidFill>
                  <a:effectLst/>
                  <a:uFillTx/>
                  <a:latin typeface="Bahnschrift Light SemiCondensed"/>
                </a:rPr>
                <a:t>192 га</a:t>
              </a:r>
              <a:endParaRPr b="0" lang="ru-RU" sz="1400" strike="noStrike" u="none">
                <a:effectLst/>
                <a:uFillTx/>
                <a:latin typeface="Times New Roman"/>
              </a:endParaRPr>
            </a:p>
          </xdr:txBody>
        </xdr:sp>
      </xdr:grpSp>
      <xdr:pic>
        <xdr:nvPicPr>
          <xdr:cNvPr id="93" name="Рисунок 28" descr="Карта с кнопкой"/>
          <xdr:cNvPicPr/>
        </xdr:nvPicPr>
        <xdr:blipFill>
          <a:blip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tretch/>
        </xdr:blipFill>
        <xdr:spPr>
          <a:xfrm>
            <a:off x="4875480" y="1637640"/>
            <a:ext cx="973080" cy="918000"/>
          </a:xfrm>
          <a:prstGeom prst="rect">
            <a:avLst/>
          </a:prstGeom>
          <a:noFill/>
          <a:ln w="0">
            <a:noFill/>
          </a:ln>
        </xdr:spPr>
      </xdr:pic>
    </xdr:grpSp>
    <xdr:clientData/>
  </xdr:twoCellAnchor>
  <xdr:twoCellAnchor editAs="oneCell">
    <xdr:from>
      <xdr:col>19</xdr:col>
      <xdr:colOff>142200</xdr:colOff>
      <xdr:row>12</xdr:row>
      <xdr:rowOff>162720</xdr:rowOff>
    </xdr:from>
    <xdr:to>
      <xdr:col>25</xdr:col>
      <xdr:colOff>9720</xdr:colOff>
      <xdr:row>26</xdr:row>
      <xdr:rowOff>4320</xdr:rowOff>
    </xdr:to>
    <xdr:graphicFrame>
      <xdr:nvGraphicFramePr>
        <xdr:cNvPr id="94" name="Диаграмма 39"/>
        <xdr:cNvGraphicFramePr/>
      </xdr:nvGraphicFramePr>
      <xdr:xfrm>
        <a:off x="9677880" y="2523600"/>
        <a:ext cx="4660560" cy="2508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twoCell">
    <xdr:from>
      <xdr:col>19</xdr:col>
      <xdr:colOff>137160</xdr:colOff>
      <xdr:row>3</xdr:row>
      <xdr:rowOff>39240</xdr:rowOff>
    </xdr:from>
    <xdr:to>
      <xdr:col>25</xdr:col>
      <xdr:colOff>14760</xdr:colOff>
      <xdr:row>12</xdr:row>
      <xdr:rowOff>115560</xdr:rowOff>
    </xdr:to>
    <xdr:grpSp>
      <xdr:nvGrpSpPr>
        <xdr:cNvPr id="95" name="Группа 40"/>
        <xdr:cNvGrpSpPr/>
      </xdr:nvGrpSpPr>
      <xdr:grpSpPr>
        <a:xfrm>
          <a:off x="9672840" y="771480"/>
          <a:ext cx="4670640" cy="1704960"/>
          <a:chOff x="9672840" y="771480"/>
          <a:chExt cx="4670640" cy="1704960"/>
        </a:xfrm>
      </xdr:grpSpPr>
      <xdr:grpSp>
        <xdr:nvGrpSpPr>
          <xdr:cNvPr id="96" name="Группа 41"/>
          <xdr:cNvGrpSpPr/>
        </xdr:nvGrpSpPr>
        <xdr:grpSpPr>
          <a:xfrm>
            <a:off x="9672840" y="771480"/>
            <a:ext cx="4670640" cy="1704960"/>
            <a:chOff x="9672840" y="771480"/>
            <a:chExt cx="4670640" cy="1704960"/>
          </a:xfrm>
        </xdr:grpSpPr>
        <xdr:grpSp>
          <xdr:nvGrpSpPr>
            <xdr:cNvPr id="97" name="Группа 47"/>
            <xdr:cNvGrpSpPr/>
          </xdr:nvGrpSpPr>
          <xdr:grpSpPr>
            <a:xfrm>
              <a:off x="9672840" y="771480"/>
              <a:ext cx="4670640" cy="1704960"/>
              <a:chOff x="9672840" y="771480"/>
              <a:chExt cx="4670640" cy="1704960"/>
            </a:xfrm>
          </xdr:grpSpPr>
          <xdr:sp>
            <xdr:nvSpPr>
              <xdr:cNvPr id="98" name="Прямоугольник 49"/>
              <xdr:cNvSpPr/>
            </xdr:nvSpPr>
            <xdr:spPr>
              <a:xfrm>
                <a:off x="9672840" y="771480"/>
                <a:ext cx="4670640" cy="1704960"/>
              </a:xfrm>
              <a:prstGeom prst="rect">
                <a:avLst/>
              </a:prstGeom>
              <a:solidFill>
                <a:srgbClr val="ffffff"/>
              </a:solidFill>
              <a:ln w="19050">
                <a:solidFill>
                  <a:srgbClr val="70ad47"/>
                </a:solidFill>
                <a:miter/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/>
            </xdr:style>
            <xdr:txBody>
              <a:bodyPr horzOverflow="clip" vertOverflow="clip" lIns="90000" rIns="90000" tIns="45000" bIns="45000" anchor="t">
                <a:noAutofit/>
              </a:bodyPr>
              <a:p>
                <a:pPr algn="ctr">
                  <a:lnSpc>
                    <a:spcPct val="100000"/>
                  </a:lnSpc>
                </a:pPr>
                <a:r>
                  <a:rPr b="0" lang="ru-RU" sz="1400" strike="noStrike" u="none">
                    <a:solidFill>
                      <a:schemeClr val="dk1"/>
                    </a:solidFill>
                    <a:effectLst/>
                    <a:uFillTx/>
                    <a:latin typeface="Bahnschrift Light SemiCondensed"/>
                  </a:rPr>
                  <a:t>ИНФОРМАЦИЯ ПО СЫРЬЮ</a:t>
                </a:r>
                <a:endParaRPr b="0" lang="ru-RU" sz="1400" strike="noStrike" u="none">
                  <a:effectLst/>
                  <a:uFillTx/>
                  <a:latin typeface="Times New Roman"/>
                </a:endParaRPr>
              </a:p>
            </xdr:txBody>
          </xdr:sp>
          <xdr:cxnSp>
            <xdr:nvCxnSpPr>
              <xdr:cNvPr id="99" name="Прямая соединительная линия 50"/>
              <xdr:cNvCxnSpPr/>
            </xdr:nvCxnSpPr>
            <xdr:spPr>
              <a:xfrm>
                <a:off x="9767160" y="1025640"/>
                <a:ext cx="4497120" cy="360"/>
              </a:xfrm>
              <a:prstGeom prst="straightConnector1">
                <a:avLst/>
              </a:prstGeom>
              <a:ln w="6350">
                <a:solidFill>
                  <a:srgbClr val="70ad47"/>
                </a:solidFill>
                <a:miter/>
              </a:ln>
            </xdr:spPr>
          </xdr:cxnSp>
          <xdr:sp>
            <xdr:nvSpPr>
              <xdr:cNvPr id="100" name="Прямоугольник 51"/>
              <xdr:cNvSpPr/>
            </xdr:nvSpPr>
            <xdr:spPr>
              <a:xfrm>
                <a:off x="9672840" y="1089360"/>
                <a:ext cx="1429200" cy="191880"/>
              </a:xfrm>
              <a:prstGeom prst="rect">
                <a:avLst/>
              </a:prstGeom>
              <a:noFill/>
              <a:ln w="12700"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/>
            </xdr:style>
            <xdr:txBody>
              <a:bodyPr horzOverflow="clip" vertOverflow="clip" lIns="90000" rIns="90000" tIns="45000" bIns="45000" anchor="ctr">
                <a:noAutofit/>
              </a:bodyPr>
              <a:p>
                <a:pPr>
                  <a:lnSpc>
                    <a:spcPct val="100000"/>
                  </a:lnSpc>
                </a:pPr>
                <a:r>
                  <a:rPr b="0" lang="ru-RU" sz="1100" strike="noStrike" u="none">
                    <a:solidFill>
                      <a:schemeClr val="dk1"/>
                    </a:solidFill>
                    <a:effectLst/>
                    <a:uFillTx/>
                    <a:latin typeface="Bahnschrift Light SemiCondensed"/>
                  </a:rPr>
                  <a:t>Переработка:</a:t>
                </a:r>
                <a:endParaRPr b="0" lang="ru-RU" sz="1100" strike="noStrike" u="none">
                  <a:effectLst/>
                  <a:uFillTx/>
                  <a:latin typeface="Times New Roman"/>
                </a:endParaRPr>
              </a:p>
            </xdr:txBody>
          </xdr:sp>
          <xdr:sp>
            <xdr:nvSpPr>
              <xdr:cNvPr id="101" name="Прямоугольник 52"/>
              <xdr:cNvSpPr/>
            </xdr:nvSpPr>
            <xdr:spPr>
              <a:xfrm>
                <a:off x="9672840" y="1324080"/>
                <a:ext cx="1429200" cy="191880"/>
              </a:xfrm>
              <a:prstGeom prst="rect">
                <a:avLst/>
              </a:prstGeom>
              <a:noFill/>
              <a:ln w="12700"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/>
            </xdr:style>
            <xdr:txBody>
              <a:bodyPr horzOverflow="clip" vertOverflow="clip" lIns="90000" rIns="90000" tIns="45000" bIns="45000" anchor="ctr">
                <a:noAutofit/>
              </a:bodyPr>
              <a:p>
                <a:pPr>
                  <a:lnSpc>
                    <a:spcPct val="100000"/>
                  </a:lnSpc>
                </a:pPr>
                <a:r>
                  <a:rPr b="0" lang="ru-RU" sz="1100" strike="noStrike" u="none">
                    <a:solidFill>
                      <a:schemeClr val="dk1"/>
                    </a:solidFill>
                    <a:effectLst/>
                    <a:uFillTx/>
                    <a:latin typeface="Bahnschrift Light SemiCondensed"/>
                  </a:rPr>
                  <a:t>Утилизация:</a:t>
                </a:r>
                <a:endParaRPr b="0" lang="ru-RU" sz="1100" strike="noStrike" u="none">
                  <a:effectLst/>
                  <a:uFillTx/>
                  <a:latin typeface="Times New Roman"/>
                </a:endParaRPr>
              </a:p>
            </xdr:txBody>
          </xdr:sp>
          <xdr:sp>
            <xdr:nvSpPr>
              <xdr:cNvPr id="102" name="Прямоугольник 53"/>
              <xdr:cNvSpPr/>
            </xdr:nvSpPr>
            <xdr:spPr>
              <a:xfrm>
                <a:off x="9672840" y="1552680"/>
                <a:ext cx="1429200" cy="191880"/>
              </a:xfrm>
              <a:prstGeom prst="rect">
                <a:avLst/>
              </a:prstGeom>
              <a:noFill/>
              <a:ln w="12700"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/>
            </xdr:style>
            <xdr:txBody>
              <a:bodyPr horzOverflow="clip" vertOverflow="clip" lIns="90000" rIns="90000" tIns="45000" bIns="45000" anchor="ctr">
                <a:noAutofit/>
              </a:bodyPr>
              <a:p>
                <a:pPr>
                  <a:lnSpc>
                    <a:spcPct val="100000"/>
                  </a:lnSpc>
                </a:pPr>
                <a:r>
                  <a:rPr b="0" lang="ru-RU" sz="1100" strike="noStrike" u="none">
                    <a:solidFill>
                      <a:schemeClr val="dk1"/>
                    </a:solidFill>
                    <a:effectLst/>
                    <a:uFillTx/>
                    <a:latin typeface="Bahnschrift Light SemiCondensed"/>
                  </a:rPr>
                  <a:t>Реализация:</a:t>
                </a:r>
                <a:endParaRPr b="0" lang="ru-RU" sz="1100" strike="noStrike" u="none">
                  <a:effectLst/>
                  <a:uFillTx/>
                  <a:latin typeface="Times New Roman"/>
                </a:endParaRPr>
              </a:p>
            </xdr:txBody>
          </xdr:sp>
          <xdr:cxnSp>
            <xdr:nvCxnSpPr>
              <xdr:cNvPr id="103" name="Прямая соединительная линия 54"/>
              <xdr:cNvCxnSpPr/>
            </xdr:nvCxnSpPr>
            <xdr:spPr>
              <a:xfrm>
                <a:off x="9763560" y="1847880"/>
                <a:ext cx="2194560" cy="360"/>
              </a:xfrm>
              <a:prstGeom prst="straightConnector1">
                <a:avLst/>
              </a:prstGeom>
              <a:ln w="6350">
                <a:solidFill>
                  <a:srgbClr val="70ad47"/>
                </a:solidFill>
                <a:miter/>
              </a:ln>
            </xdr:spPr>
          </xdr:cxnSp>
          <xdr:sp>
            <xdr:nvSpPr>
              <xdr:cNvPr id="104" name="Прямоугольник 55"/>
              <xdr:cNvSpPr/>
            </xdr:nvSpPr>
            <xdr:spPr>
              <a:xfrm>
                <a:off x="9672840" y="1886040"/>
                <a:ext cx="1429200" cy="191880"/>
              </a:xfrm>
              <a:prstGeom prst="rect">
                <a:avLst/>
              </a:prstGeom>
              <a:noFill/>
              <a:ln w="12700"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/>
            </xdr:style>
            <xdr:txBody>
              <a:bodyPr horzOverflow="clip" vertOverflow="clip" lIns="90000" rIns="90000" tIns="45000" bIns="45000" anchor="ctr">
                <a:noAutofit/>
              </a:bodyPr>
              <a:p>
                <a:pPr>
                  <a:lnSpc>
                    <a:spcPct val="100000"/>
                  </a:lnSpc>
                </a:pPr>
                <a:r>
                  <a:rPr b="0" lang="ru-RU" sz="1100" strike="noStrike" u="none">
                    <a:solidFill>
                      <a:schemeClr val="dk1"/>
                    </a:solidFill>
                    <a:effectLst/>
                    <a:uFillTx/>
                    <a:latin typeface="Bahnschrift Light SemiCondensed"/>
                  </a:rPr>
                  <a:t>Собственное сырье:</a:t>
                </a:r>
                <a:endParaRPr b="0" lang="ru-RU" sz="1100" strike="noStrike" u="none">
                  <a:effectLst/>
                  <a:uFillTx/>
                  <a:latin typeface="Times New Roman"/>
                </a:endParaRPr>
              </a:p>
            </xdr:txBody>
          </xdr:sp>
          <xdr:sp>
            <xdr:nvSpPr>
              <xdr:cNvPr id="105" name="Прямоугольник 56"/>
              <xdr:cNvSpPr/>
            </xdr:nvSpPr>
            <xdr:spPr>
              <a:xfrm>
                <a:off x="9672840" y="2133720"/>
                <a:ext cx="1429200" cy="191880"/>
              </a:xfrm>
              <a:prstGeom prst="rect">
                <a:avLst/>
              </a:prstGeom>
              <a:noFill/>
              <a:ln w="12700"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/>
            </xdr:style>
            <xdr:txBody>
              <a:bodyPr horzOverflow="clip" vertOverflow="clip" lIns="90000" rIns="90000" tIns="45000" bIns="45000" anchor="ctr">
                <a:noAutofit/>
              </a:bodyPr>
              <a:p>
                <a:pPr>
                  <a:lnSpc>
                    <a:spcPct val="100000"/>
                  </a:lnSpc>
                </a:pPr>
                <a:r>
                  <a:rPr b="0" lang="ru-RU" sz="1100" strike="noStrike" u="none">
                    <a:solidFill>
                      <a:schemeClr val="dk1"/>
                    </a:solidFill>
                    <a:effectLst/>
                    <a:uFillTx/>
                    <a:latin typeface="Bahnschrift Light SemiCondensed"/>
                  </a:rPr>
                  <a:t>Закупка:</a:t>
                </a:r>
                <a:endParaRPr b="0" lang="ru-RU" sz="1100" strike="noStrike" u="none">
                  <a:effectLst/>
                  <a:uFillTx/>
                  <a:latin typeface="Times New Roman"/>
                </a:endParaRPr>
              </a:p>
            </xdr:txBody>
          </xdr:sp>
        </xdr:grpSp>
        <xdr:pic>
          <xdr:nvPicPr>
            <xdr:cNvPr id="106" name="Рисунок 48" descr=""/>
            <xdr:cNvPicPr/>
          </xdr:nvPicPr>
          <xdr:blipFill>
            <a:blip r:embed="rId10"/>
            <a:stretch/>
          </xdr:blipFill>
          <xdr:spPr>
            <a:xfrm>
              <a:off x="12463200" y="1209600"/>
              <a:ext cx="1734120" cy="1117440"/>
            </a:xfrm>
            <a:prstGeom prst="rect">
              <a:avLst/>
            </a:prstGeom>
            <a:noFill/>
            <a:ln w="0">
              <a:noFill/>
            </a:ln>
          </xdr:spPr>
        </xdr:pic>
      </xdr:grpSp>
      <xdr:sp textlink="'Данные 2025'!B34">
        <xdr:nvSpPr>
          <xdr:cNvPr id="107" name="TextBox 42"/>
          <xdr:cNvSpPr/>
        </xdr:nvSpPr>
        <xdr:spPr>
          <a:xfrm>
            <a:off x="11219760" y="1057320"/>
            <a:ext cx="747720" cy="199800"/>
          </a:xfrm>
          <a:prstGeom prst="rect">
            <a:avLst/>
          </a:prstGeom>
          <a:noFill/>
          <a:ln w="9525">
            <a:noFill/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ctr">
            <a:noAutofit/>
          </a:bodyPr>
          <a:p>
            <a:pPr algn="r">
              <a:lnSpc>
                <a:spcPct val="100000"/>
              </a:lnSpc>
              <a:tabLst>
                <a:tab algn="l" pos="0"/>
              </a:tabLst>
            </a:pPr>
            <a:r>
              <a:rPr b="0" lang="en-US" sz="1200" strike="noStrike" u="none">
                <a:solidFill>
                  <a:srgbClr val="000000"/>
                </a:solidFill>
                <a:effectLst/>
                <a:uFillTx/>
                <a:latin typeface="Bahnschrift SemiLight SemiConde"/>
              </a:rPr>
              <a:t>6330 тн</a:t>
            </a:r>
            <a:endParaRPr b="0" lang="ru-RU" sz="1200" strike="noStrike" u="none">
              <a:effectLst/>
              <a:uFillTx/>
              <a:latin typeface="Times New Roman"/>
            </a:endParaRPr>
          </a:p>
        </xdr:txBody>
      </xdr:sp>
      <xdr:sp textlink="'Данные 2025'!B35">
        <xdr:nvSpPr>
          <xdr:cNvPr id="108" name="TextBox 43"/>
          <xdr:cNvSpPr/>
        </xdr:nvSpPr>
        <xdr:spPr>
          <a:xfrm>
            <a:off x="11219760" y="1314360"/>
            <a:ext cx="747720" cy="199800"/>
          </a:xfrm>
          <a:prstGeom prst="rect">
            <a:avLst/>
          </a:prstGeom>
          <a:noFill/>
          <a:ln w="9525">
            <a:noFill/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ctr">
            <a:noAutofit/>
          </a:bodyPr>
          <a:p>
            <a:pPr algn="r">
              <a:lnSpc>
                <a:spcPct val="100000"/>
              </a:lnSpc>
              <a:tabLst>
                <a:tab algn="l" pos="0"/>
              </a:tabLst>
            </a:pPr>
            <a:r>
              <a:rPr b="0" lang="en-US" sz="1200" strike="noStrike" u="none">
                <a:solidFill>
                  <a:srgbClr val="000000"/>
                </a:solidFill>
                <a:effectLst/>
                <a:uFillTx/>
                <a:latin typeface="Bahnschrift SemiLight SemiConde"/>
              </a:rPr>
              <a:t>156 тн</a:t>
            </a:r>
            <a:endParaRPr b="0" lang="ru-RU" sz="1200" strike="noStrike" u="none">
              <a:effectLst/>
              <a:uFillTx/>
              <a:latin typeface="Times New Roman"/>
            </a:endParaRPr>
          </a:p>
        </xdr:txBody>
      </xdr:sp>
      <xdr:sp textlink="'Данные 2025'!B36">
        <xdr:nvSpPr>
          <xdr:cNvPr id="109" name="TextBox 44"/>
          <xdr:cNvSpPr/>
        </xdr:nvSpPr>
        <xdr:spPr>
          <a:xfrm>
            <a:off x="11219760" y="1562040"/>
            <a:ext cx="747720" cy="199800"/>
          </a:xfrm>
          <a:prstGeom prst="rect">
            <a:avLst/>
          </a:prstGeom>
          <a:noFill/>
          <a:ln w="9525">
            <a:noFill/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ctr">
            <a:noAutofit/>
          </a:bodyPr>
          <a:p>
            <a:pPr algn="r">
              <a:lnSpc>
                <a:spcPct val="100000"/>
              </a:lnSpc>
              <a:tabLst>
                <a:tab algn="l" pos="0"/>
              </a:tabLst>
            </a:pPr>
            <a:r>
              <a:rPr b="0" lang="en-US" sz="1200" strike="noStrike" u="none">
                <a:solidFill>
                  <a:srgbClr val="000000"/>
                </a:solidFill>
                <a:effectLst/>
                <a:uFillTx/>
                <a:latin typeface="Bahnschrift SemiLight SemiConde"/>
              </a:rPr>
              <a:t>613 тн</a:t>
            </a:r>
            <a:endParaRPr b="0" lang="ru-RU" sz="1200" strike="noStrike" u="none">
              <a:effectLst/>
              <a:uFillTx/>
              <a:latin typeface="Times New Roman"/>
            </a:endParaRPr>
          </a:p>
        </xdr:txBody>
      </xdr:sp>
      <xdr:sp textlink="'Данные 2025'!B37">
        <xdr:nvSpPr>
          <xdr:cNvPr id="110" name="TextBox 45"/>
          <xdr:cNvSpPr/>
        </xdr:nvSpPr>
        <xdr:spPr>
          <a:xfrm>
            <a:off x="11229840" y="1876320"/>
            <a:ext cx="747720" cy="199800"/>
          </a:xfrm>
          <a:prstGeom prst="rect">
            <a:avLst/>
          </a:prstGeom>
          <a:noFill/>
          <a:ln w="9525">
            <a:noFill/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ctr">
            <a:noAutofit/>
          </a:bodyPr>
          <a:p>
            <a:pPr algn="r">
              <a:lnSpc>
                <a:spcPct val="100000"/>
              </a:lnSpc>
              <a:tabLst>
                <a:tab algn="l" pos="0"/>
              </a:tabLst>
            </a:pPr>
            <a:r>
              <a:rPr b="0" lang="en-US" sz="1200" strike="noStrike" u="none">
                <a:solidFill>
                  <a:srgbClr val="000000"/>
                </a:solidFill>
                <a:effectLst/>
                <a:uFillTx/>
                <a:latin typeface="Bahnschrift SemiLight SemiConde"/>
              </a:rPr>
              <a:t>7098 тн</a:t>
            </a:r>
            <a:endParaRPr b="0" lang="ru-RU" sz="1200" strike="noStrike" u="none">
              <a:effectLst/>
              <a:uFillTx/>
              <a:latin typeface="Times New Roman"/>
            </a:endParaRPr>
          </a:p>
        </xdr:txBody>
      </xdr:sp>
      <xdr:sp textlink="'Данные 2025'!B38">
        <xdr:nvSpPr>
          <xdr:cNvPr id="111" name="TextBox 46"/>
          <xdr:cNvSpPr/>
        </xdr:nvSpPr>
        <xdr:spPr>
          <a:xfrm>
            <a:off x="11229840" y="2114640"/>
            <a:ext cx="747720" cy="199800"/>
          </a:xfrm>
          <a:prstGeom prst="rect">
            <a:avLst/>
          </a:prstGeom>
          <a:noFill/>
          <a:ln w="9525">
            <a:noFill/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ctr">
            <a:noAutofit/>
          </a:bodyPr>
          <a:p>
            <a:pPr algn="r">
              <a:lnSpc>
                <a:spcPct val="100000"/>
              </a:lnSpc>
              <a:tabLst>
                <a:tab algn="l" pos="0"/>
              </a:tabLst>
            </a:pPr>
            <a:r>
              <a:rPr b="0" lang="en-US" sz="1200" strike="noStrike" u="none">
                <a:solidFill>
                  <a:srgbClr val="000000"/>
                </a:solidFill>
                <a:effectLst/>
                <a:uFillTx/>
                <a:latin typeface="Bahnschrift SemiLight SemiConde"/>
              </a:rPr>
              <a:t>0 тн</a:t>
            </a:r>
            <a:endParaRPr b="0" lang="ru-RU" sz="1200" strike="noStrike" u="none">
              <a:effectLst/>
              <a:uFillTx/>
              <a:latin typeface="Times New Roman"/>
            </a:endParaRPr>
          </a:p>
        </xdr:txBody>
      </xdr:sp>
    </xdr:grpSp>
    <xdr:clientData/>
  </xdr:twoCellAnchor>
  <xdr:twoCellAnchor editAs="oneCell">
    <xdr:from>
      <xdr:col>25</xdr:col>
      <xdr:colOff>64800</xdr:colOff>
      <xdr:row>3</xdr:row>
      <xdr:rowOff>35280</xdr:rowOff>
    </xdr:from>
    <xdr:to>
      <xdr:col>32</xdr:col>
      <xdr:colOff>321480</xdr:colOff>
      <xdr:row>25</xdr:row>
      <xdr:rowOff>187560</xdr:rowOff>
    </xdr:to>
    <xdr:graphicFrame>
      <xdr:nvGraphicFramePr>
        <xdr:cNvPr id="112" name="Диаграмма 57"/>
        <xdr:cNvGraphicFramePr/>
      </xdr:nvGraphicFramePr>
      <xdr:xfrm>
        <a:off x="14393520" y="767520"/>
        <a:ext cx="4264920" cy="4257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absolute">
    <xdr:from>
      <xdr:col>1</xdr:col>
      <xdr:colOff>16560</xdr:colOff>
      <xdr:row>3</xdr:row>
      <xdr:rowOff>39240</xdr:rowOff>
    </xdr:from>
    <xdr:to>
      <xdr:col>8</xdr:col>
      <xdr:colOff>16200</xdr:colOff>
      <xdr:row>17</xdr:row>
      <xdr:rowOff>191160</xdr:rowOff>
    </xdr:to>
    <xdr:sp>
      <xdr:nvSpPr>
        <xdr:cNvPr id="114" name=""/>
        <xdr:cNvSpPr/>
      </xdr:nvSpPr>
      <xdr:spPr>
        <a:xfrm>
          <a:off x="207720" y="771480"/>
          <a:ext cx="1973160" cy="268560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ru-RU" sz="1100" strike="noStrike" u="none">
              <a:effectLst/>
              <a:uFillTx/>
              <a:latin typeface="Times New Roman"/>
            </a:rPr>
            <a:t>Эта фигура представляет срез таблицы. Срезы таблиц не поддерживаются в этой версии Excel.</a:t>
          </a:r>
          <a:endParaRPr b="0" lang="ru-RU" sz="1100" strike="noStrike" u="none">
            <a:effectLst/>
            <a:uFillTx/>
            <a:latin typeface="Times New Roman"/>
          </a:endParaRPr>
        </a:p>
        <a:p>
          <a:endParaRPr b="0" lang="ru-RU" sz="1100" strike="noStrike" u="non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lang="ru-RU" sz="1100" strike="noStrike" u="none">
              <a:effectLst/>
              <a:uFillTx/>
              <a:latin typeface="Times New Roman"/>
            </a:rPr>
            <a:t>Если фигура была изменена в более ранней версии Excel или если книга была сохранена в Excel 2007 или более ранней версии, использовать срез невозможно.</a:t>
          </a:r>
          <a:endParaRPr b="0" lang="ru-RU" sz="11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17</xdr:row>
      <xdr:rowOff>227880</xdr:rowOff>
    </xdr:from>
    <xdr:to>
      <xdr:col>8</xdr:col>
      <xdr:colOff>20520</xdr:colOff>
      <xdr:row>22</xdr:row>
      <xdr:rowOff>153000</xdr:rowOff>
    </xdr:to>
    <xdr:sp>
      <xdr:nvSpPr>
        <xdr:cNvPr id="115" name=""/>
        <xdr:cNvSpPr/>
      </xdr:nvSpPr>
      <xdr:spPr>
        <a:xfrm>
          <a:off x="191160" y="3493800"/>
          <a:ext cx="1994040" cy="92520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ru-RU" sz="1100" strike="noStrike" u="none">
              <a:effectLst/>
              <a:uFillTx/>
              <a:latin typeface="Times New Roman"/>
            </a:rPr>
            <a:t>Эта фигура представляет срез таблицы. Срезы таблиц не поддерживаются в этой версии Excel.</a:t>
          </a:r>
          <a:endParaRPr b="0" lang="ru-RU" sz="1100" strike="noStrike" u="none">
            <a:effectLst/>
            <a:uFillTx/>
            <a:latin typeface="Times New Roman"/>
          </a:endParaRPr>
        </a:p>
        <a:p>
          <a:endParaRPr b="0" lang="ru-RU" sz="1100" strike="noStrike" u="non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lang="ru-RU" sz="1100" strike="noStrike" u="none">
              <a:effectLst/>
              <a:uFillTx/>
              <a:latin typeface="Times New Roman"/>
            </a:rPr>
            <a:t>Если фигура была изменена в более ранней версии Excel или если книга была сохранена в Excel 2007 или более ранней версии, использовать срез невозможно.</a:t>
          </a:r>
          <a:endParaRPr b="0" lang="ru-RU" sz="11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33</xdr:col>
      <xdr:colOff>110880</xdr:colOff>
      <xdr:row>2</xdr:row>
      <xdr:rowOff>113760</xdr:rowOff>
    </xdr:from>
    <xdr:to>
      <xdr:col>39</xdr:col>
      <xdr:colOff>94320</xdr:colOff>
      <xdr:row>21</xdr:row>
      <xdr:rowOff>152280</xdr:rowOff>
    </xdr:to>
    <xdr:grpSp>
      <xdr:nvGrpSpPr>
        <xdr:cNvPr id="116" name="Группа 60"/>
        <xdr:cNvGrpSpPr/>
      </xdr:nvGrpSpPr>
      <xdr:grpSpPr>
        <a:xfrm>
          <a:off x="18769680" y="664920"/>
          <a:ext cx="3850560" cy="3562920"/>
          <a:chOff x="18769680" y="664920"/>
          <a:chExt cx="3850560" cy="3562920"/>
        </a:xfrm>
      </xdr:grpSpPr>
      <xdr:sp>
        <xdr:nvSpPr>
          <xdr:cNvPr id="117" name="Прямоугольник 63"/>
          <xdr:cNvSpPr/>
        </xdr:nvSpPr>
        <xdr:spPr>
          <a:xfrm>
            <a:off x="18769680" y="664920"/>
            <a:ext cx="3850560" cy="3562920"/>
          </a:xfrm>
          <a:prstGeom prst="rect">
            <a:avLst/>
          </a:prstGeom>
          <a:solidFill>
            <a:srgbClr val="ffffff"/>
          </a:solidFill>
          <a:ln w="19050">
            <a:solidFill>
              <a:srgbClr val="70ad47"/>
            </a:solidFill>
            <a:miter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/>
        </xdr:style>
        <xdr:txBody>
          <a:bodyPr horzOverflow="clip" vertOverflow="clip" lIns="90000" rIns="90000" tIns="45000" bIns="45000" anchor="t">
            <a:noAutofit/>
          </a:bodyPr>
          <a:p>
            <a:pPr algn="ctr">
              <a:lnSpc>
                <a:spcPct val="100000"/>
              </a:lnSpc>
            </a:pPr>
            <a:r>
              <a:rPr b="0" lang="ru-RU" sz="1400" strike="noStrike" u="none">
                <a:solidFill>
                  <a:schemeClr val="dk1"/>
                </a:solidFill>
                <a:effectLst/>
                <a:uFillTx/>
                <a:latin typeface="Bahnschrift Light SemiCondensed"/>
              </a:rPr>
              <a:t>ПЛОЩАДЬ УБОРКИ ФАКТ</a:t>
            </a:r>
            <a:endParaRPr b="0" lang="ru-RU" sz="1400" strike="noStrike" u="none">
              <a:effectLst/>
              <a:uFillTx/>
              <a:latin typeface="Times New Roman"/>
            </a:endParaRPr>
          </a:p>
        </xdr:txBody>
      </xdr:sp>
      <xdr:cxnSp>
        <xdr:nvCxnSpPr>
          <xdr:cNvPr id="118" name="Прямая соединительная линия 64"/>
          <xdr:cNvCxnSpPr/>
        </xdr:nvCxnSpPr>
        <xdr:spPr>
          <a:xfrm>
            <a:off x="18867960" y="992520"/>
            <a:ext cx="3661560" cy="360"/>
          </a:xfrm>
          <a:prstGeom prst="straightConnector1">
            <a:avLst/>
          </a:prstGeom>
          <a:ln w="6350">
            <a:solidFill>
              <a:srgbClr val="70ad47"/>
            </a:solidFill>
            <a:miter/>
          </a:ln>
        </xdr:spPr>
      </xdr:cxnSp>
      <xdr:sp>
        <xdr:nvSpPr>
          <xdr:cNvPr id="119" name="Прямоугольник 65"/>
          <xdr:cNvSpPr/>
        </xdr:nvSpPr>
        <xdr:spPr>
          <a:xfrm>
            <a:off x="18864000" y="970560"/>
            <a:ext cx="1173600" cy="401400"/>
          </a:xfrm>
          <a:prstGeom prst="rect">
            <a:avLst/>
          </a:prstGeom>
          <a:noFill/>
          <a:ln w="12700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/>
        </xdr:style>
        <xdr:txBody>
          <a:bodyPr horzOverflow="clip" vertOverflow="clip" lIns="90000" rIns="90000" tIns="45000" bIns="45000" anchor="ctr">
            <a:noAutofit/>
          </a:bodyPr>
          <a:p>
            <a:pPr>
              <a:lnSpc>
                <a:spcPct val="100000"/>
              </a:lnSpc>
            </a:pPr>
            <a:r>
              <a:rPr b="0" lang="ru-RU" sz="1100" strike="noStrike" u="none">
                <a:solidFill>
                  <a:schemeClr val="dk1"/>
                </a:solidFill>
                <a:effectLst/>
                <a:uFillTx/>
                <a:latin typeface="Bahnschrift Light SemiCondensed"/>
              </a:rPr>
              <a:t>ПЛАН:</a:t>
            </a:r>
            <a:endParaRPr b="0" lang="ru-RU" sz="1100" strike="noStrike" u="none">
              <a:effectLst/>
              <a:uFillTx/>
              <a:latin typeface="Times New Roman"/>
            </a:endParaRPr>
          </a:p>
        </xdr:txBody>
      </xdr:sp>
      <xdr:sp>
        <xdr:nvSpPr>
          <xdr:cNvPr id="120" name="Прямоугольник 66"/>
          <xdr:cNvSpPr/>
        </xdr:nvSpPr>
        <xdr:spPr>
          <a:xfrm>
            <a:off x="18860400" y="1135440"/>
            <a:ext cx="1174680" cy="401400"/>
          </a:xfrm>
          <a:prstGeom prst="rect">
            <a:avLst/>
          </a:prstGeom>
          <a:noFill/>
          <a:ln w="12700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/>
        </xdr:style>
        <xdr:txBody>
          <a:bodyPr horzOverflow="clip" vertOverflow="clip" lIns="90000" rIns="90000" tIns="45000" bIns="45000" anchor="ctr">
            <a:noAutofit/>
          </a:bodyPr>
          <a:p>
            <a:pPr>
              <a:lnSpc>
                <a:spcPct val="100000"/>
              </a:lnSpc>
            </a:pPr>
            <a:r>
              <a:rPr b="0" lang="ru-RU" sz="1100" strike="noStrike" u="none">
                <a:solidFill>
                  <a:schemeClr val="dk1"/>
                </a:solidFill>
                <a:effectLst/>
                <a:uFillTx/>
                <a:latin typeface="Bahnschrift Light SemiCondensed"/>
              </a:rPr>
              <a:t>ФАКТ:</a:t>
            </a:r>
            <a:endParaRPr b="0" lang="ru-RU" sz="1100" strike="noStrike" u="none">
              <a:effectLst/>
              <a:uFillTx/>
              <a:latin typeface="Times New Roman"/>
            </a:endParaRPr>
          </a:p>
        </xdr:txBody>
      </xdr:sp>
      <xdr:sp textlink="'Данные 2025'!B15">
        <xdr:nvSpPr>
          <xdr:cNvPr id="121" name="TextBox 67"/>
          <xdr:cNvSpPr/>
        </xdr:nvSpPr>
        <xdr:spPr>
          <a:xfrm>
            <a:off x="20488320" y="944640"/>
            <a:ext cx="761760" cy="378360"/>
          </a:xfrm>
          <a:prstGeom prst="rect">
            <a:avLst/>
          </a:prstGeom>
          <a:noFill/>
          <a:ln w="9525">
            <a:noFill/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ctr">
            <a:noAutofit/>
          </a:bodyPr>
          <a:p>
            <a:pPr algn="r">
              <a:lnSpc>
                <a:spcPct val="100000"/>
              </a:lnSpc>
              <a:tabLst>
                <a:tab algn="l" pos="0"/>
              </a:tabLst>
            </a:pPr>
            <a:r>
              <a:rPr b="0" lang="en-US" sz="1400" strike="noStrike" u="none">
                <a:solidFill>
                  <a:schemeClr val="accent6">
                    <a:lumMod val="50000"/>
                  </a:schemeClr>
                </a:solidFill>
                <a:effectLst/>
                <a:uFillTx/>
                <a:latin typeface="Bahnschrift Light SemiCondensed"/>
              </a:rPr>
              <a:t>1676 га</a:t>
            </a:r>
            <a:endParaRPr b="0" lang="ru-RU" sz="1400" strike="noStrike" u="none">
              <a:effectLst/>
              <a:uFillTx/>
              <a:latin typeface="Times New Roman"/>
            </a:endParaRPr>
          </a:p>
        </xdr:txBody>
      </xdr:sp>
      <xdr:sp textlink="'Данные 2025'!B16">
        <xdr:nvSpPr>
          <xdr:cNvPr id="122" name="TextBox 68"/>
          <xdr:cNvSpPr/>
        </xdr:nvSpPr>
        <xdr:spPr>
          <a:xfrm>
            <a:off x="20516040" y="1150560"/>
            <a:ext cx="761040" cy="321840"/>
          </a:xfrm>
          <a:prstGeom prst="rect">
            <a:avLst/>
          </a:prstGeom>
          <a:noFill/>
          <a:ln w="9525">
            <a:noFill/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ctr">
            <a:noAutofit/>
          </a:bodyPr>
          <a:p>
            <a:pPr algn="r">
              <a:lnSpc>
                <a:spcPct val="100000"/>
              </a:lnSpc>
              <a:tabLst>
                <a:tab algn="l" pos="0"/>
              </a:tabLst>
            </a:pPr>
            <a:r>
              <a:rPr b="0" lang="en-US" sz="1400" strike="noStrike" u="none">
                <a:solidFill>
                  <a:schemeClr val="accent6">
                    <a:lumMod val="50000"/>
                  </a:schemeClr>
                </a:solidFill>
                <a:effectLst/>
                <a:uFillTx/>
                <a:latin typeface="Bahnschrift Light SemiCondensed"/>
              </a:rPr>
              <a:t>1484 га</a:t>
            </a:r>
            <a:endParaRPr b="0" lang="ru-RU" sz="1400" strike="noStrike" u="none">
              <a:effectLst/>
              <a:uFillTx/>
              <a:latin typeface="Times New Roman"/>
            </a:endParaRPr>
          </a:p>
        </xdr:txBody>
      </xdr:sp>
      <xdr:sp textlink="'Данные 2025'!AL35">
        <xdr:nvSpPr>
          <xdr:cNvPr id="123" name="TextBox 69"/>
          <xdr:cNvSpPr/>
        </xdr:nvSpPr>
        <xdr:spPr>
          <a:xfrm>
            <a:off x="21560040" y="901800"/>
            <a:ext cx="858600" cy="798840"/>
          </a:xfrm>
          <a:prstGeom prst="rect">
            <a:avLst/>
          </a:prstGeom>
          <a:noFill/>
          <a:ln w="9525">
            <a:noFill/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ctr">
            <a:noAutofit/>
          </a:bodyPr>
          <a:p>
            <a:pPr algn="r">
              <a:lnSpc>
                <a:spcPct val="100000"/>
              </a:lnSpc>
            </a:pPr>
            <a:r>
              <a:rPr b="0" lang="en-US" sz="1800" strike="noStrike" u="none">
                <a:solidFill>
                  <a:srgbClr val="ff0000"/>
                </a:solidFill>
                <a:effectLst/>
                <a:uFillTx/>
                <a:latin typeface="Bahnschrift Light SemiCondensed"/>
              </a:rPr>
              <a:t> </a:t>
            </a:r>
            <a:endParaRPr b="0" lang="ru-RU" sz="1800" strike="noStrike" u="none">
              <a:effectLst/>
              <a:uFillTx/>
              <a:latin typeface="Times New Roman"/>
            </a:endParaRPr>
          </a:p>
        </xdr:txBody>
      </xdr:sp>
    </xdr:grpSp>
    <xdr:clientData/>
  </xdr:twoCellAnchor>
  <xdr:twoCellAnchor editAs="twoCell">
    <xdr:from>
      <xdr:col>33</xdr:col>
      <xdr:colOff>168120</xdr:colOff>
      <xdr:row>7</xdr:row>
      <xdr:rowOff>159120</xdr:rowOff>
    </xdr:from>
    <xdr:to>
      <xdr:col>35</xdr:col>
      <xdr:colOff>240120</xdr:colOff>
      <xdr:row>9</xdr:row>
      <xdr:rowOff>95040</xdr:rowOff>
    </xdr:to>
    <xdr:sp>
      <xdr:nvSpPr>
        <xdr:cNvPr id="124" name="Прямоугольник 61"/>
        <xdr:cNvSpPr/>
      </xdr:nvSpPr>
      <xdr:spPr>
        <a:xfrm>
          <a:off x="18826920" y="1615320"/>
          <a:ext cx="1361160" cy="29772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>
            <a:lnSpc>
              <a:spcPct val="100000"/>
            </a:lnSpc>
          </a:pPr>
          <a:r>
            <a:rPr b="0" lang="ru-RU" sz="1100" strike="noStrike" u="none">
              <a:solidFill>
                <a:schemeClr val="dk1">
                  <a:lumMod val="65000"/>
                  <a:lumOff val="35000"/>
                </a:schemeClr>
              </a:solidFill>
              <a:effectLst/>
              <a:uFillTx/>
              <a:latin typeface="Bahnschrift Light SemiCondensed"/>
            </a:rPr>
            <a:t>ОСТАВИЛИ:</a:t>
          </a:r>
          <a:endParaRPr b="0" lang="ru-RU" sz="11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35</xdr:col>
      <xdr:colOff>612720</xdr:colOff>
      <xdr:row>8</xdr:row>
      <xdr:rowOff>23040</xdr:rowOff>
    </xdr:from>
    <xdr:to>
      <xdr:col>37</xdr:col>
      <xdr:colOff>35640</xdr:colOff>
      <xdr:row>9</xdr:row>
      <xdr:rowOff>79920</xdr:rowOff>
    </xdr:to>
    <xdr:sp textlink="'Данные 2025'!B20">
      <xdr:nvSpPr>
        <xdr:cNvPr id="125" name="TextBox 62"/>
        <xdr:cNvSpPr/>
      </xdr:nvSpPr>
      <xdr:spPr>
        <a:xfrm>
          <a:off x="20560680" y="1659960"/>
          <a:ext cx="712080" cy="237960"/>
        </a:xfrm>
        <a:prstGeom prst="rect">
          <a:avLst/>
        </a:prstGeom>
        <a:noFill/>
        <a:ln w="9525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ctr">
          <a:noAutofit/>
        </a:bodyPr>
        <a:p>
          <a:pPr algn="r">
            <a:lnSpc>
              <a:spcPct val="100000"/>
            </a:lnSpc>
            <a:tabLst>
              <a:tab algn="l" pos="0"/>
            </a:tabLst>
          </a:pPr>
          <a:r>
            <a:rPr b="0" lang="en-US" sz="1500" strike="noStrike" u="none">
              <a:solidFill>
                <a:srgbClr val="000000"/>
              </a:solidFill>
              <a:effectLst/>
              <a:uFillTx/>
              <a:latin typeface="Bahnschrift Light SemiCondensed"/>
            </a:rPr>
            <a:t>121 га</a:t>
          </a:r>
          <a:endParaRPr b="0" lang="ru-RU" sz="15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33</xdr:col>
      <xdr:colOff>178920</xdr:colOff>
      <xdr:row>8</xdr:row>
      <xdr:rowOff>131400</xdr:rowOff>
    </xdr:from>
    <xdr:to>
      <xdr:col>37</xdr:col>
      <xdr:colOff>299160</xdr:colOff>
      <xdr:row>15</xdr:row>
      <xdr:rowOff>144720</xdr:rowOff>
    </xdr:to>
    <xdr:sp>
      <xdr:nvSpPr>
        <xdr:cNvPr id="126" name="Прямоугольник 70"/>
        <xdr:cNvSpPr/>
      </xdr:nvSpPr>
      <xdr:spPr>
        <a:xfrm>
          <a:off x="18837720" y="1768320"/>
          <a:ext cx="2698560" cy="128016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>
            <a:lnSpc>
              <a:spcPct val="100000"/>
            </a:lnSpc>
          </a:pPr>
          <a:r>
            <a:rPr b="0" lang="ru-RU" sz="1200" strike="noStrike" u="none">
              <a:solidFill>
                <a:schemeClr val="dk1"/>
              </a:solidFill>
              <a:effectLst/>
              <a:uFillTx/>
              <a:latin typeface="Bahnschrift Light SemiCondensed"/>
            </a:rPr>
            <a:t>в т.ч.</a:t>
          </a:r>
          <a:endParaRPr b="0" lang="ru-RU" sz="1200" strike="noStrike" u="non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lang="ru-RU" sz="1200" strike="noStrike" u="none">
              <a:solidFill>
                <a:schemeClr val="dk1"/>
              </a:solidFill>
              <a:effectLst/>
              <a:uFillTx/>
              <a:latin typeface="Bahnschrift Light SemiCondensed"/>
            </a:rPr>
            <a:t>Учхоз Кубань</a:t>
          </a:r>
          <a:r>
            <a:rPr b="0" lang="ru-RU" sz="1200" strike="noStrike" u="none">
              <a:solidFill>
                <a:schemeClr val="dk1"/>
              </a:solidFill>
              <a:effectLst/>
              <a:uFillTx/>
              <a:latin typeface="Bahnschrift Light SemiCondensed"/>
            </a:rPr>
            <a:t>	</a:t>
          </a:r>
          <a:r>
            <a:rPr b="0" lang="ru-RU" sz="1200" strike="noStrike" u="none">
              <a:solidFill>
                <a:schemeClr val="dk1"/>
              </a:solidFill>
              <a:effectLst/>
              <a:uFillTx/>
              <a:latin typeface="Bahnschrift Light SemiCondensed"/>
            </a:rPr>
            <a:t>	</a:t>
          </a:r>
          <a:r>
            <a:rPr b="0" lang="ru-RU" sz="1200" strike="noStrike" u="none">
              <a:solidFill>
                <a:schemeClr val="dk1"/>
              </a:solidFill>
              <a:effectLst/>
              <a:uFillTx/>
              <a:latin typeface="Bahnschrift Light SemiCondensed"/>
            </a:rPr>
            <a:t>20  га</a:t>
          </a:r>
          <a:endParaRPr b="0" lang="ru-RU" sz="1200" strike="noStrike" u="non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lang="ru-RU" sz="1200" strike="noStrike" u="none">
              <a:solidFill>
                <a:schemeClr val="dk1"/>
              </a:solidFill>
              <a:effectLst/>
              <a:uFillTx/>
              <a:latin typeface="Bahnschrift Light SemiCondensed"/>
            </a:rPr>
            <a:t>Братковский</a:t>
          </a:r>
          <a:r>
            <a:rPr b="0" lang="ru-RU" sz="1200" strike="noStrike" u="none">
              <a:solidFill>
                <a:schemeClr val="dk1"/>
              </a:solidFill>
              <a:effectLst/>
              <a:uFillTx/>
              <a:latin typeface="Bahnschrift Light SemiCondensed"/>
            </a:rPr>
            <a:t>	</a:t>
          </a:r>
          <a:r>
            <a:rPr b="0" lang="ru-RU" sz="1200" strike="noStrike" u="none">
              <a:solidFill>
                <a:schemeClr val="dk1"/>
              </a:solidFill>
              <a:effectLst/>
              <a:uFillTx/>
              <a:latin typeface="Bahnschrift Light SemiCondensed"/>
            </a:rPr>
            <a:t>	</a:t>
          </a:r>
          <a:r>
            <a:rPr b="0" lang="ru-RU" sz="1200" strike="noStrike" u="none">
              <a:solidFill>
                <a:schemeClr val="dk1"/>
              </a:solidFill>
              <a:effectLst/>
              <a:uFillTx/>
              <a:latin typeface="Bahnschrift Light SemiCondensed"/>
            </a:rPr>
            <a:t>32  га</a:t>
          </a:r>
          <a:endParaRPr b="0" lang="ru-RU" sz="1200" strike="noStrike" u="non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lang="ru-RU" sz="1200" strike="noStrike" u="none">
              <a:solidFill>
                <a:schemeClr val="dk1"/>
              </a:solidFill>
              <a:effectLst/>
              <a:uFillTx/>
              <a:latin typeface="Bahnschrift Light SemiCondensed"/>
            </a:rPr>
            <a:t>ГРК</a:t>
          </a:r>
          <a:r>
            <a:rPr b="0" lang="ru-RU" sz="1200" strike="noStrike" u="none">
              <a:solidFill>
                <a:schemeClr val="dk1"/>
              </a:solidFill>
              <a:effectLst/>
              <a:uFillTx/>
              <a:latin typeface="Bahnschrift Light SemiCondensed"/>
            </a:rPr>
            <a:t>	</a:t>
          </a:r>
          <a:r>
            <a:rPr b="0" lang="ru-RU" sz="1200" strike="noStrike" u="none">
              <a:solidFill>
                <a:schemeClr val="dk1"/>
              </a:solidFill>
              <a:effectLst/>
              <a:uFillTx/>
              <a:latin typeface="Bahnschrift Light SemiCondensed"/>
            </a:rPr>
            <a:t>	</a:t>
          </a:r>
          <a:r>
            <a:rPr b="0" lang="ru-RU" sz="1200" strike="noStrike" u="none">
              <a:solidFill>
                <a:schemeClr val="dk1"/>
              </a:solidFill>
              <a:effectLst/>
              <a:uFillTx/>
              <a:latin typeface="Bahnschrift Light SemiCondensed"/>
            </a:rPr>
            <a:t>1,5  га</a:t>
          </a:r>
          <a:endParaRPr b="0" lang="ru-RU" sz="1200" strike="noStrike" u="non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lang="ru-RU" sz="1200" strike="noStrike" u="none">
              <a:solidFill>
                <a:schemeClr val="dk1"/>
              </a:solidFill>
              <a:effectLst/>
              <a:uFillTx/>
              <a:latin typeface="Bahnschrift Light SemiCondensed"/>
            </a:rPr>
            <a:t>ГРК демо</a:t>
          </a:r>
          <a:r>
            <a:rPr b="0" lang="ru-RU" sz="1200" strike="noStrike" u="none">
              <a:solidFill>
                <a:schemeClr val="dk1"/>
              </a:solidFill>
              <a:effectLst/>
              <a:uFillTx/>
              <a:latin typeface="Bahnschrift Light SemiCondensed"/>
            </a:rPr>
            <a:t>	</a:t>
          </a:r>
          <a:r>
            <a:rPr b="0" lang="ru-RU" sz="1200" strike="noStrike" u="none">
              <a:solidFill>
                <a:schemeClr val="dk1"/>
              </a:solidFill>
              <a:effectLst/>
              <a:uFillTx/>
              <a:latin typeface="Bahnschrift Light SemiCondensed"/>
            </a:rPr>
            <a:t>	</a:t>
          </a:r>
          <a:r>
            <a:rPr b="0" lang="ru-RU" sz="1200" strike="noStrike" u="none">
              <a:solidFill>
                <a:schemeClr val="dk1"/>
              </a:solidFill>
              <a:effectLst/>
              <a:uFillTx/>
              <a:latin typeface="Bahnschrift Light SemiCondensed"/>
            </a:rPr>
            <a:t>   8 га</a:t>
          </a:r>
          <a:endParaRPr b="0" lang="ru-RU" sz="1200" strike="noStrike" u="non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lang="ru-RU" sz="1200" strike="noStrike" u="none">
              <a:solidFill>
                <a:schemeClr val="dk1"/>
              </a:solidFill>
              <a:effectLst/>
              <a:uFillTx/>
              <a:latin typeface="Bahnschrift Light SemiCondensed"/>
            </a:rPr>
            <a:t>ГРК собственные семена       59,5 га</a:t>
          </a:r>
          <a:endParaRPr b="0" lang="ru-RU" sz="1200" strike="noStrike" u="non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b="0" lang="ru-RU" sz="12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33</xdr:col>
      <xdr:colOff>219960</xdr:colOff>
      <xdr:row>15</xdr:row>
      <xdr:rowOff>126360</xdr:rowOff>
    </xdr:from>
    <xdr:to>
      <xdr:col>37</xdr:col>
      <xdr:colOff>219240</xdr:colOff>
      <xdr:row>21</xdr:row>
      <xdr:rowOff>8280</xdr:rowOff>
    </xdr:to>
    <xdr:sp>
      <xdr:nvSpPr>
        <xdr:cNvPr id="127" name="Прямоугольник 71"/>
        <xdr:cNvSpPr/>
      </xdr:nvSpPr>
      <xdr:spPr>
        <a:xfrm>
          <a:off x="18878760" y="3030120"/>
          <a:ext cx="2577600" cy="105372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>
            <a:lnSpc>
              <a:spcPct val="100000"/>
            </a:lnSpc>
          </a:pPr>
          <a:r>
            <a:rPr b="0" lang="ru-RU" sz="1100" strike="noStrike" u="none">
              <a:solidFill>
                <a:schemeClr val="dk1">
                  <a:lumMod val="65000"/>
                  <a:lumOff val="35000"/>
                </a:schemeClr>
              </a:solidFill>
              <a:effectLst/>
              <a:uFillTx/>
              <a:latin typeface="Bahnschrift Light SemiCondensed"/>
            </a:rPr>
            <a:t>+</a:t>
          </a:r>
          <a:endParaRPr b="0" lang="ru-RU" sz="1100" strike="noStrike" u="non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lang="ru-RU" sz="1100" strike="noStrike" u="none">
              <a:solidFill>
                <a:schemeClr val="dk1">
                  <a:lumMod val="65000"/>
                  <a:lumOff val="35000"/>
                </a:schemeClr>
              </a:solidFill>
              <a:effectLst/>
              <a:uFillTx/>
              <a:latin typeface="Bahnschrift Light SemiCondensed"/>
            </a:rPr>
            <a:t>УБРАНО НА ЗЕРНО:</a:t>
          </a:r>
          <a:endParaRPr b="0" lang="ru-RU" sz="1100" strike="noStrike" u="non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lang="ru-RU" sz="1100" strike="noStrike" u="none">
              <a:solidFill>
                <a:schemeClr val="dk1"/>
              </a:solidFill>
              <a:effectLst/>
              <a:uFillTx/>
              <a:latin typeface="Bahnschrift Light SemiCondensed"/>
            </a:rPr>
            <a:t>в т.ч.</a:t>
          </a:r>
          <a:endParaRPr b="0" lang="ru-RU" sz="1100" strike="noStrike" u="non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lang="ru-RU" sz="1100" strike="noStrike" u="none">
              <a:solidFill>
                <a:schemeClr val="dk1"/>
              </a:solidFill>
              <a:effectLst/>
              <a:uFillTx/>
              <a:latin typeface="Bahnschrift Light SemiCondensed"/>
            </a:rPr>
            <a:t>ГРК</a:t>
          </a:r>
          <a:r>
            <a:rPr b="0" lang="ru-RU" sz="1100" strike="noStrike" u="none">
              <a:solidFill>
                <a:schemeClr val="dk1"/>
              </a:solidFill>
              <a:effectLst/>
              <a:uFillTx/>
              <a:latin typeface="Bahnschrift Light SemiCondensed"/>
            </a:rPr>
            <a:t>	</a:t>
          </a:r>
          <a:r>
            <a:rPr b="0" lang="ru-RU" sz="1100" strike="noStrike" u="none">
              <a:solidFill>
                <a:schemeClr val="dk1"/>
              </a:solidFill>
              <a:effectLst/>
              <a:uFillTx/>
              <a:latin typeface="Bahnschrift Light SemiCondensed"/>
            </a:rPr>
            <a:t>	</a:t>
          </a:r>
          <a:r>
            <a:rPr b="0" lang="ru-RU" sz="1100" strike="noStrike" u="none">
              <a:solidFill>
                <a:schemeClr val="dk1"/>
              </a:solidFill>
              <a:effectLst/>
              <a:uFillTx/>
              <a:latin typeface="Bahnschrift Light SemiCondensed"/>
            </a:rPr>
            <a:t>60 га</a:t>
          </a:r>
          <a:endParaRPr b="0" lang="ru-RU" sz="1100" strike="noStrike" u="non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lang="ru-RU" sz="1100" strike="noStrike" u="none">
              <a:solidFill>
                <a:schemeClr val="dk1"/>
              </a:solidFill>
              <a:effectLst/>
              <a:uFillTx/>
              <a:latin typeface="Bahnschrift Light SemiCondensed"/>
            </a:rPr>
            <a:t>ГРК собственные семена</a:t>
          </a:r>
          <a:r>
            <a:rPr b="0" lang="ru-RU" sz="1100" strike="noStrike" u="none">
              <a:solidFill>
                <a:schemeClr val="dk1"/>
              </a:solidFill>
              <a:effectLst/>
              <a:uFillTx/>
              <a:latin typeface="Bahnschrift Light SemiCondensed"/>
            </a:rPr>
            <a:t>	</a:t>
          </a:r>
          <a:r>
            <a:rPr b="0" lang="ru-RU" sz="1100" strike="noStrike" u="none">
              <a:solidFill>
                <a:schemeClr val="dk1"/>
              </a:solidFill>
              <a:effectLst/>
              <a:uFillTx/>
              <a:latin typeface="Bahnschrift Light SemiCondensed"/>
            </a:rPr>
            <a:t>11 га</a:t>
          </a:r>
          <a:endParaRPr b="0" lang="ru-RU" sz="11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36</xdr:col>
      <xdr:colOff>1800</xdr:colOff>
      <xdr:row>17</xdr:row>
      <xdr:rowOff>4320</xdr:rowOff>
    </xdr:from>
    <xdr:to>
      <xdr:col>37</xdr:col>
      <xdr:colOff>35280</xdr:colOff>
      <xdr:row>17</xdr:row>
      <xdr:rowOff>233280</xdr:rowOff>
    </xdr:to>
    <xdr:sp textlink="'Данные 2025'!B19">
      <xdr:nvSpPr>
        <xdr:cNvPr id="128" name="TextBox 72"/>
        <xdr:cNvSpPr/>
      </xdr:nvSpPr>
      <xdr:spPr>
        <a:xfrm>
          <a:off x="20594160" y="3270240"/>
          <a:ext cx="678240" cy="228960"/>
        </a:xfrm>
        <a:prstGeom prst="rect">
          <a:avLst/>
        </a:prstGeom>
        <a:noFill/>
        <a:ln w="9525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ctr">
          <a:noAutofit/>
        </a:bodyPr>
        <a:p>
          <a:pPr algn="r">
            <a:lnSpc>
              <a:spcPct val="100000"/>
            </a:lnSpc>
            <a:tabLst>
              <a:tab algn="l" pos="0"/>
            </a:tabLst>
          </a:pPr>
          <a:r>
            <a:rPr b="0" lang="en-US" sz="1500" strike="noStrike" u="none">
              <a:solidFill>
                <a:srgbClr val="000000"/>
              </a:solidFill>
              <a:effectLst/>
              <a:uFillTx/>
              <a:latin typeface="Bahnschrift Light SemiCondensed"/>
            </a:rPr>
            <a:t>71 га</a:t>
          </a:r>
          <a:endParaRPr b="0" lang="ru-RU" sz="1500" strike="noStrike" u="none">
            <a:effectLst/>
            <a:uFillTx/>
            <a:latin typeface="Times New Roman"/>
          </a:endParaRPr>
        </a:p>
      </xdr:txBody>
    </xdr:sp>
    <xdr:clientData/>
  </xdr:twoCellAnchor>
</xdr:wsDr>
</file>

<file path=xl/drawings/drawing5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0.3999603999604</cdr:x>
      <cdr:y>0.333237451459802</cdr:y>
    </cdr:from>
    <cdr:to>
      <cdr:x>0.5998910998911</cdr:x>
      <cdr:y>0.666331080109305</cdr:y>
    </cdr:to>
    <cdr:sp>
      <cdr:nvSpPr>
        <cdr:cNvPr id="79" name="TextBox 1"/>
        <cdr:cNvSpPr/>
      </cdr:nvSpPr>
      <cdr:spPr>
        <a:xfrm>
          <a:off x="2908800" y="834120"/>
          <a:ext cx="1454040" cy="83376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</cdr:sp>
  </cdr:relSizeAnchor>
</c:userShapes>
</file>

<file path=xl/drawings/drawing6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0.0283592167454423</cdr:x>
      <cdr:y>0.0558890673881796</cdr:y>
    </cdr:from>
    <cdr:to>
      <cdr:x>0.966745442268737</cdr:x>
      <cdr:y>0.0580874270736451</cdr:y>
    </cdr:to>
    <cdr:cxnSp>
      <cdr:nvCxnSpPr>
        <cdr:cNvPr id="113" name="Прямая соединительная линия 2"/>
        <cdr:cNvCxnSpPr/>
      </cdr:nvCxnSpPr>
      <cdr:spPr>
        <a:xfrm flipV="1">
          <a:off x="120960" y="237960"/>
          <a:ext cx="4002840" cy="9720"/>
        </a:xfrm>
        <a:prstGeom prst="straightConnector1">
          <a:avLst/>
        </a:prstGeom>
        <a:ln w="6350">
          <a:solidFill>
            <a:srgbClr val="70ad47"/>
          </a:solidFill>
          <a:miter/>
        </a:ln>
      </cdr:spPr>
    </cdr:cxn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156960</xdr:colOff>
      <xdr:row>19</xdr:row>
      <xdr:rowOff>87840</xdr:rowOff>
    </xdr:from>
    <xdr:to>
      <xdr:col>4</xdr:col>
      <xdr:colOff>18720</xdr:colOff>
      <xdr:row>36</xdr:row>
      <xdr:rowOff>77760</xdr:rowOff>
    </xdr:to>
    <xdr:sp>
      <xdr:nvSpPr>
        <xdr:cNvPr id="129" name="Прямоугольник 1"/>
        <xdr:cNvSpPr/>
      </xdr:nvSpPr>
      <xdr:spPr>
        <a:xfrm>
          <a:off x="156960" y="3782160"/>
          <a:ext cx="898560" cy="3437280"/>
        </a:xfrm>
        <a:prstGeom prst="rect">
          <a:avLst/>
        </a:prstGeom>
        <a:noFill/>
        <a:ln w="12700">
          <a:noFill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1</xdr:col>
      <xdr:colOff>2160</xdr:colOff>
      <xdr:row>3</xdr:row>
      <xdr:rowOff>40320</xdr:rowOff>
    </xdr:from>
    <xdr:to>
      <xdr:col>8</xdr:col>
      <xdr:colOff>47520</xdr:colOff>
      <xdr:row>12</xdr:row>
      <xdr:rowOff>86760</xdr:rowOff>
    </xdr:to>
    <xdr:sp>
      <xdr:nvSpPr>
        <xdr:cNvPr id="130" name=""/>
        <xdr:cNvSpPr/>
      </xdr:nvSpPr>
      <xdr:spPr>
        <a:xfrm>
          <a:off x="193320" y="772560"/>
          <a:ext cx="2018880" cy="167508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ru-RU" sz="1100" strike="noStrike" u="none">
              <a:effectLst/>
              <a:uFillTx/>
              <a:latin typeface="Times New Roman"/>
            </a:rPr>
            <a:t>Эта фигура представляет срез. Срезы поддерживаются только в Excel 2010 и более поздних версиях.</a:t>
          </a:r>
          <a:endParaRPr b="0" lang="ru-RU" sz="1100" strike="noStrike" u="none">
            <a:effectLst/>
            <a:uFillTx/>
            <a:latin typeface="Times New Roman"/>
          </a:endParaRPr>
        </a:p>
        <a:p>
          <a:endParaRPr b="0" lang="ru-RU" sz="1100" strike="noStrike" u="non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lang="ru-RU" sz="1100" strike="noStrike" u="none">
              <a:effectLst/>
              <a:uFillTx/>
              <a:latin typeface="Times New Roman"/>
            </a:rPr>
            <a:t>Если фигура была изменена в более ранней версии Excel или книга была сохранена в Excel 2003 или более ранней версии, использование среза невозможно.</a:t>
          </a:r>
          <a:endParaRPr b="0" lang="ru-RU" sz="11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</xdr:col>
      <xdr:colOff>1080</xdr:colOff>
      <xdr:row>13</xdr:row>
      <xdr:rowOff>37080</xdr:rowOff>
    </xdr:from>
    <xdr:to>
      <xdr:col>8</xdr:col>
      <xdr:colOff>46440</xdr:colOff>
      <xdr:row>20</xdr:row>
      <xdr:rowOff>10800</xdr:rowOff>
    </xdr:to>
    <xdr:sp>
      <xdr:nvSpPr>
        <xdr:cNvPr id="131" name=""/>
        <xdr:cNvSpPr/>
      </xdr:nvSpPr>
      <xdr:spPr>
        <a:xfrm>
          <a:off x="192240" y="2579040"/>
          <a:ext cx="2018880" cy="131652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ru-RU" sz="1100" strike="noStrike" u="none">
              <a:effectLst/>
              <a:uFillTx/>
              <a:latin typeface="Times New Roman"/>
            </a:rPr>
            <a:t>Эта фигура представляет срез. Срезы поддерживаются только в Excel 2010 и более поздних версиях.</a:t>
          </a:r>
          <a:endParaRPr b="0" lang="ru-RU" sz="1100" strike="noStrike" u="none">
            <a:effectLst/>
            <a:uFillTx/>
            <a:latin typeface="Times New Roman"/>
          </a:endParaRPr>
        </a:p>
        <a:p>
          <a:endParaRPr b="0" lang="ru-RU" sz="1100" strike="noStrike" u="non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lang="ru-RU" sz="1100" strike="noStrike" u="none">
              <a:effectLst/>
              <a:uFillTx/>
              <a:latin typeface="Times New Roman"/>
            </a:rPr>
            <a:t>Если фигура была изменена в более ранней версии Excel или книга была сохранена в Excel 2003 или более ранней версии, использование среза невозможно.</a:t>
          </a:r>
          <a:endParaRPr b="0" lang="ru-RU" sz="11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9</xdr:col>
      <xdr:colOff>72360</xdr:colOff>
      <xdr:row>3</xdr:row>
      <xdr:rowOff>73440</xdr:rowOff>
    </xdr:from>
    <xdr:to>
      <xdr:col>10</xdr:col>
      <xdr:colOff>266400</xdr:colOff>
      <xdr:row>4</xdr:row>
      <xdr:rowOff>73440</xdr:rowOff>
    </xdr:to>
    <xdr:sp>
      <xdr:nvSpPr>
        <xdr:cNvPr id="132" name="Прямоугольник 4"/>
        <xdr:cNvSpPr/>
      </xdr:nvSpPr>
      <xdr:spPr>
        <a:xfrm>
          <a:off x="2488680" y="805680"/>
          <a:ext cx="1180800" cy="18072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15</xdr:col>
      <xdr:colOff>282600</xdr:colOff>
      <xdr:row>3</xdr:row>
      <xdr:rowOff>45720</xdr:rowOff>
    </xdr:from>
    <xdr:to>
      <xdr:col>19</xdr:col>
      <xdr:colOff>91800</xdr:colOff>
      <xdr:row>12</xdr:row>
      <xdr:rowOff>173880</xdr:rowOff>
    </xdr:to>
    <xdr:grpSp>
      <xdr:nvGrpSpPr>
        <xdr:cNvPr id="133" name="Группа 5"/>
        <xdr:cNvGrpSpPr/>
      </xdr:nvGrpSpPr>
      <xdr:grpSpPr>
        <a:xfrm>
          <a:off x="7240320" y="777960"/>
          <a:ext cx="2387160" cy="1756800"/>
          <a:chOff x="7240320" y="777960"/>
          <a:chExt cx="2387160" cy="1756800"/>
        </a:xfrm>
      </xdr:grpSpPr>
      <xdr:grpSp>
        <xdr:nvGrpSpPr>
          <xdr:cNvPr id="134" name="Группа 6"/>
          <xdr:cNvGrpSpPr/>
        </xdr:nvGrpSpPr>
        <xdr:grpSpPr>
          <a:xfrm>
            <a:off x="7240320" y="777960"/>
            <a:ext cx="2387160" cy="1704960"/>
            <a:chOff x="7240320" y="777960"/>
            <a:chExt cx="2387160" cy="1704960"/>
          </a:xfrm>
        </xdr:grpSpPr>
        <xdr:sp>
          <xdr:nvSpPr>
            <xdr:cNvPr id="135" name="Прямоугольник 8"/>
            <xdr:cNvSpPr/>
          </xdr:nvSpPr>
          <xdr:spPr>
            <a:xfrm>
              <a:off x="7240320" y="777960"/>
              <a:ext cx="2387160" cy="1704960"/>
            </a:xfrm>
            <a:prstGeom prst="rect">
              <a:avLst/>
            </a:prstGeom>
            <a:solidFill>
              <a:srgbClr val="ffffff"/>
            </a:solidFill>
            <a:ln w="19050">
              <a:solidFill>
                <a:srgbClr val="70ad47"/>
              </a:solidFill>
              <a:miter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/>
          </xdr:style>
          <xdr:txBody>
            <a:bodyPr horzOverflow="clip" vertOverflow="clip" lIns="90000" rIns="90000" tIns="45000" bIns="45000" anchor="t">
              <a:noAutofit/>
            </a:bodyPr>
            <a:p>
              <a:pPr algn="ctr">
                <a:lnSpc>
                  <a:spcPct val="100000"/>
                </a:lnSpc>
              </a:pPr>
              <a:r>
                <a:rPr b="0" lang="ru-RU" sz="1400" strike="noStrike" u="none">
                  <a:solidFill>
                    <a:schemeClr val="dk1"/>
                  </a:solidFill>
                  <a:effectLst/>
                  <a:uFillTx/>
                  <a:latin typeface="Bahnschrift Light SemiCondensed"/>
                </a:rPr>
                <a:t>УРОЖАЙНОСТЬ</a:t>
              </a:r>
              <a:endParaRPr b="0" lang="ru-RU" sz="1400" strike="noStrike" u="none">
                <a:effectLst/>
                <a:uFillTx/>
                <a:latin typeface="Times New Roman"/>
              </a:endParaRPr>
            </a:p>
          </xdr:txBody>
        </xdr:sp>
        <xdr:cxnSp>
          <xdr:nvCxnSpPr>
            <xdr:cNvPr id="136" name="Прямая соединительная линия 9"/>
            <xdr:cNvCxnSpPr/>
          </xdr:nvCxnSpPr>
          <xdr:spPr>
            <a:xfrm>
              <a:off x="7288560" y="1032120"/>
              <a:ext cx="2298600" cy="360"/>
            </a:xfrm>
            <a:prstGeom prst="straightConnector1">
              <a:avLst/>
            </a:prstGeom>
            <a:ln w="6350">
              <a:solidFill>
                <a:srgbClr val="70ad47"/>
              </a:solidFill>
              <a:miter/>
            </a:ln>
          </xdr:spPr>
        </xdr:cxnSp>
        <xdr:sp>
          <xdr:nvSpPr>
            <xdr:cNvPr id="137" name="Прямоугольник 10"/>
            <xdr:cNvSpPr/>
          </xdr:nvSpPr>
          <xdr:spPr>
            <a:xfrm>
              <a:off x="7295040" y="1095480"/>
              <a:ext cx="730440" cy="191880"/>
            </a:xfrm>
            <a:prstGeom prst="rect">
              <a:avLst/>
            </a:prstGeom>
            <a:noFill/>
            <a:ln w="12700"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/>
          </xdr:style>
          <xdr:txBody>
            <a:bodyPr horzOverflow="clip" vertOverflow="clip" lIns="90000" rIns="90000" tIns="45000" bIns="45000" anchor="ctr">
              <a:noAutofit/>
            </a:bodyPr>
            <a:p>
              <a:pPr>
                <a:lnSpc>
                  <a:spcPct val="100000"/>
                </a:lnSpc>
              </a:pPr>
              <a:r>
                <a:rPr b="0" lang="ru-RU" sz="1100" strike="noStrike" u="none">
                  <a:solidFill>
                    <a:schemeClr val="dk1"/>
                  </a:solidFill>
                  <a:effectLst/>
                  <a:uFillTx/>
                  <a:latin typeface="Bahnschrift Light SemiCondensed"/>
                </a:rPr>
                <a:t>ПЛАН:</a:t>
              </a:r>
              <a:endParaRPr b="0" lang="ru-RU" sz="1100" strike="noStrike" u="none">
                <a:effectLst/>
                <a:uFillTx/>
                <a:latin typeface="Times New Roman"/>
              </a:endParaRPr>
            </a:p>
          </xdr:txBody>
        </xdr:sp>
        <xdr:sp>
          <xdr:nvSpPr>
            <xdr:cNvPr id="138" name="Прямоугольник 11"/>
            <xdr:cNvSpPr/>
          </xdr:nvSpPr>
          <xdr:spPr>
            <a:xfrm>
              <a:off x="7292520" y="1362240"/>
              <a:ext cx="730440" cy="191880"/>
            </a:xfrm>
            <a:prstGeom prst="rect">
              <a:avLst/>
            </a:prstGeom>
            <a:noFill/>
            <a:ln w="12700"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/>
          </xdr:style>
          <xdr:txBody>
            <a:bodyPr horzOverflow="clip" vertOverflow="clip" lIns="90000" rIns="90000" tIns="45000" bIns="45000" anchor="ctr">
              <a:noAutofit/>
            </a:bodyPr>
            <a:p>
              <a:pPr>
                <a:lnSpc>
                  <a:spcPct val="100000"/>
                </a:lnSpc>
              </a:pPr>
              <a:r>
                <a:rPr b="0" lang="ru-RU" sz="1100" strike="noStrike" u="none">
                  <a:solidFill>
                    <a:schemeClr val="dk1"/>
                  </a:solidFill>
                  <a:effectLst/>
                  <a:uFillTx/>
                  <a:latin typeface="Bahnschrift Light SemiCondensed"/>
                </a:rPr>
                <a:t>ФАКТ:</a:t>
              </a:r>
              <a:endParaRPr b="0" lang="ru-RU" sz="1100" strike="noStrike" u="none">
                <a:effectLst/>
                <a:uFillTx/>
                <a:latin typeface="Times New Roman"/>
              </a:endParaRPr>
            </a:p>
          </xdr:txBody>
        </xdr:sp>
        <xdr:sp>
          <xdr:nvSpPr>
            <xdr:cNvPr id="139" name="TextBox 12"/>
            <xdr:cNvSpPr/>
          </xdr:nvSpPr>
          <xdr:spPr>
            <a:xfrm>
              <a:off x="8415360" y="1051920"/>
              <a:ext cx="1168920" cy="276480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0"/>
            <a:fillRef idx="0"/>
            <a:effectRef idx="0"/>
            <a:fontRef idx="minor"/>
          </xdr:style>
          <xdr:txBody>
            <a:bodyPr horzOverflow="clip" vertOverflow="clip" lIns="90000" rIns="90000" tIns="45000" bIns="45000" anchor="ctr">
              <a:noAutofit/>
            </a:bodyPr>
            <a:p>
              <a:pPr algn="r">
                <a:lnSpc>
                  <a:spcPct val="100000"/>
                </a:lnSpc>
              </a:pPr>
              <a:r>
                <a:rPr b="0" lang="en-US" sz="1400" strike="noStrike" u="none">
                  <a:solidFill>
                    <a:schemeClr val="accent6">
                      <a:lumMod val="50000"/>
                    </a:schemeClr>
                  </a:solidFill>
                  <a:effectLst/>
                  <a:uFillTx/>
                  <a:latin typeface="Bahnschrift Light SemiCondensed"/>
                </a:rPr>
                <a:t>4,6 тн./га</a:t>
              </a:r>
              <a:endParaRPr b="0" lang="ru-RU" sz="1400" strike="noStrike" u="none">
                <a:effectLst/>
                <a:uFillTx/>
                <a:latin typeface="Times New Roman"/>
              </a:endParaRPr>
            </a:p>
          </xdr:txBody>
        </xdr:sp>
        <xdr:sp>
          <xdr:nvSpPr>
            <xdr:cNvPr id="140" name="TextBox 13"/>
            <xdr:cNvSpPr/>
          </xdr:nvSpPr>
          <xdr:spPr>
            <a:xfrm>
              <a:off x="8420760" y="1316520"/>
              <a:ext cx="1163520" cy="237600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0"/>
            <a:fillRef idx="0"/>
            <a:effectRef idx="0"/>
            <a:fontRef idx="minor"/>
          </xdr:style>
          <xdr:txBody>
            <a:bodyPr horzOverflow="clip" vertOverflow="clip" lIns="90000" rIns="90000" tIns="45000" bIns="45000" anchor="ctr">
              <a:noAutofit/>
            </a:bodyPr>
            <a:p>
              <a:pPr algn="r">
                <a:lnSpc>
                  <a:spcPct val="100000"/>
                </a:lnSpc>
              </a:pPr>
              <a:r>
                <a:rPr b="0" lang="en-US" sz="1400" strike="noStrike" u="none">
                  <a:solidFill>
                    <a:schemeClr val="accent6">
                      <a:lumMod val="50000"/>
                    </a:schemeClr>
                  </a:solidFill>
                  <a:effectLst/>
                  <a:uFillTx/>
                  <a:latin typeface="Bahnschrift Light SemiCondensed"/>
                </a:rPr>
                <a:t>2,7 тн./га</a:t>
              </a:r>
              <a:endParaRPr b="0" lang="ru-RU" sz="1400" strike="noStrike" u="none">
                <a:effectLst/>
                <a:uFillTx/>
                <a:latin typeface="Times New Roman"/>
              </a:endParaRPr>
            </a:p>
          </xdr:txBody>
        </xdr:sp>
      </xdr:grpSp>
      <xdr:pic>
        <xdr:nvPicPr>
          <xdr:cNvPr id="141" name="Рисунок 7" descr="Открытая ладонь с растением"/>
          <xdr:cNvPicPr/>
        </xdr:nvPicPr>
        <xdr:blipFill>
          <a:blip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/>
        </xdr:blipFill>
        <xdr:spPr>
          <a:xfrm>
            <a:off x="7267320" y="1620720"/>
            <a:ext cx="1045080" cy="914040"/>
          </a:xfrm>
          <a:prstGeom prst="rect">
            <a:avLst/>
          </a:prstGeom>
          <a:noFill/>
          <a:ln w="0">
            <a:noFill/>
          </a:ln>
        </xdr:spPr>
      </xdr:pic>
    </xdr:grpSp>
    <xdr:clientData/>
  </xdr:twoCellAnchor>
  <xdr:twoCellAnchor editAs="twoCell">
    <xdr:from>
      <xdr:col>8</xdr:col>
      <xdr:colOff>217080</xdr:colOff>
      <xdr:row>3</xdr:row>
      <xdr:rowOff>40680</xdr:rowOff>
    </xdr:from>
    <xdr:to>
      <xdr:col>11</xdr:col>
      <xdr:colOff>380880</xdr:colOff>
      <xdr:row>13</xdr:row>
      <xdr:rowOff>69840</xdr:rowOff>
    </xdr:to>
    <xdr:grpSp>
      <xdr:nvGrpSpPr>
        <xdr:cNvPr id="142" name="Группа 14"/>
        <xdr:cNvGrpSpPr/>
      </xdr:nvGrpSpPr>
      <xdr:grpSpPr>
        <a:xfrm>
          <a:off x="2381760" y="772920"/>
          <a:ext cx="2378880" cy="1838880"/>
          <a:chOff x="2381760" y="772920"/>
          <a:chExt cx="2378880" cy="1838880"/>
        </a:xfrm>
      </xdr:grpSpPr>
      <xdr:grpSp>
        <xdr:nvGrpSpPr>
          <xdr:cNvPr id="143" name="Группа 15"/>
          <xdr:cNvGrpSpPr/>
        </xdr:nvGrpSpPr>
        <xdr:grpSpPr>
          <a:xfrm>
            <a:off x="2381760" y="772920"/>
            <a:ext cx="2378880" cy="1704600"/>
            <a:chOff x="2381760" y="772920"/>
            <a:chExt cx="2378880" cy="1704600"/>
          </a:xfrm>
        </xdr:grpSpPr>
        <xdr:sp>
          <xdr:nvSpPr>
            <xdr:cNvPr id="144" name="Прямоугольник 17"/>
            <xdr:cNvSpPr/>
          </xdr:nvSpPr>
          <xdr:spPr>
            <a:xfrm>
              <a:off x="2381760" y="772920"/>
              <a:ext cx="2378880" cy="1704600"/>
            </a:xfrm>
            <a:prstGeom prst="rect">
              <a:avLst/>
            </a:prstGeom>
            <a:solidFill>
              <a:srgbClr val="ffffff"/>
            </a:solidFill>
            <a:ln w="19050">
              <a:solidFill>
                <a:srgbClr val="70ad47"/>
              </a:solidFill>
              <a:miter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/>
          </xdr:style>
          <xdr:txBody>
            <a:bodyPr horzOverflow="clip" vertOverflow="clip" lIns="90000" rIns="90000" tIns="45000" bIns="45000" anchor="t">
              <a:noAutofit/>
            </a:bodyPr>
            <a:p>
              <a:pPr algn="ctr">
                <a:lnSpc>
                  <a:spcPct val="100000"/>
                </a:lnSpc>
              </a:pPr>
              <a:r>
                <a:rPr b="0" lang="ru-RU" sz="1400" strike="noStrike" u="none">
                  <a:solidFill>
                    <a:schemeClr val="dk1"/>
                  </a:solidFill>
                  <a:effectLst/>
                  <a:uFillTx/>
                  <a:latin typeface="Bahnschrift Light SemiCondensed"/>
                </a:rPr>
                <a:t>ВАЛОВЫЙ СБОР</a:t>
              </a:r>
              <a:endParaRPr b="0" lang="ru-RU" sz="1400" strike="noStrike" u="none">
                <a:effectLst/>
                <a:uFillTx/>
                <a:latin typeface="Times New Roman"/>
              </a:endParaRPr>
            </a:p>
          </xdr:txBody>
        </xdr:sp>
        <xdr:cxnSp>
          <xdr:nvCxnSpPr>
            <xdr:cNvPr id="145" name="Прямая соединительная линия 18"/>
            <xdr:cNvCxnSpPr/>
          </xdr:nvCxnSpPr>
          <xdr:spPr>
            <a:xfrm>
              <a:off x="2429640" y="1027080"/>
              <a:ext cx="2290680" cy="360"/>
            </a:xfrm>
            <a:prstGeom prst="straightConnector1">
              <a:avLst/>
            </a:prstGeom>
            <a:ln w="6350">
              <a:solidFill>
                <a:srgbClr val="70ad47"/>
              </a:solidFill>
              <a:miter/>
            </a:ln>
          </xdr:spPr>
        </xdr:cxnSp>
        <xdr:sp>
          <xdr:nvSpPr>
            <xdr:cNvPr id="146" name="Прямоугольник 19"/>
            <xdr:cNvSpPr/>
          </xdr:nvSpPr>
          <xdr:spPr>
            <a:xfrm>
              <a:off x="2436120" y="1090440"/>
              <a:ext cx="727920" cy="191880"/>
            </a:xfrm>
            <a:prstGeom prst="rect">
              <a:avLst/>
            </a:prstGeom>
            <a:noFill/>
            <a:ln w="12700"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/>
          </xdr:style>
          <xdr:txBody>
            <a:bodyPr horzOverflow="clip" vertOverflow="clip" lIns="90000" rIns="90000" tIns="45000" bIns="45000" anchor="ctr">
              <a:noAutofit/>
            </a:bodyPr>
            <a:p>
              <a:pPr>
                <a:lnSpc>
                  <a:spcPct val="100000"/>
                </a:lnSpc>
              </a:pPr>
              <a:r>
                <a:rPr b="0" lang="ru-RU" sz="1100" strike="noStrike" u="none">
                  <a:solidFill>
                    <a:schemeClr val="dk1"/>
                  </a:solidFill>
                  <a:effectLst/>
                  <a:uFillTx/>
                  <a:latin typeface="Bahnschrift Light SemiCondensed"/>
                </a:rPr>
                <a:t>ПЛАН:</a:t>
              </a:r>
              <a:endParaRPr b="0" lang="ru-RU" sz="1100" strike="noStrike" u="none">
                <a:effectLst/>
                <a:uFillTx/>
                <a:latin typeface="Times New Roman"/>
              </a:endParaRPr>
            </a:p>
          </xdr:txBody>
        </xdr:sp>
        <xdr:sp>
          <xdr:nvSpPr>
            <xdr:cNvPr id="147" name="Прямоугольник 20"/>
            <xdr:cNvSpPr/>
          </xdr:nvSpPr>
          <xdr:spPr>
            <a:xfrm>
              <a:off x="2433600" y="1357200"/>
              <a:ext cx="727920" cy="191880"/>
            </a:xfrm>
            <a:prstGeom prst="rect">
              <a:avLst/>
            </a:prstGeom>
            <a:noFill/>
            <a:ln w="12700"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/>
          </xdr:style>
          <xdr:txBody>
            <a:bodyPr horzOverflow="clip" vertOverflow="clip" lIns="90000" rIns="90000" tIns="45000" bIns="45000" anchor="ctr">
              <a:noAutofit/>
            </a:bodyPr>
            <a:p>
              <a:pPr>
                <a:lnSpc>
                  <a:spcPct val="100000"/>
                </a:lnSpc>
              </a:pPr>
              <a:r>
                <a:rPr b="0" lang="ru-RU" sz="1100" strike="noStrike" u="none">
                  <a:solidFill>
                    <a:schemeClr val="dk1"/>
                  </a:solidFill>
                  <a:effectLst/>
                  <a:uFillTx/>
                  <a:latin typeface="Bahnschrift Light SemiCondensed"/>
                </a:rPr>
                <a:t>ФАКТ:</a:t>
              </a:r>
              <a:endParaRPr b="0" lang="ru-RU" sz="1100" strike="noStrike" u="none">
                <a:effectLst/>
                <a:uFillTx/>
                <a:latin typeface="Times New Roman"/>
              </a:endParaRPr>
            </a:p>
          </xdr:txBody>
        </xdr:sp>
        <xdr:sp>
          <xdr:nvSpPr>
            <xdr:cNvPr id="148" name="TextBox 21"/>
            <xdr:cNvSpPr/>
          </xdr:nvSpPr>
          <xdr:spPr>
            <a:xfrm>
              <a:off x="3552480" y="1047240"/>
              <a:ext cx="1164600" cy="276480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0"/>
            <a:fillRef idx="0"/>
            <a:effectRef idx="0"/>
            <a:fontRef idx="minor"/>
          </xdr:style>
          <xdr:txBody>
            <a:bodyPr horzOverflow="clip" vertOverflow="clip" lIns="90000" rIns="90000" tIns="45000" bIns="45000" anchor="ctr">
              <a:noAutofit/>
            </a:bodyPr>
            <a:p>
              <a:pPr algn="r">
                <a:lnSpc>
                  <a:spcPct val="100000"/>
                </a:lnSpc>
              </a:pPr>
              <a:r>
                <a:rPr b="0" lang="en-US" sz="1400" strike="noStrike" u="none">
                  <a:solidFill>
                    <a:schemeClr val="accent6">
                      <a:lumMod val="50000"/>
                    </a:schemeClr>
                  </a:solidFill>
                  <a:effectLst/>
                  <a:uFillTx/>
                  <a:latin typeface="Bahnschrift Light SemiCondensed"/>
                </a:rPr>
                <a:t>7 910,6 тн.</a:t>
              </a:r>
              <a:endParaRPr b="0" lang="ru-RU" sz="1400" strike="noStrike" u="none">
                <a:effectLst/>
                <a:uFillTx/>
                <a:latin typeface="Times New Roman"/>
              </a:endParaRPr>
            </a:p>
          </xdr:txBody>
        </xdr:sp>
        <xdr:sp>
          <xdr:nvSpPr>
            <xdr:cNvPr id="149" name="TextBox 22"/>
            <xdr:cNvSpPr/>
          </xdr:nvSpPr>
          <xdr:spPr>
            <a:xfrm>
              <a:off x="3557880" y="1311480"/>
              <a:ext cx="1159560" cy="237240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0"/>
            <a:fillRef idx="0"/>
            <a:effectRef idx="0"/>
            <a:fontRef idx="minor"/>
          </xdr:style>
          <xdr:txBody>
            <a:bodyPr horzOverflow="clip" vertOverflow="clip" lIns="90000" rIns="90000" tIns="45000" bIns="45000" anchor="ctr">
              <a:noAutofit/>
            </a:bodyPr>
            <a:p>
              <a:pPr algn="r">
                <a:lnSpc>
                  <a:spcPct val="100000"/>
                </a:lnSpc>
              </a:pPr>
              <a:r>
                <a:rPr b="0" lang="en-US" sz="1400" strike="noStrike" u="none">
                  <a:solidFill>
                    <a:schemeClr val="accent6">
                      <a:lumMod val="50000"/>
                    </a:schemeClr>
                  </a:solidFill>
                  <a:effectLst/>
                  <a:uFillTx/>
                  <a:latin typeface="Bahnschrift Light SemiCondensed"/>
                </a:rPr>
                <a:t>4 371,9 тн.</a:t>
              </a:r>
              <a:endParaRPr b="0" lang="ru-RU" sz="1400" strike="noStrike" u="none">
                <a:effectLst/>
                <a:uFillTx/>
                <a:latin typeface="Times New Roman"/>
              </a:endParaRPr>
            </a:p>
          </xdr:txBody>
        </xdr:sp>
        <xdr:sp>
          <xdr:nvSpPr>
            <xdr:cNvPr id="150" name="TextBox 23"/>
            <xdr:cNvSpPr/>
          </xdr:nvSpPr>
          <xdr:spPr>
            <a:xfrm>
              <a:off x="3868200" y="1963080"/>
              <a:ext cx="745920" cy="382680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0"/>
            <a:fillRef idx="0"/>
            <a:effectRef idx="0"/>
            <a:fontRef idx="minor"/>
          </xdr:style>
          <xdr:txBody>
            <a:bodyPr horzOverflow="clip" vertOverflow="clip" lIns="90000" rIns="90000" tIns="45000" bIns="45000" anchor="ctr">
              <a:noAutofit/>
            </a:bodyPr>
            <a:p>
              <a:pPr algn="r">
                <a:lnSpc>
                  <a:spcPct val="100000"/>
                </a:lnSpc>
              </a:pPr>
              <a:r>
                <a:rPr b="0" lang="en-US" sz="1800" strike="noStrike" u="none">
                  <a:solidFill>
                    <a:srgbClr val="ff0000"/>
                  </a:solidFill>
                  <a:effectLst/>
                  <a:uFillTx/>
                  <a:latin typeface="Bahnschrift Light SemiCondensed"/>
                </a:rPr>
                <a:t>55,3%</a:t>
              </a:r>
              <a:endParaRPr b="0" lang="ru-RU" sz="1800" strike="noStrike" u="none">
                <a:effectLst/>
                <a:uFillTx/>
                <a:latin typeface="Times New Roman"/>
              </a:endParaRPr>
            </a:p>
          </xdr:txBody>
        </xdr:sp>
      </xdr:grpSp>
      <xdr:pic>
        <xdr:nvPicPr>
          <xdr:cNvPr id="151" name="Рисунок 16" descr="Самосвал"/>
          <xdr:cNvPicPr/>
        </xdr:nvPicPr>
        <xdr:blipFill>
          <a:blip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/>
        </xdr:blipFill>
        <xdr:spPr>
          <a:xfrm>
            <a:off x="2430000" y="1697760"/>
            <a:ext cx="1041480" cy="914040"/>
          </a:xfrm>
          <a:prstGeom prst="rect">
            <a:avLst/>
          </a:prstGeom>
          <a:noFill/>
          <a:ln w="0">
            <a:noFill/>
          </a:ln>
        </xdr:spPr>
      </xdr:pic>
    </xdr:grpSp>
    <xdr:clientData/>
  </xdr:twoCellAnchor>
  <xdr:twoCellAnchor editAs="oneCell">
    <xdr:from>
      <xdr:col>8</xdr:col>
      <xdr:colOff>225000</xdr:colOff>
      <xdr:row>12</xdr:row>
      <xdr:rowOff>163440</xdr:rowOff>
    </xdr:from>
    <xdr:to>
      <xdr:col>19</xdr:col>
      <xdr:colOff>104400</xdr:colOff>
      <xdr:row>26</xdr:row>
      <xdr:rowOff>1080</xdr:rowOff>
    </xdr:to>
    <xdr:graphicFrame>
      <xdr:nvGraphicFramePr>
        <xdr:cNvPr id="152" name="Диаграмма 24"/>
        <xdr:cNvGraphicFramePr/>
      </xdr:nvGraphicFramePr>
      <xdr:xfrm>
        <a:off x="2389680" y="2524320"/>
        <a:ext cx="7250400" cy="2504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8</xdr:col>
      <xdr:colOff>237960</xdr:colOff>
      <xdr:row>26</xdr:row>
      <xdr:rowOff>39600</xdr:rowOff>
    </xdr:from>
    <xdr:to>
      <xdr:col>32</xdr:col>
      <xdr:colOff>294840</xdr:colOff>
      <xdr:row>37</xdr:row>
      <xdr:rowOff>58680</xdr:rowOff>
    </xdr:to>
    <xdr:graphicFrame>
      <xdr:nvGraphicFramePr>
        <xdr:cNvPr id="155" name="Диаграмма 25"/>
        <xdr:cNvGraphicFramePr/>
      </xdr:nvGraphicFramePr>
      <xdr:xfrm>
        <a:off x="2402640" y="5067360"/>
        <a:ext cx="16229160" cy="2314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twoCell">
    <xdr:from>
      <xdr:col>11</xdr:col>
      <xdr:colOff>434880</xdr:colOff>
      <xdr:row>3</xdr:row>
      <xdr:rowOff>45000</xdr:rowOff>
    </xdr:from>
    <xdr:to>
      <xdr:col>15</xdr:col>
      <xdr:colOff>239400</xdr:colOff>
      <xdr:row>13</xdr:row>
      <xdr:rowOff>13680</xdr:rowOff>
    </xdr:to>
    <xdr:grpSp>
      <xdr:nvGrpSpPr>
        <xdr:cNvPr id="156" name="Группа 26"/>
        <xdr:cNvGrpSpPr/>
      </xdr:nvGrpSpPr>
      <xdr:grpSpPr>
        <a:xfrm>
          <a:off x="4814640" y="777240"/>
          <a:ext cx="2382480" cy="1778400"/>
          <a:chOff x="4814640" y="777240"/>
          <a:chExt cx="2382480" cy="1778400"/>
        </a:xfrm>
      </xdr:grpSpPr>
      <xdr:grpSp>
        <xdr:nvGrpSpPr>
          <xdr:cNvPr id="157" name="Группа 27"/>
          <xdr:cNvGrpSpPr/>
        </xdr:nvGrpSpPr>
        <xdr:grpSpPr>
          <a:xfrm>
            <a:off x="4814640" y="777240"/>
            <a:ext cx="2382480" cy="1703520"/>
            <a:chOff x="4814640" y="777240"/>
            <a:chExt cx="2382480" cy="1703520"/>
          </a:xfrm>
        </xdr:grpSpPr>
        <xdr:grpSp>
          <xdr:nvGrpSpPr>
            <xdr:cNvPr id="158" name="Группа 29"/>
            <xdr:cNvGrpSpPr/>
          </xdr:nvGrpSpPr>
          <xdr:grpSpPr>
            <a:xfrm>
              <a:off x="4814640" y="777240"/>
              <a:ext cx="2382480" cy="1703520"/>
              <a:chOff x="4814640" y="777240"/>
              <a:chExt cx="2382480" cy="1703520"/>
            </a:xfrm>
          </xdr:grpSpPr>
          <xdr:sp>
            <xdr:nvSpPr>
              <xdr:cNvPr id="159" name="Прямоугольник 32"/>
              <xdr:cNvSpPr/>
            </xdr:nvSpPr>
            <xdr:spPr>
              <a:xfrm>
                <a:off x="4814640" y="777240"/>
                <a:ext cx="2382480" cy="1703520"/>
              </a:xfrm>
              <a:prstGeom prst="rect">
                <a:avLst/>
              </a:prstGeom>
              <a:solidFill>
                <a:srgbClr val="ffffff"/>
              </a:solidFill>
              <a:ln w="19050">
                <a:solidFill>
                  <a:srgbClr val="70ad47"/>
                </a:solidFill>
                <a:miter/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/>
            </xdr:style>
            <xdr:txBody>
              <a:bodyPr horzOverflow="clip" vertOverflow="clip" lIns="90000" rIns="90000" tIns="45000" bIns="45000" anchor="t">
                <a:noAutofit/>
              </a:bodyPr>
              <a:p>
                <a:pPr algn="ctr">
                  <a:lnSpc>
                    <a:spcPct val="100000"/>
                  </a:lnSpc>
                </a:pPr>
                <a:r>
                  <a:rPr b="0" lang="ru-RU" sz="1400" strike="noStrike" u="none">
                    <a:solidFill>
                      <a:schemeClr val="dk1"/>
                    </a:solidFill>
                    <a:effectLst/>
                    <a:uFillTx/>
                    <a:latin typeface="Bahnschrift Light SemiCondensed"/>
                  </a:rPr>
                  <a:t>ПЛОЩАДЬ УБОРКИ</a:t>
                </a:r>
                <a:endParaRPr b="0" lang="ru-RU" sz="1400" strike="noStrike" u="none">
                  <a:effectLst/>
                  <a:uFillTx/>
                  <a:latin typeface="Times New Roman"/>
                </a:endParaRPr>
              </a:p>
            </xdr:txBody>
          </xdr:sp>
          <xdr:cxnSp>
            <xdr:nvCxnSpPr>
              <xdr:cNvPr id="160" name="Прямая соединительная линия 33"/>
              <xdr:cNvCxnSpPr/>
            </xdr:nvCxnSpPr>
            <xdr:spPr>
              <a:xfrm>
                <a:off x="4859640" y="1036440"/>
                <a:ext cx="2273040" cy="360"/>
              </a:xfrm>
              <a:prstGeom prst="straightConnector1">
                <a:avLst/>
              </a:prstGeom>
              <a:ln w="6350">
                <a:solidFill>
                  <a:srgbClr val="70ad47"/>
                </a:solidFill>
                <a:miter/>
              </a:ln>
            </xdr:spPr>
          </xdr:cxnSp>
          <xdr:sp>
            <xdr:nvSpPr>
              <xdr:cNvPr id="161" name="Прямоугольник 34"/>
              <xdr:cNvSpPr/>
            </xdr:nvSpPr>
            <xdr:spPr>
              <a:xfrm>
                <a:off x="4866120" y="1103040"/>
                <a:ext cx="729000" cy="191880"/>
              </a:xfrm>
              <a:prstGeom prst="rect">
                <a:avLst/>
              </a:prstGeom>
              <a:noFill/>
              <a:ln w="12700"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/>
            </xdr:style>
            <xdr:txBody>
              <a:bodyPr horzOverflow="clip" vertOverflow="clip" lIns="90000" rIns="90000" tIns="45000" bIns="45000" anchor="ctr">
                <a:noAutofit/>
              </a:bodyPr>
              <a:p>
                <a:pPr>
                  <a:lnSpc>
                    <a:spcPct val="100000"/>
                  </a:lnSpc>
                </a:pPr>
                <a:r>
                  <a:rPr b="0" lang="ru-RU" sz="1100" strike="noStrike" u="none">
                    <a:solidFill>
                      <a:schemeClr val="dk1"/>
                    </a:solidFill>
                    <a:effectLst/>
                    <a:uFillTx/>
                    <a:latin typeface="Bahnschrift Light SemiCondensed"/>
                  </a:rPr>
                  <a:t>ПЛАН:</a:t>
                </a:r>
                <a:endParaRPr b="0" lang="ru-RU" sz="1100" strike="noStrike" u="none">
                  <a:effectLst/>
                  <a:uFillTx/>
                  <a:latin typeface="Times New Roman"/>
                </a:endParaRPr>
              </a:p>
            </xdr:txBody>
          </xdr:sp>
          <xdr:sp>
            <xdr:nvSpPr>
              <xdr:cNvPr id="162" name="Прямоугольник 35"/>
              <xdr:cNvSpPr/>
            </xdr:nvSpPr>
            <xdr:spPr>
              <a:xfrm>
                <a:off x="4863600" y="1369440"/>
                <a:ext cx="729000" cy="191880"/>
              </a:xfrm>
              <a:prstGeom prst="rect">
                <a:avLst/>
              </a:prstGeom>
              <a:noFill/>
              <a:ln w="12700"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/>
            </xdr:style>
            <xdr:txBody>
              <a:bodyPr horzOverflow="clip" vertOverflow="clip" lIns="90000" rIns="90000" tIns="45000" bIns="45000" anchor="ctr">
                <a:noAutofit/>
              </a:bodyPr>
              <a:p>
                <a:pPr>
                  <a:lnSpc>
                    <a:spcPct val="100000"/>
                  </a:lnSpc>
                </a:pPr>
                <a:r>
                  <a:rPr b="0" lang="ru-RU" sz="1100" strike="noStrike" u="none">
                    <a:solidFill>
                      <a:schemeClr val="dk1"/>
                    </a:solidFill>
                    <a:effectLst/>
                    <a:uFillTx/>
                    <a:latin typeface="Bahnschrift Light SemiCondensed"/>
                  </a:rPr>
                  <a:t>ФАКТ:</a:t>
                </a:r>
                <a:endParaRPr b="0" lang="ru-RU" sz="1100" strike="noStrike" u="none">
                  <a:effectLst/>
                  <a:uFillTx/>
                  <a:latin typeface="Times New Roman"/>
                </a:endParaRPr>
              </a:p>
            </xdr:txBody>
          </xdr:sp>
          <xdr:sp>
            <xdr:nvSpPr>
              <xdr:cNvPr id="163" name="TextBox 36"/>
              <xdr:cNvSpPr/>
            </xdr:nvSpPr>
            <xdr:spPr>
              <a:xfrm>
                <a:off x="6016680" y="1040400"/>
                <a:ext cx="1166400" cy="276480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0"/>
              <a:fillRef idx="0"/>
              <a:effectRef idx="0"/>
              <a:fontRef idx="minor"/>
            </xdr:style>
            <xdr:txBody>
              <a:bodyPr horzOverflow="clip" vertOverflow="clip" lIns="90000" rIns="90000" tIns="45000" bIns="45000" anchor="ctr">
                <a:noAutofit/>
              </a:bodyPr>
              <a:p>
                <a:pPr algn="r">
                  <a:lnSpc>
                    <a:spcPct val="100000"/>
                  </a:lnSpc>
                </a:pPr>
                <a:r>
                  <a:rPr b="0" lang="en-US" sz="1400" strike="noStrike" u="none">
                    <a:solidFill>
                      <a:schemeClr val="accent6">
                        <a:lumMod val="50000"/>
                      </a:schemeClr>
                    </a:solidFill>
                    <a:effectLst/>
                    <a:uFillTx/>
                    <a:latin typeface="Bahnschrift Light SemiCondensed"/>
                  </a:rPr>
                  <a:t>1 726,1 га</a:t>
                </a:r>
                <a:endParaRPr b="0" lang="ru-RU" sz="1400" strike="noStrike" u="none">
                  <a:effectLst/>
                  <a:uFillTx/>
                  <a:latin typeface="Times New Roman"/>
                </a:endParaRPr>
              </a:p>
            </xdr:txBody>
          </xdr:sp>
          <xdr:sp>
            <xdr:nvSpPr>
              <xdr:cNvPr id="164" name="TextBox 37"/>
              <xdr:cNvSpPr/>
            </xdr:nvSpPr>
            <xdr:spPr>
              <a:xfrm>
                <a:off x="6014520" y="1323720"/>
                <a:ext cx="1161360" cy="237240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0"/>
              <a:fillRef idx="0"/>
              <a:effectRef idx="0"/>
              <a:fontRef idx="minor"/>
            </xdr:style>
            <xdr:txBody>
              <a:bodyPr horzOverflow="clip" vertOverflow="clip" lIns="90000" rIns="90000" tIns="45000" bIns="45000" anchor="ctr">
                <a:noAutofit/>
              </a:bodyPr>
              <a:p>
                <a:pPr algn="r">
                  <a:lnSpc>
                    <a:spcPct val="100000"/>
                  </a:lnSpc>
                </a:pPr>
                <a:r>
                  <a:rPr b="0" lang="en-US" sz="1400" strike="noStrike" u="none">
                    <a:solidFill>
                      <a:schemeClr val="accent6">
                        <a:lumMod val="50000"/>
                      </a:schemeClr>
                    </a:solidFill>
                    <a:effectLst/>
                    <a:uFillTx/>
                    <a:latin typeface="Bahnschrift Light SemiCondensed"/>
                  </a:rPr>
                  <a:t>1 593,5 га</a:t>
                </a:r>
                <a:endParaRPr b="0" lang="ru-RU" sz="1400" strike="noStrike" u="none">
                  <a:effectLst/>
                  <a:uFillTx/>
                  <a:latin typeface="Times New Roman"/>
                </a:endParaRPr>
              </a:p>
            </xdr:txBody>
          </xdr:sp>
          <xdr:sp>
            <xdr:nvSpPr>
              <xdr:cNvPr id="165" name="TextBox 38"/>
              <xdr:cNvSpPr/>
            </xdr:nvSpPr>
            <xdr:spPr>
              <a:xfrm>
                <a:off x="6204240" y="1974960"/>
                <a:ext cx="893520" cy="382320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0"/>
              <a:fillRef idx="0"/>
              <a:effectRef idx="0"/>
              <a:fontRef idx="minor"/>
            </xdr:style>
            <xdr:txBody>
              <a:bodyPr horzOverflow="clip" vertOverflow="clip" lIns="90000" rIns="90000" tIns="45000" bIns="45000" anchor="ctr">
                <a:noAutofit/>
              </a:bodyPr>
              <a:p>
                <a:pPr algn="r">
                  <a:lnSpc>
                    <a:spcPct val="100000"/>
                  </a:lnSpc>
                </a:pPr>
                <a:r>
                  <a:rPr b="0" lang="en-US" sz="1800" strike="noStrike" u="none">
                    <a:solidFill>
                      <a:srgbClr val="ff0000"/>
                    </a:solidFill>
                    <a:effectLst/>
                    <a:uFillTx/>
                    <a:latin typeface="Bahnschrift Light SemiCondensed"/>
                  </a:rPr>
                  <a:t>92,3%</a:t>
                </a:r>
                <a:endParaRPr b="0" lang="ru-RU" sz="1800" strike="noStrike" u="none">
                  <a:effectLst/>
                  <a:uFillTx/>
                  <a:latin typeface="Times New Roman"/>
                </a:endParaRPr>
              </a:p>
            </xdr:txBody>
          </xdr:sp>
        </xdr:grpSp>
        <xdr:sp>
          <xdr:nvSpPr>
            <xdr:cNvPr id="166" name="Прямоугольник 30"/>
            <xdr:cNvSpPr/>
          </xdr:nvSpPr>
          <xdr:spPr>
            <a:xfrm>
              <a:off x="4878360" y="1622520"/>
              <a:ext cx="843840" cy="191880"/>
            </a:xfrm>
            <a:prstGeom prst="rect">
              <a:avLst/>
            </a:prstGeom>
            <a:noFill/>
            <a:ln w="12700"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/>
          </xdr:style>
          <xdr:txBody>
            <a:bodyPr horzOverflow="clip" vertOverflow="clip" lIns="90000" rIns="90000" tIns="45000" bIns="45000" anchor="ctr">
              <a:noAutofit/>
            </a:bodyPr>
            <a:p>
              <a:pPr>
                <a:lnSpc>
                  <a:spcPct val="100000"/>
                </a:lnSpc>
              </a:pPr>
              <a:r>
                <a:rPr b="0" lang="ru-RU" sz="1100" strike="noStrike" u="none">
                  <a:solidFill>
                    <a:schemeClr val="dk1"/>
                  </a:solidFill>
                  <a:effectLst/>
                  <a:uFillTx/>
                  <a:latin typeface="Bahnschrift Light SemiCondensed"/>
                </a:rPr>
                <a:t>ОСТАТОК:</a:t>
              </a:r>
              <a:endParaRPr b="0" lang="ru-RU" sz="1100" strike="noStrike" u="none">
                <a:effectLst/>
                <a:uFillTx/>
                <a:latin typeface="Times New Roman"/>
              </a:endParaRPr>
            </a:p>
          </xdr:txBody>
        </xdr:sp>
        <xdr:sp>
          <xdr:nvSpPr>
            <xdr:cNvPr id="167" name="TextBox 31"/>
            <xdr:cNvSpPr/>
          </xdr:nvSpPr>
          <xdr:spPr>
            <a:xfrm>
              <a:off x="6181920" y="1598040"/>
              <a:ext cx="1005120" cy="214560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0"/>
            <a:fillRef idx="0"/>
            <a:effectRef idx="0"/>
            <a:fontRef idx="minor"/>
          </xdr:style>
          <xdr:txBody>
            <a:bodyPr horzOverflow="clip" vertOverflow="clip" lIns="90000" rIns="90000" tIns="45000" bIns="45000" anchor="ctr">
              <a:noAutofit/>
            </a:bodyPr>
            <a:p>
              <a:pPr algn="r">
                <a:lnSpc>
                  <a:spcPct val="100000"/>
                </a:lnSpc>
              </a:pPr>
              <a:r>
                <a:rPr b="0" lang="en-US" sz="1400" strike="noStrike" u="none">
                  <a:solidFill>
                    <a:schemeClr val="accent6">
                      <a:lumMod val="50000"/>
                    </a:schemeClr>
                  </a:solidFill>
                  <a:effectLst/>
                  <a:uFillTx/>
                  <a:latin typeface="Bahnschrift Light SemiCondensed"/>
                </a:rPr>
                <a:t>132,6 га</a:t>
              </a:r>
              <a:endParaRPr b="0" lang="ru-RU" sz="1400" strike="noStrike" u="none">
                <a:effectLst/>
                <a:uFillTx/>
                <a:latin typeface="Times New Roman"/>
              </a:endParaRPr>
            </a:p>
          </xdr:txBody>
        </xdr:sp>
      </xdr:grpSp>
      <xdr:pic>
        <xdr:nvPicPr>
          <xdr:cNvPr id="168" name="Рисунок 28" descr="Карта с кнопкой"/>
          <xdr:cNvPicPr/>
        </xdr:nvPicPr>
        <xdr:blipFill>
          <a:blip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tretch/>
        </xdr:blipFill>
        <xdr:spPr>
          <a:xfrm>
            <a:off x="4875480" y="1641600"/>
            <a:ext cx="970920" cy="914040"/>
          </a:xfrm>
          <a:prstGeom prst="rect">
            <a:avLst/>
          </a:prstGeom>
          <a:noFill/>
          <a:ln w="0">
            <a:noFill/>
          </a:ln>
        </xdr:spPr>
      </xdr:pic>
    </xdr:grpSp>
    <xdr:clientData/>
  </xdr:twoCellAnchor>
  <xdr:twoCellAnchor editAs="oneCell">
    <xdr:from>
      <xdr:col>19</xdr:col>
      <xdr:colOff>146160</xdr:colOff>
      <xdr:row>12</xdr:row>
      <xdr:rowOff>166680</xdr:rowOff>
    </xdr:from>
    <xdr:to>
      <xdr:col>25</xdr:col>
      <xdr:colOff>6120</xdr:colOff>
      <xdr:row>26</xdr:row>
      <xdr:rowOff>4320</xdr:rowOff>
    </xdr:to>
    <xdr:graphicFrame>
      <xdr:nvGraphicFramePr>
        <xdr:cNvPr id="169" name="Диаграмма 39"/>
        <xdr:cNvGraphicFramePr/>
      </xdr:nvGraphicFramePr>
      <xdr:xfrm>
        <a:off x="9681840" y="2527560"/>
        <a:ext cx="4653000" cy="2504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twoCell">
    <xdr:from>
      <xdr:col>19</xdr:col>
      <xdr:colOff>142920</xdr:colOff>
      <xdr:row>3</xdr:row>
      <xdr:rowOff>39240</xdr:rowOff>
    </xdr:from>
    <xdr:to>
      <xdr:col>25</xdr:col>
      <xdr:colOff>9360</xdr:colOff>
      <xdr:row>12</xdr:row>
      <xdr:rowOff>115560</xdr:rowOff>
    </xdr:to>
    <xdr:grpSp>
      <xdr:nvGrpSpPr>
        <xdr:cNvPr id="170" name="Группа 40"/>
        <xdr:cNvGrpSpPr/>
      </xdr:nvGrpSpPr>
      <xdr:grpSpPr>
        <a:xfrm>
          <a:off x="9678600" y="771480"/>
          <a:ext cx="4659480" cy="1704960"/>
          <a:chOff x="9678600" y="771480"/>
          <a:chExt cx="4659480" cy="1704960"/>
        </a:xfrm>
      </xdr:grpSpPr>
      <xdr:grpSp>
        <xdr:nvGrpSpPr>
          <xdr:cNvPr id="171" name="Группа 41"/>
          <xdr:cNvGrpSpPr/>
        </xdr:nvGrpSpPr>
        <xdr:grpSpPr>
          <a:xfrm>
            <a:off x="9678600" y="771480"/>
            <a:ext cx="4659480" cy="1704960"/>
            <a:chOff x="9678600" y="771480"/>
            <a:chExt cx="4659480" cy="1704960"/>
          </a:xfrm>
        </xdr:grpSpPr>
        <xdr:grpSp>
          <xdr:nvGrpSpPr>
            <xdr:cNvPr id="172" name="Группа 47"/>
            <xdr:cNvGrpSpPr/>
          </xdr:nvGrpSpPr>
          <xdr:grpSpPr>
            <a:xfrm>
              <a:off x="9678600" y="771480"/>
              <a:ext cx="4659480" cy="1704960"/>
              <a:chOff x="9678600" y="771480"/>
              <a:chExt cx="4659480" cy="1704960"/>
            </a:xfrm>
          </xdr:grpSpPr>
          <xdr:sp>
            <xdr:nvSpPr>
              <xdr:cNvPr id="173" name="Прямоугольник 49"/>
              <xdr:cNvSpPr/>
            </xdr:nvSpPr>
            <xdr:spPr>
              <a:xfrm>
                <a:off x="9678600" y="771480"/>
                <a:ext cx="4659480" cy="1704960"/>
              </a:xfrm>
              <a:prstGeom prst="rect">
                <a:avLst/>
              </a:prstGeom>
              <a:solidFill>
                <a:srgbClr val="ffffff"/>
              </a:solidFill>
              <a:ln w="19050">
                <a:solidFill>
                  <a:srgbClr val="70ad47"/>
                </a:solidFill>
                <a:miter/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/>
            </xdr:style>
            <xdr:txBody>
              <a:bodyPr horzOverflow="clip" vertOverflow="clip" lIns="90000" rIns="90000" tIns="45000" bIns="45000" anchor="t">
                <a:noAutofit/>
              </a:bodyPr>
              <a:p>
                <a:pPr algn="ctr">
                  <a:lnSpc>
                    <a:spcPct val="100000"/>
                  </a:lnSpc>
                </a:pPr>
                <a:r>
                  <a:rPr b="0" lang="ru-RU" sz="1400" strike="noStrike" u="none">
                    <a:solidFill>
                      <a:schemeClr val="dk1"/>
                    </a:solidFill>
                    <a:effectLst/>
                    <a:uFillTx/>
                    <a:latin typeface="Bahnschrift Light SemiCondensed"/>
                  </a:rPr>
                  <a:t>ИНФОРМАЦИЯ ПО СЫРЬЮ:</a:t>
                </a:r>
                <a:endParaRPr b="0" lang="ru-RU" sz="1400" strike="noStrike" u="none">
                  <a:effectLst/>
                  <a:uFillTx/>
                  <a:latin typeface="Times New Roman"/>
                </a:endParaRPr>
              </a:p>
            </xdr:txBody>
          </xdr:sp>
          <xdr:cxnSp>
            <xdr:nvCxnSpPr>
              <xdr:cNvPr id="174" name="Прямая соединительная линия 50"/>
              <xdr:cNvCxnSpPr/>
            </xdr:nvCxnSpPr>
            <xdr:spPr>
              <a:xfrm>
                <a:off x="9772920" y="1025640"/>
                <a:ext cx="4485960" cy="360"/>
              </a:xfrm>
              <a:prstGeom prst="straightConnector1">
                <a:avLst/>
              </a:prstGeom>
              <a:ln w="6350">
                <a:solidFill>
                  <a:srgbClr val="70ad47"/>
                </a:solidFill>
                <a:miter/>
              </a:ln>
            </xdr:spPr>
          </xdr:cxnSp>
          <xdr:sp>
            <xdr:nvSpPr>
              <xdr:cNvPr id="175" name="Прямоугольник 51"/>
              <xdr:cNvSpPr/>
            </xdr:nvSpPr>
            <xdr:spPr>
              <a:xfrm>
                <a:off x="9678600" y="1089360"/>
                <a:ext cx="1425960" cy="191880"/>
              </a:xfrm>
              <a:prstGeom prst="rect">
                <a:avLst/>
              </a:prstGeom>
              <a:noFill/>
              <a:ln w="12700"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/>
            </xdr:style>
            <xdr:txBody>
              <a:bodyPr horzOverflow="clip" vertOverflow="clip" lIns="90000" rIns="90000" tIns="45000" bIns="45000" anchor="ctr">
                <a:noAutofit/>
              </a:bodyPr>
              <a:p>
                <a:pPr>
                  <a:lnSpc>
                    <a:spcPct val="100000"/>
                  </a:lnSpc>
                </a:pPr>
                <a:r>
                  <a:rPr b="0" lang="ru-RU" sz="1100" strike="noStrike" u="none">
                    <a:solidFill>
                      <a:schemeClr val="dk1"/>
                    </a:solidFill>
                    <a:effectLst/>
                    <a:uFillTx/>
                    <a:latin typeface="Bahnschrift Light SemiCondensed"/>
                  </a:rPr>
                  <a:t>Переработка:</a:t>
                </a:r>
                <a:endParaRPr b="0" lang="ru-RU" sz="1100" strike="noStrike" u="none">
                  <a:effectLst/>
                  <a:uFillTx/>
                  <a:latin typeface="Times New Roman"/>
                </a:endParaRPr>
              </a:p>
            </xdr:txBody>
          </xdr:sp>
          <xdr:sp>
            <xdr:nvSpPr>
              <xdr:cNvPr id="176" name="Прямоугольник 52"/>
              <xdr:cNvSpPr/>
            </xdr:nvSpPr>
            <xdr:spPr>
              <a:xfrm>
                <a:off x="9678600" y="1324080"/>
                <a:ext cx="1425960" cy="191880"/>
              </a:xfrm>
              <a:prstGeom prst="rect">
                <a:avLst/>
              </a:prstGeom>
              <a:noFill/>
              <a:ln w="12700"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/>
            </xdr:style>
            <xdr:txBody>
              <a:bodyPr horzOverflow="clip" vertOverflow="clip" lIns="90000" rIns="90000" tIns="45000" bIns="45000" anchor="ctr">
                <a:noAutofit/>
              </a:bodyPr>
              <a:p>
                <a:pPr>
                  <a:lnSpc>
                    <a:spcPct val="100000"/>
                  </a:lnSpc>
                </a:pPr>
                <a:r>
                  <a:rPr b="0" lang="ru-RU" sz="1100" strike="noStrike" u="none">
                    <a:solidFill>
                      <a:schemeClr val="dk1"/>
                    </a:solidFill>
                    <a:effectLst/>
                    <a:uFillTx/>
                    <a:latin typeface="Bahnschrift Light SemiCondensed"/>
                  </a:rPr>
                  <a:t>Утилизация:</a:t>
                </a:r>
                <a:endParaRPr b="0" lang="ru-RU" sz="1100" strike="noStrike" u="none">
                  <a:effectLst/>
                  <a:uFillTx/>
                  <a:latin typeface="Times New Roman"/>
                </a:endParaRPr>
              </a:p>
            </xdr:txBody>
          </xdr:sp>
          <xdr:sp>
            <xdr:nvSpPr>
              <xdr:cNvPr id="177" name="Прямоугольник 53"/>
              <xdr:cNvSpPr/>
            </xdr:nvSpPr>
            <xdr:spPr>
              <a:xfrm>
                <a:off x="9678600" y="1552680"/>
                <a:ext cx="1425960" cy="191880"/>
              </a:xfrm>
              <a:prstGeom prst="rect">
                <a:avLst/>
              </a:prstGeom>
              <a:noFill/>
              <a:ln w="12700"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/>
            </xdr:style>
            <xdr:txBody>
              <a:bodyPr horzOverflow="clip" vertOverflow="clip" lIns="90000" rIns="90000" tIns="45000" bIns="45000" anchor="ctr">
                <a:noAutofit/>
              </a:bodyPr>
              <a:p>
                <a:pPr>
                  <a:lnSpc>
                    <a:spcPct val="100000"/>
                  </a:lnSpc>
                </a:pPr>
                <a:r>
                  <a:rPr b="0" lang="ru-RU" sz="1100" strike="noStrike" u="none">
                    <a:solidFill>
                      <a:schemeClr val="dk1"/>
                    </a:solidFill>
                    <a:effectLst/>
                    <a:uFillTx/>
                    <a:latin typeface="Bahnschrift Light SemiCondensed"/>
                  </a:rPr>
                  <a:t>Реализация:</a:t>
                </a:r>
                <a:endParaRPr b="0" lang="ru-RU" sz="1100" strike="noStrike" u="none">
                  <a:effectLst/>
                  <a:uFillTx/>
                  <a:latin typeface="Times New Roman"/>
                </a:endParaRPr>
              </a:p>
            </xdr:txBody>
          </xdr:sp>
          <xdr:cxnSp>
            <xdr:nvCxnSpPr>
              <xdr:cNvPr id="178" name="Прямая соединительная линия 54"/>
              <xdr:cNvCxnSpPr/>
            </xdr:nvCxnSpPr>
            <xdr:spPr>
              <a:xfrm>
                <a:off x="9769320" y="1847880"/>
                <a:ext cx="2188800" cy="360"/>
              </a:xfrm>
              <a:prstGeom prst="straightConnector1">
                <a:avLst/>
              </a:prstGeom>
              <a:ln w="6350">
                <a:solidFill>
                  <a:srgbClr val="70ad47"/>
                </a:solidFill>
                <a:miter/>
              </a:ln>
            </xdr:spPr>
          </xdr:cxnSp>
          <xdr:sp>
            <xdr:nvSpPr>
              <xdr:cNvPr id="179" name="Прямоугольник 55"/>
              <xdr:cNvSpPr/>
            </xdr:nvSpPr>
            <xdr:spPr>
              <a:xfrm>
                <a:off x="9678600" y="1886040"/>
                <a:ext cx="1425960" cy="191880"/>
              </a:xfrm>
              <a:prstGeom prst="rect">
                <a:avLst/>
              </a:prstGeom>
              <a:noFill/>
              <a:ln w="12700"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/>
            </xdr:style>
            <xdr:txBody>
              <a:bodyPr horzOverflow="clip" vertOverflow="clip" lIns="90000" rIns="90000" tIns="45000" bIns="45000" anchor="ctr">
                <a:noAutofit/>
              </a:bodyPr>
              <a:p>
                <a:pPr>
                  <a:lnSpc>
                    <a:spcPct val="100000"/>
                  </a:lnSpc>
                </a:pPr>
                <a:r>
                  <a:rPr b="0" lang="ru-RU" sz="1100" strike="noStrike" u="none">
                    <a:solidFill>
                      <a:schemeClr val="dk1"/>
                    </a:solidFill>
                    <a:effectLst/>
                    <a:uFillTx/>
                    <a:latin typeface="Bahnschrift Light SemiCondensed"/>
                  </a:rPr>
                  <a:t>Собственное сырье:</a:t>
                </a:r>
                <a:endParaRPr b="0" lang="ru-RU" sz="1100" strike="noStrike" u="none">
                  <a:effectLst/>
                  <a:uFillTx/>
                  <a:latin typeface="Times New Roman"/>
                </a:endParaRPr>
              </a:p>
            </xdr:txBody>
          </xdr:sp>
          <xdr:sp>
            <xdr:nvSpPr>
              <xdr:cNvPr id="180" name="Прямоугольник 56"/>
              <xdr:cNvSpPr/>
            </xdr:nvSpPr>
            <xdr:spPr>
              <a:xfrm>
                <a:off x="9678600" y="2133720"/>
                <a:ext cx="1425960" cy="191880"/>
              </a:xfrm>
              <a:prstGeom prst="rect">
                <a:avLst/>
              </a:prstGeom>
              <a:noFill/>
              <a:ln w="12700"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/>
            </xdr:style>
            <xdr:txBody>
              <a:bodyPr horzOverflow="clip" vertOverflow="clip" lIns="90000" rIns="90000" tIns="45000" bIns="45000" anchor="ctr">
                <a:noAutofit/>
              </a:bodyPr>
              <a:p>
                <a:pPr>
                  <a:lnSpc>
                    <a:spcPct val="100000"/>
                  </a:lnSpc>
                </a:pPr>
                <a:r>
                  <a:rPr b="0" lang="ru-RU" sz="1100" strike="noStrike" u="none">
                    <a:solidFill>
                      <a:schemeClr val="dk1"/>
                    </a:solidFill>
                    <a:effectLst/>
                    <a:uFillTx/>
                    <a:latin typeface="Bahnschrift Light SemiCondensed"/>
                  </a:rPr>
                  <a:t>Закуп:</a:t>
                </a:r>
                <a:endParaRPr b="0" lang="ru-RU" sz="1100" strike="noStrike" u="none">
                  <a:effectLst/>
                  <a:uFillTx/>
                  <a:latin typeface="Times New Roman"/>
                </a:endParaRPr>
              </a:p>
            </xdr:txBody>
          </xdr:sp>
        </xdr:grpSp>
        <xdr:pic>
          <xdr:nvPicPr>
            <xdr:cNvPr id="181" name="Рисунок 48" descr=""/>
            <xdr:cNvPicPr/>
          </xdr:nvPicPr>
          <xdr:blipFill>
            <a:blip r:embed="rId10"/>
            <a:stretch/>
          </xdr:blipFill>
          <xdr:spPr>
            <a:xfrm>
              <a:off x="12462120" y="1209600"/>
              <a:ext cx="1729800" cy="1117440"/>
            </a:xfrm>
            <a:prstGeom prst="rect">
              <a:avLst/>
            </a:prstGeom>
            <a:noFill/>
            <a:ln w="0">
              <a:noFill/>
            </a:ln>
          </xdr:spPr>
        </xdr:pic>
      </xdr:grpSp>
      <xdr:sp>
        <xdr:nvSpPr>
          <xdr:cNvPr id="182" name="TextBox 42"/>
          <xdr:cNvSpPr/>
        </xdr:nvSpPr>
        <xdr:spPr>
          <a:xfrm>
            <a:off x="11221560" y="1057320"/>
            <a:ext cx="745920" cy="199800"/>
          </a:xfrm>
          <a:prstGeom prst="rect">
            <a:avLst/>
          </a:prstGeom>
          <a:noFill/>
          <a:ln w="9525">
            <a:noFill/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ctr">
            <a:noAutofit/>
          </a:bodyPr>
          <a:p>
            <a:pPr algn="r">
              <a:lnSpc>
                <a:spcPct val="100000"/>
              </a:lnSpc>
            </a:pPr>
            <a:r>
              <a:rPr b="0" lang="en-US" sz="1200" strike="noStrike" u="none">
                <a:solidFill>
                  <a:srgbClr val="000000"/>
                </a:solidFill>
                <a:effectLst/>
                <a:uFillTx/>
                <a:latin typeface="Bahnschrift SemiLight SemiConde"/>
              </a:rPr>
              <a:t>4 350,2 тн.</a:t>
            </a:r>
            <a:endParaRPr b="0" lang="ru-RU" sz="1200" strike="noStrike" u="none">
              <a:effectLst/>
              <a:uFillTx/>
              <a:latin typeface="Times New Roman"/>
            </a:endParaRPr>
          </a:p>
        </xdr:txBody>
      </xdr:sp>
      <xdr:sp>
        <xdr:nvSpPr>
          <xdr:cNvPr id="183" name="TextBox 43"/>
          <xdr:cNvSpPr/>
        </xdr:nvSpPr>
        <xdr:spPr>
          <a:xfrm>
            <a:off x="11221560" y="1314360"/>
            <a:ext cx="745920" cy="199800"/>
          </a:xfrm>
          <a:prstGeom prst="rect">
            <a:avLst/>
          </a:prstGeom>
          <a:noFill/>
          <a:ln w="9525">
            <a:noFill/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ctr">
            <a:noAutofit/>
          </a:bodyPr>
          <a:p>
            <a:pPr algn="r">
              <a:lnSpc>
                <a:spcPct val="100000"/>
              </a:lnSpc>
            </a:pPr>
            <a:r>
              <a:rPr b="0" lang="en-US" sz="1200" strike="noStrike" u="none">
                <a:solidFill>
                  <a:srgbClr val="000000"/>
                </a:solidFill>
                <a:effectLst/>
                <a:uFillTx/>
                <a:latin typeface="Bahnschrift SemiLight SemiConde"/>
              </a:rPr>
              <a:t>21,8 тн.</a:t>
            </a:r>
            <a:endParaRPr b="0" lang="ru-RU" sz="1200" strike="noStrike" u="none">
              <a:effectLst/>
              <a:uFillTx/>
              <a:latin typeface="Times New Roman"/>
            </a:endParaRPr>
          </a:p>
        </xdr:txBody>
      </xdr:sp>
      <xdr:sp>
        <xdr:nvSpPr>
          <xdr:cNvPr id="184" name="TextBox 44"/>
          <xdr:cNvSpPr/>
        </xdr:nvSpPr>
        <xdr:spPr>
          <a:xfrm>
            <a:off x="11221560" y="1562040"/>
            <a:ext cx="745920" cy="199800"/>
          </a:xfrm>
          <a:prstGeom prst="rect">
            <a:avLst/>
          </a:prstGeom>
          <a:noFill/>
          <a:ln w="9525">
            <a:noFill/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ctr">
            <a:noAutofit/>
          </a:bodyPr>
          <a:p>
            <a:pPr algn="r">
              <a:lnSpc>
                <a:spcPct val="100000"/>
              </a:lnSpc>
            </a:pPr>
            <a:r>
              <a:rPr b="0" lang="en-US" sz="1200" strike="noStrike" u="none">
                <a:solidFill>
                  <a:srgbClr val="000000"/>
                </a:solidFill>
                <a:effectLst/>
                <a:uFillTx/>
                <a:latin typeface="Bahnschrift SemiLight SemiConde"/>
              </a:rPr>
              <a:t>0,0 тн.</a:t>
            </a:r>
            <a:endParaRPr b="0" lang="ru-RU" sz="1200" strike="noStrike" u="none">
              <a:effectLst/>
              <a:uFillTx/>
              <a:latin typeface="Times New Roman"/>
            </a:endParaRPr>
          </a:p>
        </xdr:txBody>
      </xdr:sp>
      <xdr:sp>
        <xdr:nvSpPr>
          <xdr:cNvPr id="185" name="TextBox 45"/>
          <xdr:cNvSpPr/>
        </xdr:nvSpPr>
        <xdr:spPr>
          <a:xfrm>
            <a:off x="11231640" y="1876320"/>
            <a:ext cx="745920" cy="199800"/>
          </a:xfrm>
          <a:prstGeom prst="rect">
            <a:avLst/>
          </a:prstGeom>
          <a:noFill/>
          <a:ln w="9525">
            <a:noFill/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ctr">
            <a:noAutofit/>
          </a:bodyPr>
          <a:p>
            <a:pPr algn="r">
              <a:lnSpc>
                <a:spcPct val="100000"/>
              </a:lnSpc>
            </a:pPr>
            <a:r>
              <a:rPr b="0" lang="en-US" sz="1200" strike="noStrike" u="none">
                <a:solidFill>
                  <a:srgbClr val="000000"/>
                </a:solidFill>
                <a:effectLst/>
                <a:uFillTx/>
                <a:latin typeface="Bahnschrift SemiLight SemiConde"/>
              </a:rPr>
              <a:t>4 371,9 тн.</a:t>
            </a:r>
            <a:endParaRPr b="0" lang="ru-RU" sz="1200" strike="noStrike" u="none">
              <a:effectLst/>
              <a:uFillTx/>
              <a:latin typeface="Times New Roman"/>
            </a:endParaRPr>
          </a:p>
        </xdr:txBody>
      </xdr:sp>
      <xdr:sp>
        <xdr:nvSpPr>
          <xdr:cNvPr id="186" name="TextBox 46"/>
          <xdr:cNvSpPr/>
        </xdr:nvSpPr>
        <xdr:spPr>
          <a:xfrm>
            <a:off x="11231640" y="2114640"/>
            <a:ext cx="745920" cy="199800"/>
          </a:xfrm>
          <a:prstGeom prst="rect">
            <a:avLst/>
          </a:prstGeom>
          <a:noFill/>
          <a:ln w="9525">
            <a:noFill/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ctr">
            <a:noAutofit/>
          </a:bodyPr>
          <a:p>
            <a:pPr algn="r">
              <a:lnSpc>
                <a:spcPct val="100000"/>
              </a:lnSpc>
            </a:pPr>
            <a:r>
              <a:rPr b="0" lang="en-US" sz="1200" strike="noStrike" u="none">
                <a:solidFill>
                  <a:srgbClr val="000000"/>
                </a:solidFill>
                <a:effectLst/>
                <a:uFillTx/>
                <a:latin typeface="Bahnschrift SemiLight SemiConde"/>
              </a:rPr>
              <a:t>0,0 тн.</a:t>
            </a:r>
            <a:endParaRPr b="0" lang="ru-RU" sz="1200" strike="noStrike" u="none">
              <a:effectLst/>
              <a:uFillTx/>
              <a:latin typeface="Times New Roman"/>
            </a:endParaRPr>
          </a:p>
        </xdr:txBody>
      </xdr:sp>
    </xdr:grpSp>
    <xdr:clientData/>
  </xdr:twoCellAnchor>
  <xdr:twoCellAnchor editAs="oneCell">
    <xdr:from>
      <xdr:col>25</xdr:col>
      <xdr:colOff>66600</xdr:colOff>
      <xdr:row>3</xdr:row>
      <xdr:rowOff>39240</xdr:rowOff>
    </xdr:from>
    <xdr:to>
      <xdr:col>32</xdr:col>
      <xdr:colOff>321480</xdr:colOff>
      <xdr:row>26</xdr:row>
      <xdr:rowOff>1080</xdr:rowOff>
    </xdr:to>
    <xdr:graphicFrame>
      <xdr:nvGraphicFramePr>
        <xdr:cNvPr id="187" name="Диаграмма 57"/>
        <xdr:cNvGraphicFramePr/>
      </xdr:nvGraphicFramePr>
      <xdr:xfrm>
        <a:off x="14395320" y="771480"/>
        <a:ext cx="4263120" cy="4257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8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0.399980140012909</cdr:x>
      <cdr:y>0.333285426846795</cdr:y>
    </cdr:from>
    <cdr:to>
      <cdr:x>0.599920560051636</cdr:x>
      <cdr:y>0.666427134233975</cdr:y>
    </cdr:to>
    <cdr:sp>
      <cdr:nvSpPr>
        <cdr:cNvPr id="153" name="TextBox 1"/>
        <cdr:cNvSpPr/>
      </cdr:nvSpPr>
      <cdr:spPr>
        <a:xfrm>
          <a:off x="2900160" y="834840"/>
          <a:ext cx="1449720" cy="83448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</cdr:sp>
  </cdr:relSizeAnchor>
  <cdr:relSizeAnchor>
    <cdr:from>
      <cdr:x>0.399980140012909</cdr:x>
      <cdr:y>0.333285426846795</cdr:y>
    </cdr:from>
    <cdr:to>
      <cdr:x>0.599920560051636</cdr:x>
      <cdr:y>0.666427134233975</cdr:y>
    </cdr:to>
    <cdr:sp>
      <cdr:nvSpPr>
        <cdr:cNvPr id="154" name="TextBox 1"/>
        <cdr:cNvSpPr/>
      </cdr:nvSpPr>
      <cdr:spPr>
        <a:xfrm>
          <a:off x="2900160" y="834840"/>
          <a:ext cx="1449720" cy="83448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</cdr:sp>
  </cdr:relSizeAnchor>
</c:userShapes>
</file>

<file path=xl/drawings/drawing9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0.0282867516676518</cdr:x>
      <cdr:y>0.0558890673881796</cdr:y>
    </cdr:from>
    <cdr:to>
      <cdr:x>0.966815840580934</cdr:x>
      <cdr:y>0.0580874270736451</cdr:y>
    </cdr:to>
    <cdr:cxnSp>
      <cdr:nvCxnSpPr>
        <cdr:cNvPr id="188" name="Прямая соединительная линия 2"/>
        <cdr:cNvCxnSpPr/>
      </cdr:nvCxnSpPr>
      <cdr:spPr>
        <a:xfrm flipV="1">
          <a:off x="120600" y="237960"/>
          <a:ext cx="4001760" cy="9720"/>
        </a:xfrm>
        <a:prstGeom prst="straightConnector1">
          <a:avLst/>
        </a:prstGeom>
        <a:ln w="6350">
          <a:solidFill>
            <a:srgbClr val="70ad47"/>
          </a:solidFill>
          <a:miter/>
        </a:ln>
      </cdr:spPr>
    </cdr:cxnSp>
  </cdr:relSizeAnchor>
  <cdr:relSizeAnchor>
    <cdr:from>
      <cdr:x>0.0282867516676518</cdr:x>
      <cdr:y>0.0558890673881796</cdr:y>
    </cdr:from>
    <cdr:to>
      <cdr:x>0.966815840580934</cdr:x>
      <cdr:y>0.0580874270736451</cdr:y>
    </cdr:to>
    <cdr:cxnSp>
      <cdr:nvCxnSpPr>
        <cdr:cNvPr id="189" name="Прямая соединительная линия 2"/>
        <cdr:cNvCxnSpPr/>
      </cdr:nvCxnSpPr>
      <cdr:spPr>
        <a:xfrm flipV="1">
          <a:off x="120600" y="237960"/>
          <a:ext cx="4001760" cy="9720"/>
        </a:xfrm>
        <a:prstGeom prst="straightConnector1">
          <a:avLst/>
        </a:prstGeom>
        <a:ln w="6350">
          <a:solidFill>
            <a:srgbClr val="70ad47"/>
          </a:solidFill>
          <a:miter/>
        </a:ln>
      </cdr:spPr>
    </cdr:cxn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592560</xdr:colOff>
      <xdr:row>2</xdr:row>
      <xdr:rowOff>136080</xdr:rowOff>
    </xdr:from>
    <xdr:to>
      <xdr:col>28</xdr:col>
      <xdr:colOff>628560</xdr:colOff>
      <xdr:row>24</xdr:row>
      <xdr:rowOff>142560</xdr:rowOff>
    </xdr:to>
    <xdr:graphicFrame>
      <xdr:nvGraphicFramePr>
        <xdr:cNvPr id="190" name="Диаграмма 2"/>
        <xdr:cNvGraphicFramePr/>
      </xdr:nvGraphicFramePr>
      <xdr:xfrm>
        <a:off x="3995640" y="516960"/>
        <a:ext cx="12906000" cy="4188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135360</xdr:colOff>
      <xdr:row>19</xdr:row>
      <xdr:rowOff>83880</xdr:rowOff>
    </xdr:from>
    <xdr:to>
      <xdr:col>28</xdr:col>
      <xdr:colOff>566640</xdr:colOff>
      <xdr:row>34</xdr:row>
      <xdr:rowOff>101520</xdr:rowOff>
    </xdr:to>
    <xdr:graphicFrame>
      <xdr:nvGraphicFramePr>
        <xdr:cNvPr id="191" name="Диаграмма 1"/>
        <xdr:cNvGraphicFramePr/>
      </xdr:nvGraphicFramePr>
      <xdr:xfrm>
        <a:off x="135360" y="2378160"/>
        <a:ext cx="6811920" cy="2446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9</xdr:row>
      <xdr:rowOff>3960</xdr:rowOff>
    </xdr:from>
    <xdr:to>
      <xdr:col>7</xdr:col>
      <xdr:colOff>662760</xdr:colOff>
      <xdr:row>24</xdr:row>
      <xdr:rowOff>152280</xdr:rowOff>
    </xdr:to>
    <xdr:graphicFrame>
      <xdr:nvGraphicFramePr>
        <xdr:cNvPr id="192" name="Диаграмма 1"/>
        <xdr:cNvGraphicFramePr/>
      </xdr:nvGraphicFramePr>
      <xdr:xfrm>
        <a:off x="0" y="1718640"/>
        <a:ext cx="7075800" cy="300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_rels/pivotCacheDefinition2.xml.rels><?xml version="1.0" encoding="UTF-8"?>
<Relationships xmlns="http://schemas.openxmlformats.org/package/2006/relationships"><Relationship Id="rId1" Type="http://schemas.openxmlformats.org/officeDocument/2006/relationships/pivotCacheRecords" Target="pivotCacheRecords2.xml"/>
</Relationships>
</file>

<file path=xl/pivotCache/_rels/pivotCacheDefinition3.xml.rels><?xml version="1.0" encoding="UTF-8"?>
<Relationships xmlns="http://schemas.openxmlformats.org/package/2006/relationships"><Relationship Id="rId1" Type="http://schemas.openxmlformats.org/officeDocument/2006/relationships/pivotCacheRecords" Target="pivotCacheRecords3.xml"/>
</Relationships>
</file>

<file path=xl/pivotCache/_rels/pivotCacheDefinition4.xml.rels><?xml version="1.0" encoding="UTF-8"?>
<Relationships xmlns="http://schemas.openxmlformats.org/package/2006/relationships"><Relationship Id="rId1" Type="http://schemas.openxmlformats.org/officeDocument/2006/relationships/pivotCacheRecords" Target="pivotCacheRecords4.xml"/>
</Relationships>
</file>

<file path=xl/pivotCache/_rels/pivotCacheDefinition5.xml.rels><?xml version="1.0" encoding="UTF-8"?>
<Relationships xmlns="http://schemas.openxmlformats.org/package/2006/relationships"><Relationship Id="rId1" Type="http://schemas.openxmlformats.org/officeDocument/2006/relationships/pivotCacheRecords" Target="pivotCacheRecords5.xml"/>
</Relationships>
</file>

<file path=xl/pivotCache/_rels/pivotCacheDefinition6.xml.rels><?xml version="1.0" encoding="UTF-8"?>
<Relationships xmlns="http://schemas.openxmlformats.org/package/2006/relationships"><Relationship Id="rId1" Type="http://schemas.openxmlformats.org/officeDocument/2006/relationships/pivotCacheRecords" Target="pivotCacheRecords6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12" createdVersion="3">
  <cacheSource type="worksheet">
    <worksheetSource ref="A1:AH113" sheet="Реестр уборки 2026"/>
  </cacheSource>
  <cacheFields count="34">
    <cacheField name="Показатель" numFmtId="0">
      <sharedItems containsBlank="1" count="2">
        <s v="Степень зрелости"/>
        <m/>
      </sharedItems>
    </cacheField>
    <cacheField name="Количество" numFmtId="0">
      <sharedItems containsString="0" containsBlank="1" count="1">
        <m/>
      </sharedItems>
    </cacheField>
    <cacheField name="Значение&#10;финометра" numFmtId="0">
      <sharedItems containsSemiMixedTypes="0" containsString="0" containsNumber="1" containsInteger="1" minValue="0" maxValue="57" count="17">
        <n v="0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</sharedItems>
    </cacheField>
    <cacheField name="Регистратор.Номер" numFmtId="0">
      <sharedItems containsSemiMixedTypes="0" containsString="0" containsNumber="1" containsInteger="1" minValue="40" maxValue="185" count="108">
        <n v="40"/>
        <n v="42"/>
        <n v="43"/>
        <n v="48"/>
        <n v="49"/>
        <n v="50"/>
        <n v="51"/>
        <n v="52"/>
        <n v="53"/>
        <n v="54"/>
        <n v="55"/>
        <n v="56"/>
        <n v="58"/>
        <n v="59"/>
        <n v="61"/>
        <n v="63"/>
        <n v="64"/>
        <n v="65"/>
        <n v="66"/>
        <n v="68"/>
        <n v="69"/>
        <n v="70"/>
        <n v="71"/>
        <n v="76"/>
        <n v="77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7"/>
        <n v="109"/>
        <n v="111"/>
        <n v="113"/>
        <n v="114"/>
        <n v="115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6"/>
        <n v="137"/>
        <n v="138"/>
        <n v="140"/>
        <n v="141"/>
        <n v="143"/>
        <n v="144"/>
        <n v="146"/>
        <n v="147"/>
        <n v="148"/>
        <n v="149"/>
        <n v="150"/>
        <n v="151"/>
        <n v="152"/>
        <n v="153"/>
        <n v="154"/>
        <n v="155"/>
        <n v="156"/>
        <n v="157"/>
        <n v="160"/>
        <n v="161"/>
        <n v="162"/>
        <n v="163"/>
        <n v="167"/>
        <n v="168"/>
        <n v="170"/>
        <n v="171"/>
        <n v="172"/>
        <n v="173"/>
        <n v="174"/>
        <n v="175"/>
        <n v="178"/>
        <n v="179"/>
        <n v="180"/>
        <n v="181"/>
        <n v="182"/>
        <n v="184"/>
        <n v="185"/>
      </sharedItems>
    </cacheField>
    <cacheField name="Регистратор.Дата" numFmtId="0">
      <sharedItems containsString="0" containsBlank="1" count="1">
        <m/>
      </sharedItems>
    </cacheField>
    <cacheField name="Регистратор.Вес брутто" numFmtId="0">
      <sharedItems containsString="0" containsBlank="1" count="1">
        <m/>
      </sharedItems>
    </cacheField>
    <cacheField name="Регистратор.Вес нетто" numFmtId="0">
      <sharedItems containsSemiMixedTypes="0" containsString="0" containsNumber="1" containsInteger="1" minValue="1830" maxValue="17540" count="88">
        <n v="1830"/>
        <n v="4090"/>
        <n v="4250"/>
        <n v="4430"/>
        <n v="4470"/>
        <n v="4490"/>
        <n v="4500"/>
        <n v="4510"/>
        <n v="4540"/>
        <n v="4550"/>
        <n v="4560"/>
        <n v="4590"/>
        <n v="4660"/>
        <n v="4690"/>
        <n v="6120"/>
        <n v="6730"/>
        <n v="6820"/>
        <n v="7110"/>
        <n v="8900"/>
        <n v="11920"/>
        <n v="12880"/>
        <n v="12930"/>
        <n v="12970"/>
        <n v="12980"/>
        <n v="13010"/>
        <n v="13020"/>
        <n v="13030"/>
        <n v="13060"/>
        <n v="13070"/>
        <n v="13100"/>
        <n v="13150"/>
        <n v="13160"/>
        <n v="13180"/>
        <n v="13200"/>
        <n v="13230"/>
        <n v="13240"/>
        <n v="13250"/>
        <n v="13260"/>
        <n v="13270"/>
        <n v="13280"/>
        <n v="13290"/>
        <n v="13300"/>
        <n v="13310"/>
        <n v="13330"/>
        <n v="13340"/>
        <n v="13350"/>
        <n v="13390"/>
        <n v="13400"/>
        <n v="13410"/>
        <n v="13440"/>
        <n v="13450"/>
        <n v="13460"/>
        <n v="13470"/>
        <n v="13510"/>
        <n v="13520"/>
        <n v="13530"/>
        <n v="13540"/>
        <n v="13550"/>
        <n v="13560"/>
        <n v="13570"/>
        <n v="13580"/>
        <n v="13610"/>
        <n v="13630"/>
        <n v="13640"/>
        <n v="13650"/>
        <n v="13660"/>
        <n v="13670"/>
        <n v="13690"/>
        <n v="13710"/>
        <n v="13720"/>
        <n v="13740"/>
        <n v="13760"/>
        <n v="13840"/>
        <n v="13880"/>
        <n v="13980"/>
        <n v="14070"/>
        <n v="14080"/>
        <n v="14110"/>
        <n v="14230"/>
        <n v="14310"/>
        <n v="14560"/>
        <n v="15390"/>
        <n v="15400"/>
        <n v="15420"/>
        <n v="15500"/>
        <n v="15750"/>
        <n v="16070"/>
        <n v="17540"/>
      </sharedItems>
    </cacheField>
    <cacheField name="Регистратор.Вес тары" numFmtId="0">
      <sharedItems containsString="0" containsBlank="1" count="1">
        <m/>
      </sharedItems>
    </cacheField>
    <cacheField name="Регистратор.Вес чистый" numFmtId="0">
      <sharedItems containsSemiMixedTypes="0" containsString="0" containsNumber="1" minValue="1564.6" maxValue="17540" count="108">
        <n v="1564.6"/>
        <n v="3456.1"/>
        <n v="3591.2"/>
        <n v="3609.3"/>
        <n v="3617.2"/>
        <n v="3622.5"/>
        <n v="3658.1"/>
        <n v="3687.7"/>
        <n v="3720.7"/>
        <n v="3728.5"/>
        <n v="3740.8"/>
        <n v="3743.4"/>
        <n v="3762"/>
        <n v="3866.5"/>
        <n v="3883.8"/>
        <n v="4039.2"/>
        <n v="5510.3"/>
        <n v="5558.3"/>
        <n v="5653.2"/>
        <n v="7609.5"/>
        <n v="8403.6"/>
        <n v="9637.4"/>
        <n v="9935.8"/>
        <n v="9988.7"/>
        <n v="10283.5"/>
        <n v="10342.8"/>
        <n v="10362"/>
        <n v="10472.9"/>
        <n v="10489.2"/>
        <n v="10516.7"/>
        <n v="10585.7"/>
        <n v="10605.3"/>
        <n v="10611.3"/>
        <n v="10645.1"/>
        <n v="10648.5"/>
        <n v="10653"/>
        <n v="10661"/>
        <n v="10674.3"/>
        <n v="10683.9"/>
        <n v="10700.3"/>
        <n v="10700.7"/>
        <n v="10707.4"/>
        <n v="10714.5"/>
        <n v="10726"/>
        <n v="10738.7"/>
        <n v="10756.3"/>
        <n v="10762.4"/>
        <n v="10772.3"/>
        <n v="10779"/>
        <n v="10790.6"/>
        <n v="10815.1"/>
        <n v="10819.2"/>
        <n v="10823.2"/>
        <n v="10827.2"/>
        <n v="10835.8"/>
        <n v="10863.9"/>
        <n v="10873.5"/>
        <n v="10907.4"/>
        <n v="10915.8"/>
        <n v="10931.9"/>
        <n v="10939.2"/>
        <n v="10968.1"/>
        <n v="10978"/>
        <n v="10996.3"/>
        <n v="10997.5"/>
        <n v="11002.8"/>
        <n v="11034.6"/>
        <n v="11035.1"/>
        <n v="11060.7"/>
        <n v="11067.7"/>
        <n v="11112.8"/>
        <n v="11113.9"/>
        <n v="11124.7"/>
        <n v="11130.3"/>
        <n v="11185.7"/>
        <n v="11230.1"/>
        <n v="11233.3"/>
        <n v="11238.5"/>
        <n v="11244.8"/>
        <n v="11334.4"/>
        <n v="11362.7"/>
        <n v="11418"/>
        <n v="11457"/>
        <n v="11458.2"/>
        <n v="11467.1"/>
        <n v="11513.8"/>
        <n v="11517.3"/>
        <n v="11527.6"/>
        <n v="11547.7"/>
        <n v="11566.9"/>
        <n v="11589.8"/>
        <n v="11611.3"/>
        <n v="11688.7"/>
        <n v="11701.6"/>
        <n v="11739.8"/>
        <n v="11781.8"/>
        <n v="11952.9"/>
        <n v="12136.1"/>
        <n v="12303.2"/>
        <n v="12322.5"/>
        <n v="12936.4"/>
        <n v="13030"/>
        <n v="13100"/>
        <n v="13308.8"/>
        <n v="13321"/>
        <n v="13338.3"/>
        <n v="15390"/>
        <n v="17540"/>
      </sharedItems>
    </cacheField>
    <cacheField name="Регистратор.Контрагент" numFmtId="0">
      <sharedItems containsBlank="1" count="2">
        <s v="ГРИН РЭЙ КУБАНЬ ООО"/>
        <m/>
      </sharedItems>
    </cacheField>
    <cacheField name="Регистратор.Номенклатура" numFmtId="0">
      <sharedItems count="3">
        <s v="Авола"/>
        <s v="Тиара"/>
        <s v="Увертюра"/>
      </sharedItems>
    </cacheField>
    <cacheField name="Регистратор.Комбайнеры.Поле.Наименование" numFmtId="0">
      <sharedItems containsString="0" containsBlank="1" count="1">
        <m/>
      </sharedItems>
    </cacheField>
    <cacheField name="Регистратор.Водитель" numFmtId="0">
      <sharedItems count="22">
        <s v="Алтадуков Заур Баталбиевич"/>
        <s v="Баранов Николай Александрович"/>
        <s v="Бербеницкий Сергей Николаевич"/>
        <s v="Богучарский А. И."/>
        <s v="Гужва А М."/>
        <s v="Гуйда Николай Николаевич"/>
        <s v="Деревянко Н.Н."/>
        <s v="Емец Р.А."/>
        <s v="Жданов Андрей Иванович"/>
        <s v="Извеков Владимир Владимирович"/>
        <s v="Кудря Евгений"/>
        <s v="Кулинич Евгений Владимирович"/>
        <s v="Магадиев Александр Сайлаувич"/>
        <s v="Осипов Александр Николаевич"/>
        <s v="Погуляй А.Б.       "/>
        <s v="Ревенко Андрей Вячеславович"/>
        <s v="Роговской Роман Алексеевич"/>
        <s v="Рудик Александр Иванович"/>
        <s v="Сайко Владимир Николаевич"/>
        <s v="Сероштан Станислав Викторович"/>
        <s v="Черевко Александр Владимирович"/>
        <s v="Чигрин Н.А."/>
      </sharedItems>
    </cacheField>
    <cacheField name="Регистратор.Время прибытия" numFmtId="0">
      <sharedItems containsString="0" containsBlank="1" count="1">
        <m/>
      </sharedItems>
    </cacheField>
    <cacheField name="Регистратор.Время убытия" numFmtId="0">
      <sharedItems containsString="0" containsBlank="1" count="1">
        <m/>
      </sharedItems>
    </cacheField>
    <cacheField name="Регистратор.Комбайнеры.Комбайнер.Наименование" numFmtId="0">
      <sharedItems containsString="0" containsBlank="1" count="1">
        <m/>
      </sharedItems>
    </cacheField>
    <cacheField name="Регистратор.Номера талонов" numFmtId="0">
      <sharedItems containsString="0" containsBlank="1" count="1">
        <m/>
      </sharedItems>
    </cacheField>
    <cacheField name="Регистратор.Номер машины" numFmtId="0">
      <sharedItems count="23">
        <s v="А114МК"/>
        <s v="А309АТ"/>
        <s v="А718ВХ"/>
        <s v="А719ОО"/>
        <s v="А781РР"/>
        <s v="А816ЕВ"/>
        <s v="А819ЕВ"/>
        <s v="В841АН 01"/>
        <s v="Е732УС"/>
        <s v="Е758РЕ"/>
        <s v="К403ЕМ"/>
        <s v="М540АС 93"/>
        <s v="Н378ХЕ"/>
        <s v="О824ТХ"/>
        <s v="Р699ОН"/>
        <s v="С400РР"/>
        <s v="С707ОУ"/>
        <s v="Т285ВЕ"/>
        <s v="Т919РВ"/>
        <s v="Т945РВ"/>
        <s v="У184НО 193"/>
        <s v="У315НХ"/>
        <s v="У801СТ 123"/>
      </sharedItems>
    </cacheField>
    <cacheField name="Регистратор.Номер прицепа" numFmtId="0">
      <sharedItems containsString="0" containsBlank="1" count="1">
        <m/>
      </sharedItems>
    </cacheField>
    <cacheField name="Поле" numFmtId="0">
      <sharedItems count="4">
        <s v="А-22/1"/>
        <s v="А-23"/>
        <s v="А-3"/>
        <s v="А-4/1"/>
      </sharedItems>
    </cacheField>
    <cacheField name="Сорт уточн" numFmtId="0">
      <sharedItems count="3">
        <s v="Авола"/>
        <s v="Тиара"/>
        <s v="Увертюра"/>
      </sharedItems>
    </cacheField>
    <cacheField name="Площадь уборки, га" numFmtId="0">
      <sharedItems containsSemiMixedTypes="0" containsString="0" containsNumber="1" minValue="0.387585532746823" maxValue="3.26164874551971" count="103">
        <n v="0.387585532746823"/>
        <n v="0.55155010814708"/>
        <n v="0.612985882807968"/>
        <n v="0.663943144459486"/>
        <n v="0.683426803326243"/>
        <n v="0.755131845841785"/>
        <n v="0.768575756335203"/>
        <n v="0.772014574036926"/>
        <n v="0.782331027142097"/>
        <n v="0.801244524501576"/>
        <n v="0.806402751054161"/>
        <n v="0.838874044615671"/>
        <n v="0.840738209159262"/>
        <n v="0.855651525507985"/>
        <n v="0.94672531769306"/>
        <n v="1.11939148073022"/>
        <n v="1.13436105476673"/>
        <n v="1.2734328358209"/>
        <n v="1.67801009372747"/>
        <n v="1.6844989185292"/>
        <n v="1.69098774333093"/>
        <n v="1.69488103821197"/>
        <n v="1.70007209805335"/>
        <n v="1.8052738336714"/>
        <n v="1.93038097079869"/>
        <n v="1.94386965770644"/>
        <n v="1.94986462966544"/>
        <n v="1.95885708760395"/>
        <n v="1.9633533165732"/>
        <n v="1.98883194739896"/>
        <n v="1.99332817636821"/>
        <n v="2"/>
        <n v="2.00831560626571"/>
        <n v="2.00981434925546"/>
        <n v="2.01880680719397"/>
        <n v="2.02779926513247"/>
        <n v="2.16559837728195"/>
        <n v="2.19221095334686"/>
        <n v="2.2021906693712"/>
        <n v="2.21050709939148"/>
        <n v="2.21383367139959"/>
        <n v="2.21716024340771"/>
        <n v="2.21882352941176"/>
        <n v="2.22048681541582"/>
        <n v="2.23046653144016"/>
        <n v="2.24709939148073"/>
        <n v="2.25541582150101"/>
        <n v="2.25874239350913"/>
        <n v="2.26705882352941"/>
        <n v="2.27038539553753"/>
        <n v="2.27703853955375"/>
        <n v="2.30400786015475"/>
        <n v="2.30656546122607"/>
        <n v="2.31106169019532"/>
        <n v="2.31604372211078"/>
        <n v="2.32464076636509"/>
        <n v="2.3252738336714"/>
        <n v="2.32807958406681"/>
        <n v="2.32979899291767"/>
        <n v="2.33495721947026"/>
        <n v="2.34355426372457"/>
        <n v="2.34527367257543"/>
        <n v="2.35387071682974"/>
        <n v="2.35701492537313"/>
        <n v="2.35730953453146"/>
        <n v="2.36955223880597"/>
        <n v="2.37966184959266"/>
        <n v="2.38741573033708"/>
        <n v="2.43955056179775"/>
        <n v="2.44937601169652"/>
        <n v="2.45137637482135"/>
        <n v="2.46047406558317"/>
        <n v="2.47001802025725"/>
        <n v="2.4812030075188"/>
        <n v="2.48133256748995"/>
        <n v="2.48808988764045"/>
        <n v="2.49261135188763"/>
        <n v="2.49449114928724"/>
        <n v="2.49798048841111"/>
        <n v="2.4998446529547"/>
        <n v="2.50345928685471"/>
        <n v="2.50543714658547"/>
        <n v="2.50730131112906"/>
        <n v="2.50916547567265"/>
        <n v="2.51704871808261"/>
        <n v="2.52460084718149"/>
        <n v="2.52780712110856"/>
        <n v="2.52943820224719"/>
        <n v="2.53123595505618"/>
        <n v="2.53662921348315"/>
        <n v="2.55820224719101"/>
        <n v="2.55840426087411"/>
        <n v="2.56780324787217"/>
        <n v="2.56968304527179"/>
        <n v="2.57908203226986"/>
        <n v="2.58284162706908"/>
        <n v="2.58660122186831"/>
        <n v="2.62879520402243"/>
        <n v="2.66508371883571"/>
        <n v="2.93971977842946"/>
        <n v="3.02083442117905"/>
        <n v="3.1947261663286"/>
        <n v="3.26164874551971"/>
      </sharedItems>
    </cacheField>
    <cacheField name="Культура" numFmtId="0">
      <sharedItems count="1">
        <s v="ГРК (богара)"/>
      </sharedItems>
    </cacheField>
    <cacheField name="Орошение" numFmtId="0">
      <sharedItems count="1">
        <s v="богара"/>
      </sharedItems>
    </cacheField>
    <cacheField name="Смена" numFmtId="0">
      <sharedItems containsSemiMixedTypes="0" containsString="0" containsNumber="1" containsInteger="1" minValue="1" maxValue="6" count="6">
        <n v="1"/>
        <n v="2"/>
        <n v="3"/>
        <n v="4"/>
        <n v="5"/>
        <n v="6"/>
      </sharedItems>
    </cacheField>
    <cacheField name="Дата отчета" numFmtId="0">
      <sharedItems containsSemiMixedTypes="0" containsNonDate="0" containsDate="1" containsString="0" minDate="2026-06-03T00:00:00" maxDate="2026-06-09T00:00:00" count="6">
        <d v="2026-06-03T00:00:00"/>
        <d v="2026-06-04T00:00:00"/>
        <d v="2026-06-06T00:00:00"/>
        <d v="2026-06-07T00:00:00"/>
        <d v="2026-06-08T00:00:00"/>
        <d v="2026-06-09T00:00:00"/>
      </sharedItems>
    </cacheField>
    <cacheField name="Продажа" numFmtId="0">
      <sharedItems containsString="0" containsBlank="1" containsNumber="1" containsInteger="1" minValue="13030" maxValue="17540" count="5">
        <n v="13030"/>
        <n v="13100"/>
        <n v="15390"/>
        <n v="17540"/>
        <m/>
      </sharedItems>
    </cacheField>
    <cacheField name="Примечание" numFmtId="0">
      <sharedItems containsBlank="1" count="3">
        <s v="ГРАНД-СТАР ООО"/>
        <s v="ТПК ЮЖНЫЙ ПРОДУКТ ООО"/>
        <m/>
      </sharedItems>
    </cacheField>
    <cacheField name="Финометр" numFmtId="0">
      <sharedItems count="3">
        <s v=" 40-52"/>
        <s v="53-63"/>
        <s v="нет данных"/>
      </sharedItems>
    </cacheField>
    <cacheField name="Характеристика" numFmtId="0">
      <sharedItems containsBlank="1" count="2">
        <s v="Высший"/>
        <m/>
      </sharedItems>
    </cacheField>
    <cacheField name="№ акта" numFmtId="0">
      <sharedItems containsString="0" containsBlank="1" containsNumber="1" containsInteger="1" minValue="14" maxValue="122" count="109"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m/>
      </sharedItems>
    </cacheField>
    <cacheField name="Дата акта" numFmtId="0">
      <sharedItems containsNonDate="0" containsDate="1" containsString="0" containsBlank="1" minDate="2026-06-03T00:00:00" maxDate="2026-06-10T00:00:00" count="8">
        <d v="2026-06-03T00:00:00"/>
        <d v="2026-06-04T00:00:00"/>
        <d v="2026-06-06T00:00:00"/>
        <d v="2026-06-07T00:00:00"/>
        <d v="2026-06-08T00:00:00"/>
        <d v="2026-06-09T00:00:00"/>
        <d v="2026-06-10T00:00:00"/>
        <m/>
      </sharedItems>
    </cacheField>
    <cacheField name="Вх №" numFmtId="0">
      <sharedItems containsString="0" containsBlank="1" count="1">
        <m/>
      </sharedItems>
    </cacheField>
    <cacheField name="Степень зрелости вспом" numFmtId="0">
      <sharedItems containsString="0" containsBlank="1" containsNumber="1" containsInteger="1" minValue="42" maxValue="57" count="17"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cordCount="4" createdVersion="3">
  <cacheSource type="worksheet">
    <worksheetSource ref="A54:I58" sheet="Данные 2026"/>
  </cacheSource>
  <cacheFields count="9">
    <cacheField name="Культура" numFmtId="0">
      <sharedItems count="4">
        <s v="Агролидер (полив)"/>
        <s v="ГРК (богара)"/>
        <s v="ГРК (полив)"/>
        <s v="Колос (полив)"/>
      </sharedItems>
    </cacheField>
    <cacheField name="Орошение" numFmtId="0">
      <sharedItems count="2">
        <s v="богара"/>
        <s v="полив"/>
      </sharedItems>
    </cacheField>
    <cacheField name="ПЛАН, т" numFmtId="0">
      <sharedItems containsSemiMixedTypes="0" containsString="0" containsNumber="1" minValue="1345" maxValue="3890" count="4">
        <n v="1345"/>
        <n v="2100"/>
        <n v="2200.8"/>
        <n v="3890"/>
      </sharedItems>
    </cacheField>
    <cacheField name="ФАКТ, т" numFmtId="0">
      <sharedItems containsSemiMixedTypes="0" containsString="0" containsNumber="1" minValue="0" maxValue="1356.3" count="2">
        <n v="0"/>
        <n v="1356.3"/>
      </sharedItems>
    </cacheField>
    <cacheField name="Исполнение плана по валу, %" numFmtId="0">
      <sharedItems containsSemiMixedTypes="0" containsString="0" containsNumber="1" minValue="0" maxValue="0.34866323907455" count="2">
        <n v="0"/>
        <n v="0.34866323907455"/>
      </sharedItems>
    </cacheField>
    <cacheField name="ПЛАН, га" numFmtId="0">
      <sharedItems containsSemiMixedTypes="0" containsString="0" containsNumber="1" minValue="269" maxValue="778" count="4">
        <n v="269"/>
        <n v="420"/>
        <n v="440.16"/>
        <n v="778"/>
      </sharedItems>
    </cacheField>
    <cacheField name="ФАКТ, га" numFmtId="0">
      <sharedItems containsSemiMixedTypes="0" containsString="0" containsNumber="1" minValue="0" maxValue="235" count="2">
        <n v="0"/>
        <n v="235"/>
      </sharedItems>
    </cacheField>
    <cacheField name="Исполнение плана по площади, %" numFmtId="0">
      <sharedItems containsSemiMixedTypes="0" containsString="0" containsNumber="1" minValue="0" maxValue="0.302056555269923" count="2">
        <n v="0"/>
        <n v="0.302056555269923"/>
      </sharedItems>
    </cacheField>
    <cacheField name="Урожайность, т/га" numFmtId="0">
      <sharedItems containsSemiMixedTypes="0" containsString="0" containsNumber="1" minValue="0" maxValue="5.77148936170213" count="2">
        <n v="0"/>
        <n v="5.77148936170213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cordCount="8" createdVersion="3">
  <cacheSource type="worksheet">
    <worksheetSource ref="A54:I62" sheet="Данные 2025"/>
  </cacheSource>
  <cacheFields count="9">
    <cacheField name="Культура" numFmtId="0">
      <sharedItems count="8">
        <s v="Агролидер"/>
        <s v="Братковский"/>
        <s v="Братковский закупка"/>
        <s v="ГРК"/>
        <s v="ГРК демо"/>
        <s v="ГРК собственные семена"/>
        <s v="Колос"/>
        <s v="Учхоз Кубань"/>
      </sharedItems>
    </cacheField>
    <cacheField name="Орошение" numFmtId="0">
      <sharedItems count="2">
        <s v="богара"/>
        <s v="полив"/>
      </sharedItems>
    </cacheField>
    <cacheField name="ПЛАН, т" numFmtId="0">
      <sharedItems containsSemiMixedTypes="0" containsString="0" containsNumber="1" minValue="136.5" maxValue="1784.12" count="8">
        <n v="136.5"/>
        <n v="522.325"/>
        <n v="586.5"/>
        <n v="765"/>
        <n v="910"/>
        <n v="936.2"/>
        <n v="1157.4"/>
        <n v="1784.12"/>
      </sharedItems>
    </cacheField>
    <cacheField name="ФАКТ, т" numFmtId="0">
      <sharedItems containsSemiMixedTypes="0" containsString="0" containsNumber="1" minValue="91.8" maxValue="1992.2" count="8">
        <n v="91.8"/>
        <n v="503.65"/>
        <n v="561.3"/>
        <n v="769.25"/>
        <n v="842.08"/>
        <n v="1017.73"/>
        <n v="1320.13"/>
        <n v="1992.2"/>
      </sharedItems>
    </cacheField>
    <cacheField name="Исполнение плана по валу, %" numFmtId="0">
      <sharedItems containsSemiMixedTypes="0" containsString="0" containsNumber="1" minValue="0.553461538461538" maxValue="1.7352600170503" count="8">
        <n v="0.553461538461538"/>
        <n v="0.672527472527473"/>
        <n v="0.821672719504379"/>
        <n v="1.07461829320825"/>
        <n v="1.10075816993464"/>
        <n v="1.11662892630541"/>
        <n v="1.14059961983757"/>
        <n v="1.7352600170503"/>
      </sharedItems>
    </cacheField>
    <cacheField name="ПЛАН, га" numFmtId="0">
      <sharedItems containsSemiMixedTypes="0" containsString="0" containsNumber="1" minValue="39" maxValue="379.6" count="8">
        <n v="39"/>
        <n v="120"/>
        <n v="138"/>
        <n v="180"/>
        <n v="257.2"/>
        <n v="260"/>
        <n v="302"/>
        <n v="379.6"/>
      </sharedItems>
    </cacheField>
    <cacheField name="ФАКТ, га" numFmtId="0">
      <sharedItems containsSemiMixedTypes="0" containsString="0" containsNumber="1" minValue="31" maxValue="379.589685688723" count="8">
        <n v="31"/>
        <n v="120.026292446661"/>
        <n v="138"/>
        <n v="147.989741270657"/>
        <n v="183.41254858412"/>
        <n v="237.243804502129"/>
        <n v="246.598013481289"/>
        <n v="379.589685688723"/>
      </sharedItems>
    </cacheField>
    <cacheField name="Исполнение плана по площади, %" numFmtId="0">
      <sharedItems containsSemiMixedTypes="0" containsString="0" containsNumber="1" minValue="0.705432879169692" maxValue="1.00021910372217" count="8">
        <n v="0.705432879169692"/>
        <n v="0.794871794871795"/>
        <n v="0.816549713514202"/>
        <n v="0.822165229281425"/>
        <n v="0.922409815327098"/>
        <n v="0.99997282847398"/>
        <n v="1"/>
        <n v="1.00021910372217"/>
      </sharedItems>
    </cacheField>
    <cacheField name="Урожайность, т/га" numFmtId="0">
      <sharedItems containsSemiMixedTypes="0" containsString="0" containsNumber="1" minValue="2.74599531977501" maxValue="7.37485507246377" count="8">
        <n v="2.74599531977501"/>
        <n v="2.96129032258065"/>
        <n v="3.11944929782806"/>
        <n v="4.67647536684048"/>
        <n v="5.24829855791623"/>
        <n v="5.56444457114643"/>
        <n v="5.69012414488874"/>
        <n v="7.37485507246377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cordCount="45" createdVersion="3">
  <cacheSource type="worksheet">
    <worksheetSource ref="A3:B48" sheet="Поступление на завод по дням"/>
  </cacheSource>
  <cacheFields count="2">
    <cacheField name="Дата" numFmtId="0">
      <sharedItems containsSemiMixedTypes="0" containsNonDate="0" containsDate="1" containsString="0" minDate="2025-05-27T00:00:00" maxDate="2025-07-10T00:00:00" count="45"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</sharedItems>
    </cacheField>
    <cacheField name="Физический вес, тонны" numFmtId="0">
      <sharedItems containsString="0" containsBlank="1" containsNumber="1" minValue="28.37" maxValue="288.24" count="42">
        <n v="28.37"/>
        <n v="29.45"/>
        <n v="38.47"/>
        <n v="40.51"/>
        <n v="46.31"/>
        <n v="52.63"/>
        <n v="60.75"/>
        <n v="69.19"/>
        <n v="69.23"/>
        <n v="71.01"/>
        <n v="84.68"/>
        <n v="94.08"/>
        <n v="98.79"/>
        <n v="125.43"/>
        <n v="137.38"/>
        <n v="143.24"/>
        <n v="148.15"/>
        <n v="152.51"/>
        <n v="159.63"/>
        <n v="163.7"/>
        <n v="167.58"/>
        <n v="181.62"/>
        <n v="185.62"/>
        <n v="187.54"/>
        <n v="192.37"/>
        <n v="204.71"/>
        <n v="212.04"/>
        <n v="213.73"/>
        <n v="214.02"/>
        <n v="218.34"/>
        <n v="218.92"/>
        <n v="220.8"/>
        <n v="222.75"/>
        <n v="226.12"/>
        <n v="228.57"/>
        <n v="239.3"/>
        <n v="244.84"/>
        <n v="257.7"/>
        <n v="269.58"/>
        <n v="277.55"/>
        <n v="288.24"/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cordCount="1501" createdVersion="3">
  <cacheSource type="worksheet">
    <worksheetSource ref="A1:Y1502" sheet="Вх конт 2023-2026"/>
  </cacheSource>
  <cacheFields count="25">
    <cacheField name="Документ" numFmtId="0">
      <sharedItems count="1501">
        <s v="Акт входного контроля 000000002 от 26.05.2023 10:00:06"/>
        <s v="Акт входного контроля 000000003 от 29.05.2023 18:40:06"/>
        <s v="Акт входного контроля 000000004 от 29.05.2023 20:40:25"/>
        <s v="Акт входного контроля 000000005 от 30.05.2023 10:20:16"/>
        <s v="Акт входного контроля 000000006 от 30.05.2023 10:39:53"/>
        <s v="Акт входного контроля 000000007 от 29.05.2023 21:37:52"/>
        <s v="Акт входного контроля 000000008 от 29.05.2023 15:57:39"/>
        <s v="Акт входного контроля 000000009 от 30.05.2023 12:05:22"/>
        <s v="Акт входного контроля 000000010 от 29.05.2023 14:22:49"/>
        <s v="Акт входного контроля 000000011 от 29.05.2023 10:37:44"/>
        <s v="Акт входного контроля 000000012 от 30.05.2023 6:54:39"/>
        <s v="Акт входного контроля 000000013 от 30.05.2023 13:57:20"/>
        <s v="Акт входного контроля 000000014 от 03.06.2026 10:03:32"/>
        <s v="Акт входного контроля 000000014 от 30.05.2023 15:42:00"/>
        <s v="Акт входного контроля 000000015 от 03.06.2026 13:58:27"/>
        <s v="Акт входного контроля 000000015 от 30.05.2023 18:46:20"/>
        <s v="Акт входного контроля 000000016 от 03.06.2026 14:58:01"/>
        <s v="Акт входного контроля 000000016 от 30.05.2023 19:04:46"/>
        <s v="Акт входного контроля 000000017 от 03.06.2026 16:03:51"/>
        <s v="Акт входного контроля 000000017 от 30.05.2023 21:43:11"/>
        <s v="Акт входного контроля 000000018 от 03.06.2026 20:02:51"/>
        <s v="Акт входного контроля 000000019 от 03.06.2026 21:13:14"/>
        <s v="Акт входного контроля 000000019 от 31.05.2023 23:45:47"/>
        <s v="Акт входного контроля 000000020 от 03.06.2026 23:06:25"/>
        <s v="Акт входного контроля 000000020 от 31.05.2023 20:29:02"/>
        <s v="Акт входного контроля 000000021 от 03.06.2026 23:55:41"/>
        <s v="Акт входного контроля 000000021 от 31.05.2023 22:10:54"/>
        <s v="Акт входного контроля 000000022 от 04.06.2026 17:37:00"/>
        <s v="Акт входного контроля 000000022 от 31.05.2023 22:21:20"/>
        <s v="Акт входного контроля 000000023 от 01.06.2023 21:23:13"/>
        <s v="Акт входного контроля 000000023 от 04.06.2026 17:40:17"/>
        <s v="Акт входного контроля 000000024 от 04.06.2026 17:42:52"/>
        <s v="Акт входного контроля 000000024 от 31.05.2023 16:55:24"/>
        <s v="Акт входного контроля 000000025 от 01.06.2023 2:32:38"/>
        <s v="Акт входного контроля 000000025 от 04.06.2026 17:46:09"/>
        <s v="Акт входного контроля 000000026 от 01.06.2023 21:22:07"/>
        <s v="Акт входного контроля 000000026 от 04.06.2026 17:49:15"/>
        <s v="Акт входного контроля 000000027 от 01.06.2023 21:21:56"/>
        <s v="Акт входного контроля 000000027 от 04.06.2026 17:52:02"/>
        <s v="Акт входного контроля 000000028 от 01.06.2023 21:21:43"/>
        <s v="Акт входного контроля 000000028 от 04.06.2026 17:54:15"/>
        <s v="Акт входного контроля 000000029 от 01.06.2023 21:20:41"/>
        <s v="Акт входного контроля 000000029 от 04.06.2026 17:57:09"/>
        <s v="Акт входного контроля 000000030 от 01.06.2023 21:20:17"/>
        <s v="Акт входного контроля 000000030 от 04.06.2026 17:59:39"/>
        <s v="Акт входного контроля 000000031 от 01.06.2023 16:57:43"/>
        <s v="Акт входного контроля 000000031 от 04.06.2026 18:02:17"/>
        <s v="Акт входного контроля 000000032 от 01.06.2023 17:23:56"/>
        <s v="Акт входного контроля 000000032 от 04.06.2026 18:04:52"/>
        <s v="Акт входного контроля 000000033 от 01.06.2023 20:31:53"/>
        <s v="Акт входного контроля 000000033 от 04.06.2026 18:12:57"/>
        <s v="Акт входного контроля 000000034 от 01.06.2023 19:46:14"/>
        <s v="Акт входного контроля 000000034 от 04.06.2026 19:26:01"/>
        <s v="Акт входного контроля 000000035 от 01.06.2023 21:30:43"/>
        <s v="Акт входного контроля 000000035 от 04.06.2026 18:46:44"/>
        <s v="Акт входного контроля 000000036 от 01.06.2023 23:04:28"/>
        <s v="Акт входного контроля 000000036 от 04.06.2026 19:52:03"/>
        <s v="Акт входного контроля 000000037 от 01.06.2023 23:34:16"/>
        <s v="Акт входного контроля 000000037 от 06.06.2026 22:45:56"/>
        <s v="Акт входного контроля 000000038 от 02.06.2023 11:59:37"/>
        <s v="Акт входного контроля 000000038 от 06.06.2026 23:15:22"/>
        <s v="Акт входного контроля 000000039 от 02.06.2023 1:51:09"/>
        <s v="Акт входного контроля 000000039 от 06.06.2026 23:13:19"/>
        <s v="Акт входного контроля 000000040 от 02.06.2023 15:17:33"/>
        <s v="Акт входного контроля 000000040 от 06.06.2026 23:17:27"/>
        <s v="Акт входного контроля 000000041 от 02.06.2023 14:47:59"/>
        <s v="Акт входного контроля 000000041 от 06.06.2026 22:43:38"/>
        <s v="Акт входного контроля 000000042 от 02.06.2023 17:29:22"/>
        <s v="Акт входного контроля 000000042 от 06.06.2026 22:49:39"/>
        <s v="Акт входного контроля 000000043 от 02.06.2023 16:19:11"/>
        <s v="Акт входного контроля 000000043 от 06.06.2026 22:52:49"/>
        <s v="Акт входного контроля 000000044 от 02.06.2023 19:52:05"/>
        <s v="Акт входного контроля 000000044 от 06.06.2026 22:58:14"/>
        <s v="Акт входного контроля 000000044 от 27.05.2025 18:45:07"/>
        <s v="Акт входного контроля 000000045 от 02.06.2023 17:43:26"/>
        <s v="Акт входного контроля 000000045 от 06.06.2026 23:00:18"/>
        <s v="Акт входного контроля 000000045 от 27.05.2025 18:55:15"/>
        <s v="Акт входного контроля 000000046 от 02.06.2023 19:33:48"/>
        <s v="Акт входного контроля 000000046 от 06.06.2026 23:04:26"/>
        <s v="Акт входного контроля 000000046 от 27.05.2025 18:12:14"/>
        <s v="Акт входного контроля 000000047 от 02.06.2023 22:11:52"/>
        <s v="Акт входного контроля 000000047 от 06.06.2026 23:06:34"/>
        <s v="Акт входного контроля 000000047 от 28.05.2025 7:34:33"/>
        <s v="Акт входного контроля 000000048 от 02.06.2023 22:17:26"/>
        <s v="Акт входного контроля 000000048 от 06.06.2026 23:08:47"/>
        <s v="Акт входного контроля 000000048 от 28.05.2025 13:21:12"/>
        <s v="Акт входного контроля 000000049 от 03.06.2023 12:56:16"/>
        <s v="Акт входного контроля 000000049 от 06.06.2026 23:11:10"/>
        <s v="Акт входного контроля 000000050 от 02.06.2023 0:10:26"/>
        <s v="Акт входного контроля 000000051 от 03.06.2023 8:49:55"/>
        <s v="Акт входного контроля 000000051 от 06.06.2026 18:18:59"/>
        <s v="Акт входного контроля 000000052 от 03.06.2023 9:26:33"/>
        <s v="Акт входного контроля 000000052 от 06.06.2026 21:01:41"/>
        <s v="Акт входного контроля 000000052 от 28.05.2025 17:09:05"/>
        <s v="Акт входного контроля 000000053 от 03.06.2023 10:40:14"/>
        <s v="Акт входного контроля 000000053 от 06.06.2026 21:38:07"/>
        <s v="Акт входного контроля 000000053 от 28.05.2025 17:13:08"/>
        <s v="Акт входного контроля 000000054 от 03.06.2023 12:40:28"/>
        <s v="Акт входного контроля 000000054 от 06.06.2026 22:21:00"/>
        <s v="Акт входного контроля 000000054 от 28.05.2025 19:29:40"/>
        <s v="Акт входного контроля 000000055 от 03.06.2023 13:14:55"/>
        <s v="Акт входного контроля 000000055 от 06.06.2026 23:21:51"/>
        <s v="Акт входного контроля 000000055 от 28.05.2025 22:06:53"/>
        <s v="Акт входного контроля 000000056 от 03.06.2023 13:22:55"/>
        <s v="Акт входного контроля 000000056 от 07.06.2026 5:15:22"/>
        <s v="Акт входного контроля 000000056 от 28.05.2025 23:29:32"/>
        <s v="Акт входного контроля 000000057 от 03.06.2023 15:11:25"/>
        <s v="Акт входного контроля 000000057 от 07.06.2026 5:26:16"/>
        <s v="Акт входного контроля 000000057 от 29.05.2025 9:14:34"/>
        <s v="Акт входного контроля 000000058 от 03.06.2023 16:25:37"/>
        <s v="Акт входного контроля 000000058 от 07.06.2026 1:51:09"/>
        <s v="Акт входного контроля 000000058 от 29.05.2025 4:10:27"/>
        <s v="Акт входного контроля 000000059 от 03.06.2023 16:57:18"/>
        <s v="Акт входного контроля 000000059 от 07.06.2026 10:03:01"/>
        <s v="Акт входного контроля 000000059 от 29.05.2025 5:52:59"/>
        <s v="Акт входного контроля 000000060 от 03.06.2023 18:34:46"/>
        <s v="Акт входного контроля 000000060 от 07.06.2026 11:16:28"/>
        <s v="Акт входного контроля 000000061 от 03.06.2023 22:17:46"/>
        <s v="Акт входного контроля 000000061 от 07.06.2026 11:35:05"/>
        <s v="Акт входного контроля 000000062 от 03.06.2023 22:36:20"/>
        <s v="Акт входного контроля 000000062 от 07.06.2026 11:49:58"/>
        <s v="Акт входного контроля 000000063 от 03.06.2023 18:35:59"/>
        <s v="Акт входного контроля 000000063 от 07.06.2026 12:39:47"/>
        <s v="Акт входного контроля 000000064 от 03.06.2023 19:18:37"/>
        <s v="Акт входного контроля 000000064 от 07.06.2026 14:47:06"/>
        <s v="Акт входного контроля 000000065 от 03.06.2023 20:01:54"/>
        <s v="Акт входного контроля 000000065 от 07.06.2026 16:23:34"/>
        <s v="Акт входного контроля 000000066 от 03.06.2023 21:34:30"/>
        <s v="Акт входного контроля 000000066 от 07.06.2026 16:33:17"/>
        <s v="Акт входного контроля 000000067 от 04.06.2023 0:08:45"/>
        <s v="Акт входного контроля 000000067 от 07.06.2026 17:07:55"/>
        <s v="Акт входного контроля 000000068 от 03.06.2023 22:52:27"/>
        <s v="Акт входного контроля 000000068 от 07.06.2026 19:43:05"/>
        <s v="Акт входного контроля 000000069 от 04.06.2023 6:32:11"/>
        <s v="Акт входного контроля 000000069 от 07.06.2026 20:09:12"/>
        <s v="Акт входного контроля 000000070 от 04.06.2023 7:43:26"/>
        <s v="Акт входного контроля 000000070 от 07.06.2026 20:15:13"/>
        <s v="Акт входного контроля 000000071 от 04.06.2023 9:56:34"/>
        <s v="Акт входного контроля 000000071 от 07.06.2026 21:30:12"/>
        <s v="Акт входного контроля 000000072 от 04.06.2023 11:13:15"/>
        <s v="Акт входного контроля 000000072 от 07.06.2026 22:10:56"/>
        <s v="Акт входного контроля 000000072 от 29.05.2025 19:39:53"/>
        <s v="Акт входного контроля 000000073 от 04.06.2023 16:14:50"/>
        <s v="Акт входного контроля 000000073 от 07.06.2026 22:27:40"/>
        <s v="Акт входного контроля 000000073 от 29.05.2025 19:59:18"/>
        <s v="Акт входного контроля 000000074 от 04.06.2023 18:22:02"/>
        <s v="Акт входного контроля 000000074 от 07.06.2026 23:52:42"/>
        <s v="Акт входного контроля 000000074 от 31.05.2025 9:09:53"/>
        <s v="Акт входного контроля 000000075 от 04.06.2023 22:39:51"/>
        <s v="Акт входного контроля 000000075 от 07.06.2026 23:37:31"/>
        <s v="Акт входного контроля 000000075 от 31.05.2025 10:10:45"/>
        <s v="Акт входного контроля 000000076 от 04.06.2023 23:43:24"/>
        <s v="Акт входного контроля 000000076 от 08.06.2026 2:28:52"/>
        <s v="Акт входного контроля 000000076 от 31.05.2025 12:12:45"/>
        <s v="Акт входного контроля 000000077 от 05.06.2023 8:54:10"/>
        <s v="Акт входного контроля 000000077 от 08.06.2026 3:33:17"/>
        <s v="Акт входного контроля 000000077 от 31.05.2025 15:05:03"/>
        <s v="Акт входного контроля 000000078 от 05.06.2023 8:49:46"/>
        <s v="Акт входного контроля 000000078 от 08.06.2026 4:07:52"/>
        <s v="Акт входного контроля 000000078 от 31.05.2025 18:28:58"/>
        <s v="Акт входного контроля 000000079 от 05.06.2023 6:57:24"/>
        <s v="Акт входного контроля 000000079 от 08.06.2026 5:50:44"/>
        <s v="Акт входного контроля 000000079 от 31.05.2025 19:28:06"/>
        <s v="Акт входного контроля 000000080 от 05.06.2023 7:09:59"/>
        <s v="Акт входного контроля 000000080 от 08.06.2026 7:02:28"/>
        <s v="Акт входного контроля 000000080 от 31.05.2025 22:38:49"/>
        <s v="Акт входного контроля 000000081 от 01.06.2025 1:45:14"/>
        <s v="Акт входного контроля 000000081 от 05.06.2023 11:59:44"/>
        <s v="Акт входного контроля 000000081 от 08.06.2026 10:42:45"/>
        <s v="Акт входного контроля 000000082 от 01.06.2025 7:43:49"/>
        <s v="Акт входного контроля 000000082 от 05.06.2023 12:59:20"/>
        <s v="Акт входного контроля 000000082 от 08.06.2026 10:45:50"/>
        <s v="Акт входного контроля 000000083 от 01.06.2025 7:41:16"/>
        <s v="Акт входного контроля 000000083 от 05.06.2023 19:05:04"/>
        <s v="Акт входного контроля 000000083 от 08.06.2026 10:48:36"/>
        <s v="Акт входного контроля 000000084 от 01.06.2025 13:09:02"/>
        <s v="Акт входного контроля 000000084 от 05.06.2023 21:27:04"/>
        <s v="Акт входного контроля 000000084 от 08.06.2026 10:53:11"/>
        <s v="Акт входного контроля 000000085 от 01.06.2025 16:38:06"/>
        <s v="Акт входного контроля 000000085 от 05.06.2023 23:20:33"/>
        <s v="Акт входного контроля 000000085 от 08.06.2026 11:43:20"/>
        <s v="Акт входного контроля 000000086 от 01.06.2025 17:28:27"/>
        <s v="Акт входного контроля 000000086 от 05.06.2023 23:24:12"/>
        <s v="Акт входного контроля 000000086 от 08.06.2026 13:56:23"/>
        <s v="Акт входного контроля 000000087 от 01.06.2025 18:55:59"/>
        <s v="Акт входного контроля 000000087 от 05.06.2023 21:53:52"/>
        <s v="Акт входного контроля 000000087 от 08.06.2026 14:07:35"/>
        <s v="Акт входного контроля 000000088 от 01.06.2025 18:58:25"/>
        <s v="Акт входного контроля 000000088 от 05.06.2023 22:43:31"/>
        <s v="Акт входного контроля 000000088 от 08.06.2026 14:15:38"/>
        <s v="Акт входного контроля 000000089 от 01.06.2025 19:45:59"/>
        <s v="Акт входного контроля 000000089 от 05.06.2023 3:04:56"/>
        <s v="Акт входного контроля 000000089 от 08.06.2026 16:33:42"/>
        <s v="Акт входного контроля 000000090 от 01.06.2025 23:58:21"/>
        <s v="Акт входного контроля 000000090 от 05.06.2023 11:51:55"/>
        <s v="Акт входного контроля 000000090 от 08.06.2026 18:01:13"/>
        <s v="Акт входного контроля 000000091 от 01.06.2025 21:02:54"/>
        <s v="Акт входного контроля 000000091 от 05.06.2023 9:00:38"/>
        <s v="Акт входного контроля 000000091 от 08.06.2026 19:02:16"/>
        <s v="Акт входного контроля 000000092 от 01.06.2025 22:29:36"/>
        <s v="Акт входного контроля 000000092 от 08.06.2026 22:44:17"/>
        <s v="Акт входного контроля 000000093 от 01.06.2025 21:52:23"/>
        <s v="Акт входного контроля 000000093 от 05.06.2023 11:12:46"/>
        <s v="Акт входного контроля 000000093 от 08.06.2026 23:38:04"/>
        <s v="Акт входного контроля 000000094 от 01.06.2025 23:13:06"/>
        <s v="Акт входного контроля 000000094 от 06.06.2023 11:46:14"/>
        <s v="Акт входного контроля 000000094 от 08.06.2026 23:57:47"/>
        <s v="Акт входного контроля 000000095 от 02.06.2023 22:17:28"/>
        <s v="Акт входного контроля 000000095 от 08.06.2026 21:04:23"/>
        <s v="Акт входного контроля 000000096 от 02.06.2023 22:17:29"/>
        <s v="Акт входного контроля 000000096 от 02.06.2025 9:27:29"/>
        <s v="Акт входного контроля 000000096 от 08.06.2026 22:00:41"/>
        <s v="Акт входного контроля 000000097 от 02.06.2025 12:14:28"/>
        <s v="Акт входного контроля 000000097 от 06.06.2023 14:32:30"/>
        <s v="Акт входного контроля 000000097 от 09.06.2026 3:27:48"/>
        <s v="Акт входного контроля 000000098 от 02.06.2025 13:11:34"/>
        <s v="Акт входного контроля 000000098 от 06.06.2023 15:00:28"/>
        <s v="Акт входного контроля 000000098 от 09.06.2026 4:55:34"/>
        <s v="Акт входного контроля 000000099 от 02.06.2025 13:27:43"/>
        <s v="Акт входного контроля 000000099 от 06.06.2023 15:32:06"/>
        <s v="Акт входного контроля 000000099 от 09.06.2026 5:04:34"/>
        <s v="Акт входного контроля 000000100 от 02.06.2025 13:46:32"/>
        <s v="Акт входного контроля 000000100 от 06.06.2023 18:37:33"/>
        <s v="Акт входного контроля 000000100 от 09.06.2026 7:23:03"/>
        <s v="Акт входного контроля 000000101 от 02.06.2025 14:02:35"/>
        <s v="Акт входного контроля 000000101 от 06.06.2023 18:52:07"/>
        <s v="Акт входного контроля 000000101 от 09.06.2026 12:00:42"/>
        <s v="Акт входного контроля 000000102 от 02.06.2025 16:16:07"/>
        <s v="Акт входного контроля 000000102 от 06.06.2023 20:44:35"/>
        <s v="Акт входного контроля 000000102 от 09.06.2026 12:07:31"/>
        <s v="Акт входного контроля 000000103 от 02.06.2025 16:27:22"/>
        <s v="Акт входного контроля 000000103 от 06.06.2023 21:00:34"/>
        <s v="Акт входного контроля 000000103 от 09.06.2026 12:09:54"/>
        <s v="Акт входного контроля 000000104 от 02.06.2025 17:40:49"/>
        <s v="Акт входного контроля 000000104 от 06.06.2023 22:40:53"/>
        <s v="Акт входного контроля 000000104 от 09.06.2026 12:16:34"/>
        <s v="Акт входного контроля 000000105 от 02.06.2025 22:29:18"/>
        <s v="Акт входного контроля 000000105 от 06.06.2023 23:03:07"/>
        <s v="Акт входного контроля 000000105 от 09.06.2026 15:54:34"/>
        <s v="Акт входного контроля 000000106 от 02.06.2025 22:35:44"/>
        <s v="Акт входного контроля 000000106 от 06.06.2023 22:11:23"/>
        <s v="Акт входного контроля 000000106 от 09.06.2026 14:14:36"/>
        <s v="Акт входного контроля 000000107 от 02.06.2025 22:39:20"/>
        <s v="Акт входного контроля 000000107 от 06.06.2023 23:05:36"/>
        <s v="Акт входного контроля 000000107 от 09.06.2026 14:16:56"/>
        <s v="Акт входного контроля 000000108 от 02.06.2025 23:14:33"/>
        <s v="Акт входного контроля 000000108 от 06.06.2023 3:27:56"/>
        <s v="Акт входного контроля 000000108 от 09.06.2026 15:07:46"/>
        <s v="Акт входного контроля 000000109 от 02.06.2025 23:23:18"/>
        <s v="Акт входного контроля 000000109 от 06.06.2023 4:42:36"/>
        <s v="Акт входного контроля 000000109 от 09.06.2026 15:58:10"/>
        <s v="Акт входного контроля 000000110 от 03.06.2025 4:16:18"/>
        <s v="Акт входного контроля 000000110 от 07.06.2023 11:08:53"/>
        <s v="Акт входного контроля 000000110 от 09.06.2026 18:31:29"/>
        <s v="Акт входного контроля 000000111 от 03.06.2025 4:19:08"/>
        <s v="Акт входного контроля 000000111 от 07.06.2023 11:11:30"/>
        <s v="Акт входного контроля 000000111 от 09.06.2026 18:36:34"/>
        <s v="Акт входного контроля 000000112 от 02.06.2025 13:55:19"/>
        <s v="Акт входного контроля 000000112 от 07.06.2023 12:34:10"/>
        <s v="Акт входного контроля 000000112 от 09.06.2026 20:10:27"/>
        <s v="Акт входного контроля 000000113 от 02.06.2025 15:13:13"/>
        <s v="Акт входного контроля 000000113 от 07.06.2023 14:46:38"/>
        <s v="Акт входного контроля 000000113 от 09.06.2026 17:58:29"/>
        <s v="Акт входного контроля 000000114 от 02.06.2025 16:30:02"/>
        <s v="Акт входного контроля 000000114 от 07.06.2023 7:46:24"/>
        <s v="Акт входного контроля 000000114 от 09.06.2026 21:36:40"/>
        <s v="Акт входного контроля 000000115 от 02.06.2025 23:23:19"/>
        <s v="Акт входного контроля 000000115 от 07.06.2023 21:37:49"/>
        <s v="Акт входного контроля 000000115 от 09.06.2026 20:44:19"/>
        <s v="Акт входного контроля 000000116 от 08.06.2023 8:27:37"/>
        <s v="Акт входного контроля 000000116 от 09.06.2026 21:48:23"/>
        <s v="Акт входного контроля 000000117 от 07.06.2023 13:12:30"/>
        <s v="Акт входного контроля 000000117 от 09.06.2026 22:11:25"/>
        <s v="Акт входного контроля 000000118 от 07.06.2023 14:50:47"/>
        <s v="Акт входного контроля 000000118 от 09.06.2026 22:55:55"/>
        <s v="Акт входного контроля 000000119 от 08.06.2023 3:50:38"/>
        <s v="Акт входного контроля 000000119 от 10.06.2026 1:27:29"/>
        <s v="Акт входного контроля 000000120 от 05.06.2023 23:24:13"/>
        <s v="Акт входного контроля 000000120 от 10.06.2026 2:48:30"/>
        <s v="Акт входного контроля 000000121 от 05.06.2023 11:02:12"/>
        <s v="Акт входного контроля 000000121 от 10.06.2026 8:08:30"/>
        <s v="Акт входного контроля 000000122 от 08.06.2023 11:16:29"/>
        <s v="Акт входного контроля 000000122 от 10.06.2026 8:11:11"/>
        <s v="Акт входного контроля 000000123 от 05.06.2023 23:24:14"/>
        <s v="Акт входного контроля 000000124 от 04.06.2023 23:43:25"/>
        <s v="Акт входного контроля 000000125 от 08.06.2023 14:11:05"/>
        <s v="Акт входного контроля 000000126 от 08.06.2023 16:18:24"/>
        <s v="Акт входного контроля 000000127 от 08.06.2023 10:31:02"/>
        <s v="Акт входного контроля 000000128 от 07.06.2023 16:49:35"/>
        <s v="Акт входного контроля 000000129 от 08.06.2023 17:28:57"/>
        <s v="Акт входного контроля 000000130 от 08.06.2023 17:39:27"/>
        <s v="Акт входного контроля 000000131 от 08.06.2023 17:48:12"/>
        <s v="Акт входного контроля 000000132 от 03.06.2025 15:56:54"/>
        <s v="Акт входного контроля 000000132 от 08.06.2023 22:01:07"/>
        <s v="Акт входного контроля 000000133 от 08.06.2023 23:13:23"/>
        <s v="Акт входного контроля 000000134 от 08.06.2023 23:16:18"/>
        <s v="Акт входного контроля 000000135 от 08.06.2023 21:40:51"/>
        <s v="Акт входного контроля 000000136 от 03.06.2025 15:58:53"/>
        <s v="Акт входного контроля 000000136 от 08.06.2023 22:22:22"/>
        <s v="Акт входного контроля 000000137 от 03.06.2025 16:36:44"/>
        <s v="Акт входного контроля 000000137 от 08.06.2023 23:58:28"/>
        <s v="Акт входного контроля 000000138 от 03.06.2025 17:31:42"/>
        <s v="Акт входного контроля 000000138 от 09.06.2023 5:21:23"/>
        <s v="Акт входного контроля 000000139 от 03.06.2025 19:03:43"/>
        <s v="Акт входного контроля 000000139 от 09.06.2023 10:04:21"/>
        <s v="Акт входного контроля 000000140 от 03.06.2025 21:20:06"/>
        <s v="Акт входного контроля 000000140 от 09.06.2023 15:56:33"/>
        <s v="Акт входного контроля 000000141 от 03.06.2025 21:38:29"/>
        <s v="Акт входного контроля 000000141 от 09.06.2023 13:11:50"/>
        <s v="Акт входного контроля 000000142 от 03.06.2025 22:22:42"/>
        <s v="Акт входного контроля 000000142 от 09.06.2023 14:04:13"/>
        <s v="Акт входного контроля 000000143 от 03.06.2025 21:53:33"/>
        <s v="Акт входного контроля 000000143 от 09.06.2023 12:49:31"/>
        <s v="Акт входного контроля 000000144 от 03.06.2025 23:12:00"/>
        <s v="Акт входного контроля 000000144 от 09.06.2023 17:44:35"/>
        <s v="Акт входного контроля 000000144 от 17.05.2024 20:10:49"/>
        <s v="Акт входного контроля 000000145 от 03.06.2025 23:52:03"/>
        <s v="Акт входного контроля 000000145 от 09.06.2023 19:56:21"/>
        <s v="Акт входного контроля 000000145 от 17.05.2024 20:19:34"/>
        <s v="Акт входного контроля 000000146 от 04.06.2025 2:13:55"/>
        <s v="Акт входного контроля 000000146 от 09.06.2023 22:50:25"/>
        <s v="Акт входного контроля 000000146 от 17.05.2024 22:33:15"/>
        <s v="Акт входного контроля 000000147 от 04.06.2025 4:04:52"/>
        <s v="Акт входного контроля 000000147 от 09.06.2023 23:32:29"/>
        <s v="Акт входного контроля 000000147 от 18.05.2024 7:10:58"/>
        <s v="Акт входного контроля 000000148 от 04.06.2025 4:35:38"/>
        <s v="Акт входного контроля 000000148 от 09.06.2023 23:42:49"/>
        <s v="Акт входного контроля 000000148 от 18.05.2024 19:41:18"/>
        <s v="Акт входного контроля 000000149 от 04.06.2025 5:28:16"/>
        <s v="Акт входного контроля 000000149 от 09.06.2023 23:51:13"/>
        <s v="Акт входного контроля 000000149 от 18.05.2024 19:40:12"/>
        <s v="Акт входного контроля 000000150 от 04.06.2025 6:50:53"/>
        <s v="Акт входного контроля 000000150 от 10.06.2023 2:14:56"/>
        <s v="Акт входного контроля 000000150 от 18.05.2024 13:06:58"/>
        <s v="Акт входного контроля 000000151 от 03.06.2025 2:10:36"/>
        <s v="Акт входного контроля 000000151 от 10.06.2023 2:18:13"/>
        <s v="Акт входного контроля 000000151 от 18.05.2024 17:20:30"/>
        <s v="Акт входного контроля 000000152 от 03.06.2025 6:08:07"/>
        <s v="Акт входного контроля 000000152 от 10.06.2023 4:42:22"/>
        <s v="Акт входного контроля 000000152 от 18.05.2024 21:27:25"/>
        <s v="Акт входного контроля 000000153 от 03.06.2025 5:48:22"/>
        <s v="Акт входного контроля 000000153 от 10.06.2023 8:29:44"/>
        <s v="Акт входного контроля 000000153 от 18.05.2024 4:47:36"/>
        <s v="Акт входного контроля 000000154 от 03.06.2025 6:12:30"/>
        <s v="Акт входного контроля 000000154 от 10.06.2023 9:06:49"/>
        <s v="Акт входного контроля 000000154 от 20.05.2024 21:38:54"/>
        <s v="Акт входного контроля 000000155 от 04.06.2025 12:14:16"/>
        <s v="Акт входного контроля 000000155 от 10.06.2023 11:20:51"/>
        <s v="Акт входного контроля 000000155 от 20.05.2024 21:41:26"/>
        <s v="Акт входного контроля 000000156 от 04.06.2025 12:21:02"/>
        <s v="Акт входного контроля 000000156 от 10.06.2023 13:04:05"/>
        <s v="Акт входного контроля 000000156 от 20.05.2024 23:01:38"/>
        <s v="Акт входного контроля 000000157 от 10.06.2023 16:33:48"/>
        <s v="Акт входного контроля 000000157 от 20.05.2024 23:09:23"/>
        <s v="Акт входного контроля 000000158 от 10.06.2023 16:54:57"/>
        <s v="Акт входного контроля 000000158 от 21.05.2024 6:56:36"/>
        <s v="Акт входного контроля 000000159 от 10.06.2023 18:39:36"/>
        <s v="Акт входного контроля 000000159 от 21.05.2024 8:31:07"/>
        <s v="Акт входного контроля 000000160 от 10.06.2023 21:06:47"/>
        <s v="Акт входного контроля 000000160 от 21.05.2024 8:41:23"/>
        <s v="Акт входного контроля 000000161 от 10.06.2023 22:17:55"/>
        <s v="Акт входного контроля 000000161 от 21.05.2024 11:54:41"/>
        <s v="Акт входного контроля 000000162 от 11.06.2023 17:49:43"/>
        <s v="Акт входного контроля 000000163 от 11.06.2023 19:50:55"/>
        <s v="Акт входного контроля 000000164 от 11.06.2023 23:17:32"/>
        <s v="Акт входного контроля 000000165 от 11.06.2023 22:39:46"/>
        <s v="Акт входного контроля 000000166 от 11.06.2023 4:33:23"/>
        <s v="Акт входного контроля 000000167 от 11.06.2023 5:28:38"/>
        <s v="Акт входного контроля 000000168 от 11.06.2023 8:22:57"/>
        <s v="Акт входного контроля 000000169 от 11.06.2023 9:46:36"/>
        <s v="Акт входного контроля 000000170 от 11.06.2023 10:40:13"/>
        <s v="Акт входного контроля 000000171 от 11.06.2023 11:23:20"/>
        <s v="Акт входного контроля 000000172 от 11.06.2023 12:53:21"/>
        <s v="Акт входного контроля 000000173 от 11.06.2023 13:47:17"/>
        <s v="Акт входного контроля 000000174 от 11.06.2023 16:40:48"/>
        <s v="Акт входного контроля 000000175 от 10.06.2023 16:32:17"/>
        <s v="Акт входного контроля 000000175 от 21.05.2024 19:01:13"/>
        <s v="Акт входного контроля 000000176 от 04.06.2025 16:53:23"/>
        <s v="Акт входного контроля 000000176 от 11.06.2023 16:49:28"/>
        <s v="Акт входного контроля 000000176 от 21.05.2024 19:12:17"/>
        <s v="Акт входного контроля 000000177 от 04.06.2025 16:57:43"/>
        <s v="Акт входного контроля 000000177 от 11.06.2023 19:16:39"/>
        <s v="Акт входного контроля 000000177 от 21.05.2024 19:59:27"/>
        <s v="Акт входного контроля 000000178 от 04.06.2025 17:23:13"/>
        <s v="Акт входного контроля 000000178 от 11.06.2023 21:32:15"/>
        <s v="Акт входного контроля 000000178 от 21.05.2024 22:40:56"/>
        <s v="Акт входного контроля 000000179 от 04.06.2025 17:45:30"/>
        <s v="Акт входного контроля 000000179 от 11.06.2023 23:04:58"/>
        <s v="Акт входного контроля 000000179 от 21.05.2024 22:44:21"/>
        <s v="Акт входного контроля 000000180 от 04.06.2025 20:04:54"/>
        <s v="Акт входного контроля 000000180 от 11.06.2023 23:36:41"/>
        <s v="Акт входного контроля 000000180 от 21.05.2024 23:49:24"/>
        <s v="Акт входного контроля 000000181 от 04.06.2025 20:40:17"/>
        <s v="Акт входного контроля 000000181 от 11.06.2023 20:35:45"/>
        <s v="Акт входного контроля 000000181 от 21.05.2024 23:18:37"/>
        <s v="Акт входного контроля 000000182 от 04.06.2025 21:28:41"/>
        <s v="Акт входного контроля 000000182 от 12.06.2023 4:35:40"/>
        <s v="Акт входного контроля 000000182 от 22.05.2024 9:27:34"/>
        <s v="Акт входного контроля 000000183 от 04.06.2025 22:17:24"/>
        <s v="Акт входного контроля 000000183 от 12.06.2023 6:06:22"/>
        <s v="Акт входного контроля 000000183 от 22.05.2024 9:44:52"/>
        <s v="Акт входного контроля 000000184 от 04.06.2025 23:42:59"/>
        <s v="Акт входного контроля 000000184 от 12.06.2023 9:21:23"/>
        <s v="Акт входного контроля 000000184 от 22.05.2024 10:57:21"/>
        <s v="Акт входного контроля 000000185 от 04.06.2025 23:47:55"/>
        <s v="Акт входного контроля 000000185 от 12.06.2023 10:35:52"/>
        <s v="Акт входного контроля 000000185 от 22.05.2024 15:16:30"/>
        <s v="Акт входного контроля 000000186 от 04.06.2025 1:23:02"/>
        <s v="Акт входного контроля 000000186 от 11.06.2023 10:47:52"/>
        <s v="Акт входного контроля 000000186 от 22.05.2024 15:35:34"/>
        <s v="Акт входного контроля 000000187 от 05.06.2025 2:57:46"/>
        <s v="Акт входного контроля 000000187 от 12.06.2023 11:24:20"/>
        <s v="Акт входного контроля 000000187 от 22.05.2024 16:57:53"/>
        <s v="Акт входного контроля 000000188 от 05.06.2025 3:09:26"/>
        <s v="Акт входного контроля 000000188 от 12.06.2023 14:48:51"/>
        <s v="Акт входного контроля 000000188 от 22.05.2024 18:58:36"/>
        <s v="Акт входного контроля 000000189 от 05.06.2025 3:36:20"/>
        <s v="Акт входного контроля 000000189 от 12.06.2023 15:18:21"/>
        <s v="Акт входного контроля 000000189 от 22.05.2024 20:38:25"/>
        <s v="Акт входного контроля 000000190 от 05.06.2025 5:14:37"/>
        <s v="Акт входного контроля 000000190 от 12.06.2023 16:01:12"/>
        <s v="Акт входного контроля 000000190 от 22.05.2024 23:19:02"/>
        <s v="Акт входного контроля 000000191 от 05.06.2025 5:28:43"/>
        <s v="Акт входного контроля 000000191 от 22.05.2024 23:23:22"/>
        <s v="Акт входного контроля 000000192 от 04.06.2025 9:26:25"/>
        <s v="Акт входного контроля 000000192 от 09.06.2023 23:51:14"/>
        <s v="Акт входного контроля 000000192 от 22.05.2024 23:26:09"/>
        <s v="Акт входного контроля 000000193 от 04.06.2025 7:20:20"/>
        <s v="Акт входного контроля 000000193 от 11.06.2023 23:36:42"/>
        <s v="Акт входного контроля 000000193 от 22.05.2024 23:31:13"/>
        <s v="Акт входного контроля 000000194 от 04.06.2025 0:18:55"/>
        <s v="Акт входного контроля 000000194 от 11.06.2023 23:36:43"/>
        <s v="Акт входного контроля 000000194 от 22.05.2024 8:38:11"/>
        <s v="Акт входного контроля 000000195 от 04.06.2025 19:28:50"/>
        <s v="Акт входного контроля 000000195 от 14.06.2023 16:21:22"/>
        <s v="Акт входного контроля 000000195 от 23.05.2024 12:50:02"/>
        <s v="Акт входного контроля 000000196 от 05.06.2025 10:52:52"/>
        <s v="Акт входного контроля 000000196 от 14.06.2023 16:46:04"/>
        <s v="Акт входного контроля 000000196 от 23.05.2024 12:54:48"/>
        <s v="Акт входного контроля 000000197 от 03.06.2025 23:52:04"/>
        <s v="Акт входного контроля 000000197 от 14.06.2023 19:41:32"/>
        <s v="Акт входного контроля 000000197 от 23.05.2024 12:57:23"/>
        <s v="Акт входного контроля 000000198 от 05.06.2025 11:16:47"/>
        <s v="Акт входного контроля 000000198 от 14.06.2023 19:52:45"/>
        <s v="Акт входного контроля 000000198 от 23.05.2024 13:00:39"/>
        <s v="Акт входного контроля 000000199 от 05.06.2025 12:36:55"/>
        <s v="Акт входного контроля 000000199 от 14.06.2023 21:07:47"/>
        <s v="Акт входного контроля 000000199 от 23.05.2024 10:38:07"/>
        <s v="Акт входного контроля 000000200 от 05.06.2025 12:50:10"/>
        <s v="Акт входного контроля 000000200 от 14.06.2023 23:38:28"/>
        <s v="Акт входного контроля 000000200 от 23.05.2024 22:00:34"/>
        <s v="Акт входного контроля 000000201 от 04.06.2025 23:47:56"/>
        <s v="Акт входного контроля 000000201 от 14.06.2023 21:26:02"/>
        <s v="Акт входного контроля 000000201 от 23.05.2024 22:33:35"/>
        <s v="Акт входного контроля 000000202 от 04.06.2025 23:47:57"/>
        <s v="Акт входного контроля 000000202 от 14.06.2023 23:04:49"/>
        <s v="Акт входного контроля 000000202 от 23.05.2024 23:09:14"/>
        <s v="Акт входного контроля 000000203 от 04.06.2025 23:47:58"/>
        <s v="Акт входного контроля 000000203 от 15.06.2023 2:59:02"/>
        <s v="Акт входного контроля 000000203 от 23.05.2024 23:22:36"/>
        <s v="Акт входного контроля 000000204 от 04.06.2025 23:47:59"/>
        <s v="Акт входного контроля 000000204 от 15.06.2023 3:59:49"/>
        <s v="Акт входного контроля 000000204 от 23.05.2024 23:30:40"/>
        <s v="Акт входного контроля 000000205 от 05.06.2025 13:31:58"/>
        <s v="Акт входного контроля 000000205 от 15.06.2023 5:57:39"/>
        <s v="Акт входного контроля 000000205 от 23.05.2024 23:40:12"/>
        <s v="Акт входного контроля 000000206 от 05.06.2025 14:25:19"/>
        <s v="Акт входного контроля 000000206 от 15.06.2023 6:17:03"/>
        <s v="Акт входного контроля 000000206 от 23.05.2024 23:49:47"/>
        <s v="Акт входного контроля 000000207 от 04.06.2025 19:19:20"/>
        <s v="Акт входного контроля 000000207 от 15.06.2023 8:35:26"/>
        <s v="Акт входного контроля 000000207 от 23.05.2024 21:26:10"/>
        <s v="Акт входного контроля 000000208 от 05.06.2025 16:03:37"/>
        <s v="Акт входного контроля 000000208 от 15.06.2023 12:20:21"/>
        <s v="Акт входного контроля 000000208 от 23.05.2024 22:42:43"/>
        <s v="Акт входного контроля 000000209 от 05.06.2025 16:32:31"/>
        <s v="Акт входного контроля 000000209 от 15.06.2023 13:57:23"/>
        <s v="Акт входного контроля 000000209 от 24.05.2024 16:41:41"/>
        <s v="Акт входного контроля 000000210 от 05.06.2025 18:03:23"/>
        <s v="Акт входного контроля 000000210 от 15.06.2023 16:45:45"/>
        <s v="Акт входного контроля 000000210 от 24.05.2024 4:03:23"/>
        <s v="Акт входного контроля 000000211 от 05.06.2025 19:00:08"/>
        <s v="Акт входного контроля 000000211 от 15.06.2023 18:49:11"/>
        <s v="Акт входного контроля 000000211 от 24.05.2024 6:08:01"/>
        <s v="Акт входного контроля 000000212 от 05.06.2025 22:17:38"/>
        <s v="Акт входного контроля 000000212 от 15.06.2023 18:56:58"/>
        <s v="Акт входного контроля 000000212 от 24.05.2024 7:35:48"/>
        <s v="Акт входного контроля 000000213 от 05.06.2025 22:27:20"/>
        <s v="Акт входного контроля 000000213 от 15.06.2023 21:33:24"/>
        <s v="Акт входного контроля 000000213 от 24.05.2024 8:19:32"/>
        <s v="Акт входного контроля 000000214 от 05.06.2025 17:31:06"/>
        <s v="Акт входного контроля 000000214 от 15.06.2023 23:54:19"/>
        <s v="Акт входного контроля 000000214 от 24.05.2024 10:31:29"/>
        <s v="Акт входного контроля 000000215 от 05.06.2025 19:36:33"/>
        <s v="Акт входного контроля 000000215 от 15.06.2023 21:21:06"/>
        <s v="Акт входного контроля 000000215 от 24.05.2024 12:18:28"/>
        <s v="Акт входного контроля 000000216 от 05.06.2025 21:02:41"/>
        <s v="Акт входного контроля 000000216 от 15.06.2023 22:02:03"/>
        <s v="Акт входного контроля 000000216 от 24.05.2024 15:49:48"/>
        <s v="Акт входного контроля 000000217 от 05.06.2025 21:47:45"/>
        <s v="Акт входного контроля 000000217 от 15.06.2023 0:00:00"/>
        <s v="Акт входного контроля 000000217 от 24.05.2024 18:35:57"/>
        <s v="Акт входного контроля 000000218 от 05.06.2025 22:38:50"/>
        <s v="Акт входного контроля 000000218 от 16.06.2023 0:27:24"/>
        <s v="Акт входного контроля 000000218 от 24.05.2024 18:57:11"/>
        <s v="Акт входного контроля 000000219 от 06.06.2025 6:03:52"/>
        <s v="Акт входного контроля 000000219 от 16.06.2023 1:20:06"/>
        <s v="Акт входного контроля 000000219 от 24.05.2024 19:07:09"/>
        <s v="Акт входного контроля 000000220 от 05.06.2025 0:30:29"/>
        <s v="Акт входного контроля 000000220 от 16.06.2023 2:27:28"/>
        <s v="Акт входного контроля 000000220 от 24.05.2024 21:18:00"/>
        <s v="Акт входного контроля 000000221 от 05.06.2025 21:42:33"/>
        <s v="Акт входного контроля 000000221 от 16.06.2023 3:17:13"/>
        <s v="Акт входного контроля 000000221 от 24.05.2024 22:37:08"/>
        <s v="Акт входного контроля 000000222 от 05.06.2025 10:17:34"/>
        <s v="Акт входного контроля 000000222 от 16.06.2023 4:20:20"/>
        <s v="Акт входного контроля 000000222 от 24.05.2024 22:42:12"/>
        <s v="Акт входного контроля 000000223 от 05.06.2025 6:54:20"/>
        <s v="Акт входного контроля 000000223 от 16.06.2023 6:02:57"/>
        <s v="Акт входного контроля 000000223 от 24.05.2024 23:06:46"/>
        <s v="Акт входного контроля 000000224 от 06.06.2025 10:09:13"/>
        <s v="Акт входного контроля 000000224 от 16.06.2023 8:54:44"/>
        <s v="Акт входного контроля 000000224 от 25.05.2024 6:45:15"/>
        <s v="Акт входного контроля 000000225 от 06.06.2025 10:45:13"/>
        <s v="Акт входного контроля 000000225 от 16.06.2023 9:49:55"/>
        <s v="Акт входного контроля 000000225 от 25.05.2024 6:47:48"/>
        <s v="Акт входного контроля 000000226 от 06.06.2025 11:44:43"/>
        <s v="Акт входного контроля 000000226 от 16.06.2023 10:43:06"/>
        <s v="Акт входного контроля 000000226 от 25.05.2024 8:00:07"/>
        <s v="Акт входного контроля 000000227 от 06.06.2025 12:00:09"/>
        <s v="Акт входного контроля 000000227 от 16.06.2023 13:27:15"/>
        <s v="Акт входного контроля 000000227 от 25.05.2024 10:35:32"/>
        <s v="Акт входного контроля 000000228 от 06.06.2025 13:11:34"/>
        <s v="Акт входного контроля 000000228 от 16.06.2023 14:18:22"/>
        <s v="Акт входного контроля 000000228 от 25.05.2024 13:00:21"/>
        <s v="Акт входного контроля 000000229 от 06.06.2025 17:02:38"/>
        <s v="Акт входного контроля 000000229 от 16.06.2023 15:06:09"/>
        <s v="Акт входного контроля 000000229 от 25.05.2024 15:06:22"/>
        <s v="Акт входного контроля 000000230 от 06.06.2025 17:18:13"/>
        <s v="Акт входного контроля 000000230 от 16.06.2023 16:59:53"/>
        <s v="Акт входного контроля 000000230 от 25.05.2024 15:15:41"/>
        <s v="Акт входного контроля 000000231 от 06.06.2025 17:33:54"/>
        <s v="Акт входного контроля 000000231 от 16.06.2023 20:14:50"/>
        <s v="Акт входного контроля 000000231 от 25.05.2024 17:24:37"/>
        <s v="Акт входного контроля 000000232 от 06.06.2025 17:41:24"/>
        <s v="Акт входного контроля 000000232 от 16.06.2023 22:15:09"/>
        <s v="Акт входного контроля 000000232 от 25.05.2024 18:16:36"/>
        <s v="Акт входного контроля 000000233 от 06.06.2025 18:17:49"/>
        <s v="Акт входного контроля 000000233 от 16.06.2023 23:05:47"/>
        <s v="Акт входного контроля 000000233 от 25.05.2024 19:38:39"/>
        <s v="Акт входного контроля 000000234 от 06.06.2025 19:17:25"/>
        <s v="Акт входного контроля 000000234 от 17.06.2023 3:14:21"/>
        <s v="Акт входного контроля 000000234 от 25.05.2024 22:23:03"/>
        <s v="Акт входного контроля 000000235 от 06.06.2025 21:03:45"/>
        <s v="Акт входного контроля 000000235 от 17.06.2023 0:59:17"/>
        <s v="Акт входного контроля 000000235 от 25.05.2024 20:09:07"/>
        <s v="Акт входного контроля 000000236 от 06.06.2025 21:58:36"/>
        <s v="Акт входного контроля 000000236 от 17.06.2023 5:00:22"/>
        <s v="Акт входного контроля 000000236 от 25.05.2024 21:27:51"/>
        <s v="Акт входного контроля 000000237 от 06.06.2025 23:15:20"/>
        <s v="Акт входного контроля 000000237 от 17.06.2023 1:48:13"/>
        <s v="Акт входного контроля 000000237 от 25.05.2024 23:47:02"/>
        <s v="Акт входного контроля 000000238 от 06.06.2025 22:31:41"/>
        <s v="Акт входного контроля 000000238 от 17.06.2023 11:17:35"/>
        <s v="Акт входного контроля 000000238 от 22.05.2024 11:00:54"/>
        <s v="Акт входного контроля 000000239 от 07.06.2025 8:13:05"/>
        <s v="Акт входного контроля 000000239 от 17.06.2023 12:20:35"/>
        <s v="Акт входного контроля 000000239 от 28.05.2024 20:51:17"/>
        <s v="Акт входного контроля 000000240 от 07.06.2025 8:24:42"/>
        <s v="Акт входного контроля 000000240 от 17.06.2023 12:36:48"/>
        <s v="Акт входного контроля 000000240 от 28.05.2024 20:55:41"/>
        <s v="Акт входного контроля 000000241 от 07.06.2025 10:54:55"/>
        <s v="Акт входного контроля 000000241 от 17.06.2023 15:16:06"/>
        <s v="Акт входного контроля 000000241 от 28.05.2024 22:23:23"/>
        <s v="Акт входного контроля 000000242 от 07.06.2025 11:02:14"/>
        <s v="Акт входного контроля 000000242 от 17.06.2023 13:38:33"/>
        <s v="Акт входного контроля 000000242 от 29.05.2024 0:02:42"/>
        <s v="Акт входного контроля 000000243 от 07.06.2025 11:06:51"/>
        <s v="Акт входного контроля 000000243 от 17.06.2023 17:26:18"/>
        <s v="Акт входного контроля 000000243 от 29.05.2024 7:56:21"/>
        <s v="Акт входного контроля 000000244 от 07.06.2025 11:17:31"/>
        <s v="Акт входного контроля 000000244 от 17.06.2023 20:46:58"/>
        <s v="Акт входного контроля 000000244 от 29.05.2024 9:04:52"/>
        <s v="Акт входного контроля 000000245 от 07.06.2025 11:29:00"/>
        <s v="Акт входного контроля 000000245 от 17.06.2023 21:43:25"/>
        <s v="Акт входного контроля 000000245 от 29.05.2024 11:06:56"/>
        <s v="Акт входного контроля 000000246 от 07.06.2025 11:55:06"/>
        <s v="Акт входного контроля 000000246 от 17.06.2023 22:29:00"/>
        <s v="Акт входного контроля 000000246 от 29.05.2024 15:01:33"/>
        <s v="Акт входного контроля 000000247 от 07.06.2025 12:36:15"/>
        <s v="Акт входного контроля 000000247 от 17.06.2023 23:29:47"/>
        <s v="Акт входного контроля 000000247 от 29.05.2024 17:07:38"/>
        <s v="Акт входного контроля 000000248 от 07.06.2025 13:40:18"/>
        <s v="Акт входного контроля 000000248 от 18.06.2023 0:19:19"/>
        <s v="Акт входного контроля 000000248 от 29.05.2024 20:33:23"/>
        <s v="Акт входного контроля 000000249 от 07.06.2025 15:17:00"/>
        <s v="Акт входного контроля 000000249 от 18.06.2023 1:59:54"/>
        <s v="Акт входного контроля 000000249 от 29.05.2024 21:42:37"/>
        <s v="Акт входного контроля 000000250 от 07.06.2025 18:30:59"/>
        <s v="Акт входного контроля 000000250 от 18.06.2023 7:17:21"/>
        <s v="Акт входного контроля 000000250 от 29.05.2024 23:32:39"/>
        <s v="Акт входного контроля 000000251 от 07.06.2025 18:38:38"/>
        <s v="Акт входного контроля 000000251 от 18.06.2023 4:28:27"/>
        <s v="Акт входного контроля 000000251 от 29.05.2024 21:43:53"/>
        <s v="Акт входного контроля 000000252 от 07.06.2025 18:41:19"/>
        <s v="Акт входного контроля 000000252 от 18.06.2023 5:49:00"/>
        <s v="Акт входного контроля 000000252 от 30.05.2024 4:51:33"/>
        <s v="Акт входного контроля 000000253 от 07.06.2025 19:44:21"/>
        <s v="Акт входного контроля 000000253 от 18.06.2023 11:05:45"/>
        <s v="Акт входного контроля 000000253 от 30.05.2024 5:45:11"/>
        <s v="Акт входного контроля 000000254 от 03.06.2024 11:19:13"/>
        <s v="Акт входного контроля 000000254 от 07.06.2025 22:29:10"/>
        <s v="Акт входного контроля 000000254 от 18.06.2023 11:27:25"/>
        <s v="Акт входного контроля 000000255 от 03.06.2024 11:25:07"/>
        <s v="Акт входного контроля 000000255 от 07.06.2025 22:38:00"/>
        <s v="Акт входного контроля 000000255 от 18.06.2023 13:51:20"/>
        <s v="Акт входного контроля 000000256 от 03.06.2024 13:01:35"/>
        <s v="Акт входного контроля 000000256 от 07.06.2025 22:48:36"/>
        <s v="Акт входного контроля 000000256 от 18.06.2023 14:59:26"/>
        <s v="Акт входного контроля 000000257 от 03.06.2024 11:15:23"/>
        <s v="Акт входного контроля 000000257 от 07.06.2025 23:32:14"/>
        <s v="Акт входного контроля 000000257 от 18.06.2023 16:09:00"/>
        <s v="Акт входного контроля 000000258 от 03.06.2024 12:28:35"/>
        <s v="Акт входного контроля 000000258 от 08.06.2025 2:01:47"/>
        <s v="Акт входного контроля 000000258 от 18.06.2023 20:22:19"/>
        <s v="Акт входного контроля 000000259 от 03.06.2024 18:31:25"/>
        <s v="Акт входного контроля 000000259 от 08.06.2025 2:43:40"/>
        <s v="Акт входного контроля 000000259 от 18.06.2023 18:44:40"/>
        <s v="Акт входного контроля 000000260 от 03.06.2024 20:39:32"/>
        <s v="Акт входного контроля 000000260 от 08.06.2025 1:10:54"/>
        <s v="Акт входного контроля 000000260 от 18.06.2023 22:40:52"/>
        <s v="Акт входного контроля 000000261 от 03.06.2024 17:11:10"/>
        <s v="Акт входного контроля 000000261 от 08.06.2025 4:22:32"/>
        <s v="Акт входного контроля 000000261 от 18.06.2023 23:11:03"/>
        <s v="Акт входного контроля 000000262 от 03.06.2024 20:08:23"/>
        <s v="Акт входного контроля 000000262 от 08.06.2025 8:24:51"/>
        <s v="Акт входного контроля 000000262 от 18.06.2023 22:56:31"/>
        <s v="Акт входного контроля 000000263 от 03.06.2024 22:08:47"/>
        <s v="Акт входного контроля 000000263 от 08.06.2025 8:25:41"/>
        <s v="Акт входного контроля 000000263 от 19.06.2023 2:53:56"/>
        <s v="Акт входного контроля 000000264 от 03.06.2024 23:21:15"/>
        <s v="Акт входного контроля 000000264 от 07.06.2025 16:48:55"/>
        <s v="Акт входного контроля 000000264 от 19.06.2023 5:03:44"/>
        <s v="Акт входного контроля 000000265 от 04.06.2024 6:21:58"/>
        <s v="Акт входного контроля 000000265 от 08.06.2025 8:27:48"/>
        <s v="Акт входного контроля 000000265 от 19.06.2023 6:56:54"/>
        <s v="Акт входного контроля 000000266 от 04.06.2024 13:39:54"/>
        <s v="Акт входного контроля 000000266 от 08.06.2025 8:29:29"/>
        <s v="Акт входного контроля 000000266 от 19.06.2023 10:11:27"/>
        <s v="Акт входного контроля 000000267 от 04.06.2024 13:51:50"/>
        <s v="Акт входного контроля 000000267 от 08.06.2025 8:34:09"/>
        <s v="Акт входного контроля 000000267 от 19.06.2023 14:02:04"/>
        <s v="Акт входного контроля 000000268 от 04.06.2024 14:34:17"/>
        <s v="Акт входного контроля 000000268 от 08.06.2025 11:05:56"/>
        <s v="Акт входного контроля 000000269 от 04.06.2024 18:09:12"/>
        <s v="Акт входного контроля 000000269 от 08.06.2025 11:08:13"/>
        <s v="Акт входного контроля 000000269 от 19.06.2023 17:28:52"/>
        <s v="Акт входного контроля 000000270 от 04.06.2024 18:20:47"/>
        <s v="Акт входного контроля 000000270 от 08.06.2025 12:54:11"/>
        <s v="Акт входного контроля 000000270 от 19.06.2023 19:08:58"/>
        <s v="Акт входного контроля 000000271 от 04.06.2024 18:22:38"/>
        <s v="Акт входного контроля 000000271 от 08.06.2025 13:11:37"/>
        <s v="Акт входного контроля 000000271 от 19.06.2023 20:41:17"/>
        <s v="Акт входного контроля 000000272 от 04.06.2024 19:29:02"/>
        <s v="Акт входного контроля 000000272 от 08.06.2025 14:40:55"/>
        <s v="Акт входного контроля 000000272 от 19.06.2023 22:40:48"/>
        <s v="Акт входного контроля 000000273 от 04.06.2024 16:59:34"/>
        <s v="Акт входного контроля 000000273 от 08.06.2025 19:26:33"/>
        <s v="Акт входного контроля 000000273 от 19.06.2023 22:19:39"/>
        <s v="Акт входного контроля 000000274 от 04.06.2024 18:33:00"/>
        <s v="Акт входного контроля 000000274 от 08.06.2025 19:28:39"/>
        <s v="Акт входного контроля 000000274 от 19.06.2023 23:06:17"/>
        <s v="Акт входного контроля 000000275 от 04.06.2024 20:31:34"/>
        <s v="Акт входного контроля 000000275 от 08.06.2025 19:32:20"/>
        <s v="Акт входного контроля 000000275 от 20.06.2023 0:25:05"/>
        <s v="Акт входного контроля 000000276 от 05.06.2024 13:17:27"/>
        <s v="Акт входного контроля 000000276 от 08.06.2025 19:34:30"/>
        <s v="Акт входного контроля 000000276 от 20.06.2023 1:37:44"/>
        <s v="Акт входного контроля 000000277 от 05.06.2024 15:52:38"/>
        <s v="Акт входного контроля 000000277 от 08.06.2025 19:39:50"/>
        <s v="Акт входного контроля 000000277 от 20.06.2023 2:52:37"/>
        <s v="Акт входного контроля 000000278 от 05.06.2024 17:56:40"/>
        <s v="Акт входного контроля 000000278 от 08.06.2025 20:47:28"/>
        <s v="Акт входного контроля 000000278 от 20.06.2023 9:24:02"/>
        <s v="Акт входного контроля 000000279 от 05.06.2024 18:40:40"/>
        <s v="Акт входного контроля 000000279 от 08.06.2025 22:51:31"/>
        <s v="Акт входного контроля 000000279 от 20.06.2023 4:03:17"/>
        <s v="Акт входного контроля 000000280 от 05.06.2024 18:47:14"/>
        <s v="Акт входного контроля 000000280 от 08.06.2025 22:54:04"/>
        <s v="Акт входного контроля 000000281 от 05.06.2024 20:54:00"/>
        <s v="Акт входного контроля 000000281 от 08.06.2025 23:47:53"/>
        <s v="Акт входного контроля 000000282 от 05.06.2024 22:08:36"/>
        <s v="Акт входного контроля 000000282 от 08.06.2025 23:52:18"/>
        <s v="Акт входного контроля 000000282 от 20.06.2023 11:15:52"/>
        <s v="Акт входного контроля 000000283 от 05.06.2024 23:40:53"/>
        <s v="Акт входного контроля 000000283 от 08.06.2025 22:05:15"/>
        <s v="Акт входного контроля 000000283 от 20.06.2023 12:45:09"/>
        <s v="Акт входного контроля 000000284 от 05.06.2024 23:04:26"/>
        <s v="Акт входного контроля 000000284 от 08.06.2025 23:55:55"/>
        <s v="Акт входного контроля 000000284 от 20.06.2023 15:37:48"/>
        <s v="Акт входного контроля 000000285 от 06.06.2024 1:54:36"/>
        <s v="Акт входного контроля 000000285 от 09.06.2025 2:32:44"/>
        <s v="Акт входного контроля 000000285 от 20.06.2023 17:56:08"/>
        <s v="Акт входного контроля 000000286 от 06.06.2024 3:58:57"/>
        <s v="Акт входного контроля 000000286 от 09.06.2025 4:39:11"/>
        <s v="Акт входного контроля 000000286 от 20.06.2023 19:12:29"/>
        <s v="Акт входного контроля 000000287 от 06.06.2024 6:50:07"/>
        <s v="Акт входного контроля 000000287 от 09.06.2025 4:40:52"/>
        <s v="Акт входного контроля 000000287 от 20.06.2023 20:44:12"/>
        <s v="Акт входного контроля 000000288 от 06.06.2024 6:51:30"/>
        <s v="Акт входного контроля 000000288 от 09.06.2025 5:39:49"/>
        <s v="Акт входного контроля 000000288 от 20.06.2023 22:56:02"/>
        <s v="Акт входного контроля 000000289 от 06.06.2024 9:19:30"/>
        <s v="Акт входного контроля 000000289 от 09.06.2025 7:12:12"/>
        <s v="Акт входного контроля 000000290 от 06.06.2024 10:47:46"/>
        <s v="Акт входного контроля 000000290 от 09.06.2025 8:23:51"/>
        <s v="Акт входного контроля 000000290 от 21.06.2023 0:14:40"/>
        <s v="Акт входного контроля 000000291 от 06.06.2024 13:56:38"/>
        <s v="Акт входного контроля 000000291 от 06.06.2025 19:27:21"/>
        <s v="Акт входного контроля 000000292 от 06.06.2024 13:58:48"/>
        <s v="Акт входного контроля 000000292 от 06.06.2025 21:52:47"/>
        <s v="Акт входного контроля 000000292 от 21.06.2023 1:49:07"/>
        <s v="Акт входного контроля 000000293 от 06.06.2024 14:02:28"/>
        <s v="Акт входного контроля 000000293 от 06.06.2025 14:08:32"/>
        <s v="Акт входного контроля 000000293 от 21.06.2023 3:14:22"/>
        <s v="Акт входного контроля 000000294 от 06.06.2024 16:20:29"/>
        <s v="Акт входного контроля 000000294 от 06.06.2025 14:32:02"/>
        <s v="Акт входного контроля 000000294 от 21.06.2023 5:46:30"/>
        <s v="Акт входного контроля 000000295 от 06.06.2024 19:35:17"/>
        <s v="Акт входного контроля 000000295 от 06.06.2025 14:05:55"/>
        <s v="Акт входного контроля 000000295 от 21.06.2023 10:35:27"/>
        <s v="Акт входного контроля 000000296 от 06.06.2024 19:37:38"/>
        <s v="Акт входного контроля 000000296 от 07.06.2025 11:08:44"/>
        <s v="Акт входного контроля 000000296 от 21.06.2023 12:32:36"/>
        <s v="Акт входного контроля 000000297 от 06.06.2024 22:53:06"/>
        <s v="Акт входного контроля 000000297 от 07.06.2025 4:13:28"/>
        <s v="Акт входного контроля 000000297 от 21.06.2023 13:44:07"/>
        <s v="Акт входного контроля 000000298 от 06.06.2024 18:47:32"/>
        <s v="Акт входного контроля 000000298 от 07.06.2025 18:26:05"/>
        <s v="Акт входного контроля 000000298 от 21.06.2023 14:54:01"/>
        <s v="Акт входного контроля 000000299 от 06.06.2024 20:37:37"/>
        <s v="Акт входного контроля 000000299 от 09.06.2025 12:44:02"/>
        <s v="Акт входного контроля 000000299 от 21.06.2023 16:45:02"/>
        <s v="Акт входного контроля 000000300 от 06.06.2024 23:17:05"/>
        <s v="Акт входного контроля 000000300 от 09.06.2025 12:47:41"/>
        <s v="Акт входного контроля 000000300 от 21.06.2023 17:41:43"/>
        <s v="Акт входного контроля 000000301 от 07.06.2024 4:48:49"/>
        <s v="Акт входного контроля 000000301 от 09.06.2025 12:50:33"/>
        <s v="Акт входного контроля 000000302 от 07.06.2024 4:12:12"/>
        <s v="Акт входного контроля 000000302 от 09.06.2025 12:52:40"/>
        <s v="Акт входного контроля 000000302 от 21.06.2023 19:02:24"/>
        <s v="Акт входного контроля 000000303 от 07.06.2024 6:41:49"/>
        <s v="Акт входного контроля 000000303 от 09.06.2025 13:35:05"/>
        <s v="Акт входного контроля 000000303 от 21.06.2023 20:55:59"/>
        <s v="Акт входного контроля 000000304 от 06.06.2025 23:15:21"/>
        <s v="Акт входного контроля 000000304 от 07.06.2024 10:31:16"/>
        <s v="Акт входного контроля 000000304 от 21.06.2023 22:20:59"/>
        <s v="Акт входного контроля 000000305 от 06.06.2025 13:42:38"/>
        <s v="Акт входного контроля 000000305 от 07.06.2024 14:57:54"/>
        <s v="Акт входного контроля 000000305 от 21.06.2023 23:29:19"/>
        <s v="Акт входного контроля 000000306 от 07.06.2024 15:00:22"/>
        <s v="Акт входного контроля 000000306 от 09.06.2025 16:46:56"/>
        <s v="Акт входного контроля 000000306 от 22.06.2023 0:23:30"/>
        <s v="Акт входного контроля 000000307 от 07.06.2024 15:02:43"/>
        <s v="Акт входного контроля 000000307 от 09.06.2025 16:49:28"/>
        <s v="Акт входного контроля 000000307 от 22.06.2023 2:01:37"/>
        <s v="Акт входного контроля 000000308 от 07.06.2024 16:39:29"/>
        <s v="Акт входного контроля 000000308 от 09.06.2025 17:22:55"/>
        <s v="Акт входного контроля 000000309 от 07.06.2024 18:16:06"/>
        <s v="Акт входного контроля 000000309 от 09.06.2025 19:30:54"/>
        <s v="Акт входного контроля 000000309 от 22.06.2023 4:18:22"/>
        <s v="Акт входного контроля 000000310 от 07.06.2024 19:47:06"/>
        <s v="Акт входного контроля 000000310 от 10.06.2025 7:22:41"/>
        <s v="Акт входного контроля 000000311 от 07.06.2024 19:49:55"/>
        <s v="Акт входного контроля 000000311 от 10.06.2025 11:28:15"/>
        <s v="Акт входного контроля 000000311 от 22.06.2023 6:50:28"/>
        <s v="Акт входного контроля 000000312 от 07.06.2024 22:22:34"/>
        <s v="Акт входного контроля 000000312 от 10.06.2025 11:56:47"/>
        <s v="Акт входного контроля 000000313 от 07.06.2024 22:46:09"/>
        <s v="Акт входного контроля 000000313 от 10.06.2025 13:27:56"/>
        <s v="Акт входного контроля 000000313 от 22.06.2023 10:44:57"/>
        <s v="Акт входного контроля 000000314 от 08.06.2024 1:48:58"/>
        <s v="Акт входного контроля 000000314 от 10.06.2025 13:46:46"/>
        <s v="Акт входного контроля 000000314 от 22.06.2023 11:57:44"/>
        <s v="Акт входного контроля 000000315 от 08.06.2024 1:51:32"/>
        <s v="Акт входного контроля 000000315 от 10.06.2025 13:54:49"/>
        <s v="Акт входного контроля 000000316 от 08.06.2024 4:03:14"/>
        <s v="Акт входного контроля 000000316 от 09.06.2023 23:51:15"/>
        <s v="Акт входного контроля 000000316 от 10.06.2025 16:36:31"/>
        <s v="Акт входного контроля 000000317 от 08.06.2024 4:44:07"/>
        <s v="Акт входного контроля 000000317 от 10.06.2025 19:03:57"/>
        <s v="Акт входного контроля 000000317 от 22.06.2023 13:42:10"/>
        <s v="Акт входного контроля 000000318 от 08.06.2024 7:08:30"/>
        <s v="Акт входного контроля 000000318 от 10.06.2025 19:14:30"/>
        <s v="Акт входного контроля 000000318 от 22.06.2023 15:15:02"/>
        <s v="Акт входного контроля 000000319 от 08.06.2024 7:51:20"/>
        <s v="Акт входного контроля 000000319 от 10.06.2025 19:22:43"/>
        <s v="Акт входного контроля 000000320 от 08.06.2024 13:24:22"/>
        <s v="Акт входного контроля 000000320 от 10.06.2025 19:35:33"/>
        <s v="Акт входного контроля 000000320 от 22.06.2023 17:57:35"/>
        <s v="Акт входного контроля 000000321 от 08.06.2024 13:30:57"/>
        <s v="Акт входного контроля 000000321 от 10.06.2025 19:40:25"/>
        <s v="Акт входного контроля 000000321 от 22.06.2023 19:21:58"/>
        <s v="Акт входного контроля 000000322 от 08.06.2024 19:30:10"/>
        <s v="Акт входного контроля 000000322 от 10.06.2025 20:50:26"/>
        <s v="Акт входного контроля 000000323 от 08.06.2024 21:28:13"/>
        <s v="Акт входного контроля 000000323 от 10.06.2025 23:54:14"/>
        <s v="Акт входного контроля 000000323 от 22.06.2023 22:49:24"/>
        <s v="Акт входного контроля 000000324 от 08.06.2024 21:37:37"/>
        <s v="Акт входного контроля 000000324 от 10.06.2025 21:43:31"/>
        <s v="Акт входного контроля 000000324 от 23.06.2023 0:33:28"/>
        <s v="Акт входного контроля 000000325 от 08.06.2024 22:43:05"/>
        <s v="Акт входного контроля 000000325 от 10.06.2025 22:11:45"/>
        <s v="Акт входного контроля 000000325 от 23.06.2023 2:39:33"/>
        <s v="Акт входного контроля 000000326 от 08.06.2024 22:49:21"/>
        <s v="Акт входного контроля 000000326 от 10.06.2025 22:17:27"/>
        <s v="Акт входного контроля 000000327 от 09.06.2024 8:34:43"/>
        <s v="Акт входного контроля 000000327 от 10.06.2025 23:23:54"/>
        <s v="Акт входного контроля 000000327 от 23.06.2023 4:09:01"/>
        <s v="Акт входного контроля 000000328 от 09.06.2024 10:52:26"/>
        <s v="Акт входного контроля 000000328 от 11.06.2025 4:25:20"/>
        <s v="Акт входного контроля 000000328 от 23.06.2023 6:09:12"/>
        <s v="Акт входного контроля 000000329 от 09.06.2024 14:02:38"/>
        <s v="Акт входного контроля 000000329 от 11.06.2025 4:27:45"/>
        <s v="Акт входного контроля 000000329 от 23.06.2023 10:49:36"/>
        <s v="Акт входного контроля 000000330 от 09.06.2024 16:32:55"/>
        <s v="Акт входного контроля 000000330 от 11.06.2025 5:50:06"/>
        <s v="Акт входного контроля 000000330 от 23.06.2023 12:41:00"/>
        <s v="Акт входного контроля 000000331 от 09.06.2024 19:34:16"/>
        <s v="Акт входного контроля 000000331 от 10.06.2025 17:06:04"/>
        <s v="Акт входного контроля 000000331 от 23.06.2023 14:22:25"/>
        <s v="Акт входного контроля 000000332 от 09.06.2024 20:01:36"/>
        <s v="Акт входного контроля 000000332 от 11.06.2025 8:55:15"/>
        <s v="Акт входного контроля 000000332 от 24.06.2023 1:41:10"/>
        <s v="Акт входного контроля 000000333 от 09.06.2024 22:36:53"/>
        <s v="Акт входного контроля 000000333 от 11.06.2025 9:45:32"/>
        <s v="Акт входного контроля 000000333 от 24.06.2023 3:23:36"/>
        <s v="Акт входного контроля 000000334 от 10.06.2024 5:50:30"/>
        <s v="Акт входного контроля 000000334 от 11.06.2025 11:56:59"/>
        <s v="Акт входного контроля 000000334 от 24.06.2023 4:02:45"/>
        <s v="Акт входного контроля 000000335 от 10.06.2024 5:52:35"/>
        <s v="Акт входного контроля 000000335 от 11.06.2025 13:21:23"/>
        <s v="Акт входного контроля 000000335 от 24.06.2023 6:00:12"/>
        <s v="Акт входного контроля 000000336 от 10.06.2024 7:51:38"/>
        <s v="Акт входного контроля 000000336 от 11.06.2025 13:35:51"/>
        <s v="Акт входного контроля 000000336 от 24.06.2023 6:52:56"/>
        <s v="Акт входного контроля 000000337 от 10.06.2024 9:37:07"/>
        <s v="Акт входного контроля 000000337 от 11.06.2025 16:40:17"/>
        <s v="Акт входного контроля 000000337 от 24.06.2023 9:11:43"/>
        <s v="Акт входного контроля 000000338 от 10.06.2024 11:18:11"/>
        <s v="Акт входного контроля 000000338 от 11.06.2025 16:41:52"/>
        <s v="Акт входного контроля 000000338 от 24.06.2023 8:14:50"/>
        <s v="Акт входного контроля 000000339 от 10.06.2024 12:31:37"/>
        <s v="Акт входного контроля 000000339 от 11.06.2025 17:52:45"/>
        <s v="Акт входного контроля 000000339 от 24.06.2023 12:06:38"/>
        <s v="Акт входного контроля 000000340 от 10.06.2024 15:13:11"/>
        <s v="Акт входного контроля 000000340 от 11.06.2025 18:49:51"/>
        <s v="Акт входного контроля 000000340 от 24.06.2023 14:44:19"/>
        <s v="Акт входного контроля 000000341 от 10.06.2024 18:15:49"/>
        <s v="Акт входного контроля 000000341 от 11.06.2025 21:21:08"/>
        <s v="Акт входного контроля 000000341 от 24.06.2023 13:57:11"/>
        <s v="Акт входного контроля 000000342 от 10.06.2024 18:17:37"/>
        <s v="Акт входного контроля 000000342 от 11.06.2025 21:50:57"/>
        <s v="Акт входного контроля 000000342 от 24.06.2023 16:46:37"/>
        <s v="Акт входного контроля 000000343 от 10.06.2024 19:33:55"/>
        <s v="Акт входного контроля 000000343 от 12.06.2025 0:56:52"/>
        <s v="Акт входного контроля 000000343 от 24.06.2023 18:12:48"/>
        <s v="Акт входного контроля 000000344 от 10.06.2024 19:39:50"/>
        <s v="Акт входного контроля 000000344 от 12.06.2025 2:17:59"/>
        <s v="Акт входного контроля 000000344 от 24.06.2023 19:05:19"/>
        <s v="Акт входного контроля 000000345 от 10.06.2024 21:12:38"/>
        <s v="Акт входного контроля 000000345 от 12.06.2025 3:20:01"/>
        <s v="Акт входного контроля 000000345 от 24.06.2023 20:46:24"/>
        <s v="Акт входного контроля 000000346 от 10.06.2024 23:21:27"/>
        <s v="Акт входного контроля 000000346 от 12.06.2025 5:43:33"/>
        <s v="Акт входного контроля 000000346 от 24.06.2023 23:03:13"/>
        <s v="Акт входного контроля 000000347 от 10.06.2024 23:27:11"/>
        <s v="Акт входного контроля 000000347 от 12.06.2025 11:05:25"/>
        <s v="Акт входного контроля 000000347 от 25.06.2023 2:38:41"/>
        <s v="Акт входного контроля 000000348 от 10.06.2024 23:46:13"/>
        <s v="Акт входного контроля 000000348 от 12.06.2025 11:18:16"/>
        <s v="Акт входного контроля 000000348 от 25.06.2023 1:56:09"/>
        <s v="Акт входного контроля 000000349 от 11.06.2024 2:40:18"/>
        <s v="Акт входного контроля 000000349 от 12.06.2025 12:36:58"/>
        <s v="Акт входного контроля 000000349 от 25.06.2023 3:58:06"/>
        <s v="Акт входного контроля 000000350 от 11.06.2024 6:50:36"/>
        <s v="Акт входного контроля 000000350 от 12.06.2025 13:30:44"/>
        <s v="Акт входного контроля 000000350 от 25.06.2023 5:36:52"/>
        <s v="Акт входного контроля 000000351 от 11.06.2024 7:49:25"/>
        <s v="Акт входного контроля 000000351 от 12.06.2025 14:52:06"/>
        <s v="Акт входного контроля 000000351 от 25.06.2023 6:37:30"/>
        <s v="Акт входного контроля 000000352 от 11.06.2024 6:02:51"/>
        <s v="Акт входного контроля 000000352 от 12.06.2025 16:02:25"/>
        <s v="Акт входного контроля 000000352 от 25.06.2023 9:13:54"/>
        <s v="Акт входного контроля 000000353 от 12.06.2025 17:50:11"/>
        <s v="Акт входного контроля 000000353 от 25.06.2023 7:40:39"/>
        <s v="Акт входного контроля 000000354 от 12.06.2025 18:45:11"/>
        <s v="Акт входного контроля 000000354 от 25.06.2023 13:13:18"/>
        <s v="Акт входного контроля 000000355 от 12.06.2025 20:02:08"/>
        <s v="Акт входного контроля 000000355 от 25.06.2023 17:27:10"/>
        <s v="Акт входного контроля 000000356 от 12.06.2025 21:19:07"/>
        <s v="Акт входного контроля 000000356 от 25.06.2023 18:22:48"/>
        <s v="Акт входного контроля 000000357 от 12.06.2025 22:39:48"/>
        <s v="Акт входного контроля 000000357 от 25.06.2023 21:44:53"/>
        <s v="Акт входного контроля 000000358 от 12.06.2025 22:46:26"/>
        <s v="Акт входного контроля 000000358 от 26.06.2023 0:35:53"/>
        <s v="Акт входного контроля 000000359 от 11.06.2024 7:05:17"/>
        <s v="Акт входного контроля 000000359 от 12.06.2025 21:39:56"/>
        <s v="Акт входного контроля 000000359 от 26.06.2023 1:39:17"/>
        <s v="Акт входного контроля 000000360 от 11.06.2024 10:06:53"/>
        <s v="Акт входного контроля 000000360 от 12.06.2025 21:52:30"/>
        <s v="Акт входного контроля 000000360 от 26.06.2023 3:49:42"/>
        <s v="Акт входного контроля 000000361 от 11.06.2024 10:21:32"/>
        <s v="Акт входного контроля 000000361 от 12.06.2025 3:33:04"/>
        <s v="Акт входного контроля 000000361 от 26.06.2023 7:14:10"/>
        <s v="Акт входного контроля 000000362 от 12.06.2025 5:04:49"/>
        <s v="Акт входного контроля 000000362 от 26.06.2023 8:40:01"/>
        <s v="Акт входного контроля 000000363 от 13.06.2025 5:28:16"/>
        <s v="Акт входного контроля 000000363 от 26.06.2023 9:42:15"/>
        <s v="Акт входного контроля 000000364 от 13.06.2025 6:42:38"/>
        <s v="Акт входного контроля 000000365 от 12.06.2025 7:47:38"/>
        <s v="Акт входного контроля 000000365 от 26.06.2023 15:18:49"/>
        <s v="Акт входного контроля 000000366 от 13.06.2025 10:32:29"/>
        <s v="Акт входного контроля 000000366 от 26.06.2023 13:09:40"/>
        <s v="Акт входного контроля 000000367 от 13.06.2025 10:34:27"/>
        <s v="Акт входного контроля 000000367 от 26.06.2023 14:22:10"/>
        <s v="Акт входного контроля 000000368 от 11.06.2024 22:52:53"/>
        <s v="Акт входного контроля 000000368 от 13.06.2025 12:24:13"/>
        <s v="Акт входного контроля 000000368 от 26.06.2023 15:37:43"/>
        <s v="Акт входного контроля 000000369 от 11.06.2024 23:42:20"/>
        <s v="Акт входного контроля 000000369 от 13.06.2025 12:52:17"/>
        <s v="Акт входного контроля 000000369 от 26.06.2023 17:36:48"/>
        <s v="Акт входного контроля 000000370 от 12.06.2024 3:49:48"/>
        <s v="Акт входного контроля 000000370 от 13.06.2025 14:18:46"/>
        <s v="Акт входного контроля 000000370 от 26.06.2023 18:44:23"/>
        <s v="Акт входного контроля 000000371 от 12.06.2024 4:10:03"/>
        <s v="Акт входного контроля 000000371 от 13.06.2025 15:27:42"/>
        <s v="Акт входного контроля 000000371 от 26.06.2023 20:09:49"/>
        <s v="Акт входного контроля 000000372 от 12.06.2024 5:49:43"/>
        <s v="Акт входного контроля 000000372 от 13.06.2025 15:29:38"/>
        <s v="Акт входного контроля 000000372 от 26.06.2023 22:21:02"/>
        <s v="Акт входного контроля 000000373 от 12.06.2024 11:55:32"/>
        <s v="Акт входного контроля 000000373 от 13.06.2025 18:05:32"/>
        <s v="Акт входного контроля 000000373 от 27.06.2023 3:23:11"/>
        <s v="Акт входного контроля 000000374 от 12.06.2024 12:01:49"/>
        <s v="Акт входного контроля 000000374 от 13.06.2025 18:07:44"/>
        <s v="Акт входного контроля 000000375 от 12.06.2024 12:07:56"/>
        <s v="Акт входного контроля 000000375 от 13.06.2025 18:25:47"/>
        <s v="Акт входного контроля 000000376 от 12.06.2024 13:31:45"/>
        <s v="Акт входного контроля 000000376 от 13.06.2025 20:24:26"/>
        <s v="Акт входного контроля 000000377 от 12.06.2024 13:46:23"/>
        <s v="Акт входного контроля 000000377 от 13.06.2025 21:42:50"/>
        <s v="Акт входного контроля 000000378 от 12.06.2024 16:08:13"/>
        <s v="Акт входного контроля 000000378 от 13.06.2025 22:04:27"/>
        <s v="Акт входного контроля 000000379 от 12.06.2024 18:28:52"/>
        <s v="Акт входного контроля 000000379 от 13.06.2025 23:45:57"/>
        <s v="Акт входного контроля 000000380 от 12.06.2024 18:46:50"/>
        <s v="Акт входного контроля 000000380 от 13.06.2025 23:11:17"/>
        <s v="Акт входного контроля 000000380 от 27.06.2023 20:38:55"/>
        <s v="Акт входного контроля 000000381 от 12.06.2024 20:51:24"/>
        <s v="Акт входного контроля 000000381 от 14.06.2025 1:17:22"/>
        <s v="Акт входного контроля 000000381 от 27.06.2023 19:58:36"/>
        <s v="Акт входного контроля 000000382 от 12.06.2024 23:19:26"/>
        <s v="Акт входного контроля 000000382 от 13.06.2025 22:25:11"/>
        <s v="Акт входного контроля 000000382 от 27.06.2023 21:07:09"/>
        <s v="Акт входного контроля 000000383 от 12.06.2024 23:43:58"/>
        <s v="Акт входного контроля 000000383 от 14.06.2025 4:41:23"/>
        <s v="Акт входного контроля 000000383 от 27.06.2023 22:22:59"/>
        <s v="Акт входного контроля 000000384 от 12.06.2024 22:40:38"/>
        <s v="Акт входного контроля 000000384 от 14.06.2025 5:31:04"/>
        <s v="Акт входного контроля 000000384 от 28.06.2023 3:59:10"/>
        <s v="Акт входного контроля 000000385 от 13.06.2024 4:48:00"/>
        <s v="Акт входного контроля 000000385 от 14.06.2025 5:59:02"/>
        <s v="Акт входного контроля 000000385 от 28.06.2023 9:19:43"/>
        <s v="Акт входного контроля 000000386 от 13.06.2024 5:23:02"/>
        <s v="Акт входного контроля 000000386 от 14.06.2025 9:45:55"/>
        <s v="Акт входного контроля 000000386 от 28.06.2023 11:31:55"/>
        <s v="Акт входного контроля 000000387 от 13.06.2024 6:32:20"/>
        <s v="Акт входного контроля 000000387 от 14.06.2025 10:59:40"/>
        <s v="Акт входного контроля 000000387 от 28.06.2023 15:54:05"/>
        <s v="Акт входного контроля 000000388 от 13.06.2024 7:43:29"/>
        <s v="Акт входного контроля 000000388 от 14.06.2025 12:09:42"/>
        <s v="Акт входного контроля 000000388 от 28.06.2023 19:02:40"/>
        <s v="Акт входного контроля 000000389 от 13.06.2024 9:09:33"/>
        <s v="Акт входного контроля 000000389 от 14.06.2025 12:21:57"/>
        <s v="Акт входного контроля 000000389 от 28.06.2023 19:08:42"/>
        <s v="Акт входного контроля 000000390 от 13.06.2024 10:51:34"/>
        <s v="Акт входного контроля 000000390 от 14.06.2025 7:47:52"/>
        <s v="Акт входного контроля 000000390 от 28.06.2023 19:37:46"/>
        <s v="Акт входного контроля 000000391 от 14.06.2025 11:31:37"/>
        <s v="Акт входного контроля 000000391 от 28.06.2023 22:25:05"/>
        <s v="Акт входного контроля 000000392 от 14.06.2025 15:41:44"/>
        <s v="Акт входного контроля 000000392 от 28.06.2023 23:20:33"/>
        <s v="Акт входного контроля 000000393 от 13.06.2024 11:28:28"/>
        <s v="Акт входного контроля 000000393 от 14.06.2025 15:54:23"/>
        <s v="Акт входного контроля 000000393 от 28.06.2023 23:37:35"/>
        <s v="Акт входного контроля 000000394 от 14.06.2025 16:11:03"/>
        <s v="Акт входного контроля 000000394 от 29.06.2023 2:43:32"/>
        <s v="Акт входного контроля 000000395 от 14.06.2025 17:56:37"/>
        <s v="Акт входного контроля 000000395 от 29.06.2023 1:49:40"/>
        <s v="Акт входного контроля 000000396 от 14.06.2025 18:54:15"/>
        <s v="Акт входного контроля 000000396 от 29.06.2023 6:32:42"/>
        <s v="Акт входного контроля 000000397 от 14.06.2025 21:15:10"/>
        <s v="Акт входного контроля 000000397 от 29.06.2023 10:06:44"/>
        <s v="Акт входного контроля 000000398 от 14.06.2025 21:26:30"/>
        <s v="Акт входного контроля 000000398 от 29.06.2023 11:04:43"/>
        <s v="Акт входного контроля 000000399 от 14.06.2025 21:41:14"/>
        <s v="Акт входного контроля 000000399 от 29.06.2023 13:05:11"/>
        <s v="Акт входного контроля 000000400 от 14.06.2025 23:21:55"/>
        <s v="Акт входного контроля 000000401 от 14.06.2025 19:50:19"/>
        <s v="Акт входного контроля 000000401 от 29.06.2023 14:33:50"/>
        <s v="Акт входного контроля 000000402 от 14.06.2025 20:37:22"/>
        <s v="Акт входного контроля 000000402 от 29.06.2023 16:44:30"/>
        <s v="Акт входного контроля 000000403 от 14.06.2025 21:56:11"/>
        <s v="Акт входного контроля 000000403 от 29.06.2023 21:59:21"/>
        <s v="Акт входного контроля 000000404 от 14.06.2025 22:30:21"/>
        <s v="Акт входного контроля 000000405 от 15.06.2025 5:20:11"/>
        <s v="Акт входного контроля 000000405 от 29.06.2023 17:23:54"/>
        <s v="Акт входного контроля 000000406 от 14.06.2025 23:49:46"/>
        <s v="Акт входного контроля 000000406 от 29.06.2023 18:15:50"/>
        <s v="Акт входного контроля 000000407 от 15.06.2025 9:13:18"/>
        <s v="Акт входного контроля 000000407 от 29.06.2023 20:49:03"/>
        <s v="Акт входного контроля 000000408 от 15.06.2025 13:21:10"/>
        <s v="Акт входного контроля 000000408 от 29.06.2023 23:12:38"/>
        <s v="Акт входного контроля 000000409 от 15.06.2025 13:23:37"/>
        <s v="Акт входного контроля 000000409 от 29.06.2023 23:55:16"/>
        <s v="Акт входного контроля 000000410 от 15.06.2025 13:26:56"/>
        <s v="Акт входного контроля 000000410 от 30.06.2023 11:18:31"/>
        <s v="Акт входного контроля 000000411 от 15.06.2025 13:29:54"/>
        <s v="Акт входного контроля 000000411 от 30.06.2023 11:32:44"/>
        <s v="Акт входного контроля 000000412 от 15.06.2025 15:08:20"/>
        <s v="Акт входного контроля 000000412 от 30.06.2023 16:27:17"/>
        <s v="Акт входного контроля 000000413 от 15.06.2025 15:30:12"/>
        <s v="Акт входного контроля 000000413 от 30.06.2023 16:39:32"/>
        <s v="Акт входного контроля 000000414 от 15.06.2025 15:45:09"/>
        <s v="Акт входного контроля 000000414 от 30.06.2023 16:56:59"/>
        <s v="Акт входного контроля 000000415 от 15.06.2025 18:26:13"/>
        <s v="Акт входного контроля 000000415 от 30.06.2023 17:03:48"/>
        <s v="Акт входного контроля 000000416 от 13.06.2024 17:03:10"/>
        <s v="Акт входного контроля 000000416 от 15.06.2025 18:29:32"/>
        <s v="Акт входного контроля 000000416 от 30.06.2023 14:53:59"/>
        <s v="Акт входного контроля 000000417 от 13.06.2024 17:45:48"/>
        <s v="Акт входного контроля 000000417 от 15.06.2025 19:58:05"/>
        <s v="Акт входного контроля 000000418 от 13.06.2024 19:36:54"/>
        <s v="Акт входного контроля 000000418 от 15.06.2025 21:11:13"/>
        <s v="Акт входного контроля 000000418 от 30.06.2023 20:36:17"/>
        <s v="Акт входного контроля 000000419 от 13.06.2024 20:28:23"/>
        <s v="Акт входного контроля 000000419 от 15.06.2025 21:23:43"/>
        <s v="Акт входного контроля 000000419 от 30.06.2023 20:41:18"/>
        <s v="Акт входного контроля 000000420 от 13.06.2024 23:51:32"/>
        <s v="Акт входного контроля 000000420 от 15.06.2025 23:30:42"/>
        <s v="Акт входного контроля 000000420 от 30.06.2023 22:13:05"/>
        <s v="Акт входного контроля 000000421 от 13.06.2024 21:53:32"/>
        <s v="Акт входного контроля 000000421 от 15.06.2025 21:33:18"/>
        <s v="Акт входного контроля 000000421 от 30.06.2023 21:18:17"/>
        <s v="Акт входного контроля 000000422 от 13.06.2024 23:20:54"/>
        <s v="Акт входного контроля 000000422 от 15.06.2025 21:52:28"/>
        <s v="Акт входного контроля 000000422 от 30.06.2023 23:33:22"/>
        <s v="Акт входного контроля 000000423 от 01.07.2023 3:05:15"/>
        <s v="Акт входного контроля 000000423 от 14.06.2024 4:59:49"/>
        <s v="Акт входного контроля 000000423 от 15.06.2025 22:47:15"/>
        <s v="Акт входного контроля 000000424 от 01.07.2023 5:13:51"/>
        <s v="Акт входного контроля 000000424 от 14.06.2024 1:53:39"/>
        <s v="Акт входного контроля 000000424 от 15.06.2025 23:40:01"/>
        <s v="Акт входного контроля 000000425 от 01.07.2023 7:03:28"/>
        <s v="Акт входного контроля 000000425 от 14.06.2024 7:46:46"/>
        <s v="Акт входного контроля 000000425 от 16.06.2025 5:33:00"/>
        <s v="Акт входного контроля 000000426 от 01.07.2023 12:45:03"/>
        <s v="Акт входного контроля 000000426 от 14.06.2024 7:49:13"/>
        <s v="Акт входного контроля 000000426 от 16.06.2025 6:26:48"/>
        <s v="Акт входного контроля 000000427 от 01.07.2023 12:51:48"/>
        <s v="Акт входного контроля 000000427 от 14.06.2024 7:51:23"/>
        <s v="Акт входного контроля 000000427 от 16.06.2025 7:48:49"/>
        <s v="Акт входного контроля 000000428 от 01.07.2023 15:11:46"/>
        <s v="Акт входного контроля 000000428 от 16.06.2025 9:33:06"/>
        <s v="Акт входного контроля 000000429 от 01.07.2023 18:59:28"/>
        <s v="Акт входного контроля 000000429 от 16.06.2025 11:35:17"/>
        <s v="Акт входного контроля 000000430 от 01.07.2023 22:09:55"/>
        <s v="Акт входного контроля 000000430 от 16.06.2025 13:00:48"/>
        <s v="Акт входного контроля 000000431 от 01.07.2023 15:54:46"/>
        <s v="Акт входного контроля 000000431 от 16.06.2025 13:44:34"/>
        <s v="Акт входного контроля 000000432 от 01.07.2023 17:20:47"/>
        <s v="Акт входного контроля 000000432 от 16.06.2025 14:02:15"/>
        <s v="Акт входного контроля 000000433 от 02.07.2023 23:25:19"/>
        <s v="Акт входного контроля 000000434 от 02.07.2023 23:48:42"/>
        <s v="Акт входного контроля 000000434 от 14.06.2024 13:29:20"/>
        <s v="Акт входного контроля 000000434 от 16.06.2025 18:36:48"/>
        <s v="Акт входного контроля 000000435 от 02.07.2023 22:10:52"/>
        <s v="Акт входного контроля 000000435 от 14.06.2024 13:33:32"/>
        <s v="Акт входного контроля 000000435 от 16.06.2025 18:39:05"/>
        <s v="Акт входного контроля 000000436 от 02.07.2023 23:28:20"/>
        <s v="Акт входного контроля 000000436 от 16.06.2025 21:28:34"/>
        <s v="Акт входного контроля 000000437 от 03.07.2023 1:29:53"/>
        <s v="Акт входного контроля 000000437 от 17.06.2025 3:00:58"/>
        <s v="Акт входного контроля 000000438 от 03.07.2023 10:15:32"/>
        <s v="Акт входного контроля 000000438 от 17.06.2025 15:18:08"/>
        <s v="Акт входного контроля 000000439 от 01.07.2023 21:37:42"/>
        <s v="Акт входного контроля 000000439 от 17.06.2025 15:38:05"/>
        <s v="Акт входного контроля 000000440 от 02.07.2023 21:47:18"/>
        <s v="Акт входного контроля 000000440 от 17.06.2025 17:37:06"/>
        <s v="Акт входного контроля 000000441 от 03.07.2023 11:01:03"/>
        <s v="Акт входного контроля 000000441 от 17.06.2025 18:13:04"/>
        <s v="Акт входного контроля 000000442 от 02.07.2023 8:22:17"/>
        <s v="Акт входного контроля 000000442 от 17.06.2025 21:10:33"/>
        <s v="Акт входного контроля 000000443 от 17.06.2025 22:41:13"/>
        <s v="Акт входного контроля 000000443 от 30.06.2023 16:04:07"/>
        <s v="Акт входного контроля 000000444 от 17.06.2025 23:58:12"/>
        <s v="Акт входного контроля 000000445 от 18.06.2025 4:47:24"/>
        <s v="Акт входного контроля 000000446 от 03.07.2023 13:56:54"/>
        <s v="Акт входного контроля 000000446 от 18.06.2025 5:08:10"/>
        <s v="Акт входного контроля 000000447 от 03.07.2023 15:17:29"/>
        <s v="Акт входного контроля 000000447 от 18.06.2025 5:45:01"/>
        <s v="Акт входного контроля 000000448 от 03.07.2023 16:27:38"/>
        <s v="Акт входного контроля 000000448 от 18.06.2025 6:57:40"/>
        <s v="Акт входного контроля 000000449 от 03.07.2023 21:11:33"/>
        <s v="Акт входного контроля 000000449 от 16.06.2025 15:35:29"/>
        <s v="Акт входного контроля 000000450 от 03.07.2023 21:25:43"/>
        <s v="Акт входного контроля 000000450 от 16.06.2025 15:54:19"/>
        <s v="Акт входного контроля 000000451 от 16.06.2025 19:21:53"/>
        <s v="Акт входного контроля 000000452 от 03.07.2023 23:31:03"/>
        <s v="Акт входного контроля 000000452 от 16.06.2025 14:19:35"/>
        <s v="Акт входного контроля 000000453 от 03.07.2023 19:43:18"/>
        <s v="Акт входного контроля 000000453 от 16.06.2025 19:14:11"/>
        <s v="Акт входного контроля 000000454 от 03.07.2023 23:02:02"/>
        <s v="Акт входного контроля 000000454 от 18.06.2025 11:46:05"/>
        <s v="Акт входного контроля 000000455 от 16.06.2025 12:10:14"/>
        <s v="Акт входного контроля 000000456 от 04.07.2023 11:50:14"/>
        <s v="Акт входного контроля 000000456 от 16.06.2025 13:05:41"/>
        <s v="Акт входного контроля 000000457 от 04.07.2023 11:55:12"/>
        <s v="Акт входного контроля 000000457 от 16.06.2025 16:07:34"/>
        <s v="Акт входного контроля 000000458 от 04.07.2023 13:02:41"/>
        <s v="Акт входного контроля 000000458 от 18.06.2025 10:45:25"/>
        <s v="Акт входного контроля 000000459 от 16.06.2025 14:39:26"/>
        <s v="Акт входного контроля 000000460 от 04.07.2023 17:13:45"/>
        <s v="Акт входного контроля 000000460 от 16.06.2025 21:28:35"/>
        <s v="Акт входного контроля 000000461 от 04.07.2023 17:31:02"/>
        <s v="Акт входного контроля 000000461 от 17.06.2025 21:28:36"/>
        <s v="Акт входного контроля 000000462 от 04.07.2023 20:34:57"/>
        <s v="Акт входного контроля 000000462 от 18.06.2025 12:42:28"/>
        <s v="Акт входного контроля 000000463 от 04.07.2023 20:45:11"/>
        <s v="Акт входного контроля 000000463 от 17.06.2025 23:58:13"/>
        <s v="Акт входного контроля 000000464 от 04.07.2023 21:47:51"/>
        <s v="Акт входного контроля 000000465 от 04.07.2023 23:34:25"/>
        <s v="Акт входного контроля 000000468 от 04.07.2023 19:36:07"/>
        <s v="Акт входного контроля 000000469 от 04.07.2023 21:24:45"/>
        <s v="Акт входного контроля 000000470 от 04.07.2023 23:05:17"/>
        <s v="Акт входного контроля 000000470 от 14.06.2024 15:26:19"/>
        <s v="Акт входного контроля 000000471 от 05.07.2023 9:05:09"/>
        <s v="Акт входного контроля 000000472 от 05.07.2023 9:28:02"/>
        <s v="Акт входного контроля 000000473 от 04.07.2023 16:57:25"/>
        <s v="Акт входного контроля 000000473 от 14.06.2024 17:12:56"/>
        <s v="Акт входного контроля 000000474 от 02.07.2023 23:48:43"/>
        <s v="Акт входного контроля 000000474 от 14.06.2024 20:02:30"/>
        <s v="Акт входного контроля 000000475 от 02.07.2023 23:48:44"/>
        <s v="Акт входного контроля 000000475 от 14.06.2024 21:28:46"/>
        <s v="Акт входного контроля 000000476 от 02.07.2023 23:48:45"/>
        <s v="Акт входного контроля 000000476 от 14.06.2024 23:23:16"/>
        <s v="Акт входного контроля 000000477 от 02.07.2023 23:48:46"/>
        <s v="Акт входного контроля 000000477 от 14.06.2024 23:37:26"/>
        <s v="Акт входного контроля 000000478 от 02.07.2023 23:48:47"/>
        <s v="Акт входного контроля 000000478 от 15.06.2024 1:46:18"/>
        <s v="Акт входного контроля 000000479 от 02.07.2023 23:48:48"/>
        <s v="Акт входного контроля 000000479 от 15.06.2024 4:35:53"/>
        <s v="Акт входного контроля 000000480 от 02.07.2023 23:48:49"/>
        <s v="Акт входного контроля 000000480 от 15.06.2024 10:16:23"/>
        <s v="Акт входного контроля 000000481 от 05.07.2023 13:36:25"/>
        <s v="Акт входного контроля 000000481 от 15.06.2024 16:08:03"/>
        <s v="Акт входного контроля 000000482 от 05.07.2023 13:44:46"/>
        <s v="Акт входного контроля 000000482 от 15.06.2024 16:20:35"/>
        <s v="Акт входного контроля 000000483 от 15.06.2024 16:27:49"/>
        <s v="Акт входного контроля 000000484 от 15.06.2024 10:44:50"/>
        <s v="Акт входного контроля 000000485 от 16.06.2024 15:00:37"/>
        <s v="Акт входного контроля 000000486 от 05.07.2023 8:26:20"/>
        <s v="Акт входного контроля 000000486 от 16.06.2024 17:46:30"/>
        <s v="Акт входного контроля 000000487 от 16.06.2024 18:38:12"/>
        <s v="Акт входного контроля 000000488 от 16.06.2024 19:52:29"/>
        <s v="Акт входного контроля 000000489 от 16.06.2024 22:50:25"/>
        <s v="Акт входного контроля 000000490 от 05.07.2023 18:02:55"/>
        <s v="Акт входного контроля 000000490 от 16.06.2024 23:31:48"/>
        <s v="Акт входного контроля 000000491 от 05.07.2023 15:28:14"/>
        <s v="Акт входного контроля 000000491 от 17.06.2024 2:13:19"/>
        <s v="Акт входного контроля 000000492 от 05.07.2023 14:20:31"/>
        <s v="Акт входного контроля 000000492 от 17.06.2024 6:15:00"/>
        <s v="Акт входного контроля 000000493 от 05.07.2023 11:32:57"/>
        <s v="Акт входного контроля 000000493 от 17.06.2024 9:04:19"/>
        <s v="Акт входного контроля 000000494 от 17.06.2024 11:22:16"/>
        <s v="Акт входного контроля 000000495 от 18.06.2024 20:49:27"/>
        <s v="Акт входного контроля 000000496 от 18.06.2024 22:50:27"/>
        <s v="Акт входного контроля 000000497 от 06.07.2023 18:12:00"/>
        <s v="Акт входного контроля 000000497 от 18.06.2024 23:45:19"/>
        <s v="Акт входного контроля 000000498 от 06.07.2023 18:12:01"/>
        <s v="Акт входного контроля 000000498 от 19.06.2024 3:07:47"/>
        <s v="Акт входного контроля 000000499 от 19.06.2024 6:15:19"/>
        <s v="Акт входного контроля 000000500 от 05.07.2023 18:12:02"/>
        <s v="Акт входного контроля 000000500 от 19.06.2024 6:18:53"/>
        <s v="Акт входного контроля 000000501 от 06.07.2023 18:12:03"/>
        <s v="Акт входного контроля 000000501 от 19.06.2024 9:51:58"/>
        <s v="Акт входного контроля 000000502 от 06.07.2023 18:12:04"/>
        <s v="Акт входного контроля 000000502 от 19.06.2024 14:32:16"/>
        <s v="Акт входного контроля 000000503 от 06.07.2023 18:12:05"/>
        <s v="Акт входного контроля 000000503 от 19.06.2024 22:28:42"/>
        <s v="Акт входного контроля 000000504 от 19.06.2024 22:30:54"/>
        <s v="Акт входного контроля 000000505 от 19.06.2024 20:52:24"/>
        <s v="Акт входного контроля 000000506 от 19.06.2024 21:47:12"/>
        <s v="Акт входного контроля 000000507 от 19.06.2024 2:30:38"/>
        <s v="Акт входного контроля 000000508 от 20.06.2024 6:08:07"/>
        <s v="Акт входного контроля 000000509 от 20.06.2024 6:24:29"/>
        <s v="Акт входного контроля 000000510 от 20.06.2024 12:07:28"/>
        <s v="Акт входного контроля 000000511 от 06.07.2023 18:12:06"/>
        <s v="Акт входного контроля 000000511 от 20.06.2024 18:34:11"/>
        <s v="Акт входного контроля 000000512 от 06.07.2023 18:12:07"/>
        <s v="Акт входного контроля 000000512 от 20.06.2024 13:03:50"/>
        <s v="Акт входного контроля 000000513 от 07.07.2023 19:45:36"/>
        <s v="Акт входного контроля 000000513 от 20.06.2024 18:38:20"/>
        <s v="Акт входного контроля 000000514 от 07.07.2023 19:45:37"/>
        <s v="Акт входного контроля 000000514 от 20.06.2024 18:40:03"/>
        <s v="Акт входного контроля 000000515 от 08.07.2023 12:00:00"/>
        <s v="Акт входного контроля 000000515 от 20.06.2024 23:27:16"/>
        <s v="Акт входного контроля 000000516 от 08.07.2023 12:00:01"/>
        <s v="Акт входного контроля 000000516 от 20.06.2024 19:01:51"/>
        <s v="Акт входного контроля 000000517 от 08.07.2023 12:00:02"/>
        <s v="Акт входного контроля 000000517 от 20.06.2024 20:38:50"/>
        <s v="Акт входного контроля 000000518 от 09.07.2023 23:30:23"/>
        <s v="Акт входного контроля 000000518 от 20.06.2024 22:23:19"/>
        <s v="Акт входного контроля 000000519 от 09.07.2023 23:30:24"/>
        <s v="Акт входного контроля 000000519 от 21.06.2024 6:01:07"/>
        <s v="Акт входного контроля 000000520 от 21.06.2024 7:37:57"/>
        <s v="Акт входного контроля 000000521 от 21.06.2024 9:46:52"/>
        <s v="Акт входного контроля 000000522 от 21.06.2024 11:32:12"/>
        <s v="Акт входного контроля 000000523 от 21.06.2024 16:40:23"/>
        <s v="Акт входного контроля 000000524 от 21.06.2024 22:53:27"/>
        <s v="Акт входного контроля 000000525 от 21.06.2024 19:32:03"/>
        <s v="Акт входного контроля 000000526 от 21.06.2024 20:53:27"/>
        <s v="Акт входного контроля 000000527 от 22.06.2024 16:51:30"/>
        <s v="Акт входного контроля 000000528 от 24.06.2024 10:09:54"/>
        <s v="Акт входного контроля 000000529 от 24.06.2024 19:06:50"/>
        <s v="Акт входного контроля 000000530 от 24.06.2024 19:16:42"/>
        <s v="Акт входного контроля 000000531 от 24.06.2024 19:30:40"/>
        <s v="Акт входного контроля 000000532 от 24.06.2024 20:39:09"/>
        <s v="Акт входного контроля 000000533 от 24.06.2024 21:44:38"/>
        <s v="Акт входного контроля 000000534 от 25.06.2024 0:51:30"/>
        <s v="Акт входного контроля 000000535 от 09.07.2023 23:30:25"/>
        <s v="Акт входного контроля 000000535 от 25.06.2024 9:36:32"/>
        <s v="Акт входного контроля 000000536 от 09.07.2023 23:30:26"/>
        <s v="Акт входного контроля 000000536 от 25.06.2024 17:52:23"/>
        <s v="Акт входного контроля 000000537 от 10.07.2023 16:11:12"/>
        <s v="Акт входного контроля 000000537 от 25.06.2024 16:27:50"/>
        <s v="Акт входного контроля 000000538 от 25.06.2024 19:18:28"/>
        <s v="Акт входного контроля 000000539 от 25.06.2024 19:56:34"/>
        <s v="Акт входного контроля 000000540 от 25.06.2024 4:08:25"/>
        <s v="Акт входного контроля 000000541 от 26.06.2024 4:14:36"/>
        <s v="Акт входного контроля 000000542 от 26.06.2024 7:44:53"/>
        <s v="Акт входного контроля 000000543 от 26.06.2024 9:36:06"/>
        <s v="Акт входного контроля 000000544 от 26.06.2024 15:29:40"/>
        <s v="Акт входного контроля 000000545 от 26.06.2024 18:10:42"/>
        <s v="Акт входного контроля 000000546 от 26.06.2024 21:33:36"/>
        <s v="Акт входного контроля 000000547 от 26.06.2024 23:58:10"/>
        <s v="Акт входного контроля 000000548 от 27.06.2024 3:01:41"/>
        <s v="Акт входного контроля 000000549 от 27.06.2024 4:49:38"/>
        <s v="Акт входного контроля 000000550 от 27.06.2024 9:23:28"/>
        <s v="Акт входного контроля 000000551 от 27.06.2024 11:02:42"/>
        <s v="Акт входного контроля 000000552 от 27.06.2024 15:28:37"/>
        <s v="Акт входного контроля 000000553 от 27.06.2024 15:50:24"/>
        <s v="Акт входного контроля 000000554 от 27.06.2024 19:40:42"/>
        <s v="Акт входного контроля 000000555 от 27.06.2024 21:41:01"/>
        <s v="Акт входного контроля 000000556 от 27.06.2024 21:52:20"/>
        <s v="Акт входного контроля 000000557 от 28.06.2024 3:10:34"/>
        <s v="Акт входного контроля 000000558 от 28.06.2024 5:18:01"/>
        <s v="Акт входного контроля 000000559 от 28.06.2024 9:58:34"/>
        <s v="Акт входного контроля 000000560 от 28.06.2024 15:11:57"/>
        <s v="Акт входного контроля 000000561 от 28.06.2024 20:06:03"/>
        <s v="Акт входного контроля 000000562 от 28.06.2024 20:05:57"/>
        <s v="Акт входного контроля 000000563 от 28.06.2024 20:11:48"/>
        <s v="Акт входного контроля грин00001 от 17.06.2025 15:40:33"/>
        <s v="Акт входного контроля грин00004 от 17.06.2025 23:58:14"/>
        <s v="Акт входного контроля грин00005 от 17.06.2025 23:58:15"/>
        <s v="Акт входного контроля грин00006 от 17.06.2025 23:58:16"/>
        <s v="Акт входного контроля грин00007 от 17.06.2025 23:58:17"/>
        <s v="Акт входного контроля грин00008 от 17.06.2025 23:58:18"/>
        <s v="Акт входного контроля грин00009 от 18.06.2025 13:52:59"/>
        <s v="Акт входного контроля грин00010 от 18.06.2025 15:44:40"/>
        <s v="Акт входного контроля грин00011 от 18.06.2025 16:55:33"/>
        <s v="Акт входного контроля грин00012 от 18.06.2025 19:39:17"/>
        <s v="Акт входного контроля грин00013 от 18.06.2025 20:07:18"/>
        <s v="Акт входного контроля грин00014 от 18.06.2025 21:27:16"/>
        <s v="Акт входного контроля грин00015 от 18.06.2025 23:25:43"/>
        <s v="Акт входного контроля грин00016 от 18.06.2025 23:38:57"/>
        <s v="Акт входного контроля грин00017 от 18.06.2025 23:37:46"/>
        <s v="Акт входного контроля грин00018 от 19.06.2025 2:02:01"/>
        <s v="Акт входного контроля грин00019 от 19.06.2025 2:51:38"/>
        <s v="Акт входного контроля грин00020 от 19.06.2025 3:50:04"/>
        <s v="Акт входного контроля грин00021 от 19.06.2025 5:19:47"/>
        <s v="Акт входного контроля грин00022 от 19.06.2025 6:03:27"/>
        <s v="Акт входного контроля грин00023 от 19.06.2025 6:47:15"/>
        <s v="Акт входного контроля грин00024 от 19.06.2025 10:08:21"/>
        <s v="Акт входного контроля грин00025 от 19.06.2025 10:54:59"/>
        <s v="Акт входного контроля грин00026 от 19.06.2025 12:12:39"/>
        <s v="Акт входного контроля грин00027 от 19.06.2025 12:52:27"/>
        <s v="Акт входного контроля грин00028 от 19.06.2025 13:47:10"/>
        <s v="Акт входного контроля грин00029 от 19.06.2025 17:45:55"/>
        <s v="Акт входного контроля грин00030 от 19.06.2025 18:15:38"/>
        <s v="Акт входного контроля грин00031 от 19.06.2025 18:43:23"/>
        <s v="Акт входного контроля грин00032 от 19.06.2025 19:59:54"/>
        <s v="Акт входного контроля грин00033 от 19.06.2025 21:37:08"/>
        <s v="Акт входного контроля грин00034 от 19.06.2025 22:05:32"/>
        <s v="Акт входного контроля грин00035 от 19.06.2025 21:38:57"/>
        <s v="Акт входного контроля грин00036 от 19.06.2025 22:30:45"/>
        <s v="Акт входного контроля грин00037 от 19.06.2025 23:38:02"/>
        <s v="Акт входного контроля грин00038 от 19.06.2025 23:05:38"/>
        <s v="Акт входного контроля грин00039 от 20.06.2025 6:41:34"/>
        <s v="Акт входного контроля грин00040 от 20.06.2025 7:53:46"/>
        <s v="Акт входного контроля грин00041 от 20.06.2025 8:04:34"/>
        <s v="Акт входного контроля грин00042 от 20.06.2025 10:36:36"/>
        <s v="Акт входного контроля грин00043 от 20.06.2025 11:14:17"/>
        <s v="Акт входного контроля грин00044 от 20.06.2025 13:27:20"/>
        <s v="Акт входного контроля грин00045 от 20.06.2025 14:09:14"/>
        <s v="Акт входного контроля грин00046 от 20.06.2025 17:16:58"/>
        <s v="Акт входного контроля грин00047 от 20.06.2025 17:24:06"/>
        <s v="Акт входного контроля грин00048 от 20.06.2025 18:23:21"/>
        <s v="Акт входного контроля грин00049 от 20.06.2025 20:42:45"/>
        <s v="Акт входного контроля грин00050 от 20.06.2025 21:06:24"/>
        <s v="Акт входного контроля грин00051 от 20.06.2025 21:37:19"/>
        <s v="Акт входного контроля грин00052 от 20.06.2025 22:54:14"/>
        <s v="Акт входного контроля грин00053 от 20.06.2025 16:45:16"/>
        <s v="Акт входного контроля грин00054 от 20.06.2025 18:31:52"/>
        <s v="Акт входного контроля грин00055 от 20.06.2025 23:40:29"/>
        <s v="Акт входного контроля грин00056 от 21.06.2025 2:26:41"/>
        <s v="Акт входного контроля грин00057 от 21.06.2025 3:40:40"/>
        <s v="Акт входного контроля грин00058 от 21.06.2025 4:56:50"/>
        <s v="Акт входного контроля грин00059 от 21.06.2025 7:41:07"/>
        <s v="Акт входного контроля грин00060 от 21.06.2025 9:20:01"/>
        <s v="Акт входного контроля грин00061 от 21.06.2025 10:22:07"/>
        <s v="Акт входного контроля грин00062 от 21.06.2025 10:24:13"/>
        <s v="Акт входного контроля грин00063 от 21.06.2025 12:49:22"/>
        <s v="Акт входного контроля грин00064 от 21.06.2025 16:10:54"/>
        <s v="Акт входного контроля грин00065 от 21.06.2025 16:12:52"/>
        <s v="Акт входного контроля грин00066 от 21.06.2025 16:14:55"/>
        <s v="Акт входного контроля грин00067 от 22.06.2025 7:21:08"/>
        <s v="Акт входного контроля грин00068 от 22.06.2025 9:51:13"/>
        <s v="Акт входного контроля грин00069 от 22.06.2025 9:53:02"/>
        <s v="Акт входного контроля грин00070 от 22.06.2025 13:07:29"/>
        <s v="Акт входного контроля грин00071 от 22.06.2025 14:26:18"/>
        <s v="Акт входного контроля грин00072 от 22.06.2025 14:28:07"/>
        <s v="Акт входного контроля грин00073 от 22.06.2025 14:43:41"/>
        <s v="Акт входного контроля грин00074 от 22.06.2025 18:09:10"/>
        <s v="Акт входного контроля грин00075 от 22.06.2025 18:11:37"/>
        <s v="Акт входного контроля грин00076 от 22.06.2025 17:15:46"/>
        <s v="Акт входного контроля грин00077 от 22.06.2025 19:50:38"/>
        <s v="Акт входного контроля грин00078 от 22.06.2025 19:54:07"/>
        <s v="Акт входного контроля грин00079 от 22.06.2025 21:08:08"/>
        <s v="Акт входного контроля грин00080 от 22.06.2025 23:56:58"/>
        <s v="Акт входного контроля грин00081 от 22.06.2025 23:23:52"/>
        <s v="Акт входного контроля грин00082 от 23.06.2025 2:14:20"/>
        <s v="Акт входного контроля грин00083 от 23.06.2025 2:17:06"/>
        <s v="Акт входного контроля грин00084 от 23.06.2025 4:35:02"/>
        <s v="Акт входного контроля грин00085 от 23.06.2025 4:37:29"/>
        <s v="Акт входного контроля грин00086 от 23.06.2025 5:38:36"/>
        <s v="Акт входного контроля грин00087 от 23.06.2025 7:44:57"/>
        <s v="Акт входного контроля грин00088 от 23.06.2025 8:54:24"/>
        <s v="Акт входного контроля грин00089 от 23.06.2025 9:50:52"/>
        <s v="Акт входного контроля грин00090 от 23.06.2025 11:04:53"/>
        <s v="Акт входного контроля грин00091 от 23.06.2025 13:12:02"/>
        <s v="Акт входного контроля грин00093 от 20.06.2025 23:40:30"/>
        <s v="Акт входного контроля грин00094 от 20.06.2025 23:40:31"/>
        <s v="Акт входного контроля грин00095 от 20.06.2025 23:40:32"/>
        <s v="Акт входного контроля грин00096 от 23.06.2025 14:56:11"/>
        <s v="Акт входного контроля грин00097 от 23.06.2025 16:28:29"/>
        <s v="Акт входного контроля грин00098 от 23.06.2025 18:01:38"/>
        <s v="Акт входного контроля грин00099 от 23.06.2025 19:36:07"/>
        <s v="Акт входного контроля грин00100 от 23.06.2025 19:57:00"/>
        <s v="Акт входного контроля грин00101 от 23.06.2025 22:52:14"/>
        <s v="Акт входного контроля грин00102 от 23.06.2025 22:22:12"/>
        <s v="Акт входного контроля грин00138 от 24.06.2025 19:39:49"/>
        <s v="Акт входного контроля грин00139 от 24.06.2025 20:22:59"/>
        <s v="Акт входного контроля грин00140 от 24.06.2025 20:25:19"/>
        <s v="Акт входного контроля грин00141 от 24.06.2025 20:59:45"/>
        <s v="Акт входного контроля грин00142 от 24.06.2025 21:50:23"/>
        <s v="Акт входного контроля грин00143 от 24.06.2025 22:48:44"/>
        <s v="Акт входного контроля грин00144 от 24.06.2025 22:56:58"/>
        <s v="Акт входного контроля грин00145 от 24.06.2025 23:58:15"/>
        <s v="Акт входного контроля грин00146 от 25.06.2025 1:45:00"/>
        <s v="Акт входного контроля грин00147 от 25.06.2025 2:18:51"/>
        <s v="Акт входного контроля грин00148 от 25.06.2025 3:30:38"/>
        <s v="Акт входного контроля грин00149 от 25.06.2025 4:37:44"/>
        <s v="Акт входного контроля грин00150 от 25.06.2025 5:33:53"/>
        <s v="Акт входного контроля грин00151 от 25.06.2025 7:36:21"/>
        <s v="Акт входного контроля грин00152 от 25.06.2025 7:28:08"/>
        <s v="Акт входного контроля грин00153 от 25.06.2025 8:48:49"/>
        <s v="Акт входного контроля грин00162 от 25.06.2025 11:58:47"/>
        <s v="Акт входного контроля грин00163 от 25.06.2025 12:13:20"/>
        <s v="Акт входного контроля грин00165 от 28.06.2025 8:51:06"/>
        <s v="Акт входного контроля грин00166 от 28.06.2025 14:07:38"/>
        <s v="Акт входного контроля грин00167 от 28.06.2025 13:46:13"/>
        <s v="Акт входного контроля грин00168 от 28.06.2025 18:24:24"/>
        <s v="Акт входного контроля грин00169 от 28.06.2025 18:43:52"/>
        <s v="Акт входного контроля грин00170 от 28.06.2025 19:50:38"/>
        <s v="Акт входного контроля грин00171 от 29.06.2025 20:21:37"/>
        <s v="Акт входного контроля грин00172 от 29.06.2025 20:23:19"/>
        <s v="Акт входного контроля грин00173 от 29.06.2025 23:21:43"/>
        <s v="Акт входного контроля грин00174 от 29.06.2025 21:14:13"/>
        <s v="Акт входного контроля грин00175 от 29.06.2025 22:47:04"/>
        <s v="Акт входного контроля грин00176 от 29.06.2025 22:57:42"/>
        <s v="Акт входного контроля грин00177 от 30.06.2025 7:15:52"/>
        <s v="Акт входного контроля грин00182 от 29.06.2025 17:33:03"/>
        <s v="Акт входного контроля грин00183 от 29.06.2025 13:50:07"/>
        <s v="Акт входного контроля грин00184 от 30.06.2025 15:10:01"/>
        <s v="Акт входного контроля грин00185 от 30.06.2025 13:14:40"/>
        <s v="Акт входного контроля грин00186 от 30.06.2025 1:06:07"/>
        <s v="Акт входного контроля грин00187 от 01.07.2025 20:27:39"/>
        <s v="Акт входного контроля грин00188 от 01.07.2025 20:02:46"/>
        <s v="Акт входного контроля грин00189 от 01.07.2025 20:50:50"/>
        <s v="Акт входного контроля грин00190 от 01.07.2025 22:28:02"/>
        <s v="Акт входного контроля грин00191 от 01.07.2025 23:42:56"/>
        <s v="Акт входного контроля грин00192 от 02.07.2025 3:32:16"/>
        <s v="Акт входного контроля грин00193 от 02.07.2025 5:56:49"/>
        <s v="Акт входного контроля грин00194 от 02.07.2025 9:11:23"/>
        <s v="Акт входного контроля грин00195 от 02.07.2025 9:13:26"/>
        <s v="Акт входного контроля грин00196 от 02.07.2025 12:52:25"/>
        <s v="Акт входного контроля грин00197 от 02.07.2025 14:09:25"/>
        <s v="Акт входного контроля грин00198 от 02.07.2025 14:14:04"/>
        <s v="Акт входного контроля грин00199 от 02.07.2025 14:17:55"/>
        <s v="Акт входного контроля грин00200 от 02.07.2025 16:49:06"/>
        <s v="Акт входного контроля грин00201 от 02.07.2025 16:52:24"/>
        <s v="Акт входного контроля грин00203 от 02.07.2025 18:13:29"/>
        <s v="Акт входного контроля грин00204 от 02.07.2025 20:15:10"/>
        <s v="Акт входного контроля грин00205 от 02.07.2025 20:50:44"/>
        <s v="Акт входного контроля грин00206 от 02.07.2025 22:13:53"/>
        <s v="Акт входного контроля грин00207 от 02.07.2025 23:01:23"/>
        <s v="Акт входного контроля грин00208 от 02.07.2025 22:26:19"/>
        <s v="Акт входного контроля грин00209 от 02.07.2025 23:20:57"/>
        <s v="Акт входного контроля грин00210 от 03.07.2025 2:57:48"/>
        <s v="Акт входного контроля грин00211 от 03.07.2025 3:52:01"/>
        <s v="Акт входного контроля грин00212 от 03.07.2025 6:17:31"/>
        <s v="Акт входного контроля грин00213 от 03.07.2025 9:00:56"/>
        <s v="Акт входного контроля грин00214 от 03.07.2025 9:19:30"/>
        <s v="Акт входного контроля грин00215 от 03.07.2025 10:27:41"/>
        <s v="Акт входного контроля грин00216 от 03.07.2025 15:44:34"/>
        <s v="Акт входного контроля грин00217 от 03.07.2025 15:51:59"/>
        <s v="Акт входного контроля грин00218 от 03.07.2025 17:59:04"/>
        <s v="Акт входного контроля грин00219 от 03.07.2025 18:11:55"/>
        <s v="Акт входного контроля грин00220 от 03.07.2025 21:14:39"/>
        <s v="Акт входного контроля грин00221 от 03.07.2025 21:17:29"/>
        <s v="Акт входного контроля грин00222 от 03.07.2025 21:53:05"/>
        <s v="Акт входного контроля грин00223 от 03.07.2025 23:17:42"/>
        <s v="Акт входного контроля грин00224 от 04.07.2025 3:34:51"/>
        <s v="Акт входного контроля грин00225 от 04.07.2025 3:37:10"/>
        <s v="Акт входного контроля грин00226 от 04.07.2025 9:25:26"/>
        <s v="Акт входного контроля грин00227 от 04.07.2025 9:47:17"/>
        <s v="Акт входного контроля грин00228 от 04.07.2025 9:50:33"/>
        <s v="Акт входного контроля грин00229 от 04.07.2025 11:26:10"/>
        <s v="Акт входного контроля грин00230 от 04.07.2025 12:04:49"/>
        <s v="Акт входного контроля грин00231 от 04.07.2025 13:48:09"/>
        <s v="Акт входного контроля грин00232 от 04.07.2025 15:20:46"/>
        <s v="Акт входного контроля грин00233 от 04.07.2025 16:30:24"/>
        <s v="Акт входного контроля грин00234 от 04.07.2025 17:57:51"/>
        <s v="Акт входного контроля грин00235 от 04.07.2025 19:24:49"/>
        <s v="Акт входного контроля грин00236 от 04.07.2025 21:23:06"/>
        <s v="Акт входного контроля грин00237 от 04.07.2025 22:24:47"/>
        <s v="Акт входного контроля грин00238 от 04.07.2025 22:30:22"/>
        <s v="Акт входного контроля грин00239 от 04.07.2025 21:31:25"/>
        <s v="Акт входного контроля грин00240 от 04.07.2025 22:00:00"/>
        <s v="Акт входного контроля грин00241 от 05.07.2025 6:08:47"/>
        <s v="Акт входного контроля грин00242 от 05.07.2025 8:06:00"/>
        <s v="Акт входного контроля грин00243 от 05.07.2025 17:41:39"/>
        <s v="Акт входного контроля грин00244 от 05.07.2025 17:43:15"/>
        <s v="Акт входного контроля грин00245 от 05.07.2025 20:34:47"/>
        <s v="Акт входного контроля грин00246 от 05.07.2025 23:57:29"/>
        <s v="Акт входного контроля грин00247 от 06.07.2025 1:44:07"/>
        <s v="Акт входного контроля грин00248 от 06.07.2025 3:25:36"/>
        <s v="Акт входного контроля грин00249 от 06.07.2025 4:47:33"/>
        <s v="Акт входного контроля грин00250 от 06.07.2025 6:38:38"/>
        <s v="Акт входного контроля грин00251 от 06.07.2025 10:06:47"/>
        <s v="Акт входного контроля грин00252 от 06.07.2025 11:49:56"/>
        <s v="Акт входного контроля грин00253 от 06.07.2025 13:45:04"/>
        <s v="Акт входного контроля грин00254 от 06.07.2025 15:40:00"/>
        <s v="Акт входного контроля грин00255 от 06.07.2025 17:34:45"/>
        <s v="Акт входного контроля грин00256 от 06.07.2025 19:22:13"/>
        <s v="Акт входного контроля грин00257 от 06.07.2025 21:40:47"/>
        <s v="Акт входного контроля грин00258 от 06.07.2025 22:59:39"/>
        <s v="Акт входного контроля грин00259 от 06.07.2025 17:54:38"/>
        <s v="Акт входного контроля грин00260 от 06.07.2025 18:49:26"/>
        <s v="Акт входного контроля грин00261 от 06.07.2025 20:43:53"/>
        <s v="Акт входного контроля грин00262 от 06.07.2025 22:20:13"/>
        <s v="Акт входного контроля грин00263 от 06.07.2025 23:25:38"/>
        <s v="Акт входного контроля грин00301 от 08.07.2025 19:39:57"/>
        <s v="Акт входного контроля грин00302 от 08.07.2025 20:47:38"/>
        <s v="Акт входного контроля грин00303 от 08.07.2025 21:59:31"/>
        <s v="Акт входного контроля грин00304 от 09.07.2025 1:54:57"/>
        <s v="Акт входного контроля грин00305 от 09.07.2025 4:28:38"/>
        <s v="Акт входного контроля грин00306 от 09.07.2025 4:30:22"/>
        <s v="Акт входного контроля грин00307 от 09.07.2025 7:20:40"/>
        <s v="Акт входного контроля грин00308 от 09.07.2025 9:57:04"/>
        <s v="Акт входного контроля грин00309 от 09.07.2025 11:26:10"/>
        <s v="Акт входного контроля грин00310 от 09.07.2025 13:04:49"/>
        <s v="Акт входного контроля грин00311 от 09.07.2025 14:10:41"/>
        <s v="Акт входного контроля грин00312 от 09.07.2025 18:10:06"/>
        <s v="Акт входного контроля грин00313 от 09.07.2025 19:34:30"/>
        <s v="Акт входного контроля грин00314 от 09.07.2025 22:43:17"/>
        <s v="Акт входного контроля грин00315 от 10.07.2025 2:04:11"/>
        <s v="Акт входного контроля грин00316 от 10.07.2025 5:42:10"/>
        <s v="Акт входного контроля грин00317 от 10.07.2025 10:08:10"/>
      </sharedItems>
    </cacheField>
    <cacheField name="Хар-ка" numFmtId="0">
      <sharedItems containsBlank="1" count="4">
        <s v="второй"/>
        <s v="высший"/>
        <s v="первый"/>
        <m/>
      </sharedItems>
    </cacheField>
    <cacheField name="Номер взвешивания" numFmtId="0">
      <sharedItems containsString="0" containsBlank="1" containsNumber="1" containsInteger="1" minValue="40" maxValue="804" count="704">
        <n v="40"/>
        <n v="42"/>
        <n v="43"/>
        <n v="48"/>
        <n v="49"/>
        <n v="50"/>
        <n v="51"/>
        <n v="52"/>
        <n v="53"/>
        <n v="54"/>
        <n v="55"/>
        <n v="56"/>
        <n v="58"/>
        <n v="59"/>
        <n v="61"/>
        <n v="63"/>
        <n v="64"/>
        <n v="65"/>
        <n v="66"/>
        <n v="68"/>
        <n v="69"/>
        <n v="70"/>
        <n v="71"/>
        <n v="72"/>
        <n v="73"/>
        <n v="74"/>
        <n v="76"/>
        <n v="77"/>
        <n v="78"/>
        <n v="79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6"/>
        <n v="497"/>
        <n v="498"/>
        <n v="499"/>
        <n v="500"/>
        <n v="501"/>
        <n v="502"/>
        <n v="503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5"/>
        <n v="596"/>
        <n v="597"/>
        <n v="598"/>
        <n v="599"/>
        <n v="600"/>
        <n v="601"/>
        <n v="602"/>
        <n v="603"/>
        <n v="604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9"/>
        <n v="633"/>
        <n v="637"/>
        <n v="638"/>
        <n v="639"/>
        <n v="640"/>
        <n v="641"/>
        <n v="642"/>
        <n v="643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4"/>
        <n v="665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7"/>
        <n v="689"/>
        <n v="690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7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41"/>
        <n v="744"/>
        <n v="745"/>
        <n v="746"/>
        <n v="747"/>
        <n v="748"/>
        <n v="749"/>
        <n v="750"/>
        <n v="751"/>
        <n v="752"/>
        <n v="753"/>
        <n v="754"/>
        <n v="756"/>
        <n v="757"/>
        <n v="758"/>
        <n v="759"/>
        <n v="760"/>
        <n v="761"/>
        <n v="762"/>
        <n v="763"/>
        <n v="764"/>
        <n v="765"/>
        <n v="766"/>
        <n v="767"/>
        <n v="769"/>
        <n v="770"/>
        <n v="771"/>
        <n v="772"/>
        <n v="773"/>
        <n v="774"/>
        <n v="775"/>
        <n v="776"/>
        <n v="777"/>
        <n v="785"/>
        <n v="786"/>
        <n v="787"/>
        <n v="788"/>
        <n v="789"/>
        <n v="790"/>
        <n v="791"/>
        <n v="792"/>
        <n v="793"/>
        <n v="795"/>
        <n v="796"/>
        <n v="799"/>
        <n v="800"/>
        <n v="801"/>
        <n v="802"/>
        <n v="803"/>
        <n v="804"/>
        <m/>
      </sharedItems>
    </cacheField>
    <cacheField name="Номер вх.  док." numFmtId="0">
      <sharedItems containsBlank="1" containsMixedTypes="1" containsNumber="1" containsInteger="1" minValue="1" maxValue="586159" count="582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6"/>
        <n v="157"/>
        <n v="158"/>
        <n v="159"/>
        <n v="160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7"/>
        <n v="198"/>
        <n v="199"/>
        <n v="200"/>
        <n v="201"/>
        <n v="202"/>
        <n v="203"/>
        <n v="204"/>
        <n v="205"/>
        <n v="206"/>
        <n v="248"/>
        <n v="325"/>
        <n v="3402"/>
        <n v="36416"/>
        <n v="54927"/>
        <n v="54928"/>
        <n v="54929"/>
        <n v="54930"/>
        <n v="54931"/>
        <n v="54933"/>
        <n v="54934"/>
        <n v="54935"/>
        <n v="54936"/>
        <n v="54937"/>
        <n v="54938"/>
        <n v="54939"/>
        <n v="54940"/>
        <n v="54941"/>
        <n v="54942"/>
        <n v="54943"/>
        <n v="54944"/>
        <n v="54945"/>
        <n v="54946"/>
        <n v="54947"/>
        <n v="54948"/>
        <n v="54951"/>
        <n v="54952"/>
        <n v="54953"/>
        <n v="54954"/>
        <n v="54955"/>
        <n v="54956"/>
        <n v="54957"/>
        <n v="54958"/>
        <n v="54959"/>
        <n v="54960"/>
        <n v="54961"/>
        <n v="63303"/>
        <n v="63304"/>
        <n v="63306"/>
        <n v="63307"/>
        <n v="63308"/>
        <n v="63309"/>
        <n v="63310"/>
        <n v="63311"/>
        <n v="63312"/>
        <n v="63313"/>
        <n v="63314"/>
        <n v="63315"/>
        <n v="63316"/>
        <n v="63318"/>
        <n v="63319"/>
        <n v="63320"/>
        <n v="63321"/>
        <n v="63322"/>
        <n v="63323"/>
        <n v="63326"/>
        <n v="63329"/>
        <n v="63330"/>
        <n v="63331"/>
        <n v="63332"/>
        <n v="63333"/>
        <n v="63334"/>
        <n v="63335"/>
        <n v="63336"/>
        <n v="63337"/>
        <n v="63338"/>
        <n v="63340"/>
        <n v="63341"/>
        <n v="63342"/>
        <n v="63343"/>
        <n v="63344"/>
        <n v="63345"/>
        <n v="63346"/>
        <n v="63347"/>
        <n v="63348"/>
        <n v="63351"/>
        <n v="63352"/>
        <n v="63353"/>
        <n v="63354"/>
        <n v="63357"/>
        <n v="63358"/>
        <n v="63359"/>
        <n v="63360"/>
        <n v="63361"/>
        <n v="63362"/>
        <n v="63363"/>
        <n v="63364"/>
        <n v="63365"/>
        <n v="63366"/>
        <n v="63367"/>
        <n v="63368"/>
        <n v="63369"/>
        <n v="63370"/>
        <n v="63372"/>
        <n v="63373"/>
        <n v="63374"/>
        <n v="63376"/>
        <n v="63380"/>
        <n v="63381"/>
        <n v="63382"/>
        <n v="63384"/>
        <n v="63385"/>
        <n v="63386"/>
        <n v="63387"/>
        <n v="63388"/>
        <n v="63390"/>
        <n v="63391"/>
        <n v="63392"/>
        <n v="63393"/>
        <n v="63394"/>
        <n v="63395"/>
        <n v="63397"/>
        <n v="63398"/>
        <n v="63399"/>
        <n v="63400"/>
        <n v="63401"/>
        <n v="63403"/>
        <n v="63404"/>
        <n v="63405"/>
        <n v="63406"/>
        <n v="63408"/>
        <n v="63409"/>
        <n v="63410"/>
        <n v="63411"/>
        <n v="63412"/>
        <n v="63414"/>
        <n v="63415"/>
        <n v="63417"/>
        <n v="63418"/>
        <n v="65889"/>
        <n v="65901"/>
        <n v="65902"/>
        <n v="65903"/>
        <n v="65904"/>
        <n v="65905"/>
        <n v="65906"/>
        <n v="65907"/>
        <n v="65908"/>
        <n v="65909"/>
        <n v="65910"/>
        <n v="65911"/>
        <n v="65912"/>
        <n v="65914"/>
        <n v="65915"/>
        <n v="65916"/>
        <n v="65917"/>
        <n v="65918"/>
        <n v="65919"/>
        <n v="65920"/>
        <n v="65921"/>
        <n v="65922"/>
        <n v="65923"/>
        <n v="65924"/>
        <n v="65925"/>
        <n v="65926"/>
        <n v="65927"/>
        <n v="65928"/>
        <n v="65929"/>
        <n v="65930"/>
        <n v="65933"/>
        <n v="65935"/>
        <n v="65936"/>
        <n v="65937"/>
        <n v="65938"/>
        <n v="65939"/>
        <n v="65940"/>
        <n v="65941"/>
        <n v="65942"/>
        <n v="65943"/>
        <n v="65947"/>
        <n v="65948"/>
        <n v="65950"/>
        <n v="77687"/>
        <n v="77688"/>
        <n v="77689"/>
        <n v="77690"/>
        <n v="77691"/>
        <n v="77692"/>
        <n v="77693"/>
        <n v="77694"/>
        <n v="77695"/>
        <n v="77696"/>
        <n v="77700"/>
        <n v="83501"/>
        <n v="117501"/>
        <n v="117502"/>
        <n v="117503"/>
        <n v="117504"/>
        <n v="117505"/>
        <n v="117510"/>
        <n v="117512"/>
        <n v="117514"/>
        <n v="117515"/>
        <n v="117516"/>
        <n v="117517"/>
        <n v="117518"/>
        <n v="117519"/>
        <n v="117522"/>
        <n v="117523"/>
        <n v="117524"/>
        <n v="117528"/>
        <n v="117529"/>
        <n v="117530"/>
        <n v="117532"/>
        <n v="117534"/>
        <n v="130751"/>
        <n v="130752"/>
        <n v="130753"/>
        <n v="130754"/>
        <n v="130755"/>
        <n v="130756"/>
        <n v="130757"/>
        <n v="130758"/>
        <n v="130759"/>
        <n v="130760"/>
        <n v="130761"/>
        <n v="130762"/>
        <n v="130763"/>
        <n v="130764"/>
        <n v="130765"/>
        <n v="130766"/>
        <n v="130767"/>
        <n v="130768"/>
        <n v="130770"/>
        <n v="130771"/>
        <n v="130773"/>
        <n v="130774"/>
        <n v="130775"/>
        <n v="130776"/>
        <n v="130777"/>
        <n v="130778"/>
        <n v="130781"/>
        <n v="130782"/>
        <n v="130783"/>
        <n v="130784"/>
        <n v="130786"/>
        <n v="130787"/>
        <n v="130788"/>
        <n v="130790"/>
        <n v="130791"/>
        <n v="130792"/>
        <n v="130793"/>
        <n v="130794"/>
        <n v="130796"/>
        <n v="130797"/>
        <n v="130798"/>
        <n v="130799"/>
        <n v="130800"/>
        <n v="586126"/>
        <n v="586127"/>
        <n v="586128"/>
        <n v="586129"/>
        <n v="586130"/>
        <n v="586131"/>
        <n v="586132"/>
        <n v="586133"/>
        <n v="586134"/>
        <n v="586135"/>
        <n v="586136"/>
        <n v="586137"/>
        <n v="586138"/>
        <n v="586139"/>
        <n v="586140"/>
        <n v="586141"/>
        <n v="586142"/>
        <n v="586144"/>
        <n v="586145"/>
        <n v="586146"/>
        <n v="586147"/>
        <n v="586148"/>
        <n v="586149"/>
        <n v="586150"/>
        <n v="586151"/>
        <n v="586152"/>
        <n v="586153"/>
        <n v="586154"/>
        <n v="586155"/>
        <n v="586156"/>
        <n v="586157"/>
        <n v="586158"/>
        <n v="586159"/>
        <s v="063355 Юнона отвес 11"/>
        <s v="063356 Юнона  отвес 10"/>
        <s v="063375Юнона отвес 24"/>
        <s v="063375Юнонаотвес17"/>
        <s v="063383 Юнона  0твес 25"/>
        <s v="063389 Юнона отвес 26"/>
        <s v="063407Утилизация"/>
        <s v="065946Продажа Пищевик"/>
        <s v="102Продажа Бондюэль"/>
        <s v="103пРОДАЖА БОНДЮЭЛЬ"/>
        <s v="109Продажа бондюэль"/>
        <s v="117522 Утилизация"/>
        <s v="122Продажа Ктоян"/>
        <s v="130769Продажа ЮнонаОтвес№17"/>
        <s v="130779Продажа ЮнонаОтвес №6"/>
        <s v="130780Продажа ЮнонаОтвес№7"/>
        <s v="130785Продажа ЮнонаОтвес9"/>
        <s v="130789Продажа ЮнонаОтвес№11"/>
        <s v="130795Продажа ЮнонаОтвес№15"/>
        <s v="134Утилизация"/>
        <s v="135Утилизация"/>
        <s v="136 Утилизация"/>
        <s v="137ИП Макарцов Продажа"/>
        <s v="139Продажа Альянс1"/>
        <s v="142Отвес491Славянский Продажа"/>
        <s v="143Альянс отвес2"/>
        <s v="144отвес492Продажа Славянский"/>
        <s v="145Славянский Продажа494"/>
        <s v="146Славянский Продажа 495"/>
        <s v="147Альянс отвес3"/>
        <s v="148Альянс4 отвес"/>
        <s v="149Альянс Продажа 5"/>
        <s v="150АльянсПродажа6"/>
        <s v="151Бондюэль Продажа"/>
        <s v="152Бондюэль Продажа"/>
        <s v="153Бондюэль Продажа"/>
        <s v="154БондюэльПродажа"/>
        <s v="155Бондюэль продажа"/>
        <s v="1Бондюэль"/>
        <s v="20 Юнона продажаОтвес№1"/>
        <s v="215Утилизация"/>
        <s v="21Юнона продажаОтвес№2"/>
        <s v="22Юнона продажаОтвес№3"/>
        <s v="25Юнона продажаОтвес №1ГИА"/>
        <s v="26отходы Лыков ИП"/>
        <s v="27Юнона ПродажаОтвес№5"/>
        <s v="28Юнона ПродажаОтвес№4"/>
        <s v="29ПродажаЮж.Продукт№2"/>
        <s v="2Бондюэль"/>
        <s v="33Продажа Юж.продукт№3"/>
        <s v="35Продажа Бабенышев"/>
        <s v="35Продажа ЮнонаОтвес№4\ГИА"/>
        <s v="36Продажа ЮнонаОтвес№8"/>
        <s v="38ПродажаЮнонаОтвес№10"/>
        <s v="39отходы"/>
        <s v="3Агрохолод"/>
        <s v="43ПродажаЮнонаОтвес5/ГИА"/>
        <s v="44ПродажаЮнонаОтвес14"/>
        <s v="46ПродажаЮнонаОтвес12"/>
        <s v="48ПРодажаЮнонаОтвес13"/>
        <s v="49Продажа ЮнонаОтвес№6\гиа"/>
        <s v="49Славянский КК"/>
        <s v="50Юнона ПродажаОтвес№16"/>
        <s v="54Продажа ЮнонаОтвес№20"/>
        <s v="55ЮнонаПродажаОТвес№18"/>
        <s v="56ЮнонаПродажаОтвес№19"/>
        <s v="57Продажа ЮнонаОтвес№9/ГИА"/>
        <s v="63Продажа ЮнонаОтвес№10/ГИА"/>
        <s v="65931 Пищевик продажа"/>
        <s v="65Продажа Паян отходы"/>
        <s v="70 Юнона"/>
        <s v="73 Юнона"/>
        <s v="87Утилизация"/>
        <s v="90Утилизация"/>
        <s v="91Утилизация"/>
        <s v="92 Утилтзация"/>
        <s v="92Продажа Частных отходы"/>
        <s v="93ПродажаГрандСтар244"/>
        <s v="93ПродажаГрандСтар250"/>
        <s v="94ПродажаГрандСтар246"/>
        <s v="95Продажа Бондюэль"/>
        <s v="96Продажа Бонд.юэль"/>
        <s v="97Продажа Бондюэль"/>
        <s v="98Продажа Бондюэль"/>
        <s v="б/н"/>
        <s v="б/нУтилизация"/>
        <s v="н/б"/>
        <s v="Продажа Гранд СтарОтвес251"/>
        <s v="ПродажаГрандСтар249"/>
        <s v="ПродажаГрандСтар252"/>
        <s v="ПродажаГрандСтар263"/>
        <s v="ПродажаГрандСтарОтвес260"/>
        <s v="ПродажаГрандСтарОтвес266"/>
        <s v="ПродажаГрандСтарОтвес317"/>
        <s v="ПродажаГрандСтаротвес№269"/>
        <s v="ПродажаГрандСтарОтвес№318"/>
        <s v="ПродажаГрандСтарОтвес№320"/>
        <m/>
      </sharedItems>
    </cacheField>
    <cacheField name="Контрагент" numFmtId="0">
      <sharedItems count="12">
        <s v="Агролидер ООО"/>
        <s v="Братковский МОК АО"/>
        <s v="ГРИН РЭЙ КУБАНЬ ООО"/>
        <s v="Грин Рэй Кубань ООО (Овощеводство)"/>
        <s v="Грин Рэй Кубань(Хоздвор) ООО"/>
        <s v="Колос г.Гулькевичи ООО"/>
        <s v="Колос ООО"/>
        <s v="Кубань УОХ"/>
        <s v="Кубаньагро-Фаста ООО"/>
        <s v="КФХ Наконечное"/>
        <s v="ООО Колос"/>
        <s v="УОХ Кубань"/>
      </sharedItems>
    </cacheField>
    <cacheField name="Водитель" numFmtId="0">
      <sharedItems count="107">
        <s v="Аладин Василий Сергеевич"/>
        <s v="Баталов З.А."/>
        <s v="Башкатов И,И."/>
        <s v="Башкатов И.И"/>
        <s v="Башкатов И.И."/>
        <s v="Баяк А.А."/>
        <s v="Бербеницкий Сергей Николаевич"/>
        <s v="Блажко Алексей Николаевич"/>
        <s v="Богданов О.В."/>
        <s v="Богучарский А. И."/>
        <s v="Богучарский А.И."/>
        <s v="Вафин В"/>
        <s v="Власенко Вячеслав Михайлович"/>
        <s v="Годлевский Олег Владимирович"/>
        <s v="Гребенников Е.Н."/>
        <s v="Гребенников ЕН"/>
        <s v="Грищенко Александр Александрович"/>
        <s v="Гужва А М."/>
        <s v="Гуйда Николай Николаевич"/>
        <s v="Демус С.В."/>
        <s v="Демченко Сергей Владимирович"/>
        <s v="Деревянко  А. Н."/>
        <s v="Деревянко Н.Н."/>
        <s v="Дзюба Николай Сергеевич"/>
        <s v="Дик Илья Александрович"/>
        <s v="Дмитриев Николай Александрович"/>
        <s v="Долгих Николай Петрович"/>
        <s v="Егоян Артем Владимирович"/>
        <s v="Емец Р.А."/>
        <s v="Жданов А И"/>
        <s v="Жданов Андрей Иванович"/>
        <s v="Желтков Е.М."/>
        <s v="Желтков Евгений Михайлович"/>
        <s v="Звага Е.Е."/>
        <s v="Звада Е.Е."/>
        <s v="Звада Евгений Евгеньевич"/>
        <s v="Звада Евгений Егеньевич"/>
        <s v="Зверев О.В."/>
        <s v="Иванчук А.В."/>
        <s v="Игольницын Сергей Владимирович"/>
        <s v="Извеков Владимир Владимирович"/>
        <s v="Кадола В.Л."/>
        <s v="Кириченко В.Н."/>
        <s v="Кодола В Л."/>
        <s v="Кодола В.А."/>
        <s v="Кодола В.Л."/>
        <s v="КодолаВ.А."/>
        <s v="Круц М.М."/>
        <s v="Кудря Евгений"/>
        <s v="Кулик О В"/>
        <s v="Лазаренко В.В"/>
        <s v="Лазаренко Вятчеслав Владимирович"/>
        <s v="Лунев В.В."/>
        <s v="Магадиев Александр Сайлаувич"/>
        <s v="Макаренко Алексей Юрьевич"/>
        <s v="Макуха А.Н,"/>
        <s v="Микуц Н.М."/>
        <s v="Митьков В.А."/>
        <s v="Мормуль А.Е."/>
        <s v="Мосенцев Алексей Егорович"/>
        <s v="Мосинцев Александр Егорович"/>
        <s v="Мудрак В В."/>
        <s v="Мудрак Вадим Васильевич"/>
        <s v="Мудрак Игорь Вадимович"/>
        <s v="Мышастый С.Н."/>
        <s v="Никитась С.А."/>
        <s v="Никитась Сергей Анатольевич"/>
        <s v="Огнев Максим Викторович"/>
        <s v="Орешин В.Н."/>
        <s v="Осипов А"/>
        <s v="Осипов А."/>
        <s v="Осипов Александр Николаевич"/>
        <s v="Пивень С.Н."/>
        <s v="Пищев Александр Васильевич "/>
        <s v="Погуляй А.Б."/>
        <s v="Погуляй А.Б.       "/>
        <s v="Поляков Г,Г."/>
        <s v="Порубаев Н.А."/>
        <s v="Пркопец А.Р."/>
        <s v="Пркопец К.В."/>
        <s v="Птащенко Дмитрий Анатольевич"/>
        <s v="Пугачев С.В."/>
        <s v="Пугачев Сергей Викторович"/>
        <s v="Пушкин А.С."/>
        <s v="Радин А.М."/>
        <s v="Ревенко Андрей Вячеславович"/>
        <s v="Роговской Роман Алексеевич"/>
        <s v="Рудик Александр Иванович"/>
        <s v="Сайко Василий Викторович"/>
        <s v="Сайко Владимир Николаевич"/>
        <s v="Сахно А.А."/>
        <s v="Сероштан Станислав Викторович"/>
        <s v="Сидоренко Евгений Сергеевич"/>
        <s v="Соломатин А.М."/>
        <s v="Сурнин А.В"/>
        <s v="Суханов В.Н."/>
        <s v="Тарасов А.Л."/>
        <s v="Тарасов Т.Л."/>
        <s v="Титаренко Максим Сергеевич"/>
        <s v="Туровский А,С."/>
        <s v="Фомин Н.Г"/>
        <s v="Фомин Николай Григорьевич"/>
        <s v="Черевко А В"/>
        <s v="Черевко Александр Владимирович"/>
        <s v="Чернецов Александр Михайлович"/>
        <s v="Чигрин Н.А."/>
        <s v="Чигрин Николай Александрович"/>
      </sharedItems>
    </cacheField>
    <cacheField name="Автомобиль" numFmtId="0">
      <sharedItems containsBlank="1" containsMixedTypes="1" containsNumber="1" containsInteger="1" minValue="317" maxValue="63375" count="90">
        <n v="317"/>
        <n v="400"/>
        <n v="586"/>
        <n v="587"/>
        <n v="688"/>
        <n v="63375"/>
        <s v="а077ае"/>
        <s v="а077ре"/>
        <s v="А114МК"/>
        <s v="А309АТ"/>
        <s v="А569РР"/>
        <s v="А613МА"/>
        <s v="А688АМ"/>
        <s v="А701СН"/>
        <s v="А718ВХ"/>
        <s v="А719ОО"/>
        <s v="А731ВА"/>
        <s v="А781рр"/>
        <s v="А816ЕВ"/>
        <s v="А816ЕС"/>
        <s v="А819ЕВ"/>
        <s v="А957РР"/>
        <s v="в077ху"/>
        <s v="В397ОТ"/>
        <s v="В415Та"/>
        <s v="В415ТТ"/>
        <s v="В465ММ"/>
        <s v="В550КК"/>
        <s v="В639КО"/>
        <s v="В725ЕА"/>
        <s v="В780ТТ"/>
        <s v="е077ар"/>
        <s v="Е077ОР"/>
        <s v="Е404УС"/>
        <s v="Е539Кт"/>
        <s v="Е606ЕК"/>
        <s v="Е732УС"/>
        <s v="Е758РЕ"/>
        <s v="Е838ВР"/>
        <s v="к077ех"/>
        <s v="К124УМ"/>
        <s v="К403ЕМ"/>
        <s v="К416ТН"/>
        <s v="К475 ВМ"/>
        <s v="К570ЕО"/>
        <s v="К819ЕВ"/>
        <s v="кХ514ОК"/>
        <s v="М202СХ"/>
        <s v="М556ХВ"/>
        <s v="М676КО"/>
        <s v="М697ХВ"/>
        <s v="Н317РТ"/>
        <s v="Н370ВР"/>
        <s v="Н378ХЕ"/>
        <s v="О398ХО"/>
        <s v="о640мк"/>
        <s v="О793КА"/>
        <s v="О824ТХ"/>
        <s v="Р258УХ"/>
        <s v="Р277НН"/>
        <s v="р303 тм"/>
        <s v="Р383РЕ"/>
        <s v="Р699ОН"/>
        <s v="Р755НН"/>
        <s v="Р866РМ"/>
        <s v="С198УЕ"/>
        <s v="С400РР"/>
        <s v="С707ОУ"/>
        <s v="с716са"/>
        <s v="Т110ТМ"/>
        <s v="Т239УС"/>
        <s v="Т285ВЕ"/>
        <s v="Т425ТХ"/>
        <s v="Т522ОН"/>
        <s v="Т565НР"/>
        <s v="Т680ОУ"/>
        <s v="Т919РВ"/>
        <s v="Т945РВ"/>
        <s v="У184НО"/>
        <s v="У315НА"/>
        <s v="У315НХ"/>
        <s v="У383РЕ"/>
        <s v="У726ЕР"/>
        <s v="УСЕ732УС"/>
        <s v="х474 ке"/>
        <s v="Х514 ОК"/>
        <s v="Х514ОК"/>
        <s v="Х816ЕВ"/>
        <s v="щ577мк"/>
        <m/>
      </sharedItems>
    </cacheField>
    <cacheField name="Номер поля" numFmtId="0">
      <sharedItems containsBlank="1" containsMixedTypes="1" containsNumber="1" containsInteger="1" minValue="7" maxValue="106" count="77">
        <n v="7"/>
        <n v="14"/>
        <n v="15"/>
        <n v="16"/>
        <n v="40"/>
        <n v="43"/>
        <n v="44"/>
        <n v="45"/>
        <n v="46"/>
        <n v="106"/>
        <s v="1.3"/>
        <s v="1.4"/>
        <s v="1.8.1"/>
        <s v="1/1.1"/>
        <s v="1/3"/>
        <s v="1/4"/>
        <s v="1/6"/>
        <s v="1/7"/>
        <s v="1/7,1"/>
        <s v="1/8.1"/>
        <s v="10.5"/>
        <s v="2.1"/>
        <s v="2.3"/>
        <s v="2/2"/>
        <s v="2/3.5"/>
        <s v="2/4"/>
        <s v="3.1"/>
        <s v="3.3"/>
        <s v="3.4"/>
        <s v="3.5"/>
        <s v="3/2"/>
        <s v="3/6"/>
        <s v="4.1"/>
        <s v="4.2"/>
        <s v="4.3"/>
        <s v="4.4"/>
        <s v="4/1"/>
        <s v="4/2"/>
        <s v="4/3"/>
        <s v="4/4"/>
        <s v="9/2"/>
        <s v="А 54"/>
        <s v="А- 54"/>
        <s v="А-100"/>
        <s v="А-106"/>
        <s v="А-108"/>
        <s v="А-109"/>
        <s v="А-111"/>
        <s v="А-17"/>
        <s v="А-20"/>
        <s v="А-21"/>
        <s v="А-22"/>
        <s v="А-22/1"/>
        <s v="А-23"/>
        <s v="А-25"/>
        <s v="А-26"/>
        <s v="А-28"/>
        <s v="А-3"/>
        <s v="А-33"/>
        <s v="А-4"/>
        <s v="А-4/1"/>
        <s v="А-40"/>
        <s v="А-43"/>
        <s v="А-44"/>
        <s v="А-45"/>
        <s v="А-46"/>
        <s v="А-48"/>
        <s v="А-55"/>
        <s v="А-56"/>
        <s v="А-57"/>
        <s v="А-66"/>
        <s v="А-67"/>
        <s v="А-78"/>
        <s v="А-87"/>
        <s v="А-99"/>
        <s v="А51"/>
        <m/>
      </sharedItems>
    </cacheField>
    <cacheField name="Поле" numFmtId="0">
      <sharedItems containsBlank="1" containsMixedTypes="1" containsNumber="1" containsInteger="1" minValue="7" maxValue="46" count="56">
        <n v="7"/>
        <n v="14"/>
        <n v="15"/>
        <n v="16"/>
        <n v="40"/>
        <n v="43"/>
        <n v="44"/>
        <n v="45"/>
        <n v="46"/>
        <s v="1.8.1"/>
        <s v="1/3"/>
        <s v="1/4"/>
        <s v="1/6"/>
        <s v="1/7"/>
        <s v="1/8.1"/>
        <s v="2.3"/>
        <s v="2/2"/>
        <s v="2/4"/>
        <s v="3/2"/>
        <s v="3/6"/>
        <s v="4.1"/>
        <s v="4.2"/>
        <s v="4.4"/>
        <s v="4/1"/>
        <s v="4/2"/>
        <s v="4/3"/>
        <s v="4/4"/>
        <s v="А 54"/>
        <s v="А- 54"/>
        <s v="А-100"/>
        <s v="А-106"/>
        <s v="А-108"/>
        <s v="А-109"/>
        <s v="А-111"/>
        <s v="А-22/1"/>
        <s v="А-23"/>
        <s v="А-25"/>
        <s v="А-26"/>
        <s v="А-3"/>
        <s v="А-4/1"/>
        <s v="А-40"/>
        <s v="А-43"/>
        <s v="А-44"/>
        <s v="А-45"/>
        <s v="А-46"/>
        <s v="А-55"/>
        <s v="А-56"/>
        <s v="А-57"/>
        <s v="А-66"/>
        <s v="А-67"/>
        <s v="А-78"/>
        <s v="А-87"/>
        <s v="А-99"/>
        <s v="А51"/>
        <s v="нет"/>
        <m/>
      </sharedItems>
    </cacheField>
    <cacheField name="Сорт" numFmtId="0">
      <sharedItems containsBlank="1" count="33">
        <s v="Авола"/>
        <s v="Амалфи"/>
        <s v="Асана"/>
        <s v="Беркут"/>
        <s v="Бинго"/>
        <s v="Бутана"/>
        <s v="Бутано"/>
        <s v="Веста"/>
        <s v="Вивадо"/>
        <s v="Вольф"/>
        <s v="Грюнди"/>
        <s v="Джоф"/>
        <s v="Донана"/>
        <s v="Женева"/>
        <s v="Изюминка"/>
        <s v="Исток"/>
        <s v="Маяк"/>
        <s v="Оскар"/>
        <s v="Парус"/>
        <s v="Патриот"/>
        <s v="Преладо"/>
        <s v="Прима"/>
        <s v="Радован"/>
        <s v="Сомервуд"/>
        <s v="Стандана"/>
        <s v="Твинсет"/>
        <s v="Тиара"/>
        <s v="Тристар"/>
        <s v="Увертюра"/>
        <s v="Фаворит"/>
        <s v="Фалкон"/>
        <s v="Эльдорадо"/>
        <m/>
      </sharedItems>
    </cacheField>
    <cacheField name="Исх. номенклатура" numFmtId="0">
      <sharedItems count="2">
        <s v="Горох овощной свежий 10.01"/>
        <s v="Горошек овощной 2026 (богара)"/>
      </sharedItems>
    </cacheField>
    <cacheField name="Вес брутто" numFmtId="0">
      <sharedItems containsString="0" containsBlank="1" containsNumber="1" containsInteger="1" minValue="6240" maxValue="39930" count="793">
        <n v="6240"/>
        <n v="6500"/>
        <n v="6630"/>
        <n v="6920"/>
        <n v="6950"/>
        <n v="7930"/>
        <n v="8350"/>
        <n v="8620"/>
        <n v="8770"/>
        <n v="8780"/>
        <n v="8800"/>
        <n v="8810"/>
        <n v="8820"/>
        <n v="8840"/>
        <n v="8900"/>
        <n v="8910"/>
        <n v="8930"/>
        <n v="9040"/>
        <n v="9050"/>
        <n v="9060"/>
        <n v="9090"/>
        <n v="9100"/>
        <n v="9150"/>
        <n v="9160"/>
        <n v="9170"/>
        <n v="9180"/>
        <n v="9200"/>
        <n v="9220"/>
        <n v="9240"/>
        <n v="9260"/>
        <n v="9270"/>
        <n v="9280"/>
        <n v="9310"/>
        <n v="9360"/>
        <n v="9380"/>
        <n v="9430"/>
        <n v="9640"/>
        <n v="11320"/>
        <n v="11950"/>
        <n v="13910"/>
        <n v="13930"/>
        <n v="13940"/>
        <n v="14010"/>
        <n v="14040"/>
        <n v="14110"/>
        <n v="14120"/>
        <n v="14130"/>
        <n v="14140"/>
        <n v="14210"/>
        <n v="14320"/>
        <n v="14370"/>
        <n v="14400"/>
        <n v="14410"/>
        <n v="14470"/>
        <n v="14600"/>
        <n v="14640"/>
        <n v="14670"/>
        <n v="15880"/>
        <n v="16050"/>
        <n v="16200"/>
        <n v="16220"/>
        <n v="16260"/>
        <n v="16280"/>
        <n v="16290"/>
        <n v="16300"/>
        <n v="16370"/>
        <n v="16410"/>
        <n v="16430"/>
        <n v="16460"/>
        <n v="16470"/>
        <n v="16490"/>
        <n v="16590"/>
        <n v="16630"/>
        <n v="16660"/>
        <n v="16710"/>
        <n v="16720"/>
        <n v="17180"/>
        <n v="17530"/>
        <n v="17590"/>
        <n v="17970"/>
        <n v="18150"/>
        <n v="18390"/>
        <n v="18400"/>
        <n v="18590"/>
        <n v="18630"/>
        <n v="18660"/>
        <n v="18680"/>
        <n v="18690"/>
        <n v="18710"/>
        <n v="18770"/>
        <n v="18880"/>
        <n v="19350"/>
        <n v="19500"/>
        <n v="19550"/>
        <n v="20040"/>
        <n v="20200"/>
        <n v="20470"/>
        <n v="20660"/>
        <n v="20760"/>
        <n v="20780"/>
        <n v="20880"/>
        <n v="21010"/>
        <n v="21160"/>
        <n v="21170"/>
        <n v="21250"/>
        <n v="21370"/>
        <n v="21390"/>
        <n v="21400"/>
        <n v="21420"/>
        <n v="21590"/>
        <n v="21600"/>
        <n v="21620"/>
        <n v="21660"/>
        <n v="21690"/>
        <n v="21780"/>
        <n v="21910"/>
        <n v="22010"/>
        <n v="22020"/>
        <n v="22110"/>
        <n v="22170"/>
        <n v="22220"/>
        <n v="22270"/>
        <n v="22320"/>
        <n v="22350"/>
        <n v="22430"/>
        <n v="22460"/>
        <n v="22520"/>
        <n v="22535"/>
        <n v="22640"/>
        <n v="22650"/>
        <n v="22670"/>
        <n v="22700"/>
        <n v="22830"/>
        <n v="22880"/>
        <n v="22900"/>
        <n v="22920"/>
        <n v="22960"/>
        <n v="23060"/>
        <n v="23070"/>
        <n v="23120"/>
        <n v="23150"/>
        <n v="23180"/>
        <n v="23210"/>
        <n v="23240"/>
        <n v="23260"/>
        <n v="23280"/>
        <n v="23290"/>
        <n v="23300"/>
        <n v="23310"/>
        <n v="23370"/>
        <n v="23430"/>
        <n v="23440"/>
        <n v="23450"/>
        <n v="23520"/>
        <n v="23580"/>
        <n v="23600"/>
        <n v="23610"/>
        <n v="23620"/>
        <n v="23630"/>
        <n v="23650"/>
        <n v="23660"/>
        <n v="23670"/>
        <n v="23690"/>
        <n v="23820"/>
        <n v="23850"/>
        <n v="23900"/>
        <n v="23950"/>
        <n v="23990"/>
        <n v="24030"/>
        <n v="24060"/>
        <n v="24110"/>
        <n v="24210"/>
        <n v="24400"/>
        <n v="24430"/>
        <n v="24440"/>
        <n v="24450"/>
        <n v="24560"/>
        <n v="24580"/>
        <n v="24620"/>
        <n v="24630"/>
        <n v="24810"/>
        <n v="24970"/>
        <n v="25050"/>
        <n v="25090"/>
        <n v="25260"/>
        <n v="25280"/>
        <n v="25390"/>
        <n v="25450"/>
        <n v="25480"/>
        <n v="25500"/>
        <n v="25580"/>
        <n v="25590"/>
        <n v="25600"/>
        <n v="25610"/>
        <n v="25650"/>
        <n v="25680"/>
        <n v="25720"/>
        <n v="25730"/>
        <n v="25890"/>
        <n v="25900"/>
        <n v="26050"/>
        <n v="26090"/>
        <n v="26190"/>
        <n v="26200"/>
        <n v="26280"/>
        <n v="26310"/>
        <n v="26390"/>
        <n v="26490"/>
        <n v="26510"/>
        <n v="26540"/>
        <n v="26590"/>
        <n v="26620"/>
        <n v="26650"/>
        <n v="26720"/>
        <n v="26810"/>
        <n v="26830"/>
        <n v="26860"/>
        <n v="26910"/>
        <n v="26920"/>
        <n v="26940"/>
        <n v="26950"/>
        <n v="26960"/>
        <n v="26980"/>
        <n v="27000"/>
        <n v="27010"/>
        <n v="27020"/>
        <n v="27070"/>
        <n v="27090"/>
        <n v="27130"/>
        <n v="27150"/>
        <n v="27160"/>
        <n v="27170"/>
        <n v="27190"/>
        <n v="27200"/>
        <n v="27220"/>
        <n v="27250"/>
        <n v="27260"/>
        <n v="27270"/>
        <n v="27280"/>
        <n v="27290"/>
        <n v="27300"/>
        <n v="27310"/>
        <n v="27340"/>
        <n v="27350"/>
        <n v="27360"/>
        <n v="27380"/>
        <n v="27390"/>
        <n v="27400"/>
        <n v="27410"/>
        <n v="27420"/>
        <n v="27430"/>
        <n v="27440"/>
        <n v="27450"/>
        <n v="27460"/>
        <n v="27470"/>
        <n v="27480"/>
        <n v="27490"/>
        <n v="27500"/>
        <n v="27510"/>
        <n v="27520"/>
        <n v="27530"/>
        <n v="27540"/>
        <n v="27550"/>
        <n v="27560"/>
        <n v="27570"/>
        <n v="27580"/>
        <n v="27590"/>
        <n v="27600"/>
        <n v="27610"/>
        <n v="27620"/>
        <n v="27630"/>
        <n v="27640"/>
        <n v="27650"/>
        <n v="27660"/>
        <n v="27670"/>
        <n v="27680"/>
        <n v="27690"/>
        <n v="27700"/>
        <n v="27710"/>
        <n v="27720"/>
        <n v="27730"/>
        <n v="27740"/>
        <n v="27750"/>
        <n v="27760"/>
        <n v="27770"/>
        <n v="27780"/>
        <n v="27790"/>
        <n v="27800"/>
        <n v="27810"/>
        <n v="27820"/>
        <n v="27830"/>
        <n v="27840"/>
        <n v="27850"/>
        <n v="27860"/>
        <n v="27870"/>
        <n v="27880"/>
        <n v="27890"/>
        <n v="27900"/>
        <n v="27910"/>
        <n v="27920"/>
        <n v="27930"/>
        <n v="27940"/>
        <n v="27950"/>
        <n v="27960"/>
        <n v="27970"/>
        <n v="27980"/>
        <n v="27990"/>
        <n v="28000"/>
        <n v="28010"/>
        <n v="28020"/>
        <n v="28030"/>
        <n v="28040"/>
        <n v="28050"/>
        <n v="28060"/>
        <n v="28070"/>
        <n v="28080"/>
        <n v="28090"/>
        <n v="28100"/>
        <n v="28110"/>
        <n v="28120"/>
        <n v="28130"/>
        <n v="28140"/>
        <n v="28150"/>
        <n v="28160"/>
        <n v="28170"/>
        <n v="28180"/>
        <n v="28190"/>
        <n v="28200"/>
        <n v="28210"/>
        <n v="28220"/>
        <n v="28230"/>
        <n v="28240"/>
        <n v="28250"/>
        <n v="28260"/>
        <n v="28270"/>
        <n v="28280"/>
        <n v="28290"/>
        <n v="28300"/>
        <n v="28310"/>
        <n v="28320"/>
        <n v="28330"/>
        <n v="28340"/>
        <n v="28350"/>
        <n v="28360"/>
        <n v="28370"/>
        <n v="28380"/>
        <n v="28390"/>
        <n v="28400"/>
        <n v="28410"/>
        <n v="28420"/>
        <n v="28430"/>
        <n v="28440"/>
        <n v="28450"/>
        <n v="28460"/>
        <n v="28470"/>
        <n v="28480"/>
        <n v="28490"/>
        <n v="28500"/>
        <n v="28510"/>
        <n v="28520"/>
        <n v="28530"/>
        <n v="28540"/>
        <n v="28550"/>
        <n v="28560"/>
        <n v="28570"/>
        <n v="28580"/>
        <n v="28590"/>
        <n v="28600"/>
        <n v="28610"/>
        <n v="28620"/>
        <n v="28630"/>
        <n v="28640"/>
        <n v="28650"/>
        <n v="28660"/>
        <n v="28670"/>
        <n v="28680"/>
        <n v="28690"/>
        <n v="28700"/>
        <n v="28710"/>
        <n v="28720"/>
        <n v="28730"/>
        <n v="28740"/>
        <n v="28750"/>
        <n v="28760"/>
        <n v="28770"/>
        <n v="28780"/>
        <n v="28790"/>
        <n v="28800"/>
        <n v="28810"/>
        <n v="28820"/>
        <n v="28830"/>
        <n v="28840"/>
        <n v="28850"/>
        <n v="28860"/>
        <n v="28870"/>
        <n v="28880"/>
        <n v="28890"/>
        <n v="28900"/>
        <n v="28910"/>
        <n v="28920"/>
        <n v="28930"/>
        <n v="28940"/>
        <n v="28950"/>
        <n v="28960"/>
        <n v="28970"/>
        <n v="28980"/>
        <n v="28990"/>
        <n v="29000"/>
        <n v="29010"/>
        <n v="29020"/>
        <n v="29030"/>
        <n v="29040"/>
        <n v="29050"/>
        <n v="29060"/>
        <n v="29070"/>
        <n v="29080"/>
        <n v="29090"/>
        <n v="29100"/>
        <n v="29110"/>
        <n v="29120"/>
        <n v="29130"/>
        <n v="29140"/>
        <n v="29150"/>
        <n v="29160"/>
        <n v="29170"/>
        <n v="29180"/>
        <n v="29190"/>
        <n v="29200"/>
        <n v="29210"/>
        <n v="29220"/>
        <n v="29230"/>
        <n v="29240"/>
        <n v="29250"/>
        <n v="29260"/>
        <n v="29270"/>
        <n v="29280"/>
        <n v="29290"/>
        <n v="29300"/>
        <n v="29310"/>
        <n v="29330"/>
        <n v="29340"/>
        <n v="29350"/>
        <n v="29360"/>
        <n v="29370"/>
        <n v="29380"/>
        <n v="29390"/>
        <n v="29410"/>
        <n v="29420"/>
        <n v="29430"/>
        <n v="29440"/>
        <n v="29450"/>
        <n v="29460"/>
        <n v="29470"/>
        <n v="29480"/>
        <n v="29490"/>
        <n v="29520"/>
        <n v="29540"/>
        <n v="29560"/>
        <n v="29590"/>
        <n v="29610"/>
        <n v="29630"/>
        <n v="29640"/>
        <n v="29650"/>
        <n v="29680"/>
        <n v="29700"/>
        <n v="29710"/>
        <n v="29720"/>
        <n v="29740"/>
        <n v="29750"/>
        <n v="29760"/>
        <n v="29770"/>
        <n v="29800"/>
        <n v="29820"/>
        <n v="29830"/>
        <n v="29840"/>
        <n v="29860"/>
        <n v="29890"/>
        <n v="29900"/>
        <n v="29910"/>
        <n v="29930"/>
        <n v="29950"/>
        <n v="29960"/>
        <n v="29980"/>
        <n v="30000"/>
        <n v="30030"/>
        <n v="30050"/>
        <n v="30060"/>
        <n v="30070"/>
        <n v="30080"/>
        <n v="30090"/>
        <n v="30100"/>
        <n v="30120"/>
        <n v="30170"/>
        <n v="30190"/>
        <n v="30200"/>
        <n v="30210"/>
        <n v="30230"/>
        <n v="30240"/>
        <n v="30250"/>
        <n v="30270"/>
        <n v="30280"/>
        <n v="30300"/>
        <n v="30340"/>
        <n v="30350"/>
        <n v="30360"/>
        <n v="30380"/>
        <n v="30420"/>
        <n v="30450"/>
        <n v="30460"/>
        <n v="30480"/>
        <n v="30500"/>
        <n v="30510"/>
        <n v="30540"/>
        <n v="30570"/>
        <n v="30610"/>
        <n v="30660"/>
        <n v="30680"/>
        <n v="30690"/>
        <n v="30700"/>
        <n v="30740"/>
        <n v="30760"/>
        <n v="30770"/>
        <n v="30790"/>
        <n v="30800"/>
        <n v="30820"/>
        <n v="30880"/>
        <n v="30890"/>
        <n v="30900"/>
        <n v="30910"/>
        <n v="30920"/>
        <n v="30930"/>
        <n v="30940"/>
        <n v="30950"/>
        <n v="30960"/>
        <n v="30970"/>
        <n v="30980"/>
        <n v="31040"/>
        <n v="31050"/>
        <n v="31060"/>
        <n v="31080"/>
        <n v="31090"/>
        <n v="31100"/>
        <n v="31130"/>
        <n v="31140"/>
        <n v="31200"/>
        <n v="31210"/>
        <n v="31220"/>
        <n v="31230"/>
        <n v="31250"/>
        <n v="31320"/>
        <n v="31330"/>
        <n v="31380"/>
        <n v="31390"/>
        <n v="31440"/>
        <n v="31480"/>
        <n v="31580"/>
        <n v="31600"/>
        <n v="31620"/>
        <n v="31630"/>
        <n v="31650"/>
        <n v="31680"/>
        <n v="31710"/>
        <n v="31760"/>
        <n v="31800"/>
        <n v="31840"/>
        <n v="31870"/>
        <n v="31880"/>
        <n v="31910"/>
        <n v="31920"/>
        <n v="31930"/>
        <n v="31950"/>
        <n v="31970"/>
        <n v="31980"/>
        <n v="32020"/>
        <n v="32040"/>
        <n v="32070"/>
        <n v="32080"/>
        <n v="32100"/>
        <n v="32110"/>
        <n v="32130"/>
        <n v="32140"/>
        <n v="32180"/>
        <n v="32190"/>
        <n v="32260"/>
        <n v="32280"/>
        <n v="32300"/>
        <n v="32310"/>
        <n v="32320"/>
        <n v="32340"/>
        <n v="32360"/>
        <n v="32380"/>
        <n v="32400"/>
        <n v="32420"/>
        <n v="32430"/>
        <n v="32440"/>
        <n v="32450"/>
        <n v="32460"/>
        <n v="32480"/>
        <n v="32500"/>
        <n v="32510"/>
        <n v="32540"/>
        <n v="32550"/>
        <n v="32560"/>
        <n v="32580"/>
        <n v="32590"/>
        <n v="32600"/>
        <n v="32610"/>
        <n v="32620"/>
        <n v="32630"/>
        <n v="32650"/>
        <n v="32660"/>
        <n v="32670"/>
        <n v="32700"/>
        <n v="32730"/>
        <n v="32750"/>
        <n v="32760"/>
        <n v="32790"/>
        <n v="32800"/>
        <n v="32820"/>
        <n v="32840"/>
        <n v="32870"/>
        <n v="32880"/>
        <n v="32890"/>
        <n v="32900"/>
        <n v="32910"/>
        <n v="32960"/>
        <n v="32970"/>
        <n v="32980"/>
        <n v="33000"/>
        <n v="33020"/>
        <n v="33040"/>
        <n v="33080"/>
        <n v="33120"/>
        <n v="33140"/>
        <n v="33150"/>
        <n v="33160"/>
        <n v="33200"/>
        <n v="33240"/>
        <n v="33250"/>
        <n v="33310"/>
        <n v="33320"/>
        <n v="33350"/>
        <n v="33360"/>
        <n v="33380"/>
        <n v="33400"/>
        <n v="33410"/>
        <n v="33440"/>
        <n v="33460"/>
        <n v="33480"/>
        <n v="33490"/>
        <n v="33500"/>
        <n v="33510"/>
        <n v="33520"/>
        <n v="33540"/>
        <n v="33590"/>
        <n v="33600"/>
        <n v="33620"/>
        <n v="33660"/>
        <n v="33680"/>
        <n v="33700"/>
        <n v="33710"/>
        <n v="33730"/>
        <n v="33740"/>
        <n v="33750"/>
        <n v="33770"/>
        <n v="33810"/>
        <n v="33860"/>
        <n v="33900"/>
        <n v="33970"/>
        <n v="33990"/>
        <n v="34070"/>
        <n v="34090"/>
        <n v="34130"/>
        <n v="34160"/>
        <n v="34180"/>
        <n v="34210"/>
        <n v="34230"/>
        <n v="34260"/>
        <n v="34270"/>
        <n v="34290"/>
        <n v="34320"/>
        <n v="34370"/>
        <n v="34390"/>
        <n v="34410"/>
        <n v="34460"/>
        <n v="34480"/>
        <n v="34490"/>
        <n v="34510"/>
        <n v="34520"/>
        <n v="34540"/>
        <n v="34840"/>
        <n v="34890"/>
        <n v="34940"/>
        <n v="34970"/>
        <n v="35010"/>
        <n v="35030"/>
        <n v="35110"/>
        <n v="35120"/>
        <n v="35150"/>
        <n v="35160"/>
        <n v="35190"/>
        <n v="35220"/>
        <n v="35230"/>
        <n v="35270"/>
        <n v="35400"/>
        <n v="35430"/>
        <n v="35470"/>
        <n v="35480"/>
        <n v="35620"/>
        <n v="35660"/>
        <n v="35700"/>
        <n v="35820"/>
        <n v="35860"/>
        <n v="35910"/>
        <n v="35930"/>
        <n v="35980"/>
        <n v="36010"/>
        <n v="36090"/>
        <n v="36100"/>
        <n v="36230"/>
        <n v="36240"/>
        <n v="36430"/>
        <n v="36460"/>
        <n v="36580"/>
        <n v="36780"/>
        <n v="36820"/>
        <n v="36880"/>
        <n v="36970"/>
        <n v="37000"/>
        <n v="37070"/>
        <n v="37150"/>
        <n v="37170"/>
        <n v="37180"/>
        <n v="37250"/>
        <n v="37310"/>
        <n v="37320"/>
        <n v="37340"/>
        <n v="37350"/>
        <n v="37370"/>
        <n v="37380"/>
        <n v="37400"/>
        <n v="37510"/>
        <n v="37530"/>
        <n v="37540"/>
        <n v="37550"/>
        <n v="37580"/>
        <n v="37610"/>
        <n v="37650"/>
        <n v="37730"/>
        <n v="37760"/>
        <n v="37790"/>
        <n v="37830"/>
        <n v="37840"/>
        <n v="37850"/>
        <n v="37910"/>
        <n v="37980"/>
        <n v="38010"/>
        <n v="38080"/>
        <n v="38090"/>
        <n v="38160"/>
        <n v="38170"/>
        <n v="38190"/>
        <n v="38340"/>
        <n v="38430"/>
        <n v="38440"/>
        <n v="38530"/>
        <n v="38600"/>
        <n v="38610"/>
        <n v="38650"/>
        <n v="38660"/>
        <n v="38670"/>
        <n v="38690"/>
        <n v="38700"/>
        <n v="38730"/>
        <n v="38740"/>
        <n v="38770"/>
        <n v="38810"/>
        <n v="38830"/>
        <n v="38880"/>
        <n v="38940"/>
        <n v="38960"/>
        <n v="38990"/>
        <n v="39000"/>
        <n v="39010"/>
        <n v="39020"/>
        <n v="39070"/>
        <n v="39460"/>
        <n v="39540"/>
        <n v="39730"/>
        <n v="39750"/>
        <n v="39780"/>
        <n v="39930"/>
        <m/>
      </sharedItems>
    </cacheField>
    <cacheField name="Вес тары" numFmtId="0">
      <sharedItems containsString="0" containsBlank="1" containsNumber="1" containsInteger="1" minValue="4520" maxValue="28210" count="466">
        <n v="4520"/>
        <n v="4530"/>
        <n v="4550"/>
        <n v="4560"/>
        <n v="4570"/>
        <n v="4580"/>
        <n v="4590"/>
        <n v="4600"/>
        <n v="4610"/>
        <n v="4620"/>
        <n v="4630"/>
        <n v="4650"/>
        <n v="4660"/>
        <n v="4670"/>
        <n v="4680"/>
        <n v="4690"/>
        <n v="9270"/>
        <n v="9420"/>
        <n v="9450"/>
        <n v="9460"/>
        <n v="9470"/>
        <n v="9480"/>
        <n v="9510"/>
        <n v="9530"/>
        <n v="9540"/>
        <n v="9550"/>
        <n v="9570"/>
        <n v="9580"/>
        <n v="9590"/>
        <n v="9610"/>
        <n v="9620"/>
        <n v="9630"/>
        <n v="9640"/>
        <n v="9650"/>
        <n v="9670"/>
        <n v="9690"/>
        <n v="9700"/>
        <n v="9710"/>
        <n v="9720"/>
        <n v="9730"/>
        <n v="9740"/>
        <n v="9750"/>
        <n v="10530"/>
        <n v="10730"/>
        <n v="12250"/>
        <n v="13130"/>
        <n v="13180"/>
        <n v="13190"/>
        <n v="13250"/>
        <n v="13270"/>
        <n v="13290"/>
        <n v="13300"/>
        <n v="13320"/>
        <n v="13330"/>
        <n v="13340"/>
        <n v="13360"/>
        <n v="13370"/>
        <n v="13380"/>
        <n v="13390"/>
        <n v="13400"/>
        <n v="13410"/>
        <n v="13450"/>
        <n v="13580"/>
        <n v="13590"/>
        <n v="13740"/>
        <n v="13760"/>
        <n v="13770"/>
        <n v="13780"/>
        <n v="13800"/>
        <n v="13810"/>
        <n v="13820"/>
        <n v="13830"/>
        <n v="13840"/>
        <n v="13850"/>
        <n v="13870"/>
        <n v="13880"/>
        <n v="13890"/>
        <n v="13900"/>
        <n v="13910"/>
        <n v="13920"/>
        <n v="13930"/>
        <n v="13940"/>
        <n v="13950"/>
        <n v="13960"/>
        <n v="13980"/>
        <n v="13990"/>
        <n v="14000"/>
        <n v="14010"/>
        <n v="14020"/>
        <n v="14030"/>
        <n v="14040"/>
        <n v="14050"/>
        <n v="14060"/>
        <n v="14070"/>
        <n v="14080"/>
        <n v="14090"/>
        <n v="14100"/>
        <n v="14110"/>
        <n v="14120"/>
        <n v="14130"/>
        <n v="14140"/>
        <n v="14150"/>
        <n v="14160"/>
        <n v="14170"/>
        <n v="14180"/>
        <n v="14190"/>
        <n v="14200"/>
        <n v="14210"/>
        <n v="14220"/>
        <n v="14230"/>
        <n v="14240"/>
        <n v="14250"/>
        <n v="14260"/>
        <n v="14270"/>
        <n v="14280"/>
        <n v="14290"/>
        <n v="14300"/>
        <n v="14310"/>
        <n v="14320"/>
        <n v="14330"/>
        <n v="14340"/>
        <n v="14350"/>
        <n v="14360"/>
        <n v="14370"/>
        <n v="14380"/>
        <n v="14390"/>
        <n v="14400"/>
        <n v="14410"/>
        <n v="14420"/>
        <n v="14430"/>
        <n v="14440"/>
        <n v="14450"/>
        <n v="14460"/>
        <n v="14470"/>
        <n v="14480"/>
        <n v="14490"/>
        <n v="14500"/>
        <n v="14510"/>
        <n v="14520"/>
        <n v="14530"/>
        <n v="14540"/>
        <n v="14550"/>
        <n v="14560"/>
        <n v="14570"/>
        <n v="14580"/>
        <n v="14590"/>
        <n v="14600"/>
        <n v="14610"/>
        <n v="14620"/>
        <n v="14630"/>
        <n v="14640"/>
        <n v="14650"/>
        <n v="14660"/>
        <n v="14670"/>
        <n v="14680"/>
        <n v="14690"/>
        <n v="14700"/>
        <n v="14710"/>
        <n v="14720"/>
        <n v="14730"/>
        <n v="14740"/>
        <n v="14750"/>
        <n v="14760"/>
        <n v="14770"/>
        <n v="14780"/>
        <n v="14790"/>
        <n v="14800"/>
        <n v="14820"/>
        <n v="14830"/>
        <n v="14840"/>
        <n v="14850"/>
        <n v="14860"/>
        <n v="14870"/>
        <n v="14880"/>
        <n v="14890"/>
        <n v="14900"/>
        <n v="14910"/>
        <n v="14920"/>
        <n v="14930"/>
        <n v="14940"/>
        <n v="14950"/>
        <n v="14960"/>
        <n v="14970"/>
        <n v="14980"/>
        <n v="14990"/>
        <n v="15000"/>
        <n v="15010"/>
        <n v="15020"/>
        <n v="15030"/>
        <n v="15040"/>
        <n v="15050"/>
        <n v="15060"/>
        <n v="15070"/>
        <n v="15080"/>
        <n v="15090"/>
        <n v="15100"/>
        <n v="15110"/>
        <n v="15120"/>
        <n v="15130"/>
        <n v="15140"/>
        <n v="15150"/>
        <n v="15160"/>
        <n v="15170"/>
        <n v="15180"/>
        <n v="15200"/>
        <n v="15210"/>
        <n v="15220"/>
        <n v="15240"/>
        <n v="15250"/>
        <n v="15260"/>
        <n v="15290"/>
        <n v="15310"/>
        <n v="15320"/>
        <n v="15330"/>
        <n v="15340"/>
        <n v="15350"/>
        <n v="15360"/>
        <n v="15370"/>
        <n v="15380"/>
        <n v="15390"/>
        <n v="15410"/>
        <n v="15420"/>
        <n v="15430"/>
        <n v="15440"/>
        <n v="15450"/>
        <n v="15460"/>
        <n v="15470"/>
        <n v="15480"/>
        <n v="15490"/>
        <n v="15500"/>
        <n v="15510"/>
        <n v="15520"/>
        <n v="15530"/>
        <n v="15540"/>
        <n v="15550"/>
        <n v="15560"/>
        <n v="15570"/>
        <n v="15580"/>
        <n v="15590"/>
        <n v="15600"/>
        <n v="15610"/>
        <n v="15620"/>
        <n v="15640"/>
        <n v="15650"/>
        <n v="15660"/>
        <n v="15670"/>
        <n v="15690"/>
        <n v="15700"/>
        <n v="15720"/>
        <n v="15730"/>
        <n v="15740"/>
        <n v="15750"/>
        <n v="15760"/>
        <n v="15790"/>
        <n v="15800"/>
        <n v="15810"/>
        <n v="15820"/>
        <n v="15850"/>
        <n v="15880"/>
        <n v="15900"/>
        <n v="16000"/>
        <n v="16060"/>
        <n v="16120"/>
        <n v="16130"/>
        <n v="16140"/>
        <n v="16200"/>
        <n v="16300"/>
        <n v="16350"/>
        <n v="16410"/>
        <n v="16470"/>
        <n v="16480"/>
        <n v="16530"/>
        <n v="16540"/>
        <n v="16550"/>
        <n v="16610"/>
        <n v="16660"/>
        <n v="16670"/>
        <n v="16710"/>
        <n v="16720"/>
        <n v="16780"/>
        <n v="16860"/>
        <n v="16890"/>
        <n v="16940"/>
        <n v="16950"/>
        <n v="16960"/>
        <n v="16970"/>
        <n v="16990"/>
        <n v="17040"/>
        <n v="17060"/>
        <n v="17070"/>
        <n v="17080"/>
        <n v="17100"/>
        <n v="17110"/>
        <n v="17130"/>
        <n v="17140"/>
        <n v="17180"/>
        <n v="17190"/>
        <n v="17200"/>
        <n v="17210"/>
        <n v="17220"/>
        <n v="17230"/>
        <n v="17240"/>
        <n v="17250"/>
        <n v="17260"/>
        <n v="17270"/>
        <n v="17280"/>
        <n v="17290"/>
        <n v="17300"/>
        <n v="17310"/>
        <n v="17320"/>
        <n v="17330"/>
        <n v="17340"/>
        <n v="17350"/>
        <n v="17360"/>
        <n v="17370"/>
        <n v="17380"/>
        <n v="17390"/>
        <n v="17400"/>
        <n v="17410"/>
        <n v="17420"/>
        <n v="17430"/>
        <n v="17440"/>
        <n v="17450"/>
        <n v="17460"/>
        <n v="17490"/>
        <n v="17500"/>
        <n v="17520"/>
        <n v="17530"/>
        <n v="17550"/>
        <n v="17600"/>
        <n v="17620"/>
        <n v="17670"/>
        <n v="17720"/>
        <n v="17740"/>
        <n v="17790"/>
        <n v="17800"/>
        <n v="17810"/>
        <n v="17820"/>
        <n v="17860"/>
        <n v="17880"/>
        <n v="17900"/>
        <n v="17910"/>
        <n v="17920"/>
        <n v="17930"/>
        <n v="17980"/>
        <n v="18320"/>
        <n v="18360"/>
        <n v="18440"/>
        <n v="18500"/>
        <n v="18530"/>
        <n v="18550"/>
        <n v="18610"/>
        <n v="18620"/>
        <n v="18630"/>
        <n v="18650"/>
        <n v="18680"/>
        <n v="18690"/>
        <n v="18700"/>
        <n v="18710"/>
        <n v="18720"/>
        <n v="18730"/>
        <n v="18740"/>
        <n v="18770"/>
        <n v="18780"/>
        <n v="18790"/>
        <n v="18800"/>
        <n v="18810"/>
        <n v="18880"/>
        <n v="18960"/>
        <n v="19350"/>
        <n v="19490"/>
        <n v="20040"/>
        <n v="20200"/>
        <n v="20660"/>
        <n v="20760"/>
        <n v="20770"/>
        <n v="20810"/>
        <n v="20840"/>
        <n v="20850"/>
        <n v="20870"/>
        <n v="20880"/>
        <n v="20900"/>
        <n v="20910"/>
        <n v="20920"/>
        <n v="20930"/>
        <n v="20940"/>
        <n v="20950"/>
        <n v="20960"/>
        <n v="20970"/>
        <n v="20990"/>
        <n v="21010"/>
        <n v="21020"/>
        <n v="21030"/>
        <n v="21040"/>
        <n v="21050"/>
        <n v="21060"/>
        <n v="21070"/>
        <n v="21120"/>
        <n v="21150"/>
        <n v="21160"/>
        <n v="21170"/>
        <n v="21180"/>
        <n v="21210"/>
        <n v="21240"/>
        <n v="21250"/>
        <n v="21370"/>
        <n v="21390"/>
        <n v="21400"/>
        <n v="21420"/>
        <n v="21590"/>
        <n v="21610"/>
        <n v="21660"/>
        <n v="21690"/>
        <n v="21780"/>
        <n v="21970"/>
        <n v="22010"/>
        <n v="22170"/>
        <n v="22220"/>
        <n v="22250"/>
        <n v="22270"/>
        <n v="22320"/>
        <n v="22350"/>
        <n v="22420"/>
        <n v="22520"/>
        <n v="22535"/>
        <n v="22640"/>
        <n v="22700"/>
        <n v="23060"/>
        <n v="23210"/>
        <n v="23450"/>
        <n v="23630"/>
        <n v="23840"/>
        <n v="23890"/>
        <n v="23900"/>
        <n v="23920"/>
        <n v="23960"/>
        <n v="24000"/>
        <n v="24010"/>
        <n v="24020"/>
        <n v="24030"/>
        <n v="24060"/>
        <n v="24070"/>
        <n v="24080"/>
        <n v="24100"/>
        <n v="24110"/>
        <n v="24140"/>
        <n v="24150"/>
        <n v="24170"/>
        <n v="24190"/>
        <n v="24200"/>
        <n v="24220"/>
        <n v="24240"/>
        <n v="24270"/>
        <n v="24310"/>
        <n v="24320"/>
        <n v="24370"/>
        <n v="24450"/>
        <n v="24620"/>
        <n v="25890"/>
        <n v="26720"/>
        <n v="26790"/>
        <n v="27490"/>
        <n v="27670"/>
        <n v="27970"/>
        <n v="28210"/>
        <m/>
      </sharedItems>
    </cacheField>
    <cacheField name="% отходов сверх допуска" numFmtId="0">
      <sharedItems containsString="0" containsBlank="1" containsNumber="1" minValue="0.8" maxValue="137" count="130">
        <n v="0.8"/>
        <n v="2.9"/>
        <n v="3.5"/>
        <n v="4.5"/>
        <n v="5"/>
        <n v="5.5"/>
        <n v="5.9"/>
        <n v="6"/>
        <n v="6.5"/>
        <n v="7"/>
        <n v="7.5"/>
        <n v="7.7"/>
        <n v="8"/>
        <n v="8.5"/>
        <n v="9"/>
        <n v="9.1"/>
        <n v="9.5"/>
        <n v="9.6"/>
        <n v="10"/>
        <n v="10.1"/>
        <n v="10.5"/>
        <n v="10.9"/>
        <n v="11"/>
        <n v="11.2"/>
        <n v="11.4"/>
        <n v="11.5"/>
        <n v="11.6"/>
        <n v="11.7"/>
        <n v="12"/>
        <n v="12.2"/>
        <n v="12.3"/>
        <n v="12.4"/>
        <n v="12.5"/>
        <n v="12.7"/>
        <n v="13"/>
        <n v="13.3"/>
        <n v="13.4"/>
        <n v="13.5"/>
        <n v="13.7"/>
        <n v="13.8"/>
        <n v="14"/>
        <n v="14.4"/>
        <n v="14.5"/>
        <n v="14.8"/>
        <n v="15"/>
        <n v="15.2"/>
        <n v="15.4"/>
        <n v="15.5"/>
        <n v="15.9"/>
        <n v="16"/>
        <n v="16.1"/>
        <n v="16.5"/>
        <n v="16.7"/>
        <n v="16.9"/>
        <n v="17"/>
        <n v="17.1"/>
        <n v="17.4"/>
        <n v="17.5"/>
        <n v="17.6"/>
        <n v="17.7"/>
        <n v="18"/>
        <n v="18.3"/>
        <n v="18.5"/>
        <n v="18.9"/>
        <n v="19"/>
        <n v="19.5"/>
        <n v="19.9"/>
        <n v="20"/>
        <n v="20.5"/>
        <n v="21"/>
        <n v="21.4"/>
        <n v="21.5"/>
        <n v="22"/>
        <n v="22.5"/>
        <n v="23"/>
        <n v="23.5"/>
        <n v="23.7"/>
        <n v="24"/>
        <n v="24.1"/>
        <n v="24.5"/>
        <n v="25"/>
        <n v="25.3"/>
        <n v="25.5"/>
        <n v="26"/>
        <n v="26.5"/>
        <n v="26.7"/>
        <n v="27"/>
        <n v="27.5"/>
        <n v="28"/>
        <n v="28.5"/>
        <n v="29"/>
        <n v="29.5"/>
        <n v="30"/>
        <n v="30.5"/>
        <n v="31"/>
        <n v="31.5"/>
        <n v="31.8"/>
        <n v="32"/>
        <n v="32.5"/>
        <n v="33"/>
        <n v="33.5"/>
        <n v="34"/>
        <n v="34.5"/>
        <n v="35"/>
        <n v="35.5"/>
        <n v="36"/>
        <n v="36.5"/>
        <n v="37.5"/>
        <n v="38"/>
        <n v="38.5"/>
        <n v="39"/>
        <n v="39.5"/>
        <n v="40.5"/>
        <n v="41.5"/>
        <n v="42"/>
        <n v="43"/>
        <n v="43.5"/>
        <n v="45.5"/>
        <n v="47"/>
        <n v="50"/>
        <n v="51"/>
        <n v="51.5"/>
        <n v="53.5"/>
        <n v="54"/>
        <n v="54.5"/>
        <n v="56.5"/>
        <n v="57.5"/>
        <n v="100"/>
        <n v="137"/>
        <m/>
      </sharedItems>
    </cacheField>
    <cacheField name="Вес нетто" numFmtId="0">
      <sharedItems containsString="0" containsBlank="1" containsNumber="1" containsInteger="1" minValue="1680" maxValue="22920" count="612">
        <n v="1680"/>
        <n v="1830"/>
        <n v="2050"/>
        <n v="2070"/>
        <n v="2220"/>
        <n v="2320"/>
        <n v="2350"/>
        <n v="2740"/>
        <n v="3350"/>
        <n v="3360"/>
        <n v="3460"/>
        <n v="3770"/>
        <n v="4010"/>
        <n v="4090"/>
        <n v="4170"/>
        <n v="4190"/>
        <n v="4200"/>
        <n v="4220"/>
        <n v="4250"/>
        <n v="4260"/>
        <n v="4270"/>
        <n v="4290"/>
        <n v="4300"/>
        <n v="4370"/>
        <n v="4380"/>
        <n v="4390"/>
        <n v="4400"/>
        <n v="4430"/>
        <n v="4450"/>
        <n v="4460"/>
        <n v="4470"/>
        <n v="4480"/>
        <n v="4490"/>
        <n v="4500"/>
        <n v="4510"/>
        <n v="4520"/>
        <n v="4530"/>
        <n v="4540"/>
        <n v="4550"/>
        <n v="4560"/>
        <n v="4580"/>
        <n v="4590"/>
        <n v="4600"/>
        <n v="4640"/>
        <n v="4660"/>
        <n v="4670"/>
        <n v="4690"/>
        <n v="4720"/>
        <n v="4770"/>
        <n v="4790"/>
        <n v="4840"/>
        <n v="4880"/>
        <n v="4890"/>
        <n v="4920"/>
        <n v="4930"/>
        <n v="4940"/>
        <n v="4980"/>
        <n v="4990"/>
        <n v="5020"/>
        <n v="5060"/>
        <n v="5220"/>
        <n v="5320"/>
        <n v="5480"/>
        <n v="5640"/>
        <n v="5680"/>
        <n v="5810"/>
        <n v="6020"/>
        <n v="6120"/>
        <n v="6160"/>
        <n v="6180"/>
        <n v="6200"/>
        <n v="6210"/>
        <n v="6330"/>
        <n v="6410"/>
        <n v="6430"/>
        <n v="6440"/>
        <n v="6480"/>
        <n v="6510"/>
        <n v="6520"/>
        <n v="6590"/>
        <n v="6610"/>
        <n v="6620"/>
        <n v="6630"/>
        <n v="6650"/>
        <n v="6660"/>
        <n v="6670"/>
        <n v="6690"/>
        <n v="6700"/>
        <n v="6710"/>
        <n v="6720"/>
        <n v="6730"/>
        <n v="6740"/>
        <n v="6750"/>
        <n v="6760"/>
        <n v="6790"/>
        <n v="6800"/>
        <n v="6820"/>
        <n v="6840"/>
        <n v="6850"/>
        <n v="6860"/>
        <n v="6880"/>
        <n v="6890"/>
        <n v="6895"/>
        <n v="6900"/>
        <n v="6920"/>
        <n v="6950"/>
        <n v="6960"/>
        <n v="6980"/>
        <n v="7010"/>
        <n v="7020"/>
        <n v="7030"/>
        <n v="7050"/>
        <n v="7060"/>
        <n v="7080"/>
        <n v="7090"/>
        <n v="7100"/>
        <n v="7110"/>
        <n v="7120"/>
        <n v="7150"/>
        <n v="7210"/>
        <n v="7260"/>
        <n v="7270"/>
        <n v="7290"/>
        <n v="7390"/>
        <n v="7520"/>
        <n v="7600"/>
        <n v="7650"/>
        <n v="7800"/>
        <n v="7930"/>
        <n v="8060"/>
        <n v="8070"/>
        <n v="8080"/>
        <n v="8180"/>
        <n v="8290"/>
        <n v="8310"/>
        <n v="8380"/>
        <n v="8390"/>
        <n v="8450"/>
        <n v="8470"/>
        <n v="8540"/>
        <n v="8550"/>
        <n v="8610"/>
        <n v="8650"/>
        <n v="8670"/>
        <n v="8700"/>
        <n v="8750"/>
        <n v="8760"/>
        <n v="8780"/>
        <n v="8830"/>
        <n v="8880"/>
        <n v="8900"/>
        <n v="8940"/>
        <n v="8960"/>
        <n v="8980"/>
        <n v="9000"/>
        <n v="9010"/>
        <n v="9020"/>
        <n v="9030"/>
        <n v="9080"/>
        <n v="9090"/>
        <n v="9100"/>
        <n v="9120"/>
        <n v="9130"/>
        <n v="9160"/>
        <n v="9190"/>
        <n v="9200"/>
        <n v="9210"/>
        <n v="9220"/>
        <n v="9260"/>
        <n v="9290"/>
        <n v="9300"/>
        <n v="9310"/>
        <n v="9330"/>
        <n v="9350"/>
        <n v="9380"/>
        <n v="9390"/>
        <n v="9470"/>
        <n v="9500"/>
        <n v="9520"/>
        <n v="9530"/>
        <n v="9550"/>
        <n v="9570"/>
        <n v="9630"/>
        <n v="9660"/>
        <n v="9780"/>
        <n v="9900"/>
        <n v="9940"/>
        <n v="9980"/>
        <n v="10100"/>
        <n v="10180"/>
        <n v="10340"/>
        <n v="10410"/>
        <n v="10510"/>
        <n v="10540"/>
        <n v="10620"/>
        <n v="10700"/>
        <n v="10740"/>
        <n v="10920"/>
        <n v="11030"/>
        <n v="11040"/>
        <n v="11060"/>
        <n v="11150"/>
        <n v="11180"/>
        <n v="11200"/>
        <n v="11220"/>
        <n v="11370"/>
        <n v="11390"/>
        <n v="11430"/>
        <n v="11540"/>
        <n v="11650"/>
        <n v="11710"/>
        <n v="11730"/>
        <n v="11880"/>
        <n v="11890"/>
        <n v="11920"/>
        <n v="11990"/>
        <n v="12010"/>
        <n v="12060"/>
        <n v="12130"/>
        <n v="12250"/>
        <n v="12300"/>
        <n v="12340"/>
        <n v="12360"/>
        <n v="12400"/>
        <n v="12410"/>
        <n v="12570"/>
        <n v="12600"/>
        <n v="12620"/>
        <n v="12650"/>
        <n v="12660"/>
        <n v="12670"/>
        <n v="12690"/>
        <n v="12700"/>
        <n v="12720"/>
        <n v="12730"/>
        <n v="12750"/>
        <n v="12760"/>
        <n v="12770"/>
        <n v="12780"/>
        <n v="12790"/>
        <n v="12810"/>
        <n v="12820"/>
        <n v="12830"/>
        <n v="12840"/>
        <n v="12850"/>
        <n v="12860"/>
        <n v="12870"/>
        <n v="12880"/>
        <n v="12890"/>
        <n v="12900"/>
        <n v="12910"/>
        <n v="12920"/>
        <n v="12930"/>
        <n v="12940"/>
        <n v="12950"/>
        <n v="12960"/>
        <n v="12970"/>
        <n v="12980"/>
        <n v="12990"/>
        <n v="13000"/>
        <n v="13010"/>
        <n v="13020"/>
        <n v="13030"/>
        <n v="13040"/>
        <n v="13050"/>
        <n v="13060"/>
        <n v="13070"/>
        <n v="13080"/>
        <n v="13090"/>
        <n v="13100"/>
        <n v="13110"/>
        <n v="13120"/>
        <n v="13130"/>
        <n v="13140"/>
        <n v="13150"/>
        <n v="13160"/>
        <n v="13170"/>
        <n v="13180"/>
        <n v="13190"/>
        <n v="13200"/>
        <n v="13210"/>
        <n v="13220"/>
        <n v="13230"/>
        <n v="13240"/>
        <n v="13250"/>
        <n v="13260"/>
        <n v="13270"/>
        <n v="13280"/>
        <n v="13290"/>
        <n v="13300"/>
        <n v="13310"/>
        <n v="13320"/>
        <n v="13330"/>
        <n v="13340"/>
        <n v="13350"/>
        <n v="13360"/>
        <n v="13370"/>
        <n v="13380"/>
        <n v="13390"/>
        <n v="13400"/>
        <n v="13410"/>
        <n v="13420"/>
        <n v="13430"/>
        <n v="13440"/>
        <n v="13450"/>
        <n v="13460"/>
        <n v="13470"/>
        <n v="13480"/>
        <n v="13490"/>
        <n v="13500"/>
        <n v="13510"/>
        <n v="13520"/>
        <n v="13530"/>
        <n v="13540"/>
        <n v="13550"/>
        <n v="13560"/>
        <n v="13570"/>
        <n v="13580"/>
        <n v="13590"/>
        <n v="13600"/>
        <n v="13610"/>
        <n v="13620"/>
        <n v="13630"/>
        <n v="13640"/>
        <n v="13650"/>
        <n v="13660"/>
        <n v="13670"/>
        <n v="13680"/>
        <n v="13690"/>
        <n v="13700"/>
        <n v="13710"/>
        <n v="13720"/>
        <n v="13730"/>
        <n v="13740"/>
        <n v="13750"/>
        <n v="13760"/>
        <n v="13770"/>
        <n v="13780"/>
        <n v="13790"/>
        <n v="13800"/>
        <n v="13810"/>
        <n v="13820"/>
        <n v="13830"/>
        <n v="13840"/>
        <n v="13850"/>
        <n v="13860"/>
        <n v="13870"/>
        <n v="13880"/>
        <n v="13890"/>
        <n v="13900"/>
        <n v="13910"/>
        <n v="13920"/>
        <n v="13930"/>
        <n v="13940"/>
        <n v="13950"/>
        <n v="13960"/>
        <n v="13970"/>
        <n v="13980"/>
        <n v="13990"/>
        <n v="14000"/>
        <n v="14010"/>
        <n v="14020"/>
        <n v="14030"/>
        <n v="14040"/>
        <n v="14050"/>
        <n v="14060"/>
        <n v="14070"/>
        <n v="14080"/>
        <n v="14090"/>
        <n v="14100"/>
        <n v="14110"/>
        <n v="14120"/>
        <n v="14130"/>
        <n v="14140"/>
        <n v="14150"/>
        <n v="14160"/>
        <n v="14170"/>
        <n v="14180"/>
        <n v="14200"/>
        <n v="14210"/>
        <n v="14230"/>
        <n v="14240"/>
        <n v="14270"/>
        <n v="14290"/>
        <n v="14310"/>
        <n v="14320"/>
        <n v="14340"/>
        <n v="14360"/>
        <n v="14380"/>
        <n v="14390"/>
        <n v="14420"/>
        <n v="14430"/>
        <n v="14440"/>
        <n v="14450"/>
        <n v="14470"/>
        <n v="14480"/>
        <n v="14510"/>
        <n v="14520"/>
        <n v="14540"/>
        <n v="14560"/>
        <n v="14570"/>
        <n v="14590"/>
        <n v="14600"/>
        <n v="14640"/>
        <n v="14660"/>
        <n v="14670"/>
        <n v="14680"/>
        <n v="14710"/>
        <n v="14720"/>
        <n v="14740"/>
        <n v="14750"/>
        <n v="14770"/>
        <n v="14790"/>
        <n v="14820"/>
        <n v="14910"/>
        <n v="14930"/>
        <n v="14940"/>
        <n v="14970"/>
        <n v="14990"/>
        <n v="15020"/>
        <n v="15050"/>
        <n v="15070"/>
        <n v="15100"/>
        <n v="15130"/>
        <n v="15140"/>
        <n v="15150"/>
        <n v="15190"/>
        <n v="15210"/>
        <n v="15240"/>
        <n v="15250"/>
        <n v="15260"/>
        <n v="15270"/>
        <n v="15280"/>
        <n v="15290"/>
        <n v="15300"/>
        <n v="15320"/>
        <n v="15340"/>
        <n v="15350"/>
        <n v="15360"/>
        <n v="15370"/>
        <n v="15380"/>
        <n v="15400"/>
        <n v="15410"/>
        <n v="15420"/>
        <n v="15430"/>
        <n v="15440"/>
        <n v="15450"/>
        <n v="15460"/>
        <n v="15470"/>
        <n v="15480"/>
        <n v="15500"/>
        <n v="15510"/>
        <n v="15520"/>
        <n v="15530"/>
        <n v="15540"/>
        <n v="15550"/>
        <n v="15570"/>
        <n v="15580"/>
        <n v="15590"/>
        <n v="15600"/>
        <n v="15610"/>
        <n v="15630"/>
        <n v="15640"/>
        <n v="15650"/>
        <n v="15660"/>
        <n v="15670"/>
        <n v="15680"/>
        <n v="15690"/>
        <n v="15700"/>
        <n v="15710"/>
        <n v="15720"/>
        <n v="15730"/>
        <n v="15750"/>
        <n v="15760"/>
        <n v="15770"/>
        <n v="15780"/>
        <n v="15790"/>
        <n v="15800"/>
        <n v="15810"/>
        <n v="15820"/>
        <n v="15830"/>
        <n v="15840"/>
        <n v="15850"/>
        <n v="15860"/>
        <n v="15870"/>
        <n v="15880"/>
        <n v="15900"/>
        <n v="15910"/>
        <n v="15920"/>
        <n v="15930"/>
        <n v="15940"/>
        <n v="15960"/>
        <n v="15980"/>
        <n v="16000"/>
        <n v="16020"/>
        <n v="16030"/>
        <n v="16060"/>
        <n v="16070"/>
        <n v="16080"/>
        <n v="16090"/>
        <n v="16100"/>
        <n v="16120"/>
        <n v="16160"/>
        <n v="16180"/>
        <n v="16200"/>
        <n v="16220"/>
        <n v="16230"/>
        <n v="16240"/>
        <n v="16250"/>
        <n v="16260"/>
        <n v="16290"/>
        <n v="16300"/>
        <n v="16310"/>
        <n v="16340"/>
        <n v="16350"/>
        <n v="16360"/>
        <n v="16410"/>
        <n v="16420"/>
        <n v="16440"/>
        <n v="16450"/>
        <n v="16470"/>
        <n v="16480"/>
        <n v="16490"/>
        <n v="16520"/>
        <n v="16540"/>
        <n v="16550"/>
        <n v="16600"/>
        <n v="16660"/>
        <n v="16690"/>
        <n v="16790"/>
        <n v="16840"/>
        <n v="16860"/>
        <n v="16910"/>
        <n v="16940"/>
        <n v="16980"/>
        <n v="17020"/>
        <n v="17070"/>
        <n v="17140"/>
        <n v="17170"/>
        <n v="17200"/>
        <n v="17330"/>
        <n v="17370"/>
        <n v="17380"/>
        <n v="17420"/>
        <n v="17450"/>
        <n v="17460"/>
        <n v="17480"/>
        <n v="17500"/>
        <n v="17540"/>
        <n v="17560"/>
        <n v="17570"/>
        <n v="17580"/>
        <n v="17590"/>
        <n v="17600"/>
        <n v="17610"/>
        <n v="17620"/>
        <n v="17640"/>
        <n v="17650"/>
        <n v="17660"/>
        <n v="17680"/>
        <n v="17710"/>
        <n v="17730"/>
        <n v="17740"/>
        <n v="17760"/>
        <n v="17780"/>
        <n v="17790"/>
        <n v="17810"/>
        <n v="17820"/>
        <n v="17830"/>
        <n v="17840"/>
        <n v="17860"/>
        <n v="17870"/>
        <n v="17880"/>
        <n v="17890"/>
        <n v="17900"/>
        <n v="17910"/>
        <n v="17940"/>
        <n v="17950"/>
        <n v="17960"/>
        <n v="17970"/>
        <n v="17980"/>
        <n v="18000"/>
        <n v="18020"/>
        <n v="18030"/>
        <n v="18090"/>
        <n v="18100"/>
        <n v="18120"/>
        <n v="18160"/>
        <n v="18170"/>
        <n v="18190"/>
        <n v="18220"/>
        <n v="18230"/>
        <n v="18240"/>
        <n v="18280"/>
        <n v="18300"/>
        <n v="18310"/>
        <n v="18410"/>
        <n v="18440"/>
        <n v="18460"/>
        <n v="18530"/>
        <n v="18540"/>
        <n v="18680"/>
        <n v="18700"/>
        <n v="18730"/>
        <n v="18870"/>
        <n v="19710"/>
        <n v="19930"/>
        <n v="20040"/>
        <n v="20080"/>
        <n v="22640"/>
        <n v="22920"/>
        <m/>
      </sharedItems>
    </cacheField>
    <cacheField name="Зачетный вес" numFmtId="0">
      <sharedItems containsString="0" containsBlank="1" containsNumber="1" minValue="1478.4" maxValue="22920" count="1395">
        <n v="1478.4"/>
        <n v="1541"/>
        <n v="1564.6"/>
        <n v="1599"/>
        <n v="1769.8"/>
        <n v="1857.4"/>
        <n v="1875.9"/>
        <n v="2006"/>
        <n v="2029.3"/>
        <n v="2030"/>
        <n v="2056.2"/>
        <n v="2434.7"/>
        <n v="2438.6"/>
        <n v="2665.6"/>
        <n v="2973.6"/>
        <n v="2981.5"/>
        <n v="3027.5"/>
        <n v="3080.6"/>
        <n v="3086.6"/>
        <n v="3094.9"/>
        <n v="3117.5"/>
        <n v="3171.3"/>
        <n v="3182"/>
        <n v="3215.4"/>
        <n v="3228.9"/>
        <n v="3235.9"/>
        <n v="3291.3"/>
        <n v="3292.5"/>
        <n v="3306.9"/>
        <n v="3348.3"/>
        <n v="3354.9"/>
        <n v="3411.8"/>
        <n v="3456.1"/>
        <n v="3456.7"/>
        <n v="3461.1"/>
        <n v="3525.6"/>
        <n v="3557.2"/>
        <n v="3582.2"/>
        <n v="3585.4"/>
        <n v="3591.2"/>
        <n v="3609.3"/>
        <n v="3617.2"/>
        <n v="3622.5"/>
        <n v="3627.9"/>
        <n v="3658.1"/>
        <n v="3675.6"/>
        <n v="3687.7"/>
        <n v="3712.6"/>
        <n v="3720.6"/>
        <n v="3720.7"/>
        <n v="3728.5"/>
        <n v="3740.8"/>
        <n v="3743.4"/>
        <n v="3749"/>
        <n v="3750.6"/>
        <n v="3762"/>
        <n v="3808"/>
        <n v="3812.7"/>
        <n v="3847.8"/>
        <n v="3850"/>
        <n v="3853.2"/>
        <n v="3861.4"/>
        <n v="3866.5"/>
        <n v="3883.8"/>
        <n v="3887.2"/>
        <n v="3906"/>
        <n v="3906.3"/>
        <n v="3907"/>
        <n v="3919.3"/>
        <n v="3944"/>
        <n v="3951.7"/>
        <n v="3955.9"/>
        <n v="3967.2"/>
        <n v="3972.5"/>
        <n v="3989.7"/>
        <n v="4001.6"/>
        <n v="4018.5"/>
        <n v="4039.2"/>
        <n v="4042.2"/>
        <n v="4058.7"/>
        <n v="4059"/>
        <n v="4077.4"/>
        <n v="4099.6"/>
        <n v="4109.7"/>
        <n v="4149.6"/>
        <n v="4181"/>
        <n v="4282.8"/>
        <n v="4314.8"/>
        <n v="4350"/>
        <n v="4374"/>
        <n v="4404.5"/>
        <n v="4427.4"/>
        <n v="4550.4"/>
        <n v="4552.2"/>
        <n v="4562.1"/>
        <n v="4565.8"/>
        <n v="4630.6"/>
        <n v="4714.2"/>
        <n v="4764.1"/>
        <n v="4775.2"/>
        <n v="4799.6"/>
        <n v="4808.1"/>
        <n v="4851.3"/>
        <n v="4948.4"/>
        <n v="4958.8"/>
        <n v="4998.5"/>
        <n v="5020.4"/>
        <n v="5066.5"/>
        <n v="5112.8"/>
        <n v="5125.3"/>
        <n v="5141.8"/>
        <n v="5173.1"/>
        <n v="5347.5"/>
        <n v="5425"/>
        <n v="5448.1"/>
        <n v="5495.8"/>
        <n v="5510.3"/>
        <n v="5545.8"/>
        <n v="5558.3"/>
        <n v="5598.6"/>
        <n v="5643"/>
        <n v="5653.2"/>
        <n v="5653.3"/>
        <n v="5668.6"/>
        <n v="5685.7"/>
        <n v="5706.9"/>
        <n v="5742.9"/>
        <n v="5754.8"/>
        <n v="5759.6"/>
        <n v="5762.7"/>
        <n v="5783.7"/>
        <n v="5813.6"/>
        <n v="5818.7"/>
        <n v="5820.3"/>
        <n v="5825.6"/>
        <n v="5829"/>
        <n v="5830.1"/>
        <n v="5834.9"/>
        <n v="5882.4"/>
        <n v="5899.6"/>
        <n v="5906.2"/>
        <n v="5915"/>
        <n v="5920.6"/>
        <n v="5925"/>
        <n v="5925.2"/>
        <n v="5925.4"/>
        <n v="5967.5"/>
        <n v="5982.6"/>
        <n v="5984"/>
        <n v="5985.8"/>
        <n v="5987.5"/>
        <n v="6028.6"/>
        <n v="6032.3"/>
        <n v="6067.6"/>
        <n v="6069.7"/>
        <n v="6070.5"/>
        <n v="6088.8"/>
        <n v="6106.9"/>
        <n v="6113.2"/>
        <n v="6114.4"/>
        <n v="6130.7"/>
        <n v="6142.4"/>
        <n v="6148.8"/>
        <n v="6151.2"/>
        <n v="6161.6"/>
        <n v="6178.9"/>
        <n v="6219.2"/>
        <n v="6240"/>
        <n v="6242.2"/>
        <n v="6257.7"/>
        <n v="6258.6"/>
        <n v="6263.4"/>
        <n v="6330"/>
        <n v="6357.1"/>
        <n v="6361.8"/>
        <n v="6368.8"/>
        <n v="6383.2"/>
        <n v="6399.2"/>
        <n v="6410"/>
        <n v="6414.4"/>
        <n v="6423.9"/>
        <n v="6442.1"/>
        <n v="6450.7"/>
        <n v="6478.9"/>
        <n v="6492.2"/>
        <n v="6498"/>
        <n v="6520"/>
        <n v="6534"/>
        <n v="6570.9"/>
        <n v="6575"/>
        <n v="6620"/>
        <n v="6622.3"/>
        <n v="6688.8"/>
        <n v="6718.6"/>
        <n v="6719.9"/>
        <n v="6789"/>
        <n v="6795.9"/>
        <n v="6855.4"/>
        <n v="6884.5"/>
        <n v="6891.3"/>
        <n v="6892.3"/>
        <n v="6894.3"/>
        <n v="6906.9"/>
        <n v="6922.1"/>
        <n v="7053.3"/>
        <n v="7114.5"/>
        <n v="7130.2"/>
        <n v="7141.9"/>
        <n v="7171"/>
        <n v="7212.7"/>
        <n v="7215.4"/>
        <n v="7224.7"/>
        <n v="7282.2"/>
        <n v="7362.5"/>
        <n v="7368.9"/>
        <n v="7393.7"/>
        <n v="7395"/>
        <n v="7418.4"/>
        <n v="7432.8"/>
        <n v="7453.6"/>
        <n v="7491.9"/>
        <n v="7499.5"/>
        <n v="7504.7"/>
        <n v="7506.1"/>
        <n v="7526.4"/>
        <n v="7581.8"/>
        <n v="7589.4"/>
        <n v="7590"/>
        <n v="7598.2"/>
        <n v="7609.5"/>
        <n v="7625.4"/>
        <n v="7643.3"/>
        <n v="7673.4"/>
        <n v="7714.8"/>
        <n v="7775.1"/>
        <n v="7780.5"/>
        <n v="7793.6"/>
        <n v="7800"/>
        <n v="7807.2"/>
        <n v="7857.5"/>
        <n v="7862.8"/>
        <n v="7870.5"/>
        <n v="7878.1"/>
        <n v="7902.8"/>
        <n v="7920"/>
        <n v="7928.2"/>
        <n v="7930"/>
        <n v="7930.5"/>
        <n v="7947.6"/>
        <n v="7962.6"/>
        <n v="8006.6"/>
        <n v="8011.7"/>
        <n v="8019.2"/>
        <n v="8078.8"/>
        <n v="8096.8"/>
        <n v="8116.8"/>
        <n v="8172.1"/>
        <n v="8172.4"/>
        <n v="8252.6"/>
        <n v="8403.6"/>
        <n v="8514.6"/>
        <n v="8525"/>
        <n v="8553.6"/>
        <n v="8568.4"/>
        <n v="8572.5"/>
        <n v="8610.6"/>
        <n v="8616.2"/>
        <n v="8681"/>
        <n v="8701"/>
        <n v="8715.1"/>
        <n v="8776.8"/>
        <n v="8787"/>
        <n v="8799.2"/>
        <n v="8897.7"/>
        <n v="8940"/>
        <n v="8953.5"/>
        <n v="8971.9"/>
        <n v="9024.7"/>
        <n v="9032.1"/>
        <n v="9062.8"/>
        <n v="9105.9"/>
        <n v="9131.7"/>
        <n v="9151.6"/>
        <n v="9163.5"/>
        <n v="9176.5"/>
        <n v="9193.5"/>
        <n v="9230.9"/>
        <n v="9232.6"/>
        <n v="9248.8"/>
        <n v="9285.2"/>
        <n v="9292.5"/>
        <n v="9319.9"/>
        <n v="9327.9"/>
        <n v="9339.8"/>
        <n v="9369"/>
        <n v="9371.2"/>
        <n v="9390"/>
        <n v="9416.4"/>
        <n v="9425.4"/>
        <n v="9447.1"/>
        <n v="9452"/>
        <n v="9465.9"/>
        <n v="9475.7"/>
        <n v="9487.2"/>
        <n v="9493.9"/>
        <n v="9526.5"/>
        <n v="9540.9"/>
        <n v="9555.5"/>
        <n v="9559.9"/>
        <n v="9566.9"/>
        <n v="9571.5"/>
        <n v="9576"/>
        <n v="9576.3"/>
        <n v="9584"/>
        <n v="9588"/>
        <n v="9594"/>
        <n v="9594.4"/>
        <n v="9624.2"/>
        <n v="9637.3"/>
        <n v="9637.4"/>
        <n v="9653"/>
        <n v="9679.5"/>
        <n v="9702.2"/>
        <n v="9713.3"/>
        <n v="9716.7"/>
        <n v="9746.1"/>
        <n v="9765.3"/>
        <n v="9771.8"/>
        <n v="9778.2"/>
        <n v="9785"/>
        <n v="9792.5"/>
        <n v="9796"/>
        <n v="9803.9"/>
        <n v="9806.4"/>
        <n v="9807.8"/>
        <n v="9817.5"/>
        <n v="9818.5"/>
        <n v="9823"/>
        <n v="9856.8"/>
        <n v="9859.8"/>
        <n v="9863.7"/>
        <n v="9867.7"/>
        <n v="9878.4"/>
        <n v="9886.9"/>
        <n v="9889"/>
        <n v="9920.7"/>
        <n v="9929.2"/>
        <n v="9935.8"/>
        <n v="9960.7"/>
        <n v="9975.6"/>
        <n v="9982.8"/>
        <n v="9988.7"/>
        <n v="10004.5"/>
        <n v="10012"/>
        <n v="10020.2"/>
        <n v="10024"/>
        <n v="10044.4"/>
        <n v="10052.1"/>
        <n v="10070.1"/>
        <n v="10074"/>
        <n v="10095.6"/>
        <n v="10098"/>
        <n v="10115.4"/>
        <n v="10147.2"/>
        <n v="10150"/>
        <n v="10166.4"/>
        <n v="10194"/>
        <n v="10197.2"/>
        <n v="10197.4"/>
        <n v="10245.9"/>
        <n v="10251"/>
        <n v="10252.5"/>
        <n v="10253.2"/>
        <n v="10266.1"/>
        <n v="10273.5"/>
        <n v="10278.4"/>
        <n v="10281.6"/>
        <n v="10283.5"/>
        <n v="10292"/>
        <n v="10323"/>
        <n v="10337.8"/>
        <n v="10338.5"/>
        <n v="10342.8"/>
        <n v="10362"/>
        <n v="10367.3"/>
        <n v="10370.8"/>
        <n v="10396.3"/>
        <n v="10400.5"/>
        <n v="10404.4"/>
        <n v="10411.4"/>
        <n v="10413.2"/>
        <n v="10419"/>
        <n v="10442.2"/>
        <n v="10448.3"/>
        <n v="10462.5"/>
        <n v="10469.2"/>
        <n v="10472.8"/>
        <n v="10472.9"/>
        <n v="10478.1"/>
        <n v="10481.1"/>
        <n v="10483.2"/>
        <n v="10489.2"/>
        <n v="10504.8"/>
        <n v="10506.6"/>
        <n v="10513.5"/>
        <n v="10514.9"/>
        <n v="10516.7"/>
        <n v="10519.7"/>
        <n v="10522.6"/>
        <n v="10524.5"/>
        <n v="10537.9"/>
        <n v="10539.8"/>
        <n v="10540"/>
        <n v="10542.5"/>
        <n v="10564.6"/>
        <n v="10584.7"/>
        <n v="10585.7"/>
        <n v="10593.8"/>
        <n v="10602"/>
        <n v="10603.1"/>
        <n v="10605.3"/>
        <n v="10610.5"/>
        <n v="10611.3"/>
        <n v="10613.4"/>
        <n v="10619.4"/>
        <n v="10625.2"/>
        <n v="10625.5"/>
        <n v="10626"/>
        <n v="10628.8"/>
        <n v="10631.4"/>
        <n v="10633"/>
        <n v="10636.7"/>
        <n v="10642.1"/>
        <n v="10645"/>
        <n v="10645.1"/>
        <n v="10648.5"/>
        <n v="10653"/>
        <n v="10661"/>
        <n v="10664"/>
        <n v="10665"/>
        <n v="10674.3"/>
        <n v="10683.9"/>
        <n v="10684.8"/>
        <n v="10690.4"/>
        <n v="10697.5"/>
        <n v="10700.3"/>
        <n v="10700.7"/>
        <n v="10704"/>
        <n v="10706.5"/>
        <n v="10707.4"/>
        <n v="10710.7"/>
        <n v="10714.5"/>
        <n v="10716.6"/>
        <n v="10725.4"/>
        <n v="10726"/>
        <n v="10728.2"/>
        <n v="10733.8"/>
        <n v="10735.2"/>
        <n v="10738.7"/>
        <n v="10744.8"/>
        <n v="10746.7"/>
        <n v="10750.3"/>
        <n v="10756.3"/>
        <n v="10762.4"/>
        <n v="10772.3"/>
        <n v="10779"/>
        <n v="10790.6"/>
        <n v="10794.4"/>
        <n v="10796.1"/>
        <n v="10796.5"/>
        <n v="10798.7"/>
        <n v="10815.1"/>
        <n v="10815.7"/>
        <n v="10819.2"/>
        <n v="10823.2"/>
        <n v="10826.4"/>
        <n v="10827.2"/>
        <n v="10835.8"/>
        <n v="10856.4"/>
        <n v="10857.7"/>
        <n v="10863.9"/>
        <n v="10865.5"/>
        <n v="10872.1"/>
        <n v="10873.2"/>
        <n v="10873.5"/>
        <n v="10875.5"/>
        <n v="10888.4"/>
        <n v="10890"/>
        <n v="10891.6"/>
        <n v="10897"/>
        <n v="10897.9"/>
        <n v="10900.5"/>
        <n v="10904"/>
        <n v="10904.7"/>
        <n v="10907.4"/>
        <n v="10913.4"/>
        <n v="10915.3"/>
        <n v="10915.8"/>
        <n v="10921.5"/>
        <n v="10923.8"/>
        <n v="10925.7"/>
        <n v="10925.8"/>
        <n v="10931.9"/>
        <n v="10936"/>
        <n v="10938.5"/>
        <n v="10939.2"/>
        <n v="10946.2"/>
        <n v="10948.6"/>
        <n v="10953.6"/>
        <n v="10968.1"/>
        <n v="10972.5"/>
        <n v="10978"/>
        <n v="10978.9"/>
        <n v="10979"/>
        <n v="10980.2"/>
        <n v="10980.9"/>
        <n v="10986.9"/>
        <n v="10988.7"/>
        <n v="10994.8"/>
        <n v="10996.3"/>
        <n v="10997.5"/>
        <n v="10997.8"/>
        <n v="11002.8"/>
        <n v="11004.3"/>
        <n v="11009.2"/>
        <n v="11018.8"/>
        <n v="11029"/>
        <n v="11030.2"/>
        <n v="11033"/>
        <n v="11034.6"/>
        <n v="11035.1"/>
        <n v="11038.7"/>
        <n v="11040"/>
        <n v="11044.8"/>
        <n v="11046"/>
        <n v="11058.4"/>
        <n v="11059.2"/>
        <n v="11060.7"/>
        <n v="11067.7"/>
        <n v="11072.2"/>
        <n v="11073"/>
        <n v="11075.8"/>
        <n v="11079.7"/>
        <n v="11088.8"/>
        <n v="11090.2"/>
        <n v="11092.1"/>
        <n v="11094.8"/>
        <n v="11099.5"/>
        <n v="11103.3"/>
        <n v="11105.4"/>
        <n v="11105.5"/>
        <n v="11112.8"/>
        <n v="11113.2"/>
        <n v="11113.9"/>
        <n v="11124.7"/>
        <n v="11130.3"/>
        <n v="11132.1"/>
        <n v="11133.9"/>
        <n v="11144"/>
        <n v="11149.2"/>
        <n v="11154"/>
        <n v="11165.5"/>
        <n v="11166.3"/>
        <n v="11169"/>
        <n v="11172.3"/>
        <n v="11173.6"/>
        <n v="11174.8"/>
        <n v="11177.7"/>
        <n v="11180"/>
        <n v="11180.6"/>
        <n v="11185.7"/>
        <n v="11189.1"/>
        <n v="11191.9"/>
        <n v="11193.6"/>
        <n v="11202.3"/>
        <n v="11203.5"/>
        <n v="11211.7"/>
        <n v="11214"/>
        <n v="11214.4"/>
        <n v="11219"/>
        <n v="11221.6"/>
        <n v="11225.8"/>
        <n v="11229.7"/>
        <n v="11230.1"/>
        <n v="11233.3"/>
        <n v="11234.7"/>
        <n v="11236.3"/>
        <n v="11238.5"/>
        <n v="11244.7"/>
        <n v="11244.8"/>
        <n v="11246.9"/>
        <n v="11251.8"/>
        <n v="11252"/>
        <n v="11257.2"/>
        <n v="11263.1"/>
        <n v="11263.3"/>
        <n v="11263.8"/>
        <n v="11266"/>
        <n v="11268.9"/>
        <n v="11270"/>
        <n v="11274.9"/>
        <n v="11276.1"/>
        <n v="11279.6"/>
        <n v="11296.5"/>
        <n v="11299"/>
        <n v="11301.4"/>
        <n v="11307.2"/>
        <n v="11313.5"/>
        <n v="11314.2"/>
        <n v="11314.5"/>
        <n v="11318.3"/>
        <n v="11319"/>
        <n v="11320.2"/>
        <n v="11322.6"/>
        <n v="11323"/>
        <n v="11327.2"/>
        <n v="11328.7"/>
        <n v="11331.5"/>
        <n v="11333.7"/>
        <n v="11334.4"/>
        <n v="11336.6"/>
        <n v="11339.9"/>
        <n v="11345.8"/>
        <n v="11350.5"/>
        <n v="11352.9"/>
        <n v="11354.4"/>
        <n v="11356"/>
        <n v="11356.8"/>
        <n v="11357.4"/>
        <n v="11357.5"/>
        <n v="11362.7"/>
        <n v="11362.9"/>
        <n v="11365.2"/>
        <n v="11366.1"/>
        <n v="11374.6"/>
        <n v="11374.7"/>
        <n v="11377.8"/>
        <n v="11381"/>
        <n v="11382.1"/>
        <n v="11385"/>
        <n v="11390.7"/>
        <n v="11393.2"/>
        <n v="11397"/>
        <n v="11397.1"/>
        <n v="11397.7"/>
        <n v="11405.7"/>
        <n v="11406"/>
        <n v="11406.1"/>
        <n v="11407.5"/>
        <n v="11409.3"/>
        <n v="11409.9"/>
        <n v="11416.2"/>
        <n v="11418"/>
        <n v="11422.8"/>
        <n v="11424.4"/>
        <n v="11429.1"/>
        <n v="11431.1"/>
        <n v="11435.3"/>
        <n v="11437.2"/>
        <n v="11437.4"/>
        <n v="11439.5"/>
        <n v="11448"/>
        <n v="11448.4"/>
        <n v="11453.7"/>
        <n v="11457"/>
        <n v="11458.2"/>
        <n v="11466.6"/>
        <n v="11467.1"/>
        <n v="11469.6"/>
        <n v="11474.1"/>
        <n v="11475.7"/>
        <n v="11478.4"/>
        <n v="11478.9"/>
        <n v="11479"/>
        <n v="11483.3"/>
        <n v="11483.5"/>
        <n v="11489.6"/>
        <n v="11490.3"/>
        <n v="11495.8"/>
        <n v="11497.5"/>
        <n v="11499.7"/>
        <n v="11508"/>
        <n v="11508.7"/>
        <n v="11511.6"/>
        <n v="11513.8"/>
        <n v="11515"/>
        <n v="11515.4"/>
        <n v="11516.8"/>
        <n v="11517.3"/>
        <n v="11518.6"/>
        <n v="11522.7"/>
        <n v="11525.8"/>
        <n v="11527.6"/>
        <n v="11530.4"/>
        <n v="11532.2"/>
        <n v="11539.1"/>
        <n v="11540.4"/>
        <n v="11541.2"/>
        <n v="11542.5"/>
        <n v="11544.9"/>
        <n v="11547.7"/>
        <n v="11549.8"/>
        <n v="11550"/>
        <n v="11551"/>
        <n v="11551.1"/>
        <n v="11553.6"/>
        <n v="11554.4"/>
        <n v="11556.4"/>
        <n v="11560.7"/>
        <n v="11564"/>
        <n v="11564.7"/>
        <n v="11566.8"/>
        <n v="11566.9"/>
        <n v="11567.5"/>
        <n v="11568"/>
        <n v="11570"/>
        <n v="11571"/>
        <n v="11573.7"/>
        <n v="11576.2"/>
        <n v="11576.5"/>
        <n v="11581.3"/>
        <n v="11581.4"/>
        <n v="11582.1"/>
        <n v="11582.3"/>
        <n v="11583"/>
        <n v="11583.1"/>
        <n v="11584.9"/>
        <n v="11585"/>
        <n v="11587"/>
        <n v="11589.8"/>
        <n v="11590.2"/>
        <n v="11593.4"/>
        <n v="11593.7"/>
        <n v="11593.8"/>
        <n v="11594"/>
        <n v="11598.1"/>
        <n v="11601.4"/>
        <n v="11601.8"/>
        <n v="11602.5"/>
        <n v="11608.1"/>
        <n v="11611"/>
        <n v="11611.1"/>
        <n v="11611.2"/>
        <n v="11611.3"/>
        <n v="11618.4"/>
        <n v="11618.7"/>
        <n v="11620"/>
        <n v="11628"/>
        <n v="11632.8"/>
        <n v="11634"/>
        <n v="11635.6"/>
        <n v="11637.7"/>
        <n v="11644.1"/>
        <n v="11646.2"/>
        <n v="11647.2"/>
        <n v="11650.8"/>
        <n v="11651.5"/>
        <n v="11657.2"/>
        <n v="11660.2"/>
        <n v="11661.8"/>
        <n v="11662.2"/>
        <n v="11663.7"/>
        <n v="11665.4"/>
        <n v="11665.5"/>
        <n v="11666.2"/>
        <n v="11667.6"/>
        <n v="11669"/>
        <n v="11670.7"/>
        <n v="11670.8"/>
        <n v="11673.5"/>
        <n v="11675.4"/>
        <n v="11676.8"/>
        <n v="11677.5"/>
        <n v="11679.3"/>
        <n v="11681.2"/>
        <n v="11683.5"/>
        <n v="11684.5"/>
        <n v="11686.1"/>
        <n v="11688.7"/>
        <n v="11690"/>
        <n v="11690.8"/>
        <n v="11693.5"/>
        <n v="11698.3"/>
        <n v="11701.2"/>
        <n v="11701.6"/>
        <n v="11708.5"/>
        <n v="11709.8"/>
        <n v="11712.1"/>
        <n v="11713"/>
        <n v="11716.2"/>
        <n v="11725"/>
        <n v="11726.2"/>
        <n v="11729.4"/>
        <n v="11730.3"/>
        <n v="11733.7"/>
        <n v="11735.1"/>
        <n v="11738"/>
        <n v="11739.8"/>
        <n v="11741.2"/>
        <n v="11743.4"/>
        <n v="11751.2"/>
        <n v="11752.8"/>
        <n v="11752.9"/>
        <n v="11753.9"/>
        <n v="11755.9"/>
        <n v="11756.8"/>
        <n v="11761.6"/>
        <n v="11762.4"/>
        <n v="11764"/>
        <n v="11764.8"/>
        <n v="11768.7"/>
        <n v="11772.2"/>
        <n v="11772.5"/>
        <n v="11772.6"/>
        <n v="11779.3"/>
        <n v="11781.8"/>
        <n v="11783.1"/>
        <n v="11784.5"/>
        <n v="11785.2"/>
        <n v="11787.1"/>
        <n v="11788.2"/>
        <n v="11793.7"/>
        <n v="11796.1"/>
        <n v="11797"/>
        <n v="11799"/>
        <n v="11800.8"/>
        <n v="11803"/>
        <n v="11803.7"/>
        <n v="11804.6"/>
        <n v="11805"/>
        <n v="11805.9"/>
        <n v="11806.9"/>
        <n v="11810.4"/>
        <n v="11814"/>
        <n v="11815"/>
        <n v="11816.1"/>
        <n v="11817.4"/>
        <n v="11817.5"/>
        <n v="11821.8"/>
        <n v="11824.7"/>
        <n v="11825"/>
        <n v="11828.3"/>
        <n v="11830"/>
        <n v="11831.9"/>
        <n v="11833.2"/>
        <n v="11837"/>
        <n v="11837.1"/>
        <n v="11840.8"/>
        <n v="11841.3"/>
        <n v="11841.7"/>
        <n v="11844"/>
        <n v="11847.7"/>
        <n v="11849.7"/>
        <n v="11850.1"/>
        <n v="11850.5"/>
        <n v="11852.4"/>
        <n v="11854.8"/>
        <n v="11857.5"/>
        <n v="11858"/>
        <n v="11858.4"/>
        <n v="11859"/>
        <n v="11863.5"/>
        <n v="11863.6"/>
        <n v="11876.6"/>
        <n v="11876.7"/>
        <n v="11884.4"/>
        <n v="11885.5"/>
        <n v="11885.6"/>
        <n v="11890.8"/>
        <n v="11895"/>
        <n v="11900"/>
        <n v="11901.6"/>
        <n v="11904"/>
        <n v="11904.7"/>
        <n v="11907"/>
        <n v="11911"/>
        <n v="11912.1"/>
        <n v="11912.4"/>
        <n v="11914"/>
        <n v="11917.5"/>
        <n v="11918.7"/>
        <n v="11926.2"/>
        <n v="11927.2"/>
        <n v="11929.8"/>
        <n v="11931.6"/>
        <n v="11936.9"/>
        <n v="11941.2"/>
        <n v="11941.6"/>
        <n v="11945.6"/>
        <n v="11947.9"/>
        <n v="11948.2"/>
        <n v="11948.3"/>
        <n v="11952.9"/>
        <n v="11955"/>
        <n v="11958.6"/>
        <n v="11960.2"/>
        <n v="11961"/>
        <n v="11961.2"/>
        <n v="11964.1"/>
        <n v="11970"/>
        <n v="11971.6"/>
        <n v="11972.2"/>
        <n v="11973.1"/>
        <n v="11976.5"/>
        <n v="11977.3"/>
        <n v="11979.8"/>
        <n v="11982.2"/>
        <n v="11986.5"/>
        <n v="11987.1"/>
        <n v="11991.2"/>
        <n v="11993"/>
        <n v="11993.5"/>
        <n v="11997.2"/>
        <n v="12000.6"/>
        <n v="12001.9"/>
        <n v="12003.2"/>
        <n v="12005.6"/>
        <n v="12009.4"/>
        <n v="12010.5"/>
        <n v="12010.9"/>
        <n v="12019.8"/>
        <n v="12021.1"/>
        <n v="12023.1"/>
        <n v="12024.1"/>
        <n v="12027.1"/>
        <n v="12028.3"/>
        <n v="12029.8"/>
        <n v="12034.2"/>
        <n v="12036.5"/>
        <n v="12037.5"/>
        <n v="12040"/>
        <n v="12043.5"/>
        <n v="12048.7"/>
        <n v="12050.5"/>
        <n v="12053"/>
        <n v="12053.7"/>
        <n v="12057.5"/>
        <n v="12058.1"/>
        <n v="12067.6"/>
        <n v="12068.8"/>
        <n v="12071.2"/>
        <n v="12071.4"/>
        <n v="12074.4"/>
        <n v="12075"/>
        <n v="12075.4"/>
        <n v="12078"/>
        <n v="12078.5"/>
        <n v="12080.7"/>
        <n v="12081.7"/>
        <n v="12082.4"/>
        <n v="12082.5"/>
        <n v="12083.7"/>
        <n v="12087.1"/>
        <n v="12099"/>
        <n v="12099.8"/>
        <n v="12103"/>
        <n v="12105.4"/>
        <n v="12108.9"/>
        <n v="12112.1"/>
        <n v="12112.5"/>
        <n v="12114.6"/>
        <n v="12117.5"/>
        <n v="12118.6"/>
        <n v="12123.7"/>
        <n v="12124.3"/>
        <n v="12126.4"/>
        <n v="12126.7"/>
        <n v="12127.5"/>
        <n v="12132.9"/>
        <n v="12136"/>
        <n v="12136.1"/>
        <n v="12144"/>
        <n v="12144.2"/>
        <n v="12144.6"/>
        <n v="12145.6"/>
        <n v="12150"/>
        <n v="12155"/>
        <n v="12162.5"/>
        <n v="12163.2"/>
        <n v="12164.3"/>
        <n v="12168.7"/>
        <n v="12170.6"/>
        <n v="12172.2"/>
        <n v="12173"/>
        <n v="12175.2"/>
        <n v="12177.6"/>
        <n v="12179.2"/>
        <n v="12180.9"/>
        <n v="12182.2"/>
        <n v="12184.9"/>
        <n v="12188"/>
        <n v="12189.9"/>
        <n v="12192.4"/>
        <n v="12195"/>
        <n v="12196.9"/>
        <n v="12199.2"/>
        <n v="12200.7"/>
        <n v="12201.6"/>
        <n v="12207.8"/>
        <n v="12215"/>
        <n v="12224.4"/>
        <n v="12226.5"/>
        <n v="12229.5"/>
        <n v="12230.4"/>
        <n v="12235.6"/>
        <n v="12237.7"/>
        <n v="12239.1"/>
        <n v="12242.7"/>
        <n v="12245.2"/>
        <n v="12247"/>
        <n v="12252.5"/>
        <n v="12265.5"/>
        <n v="12266.1"/>
        <n v="12267.2"/>
        <n v="12274.7"/>
        <n v="12274.9"/>
        <n v="12276.5"/>
        <n v="12292.6"/>
        <n v="12293.2"/>
        <n v="12297.3"/>
        <n v="12301.2"/>
        <n v="12302.5"/>
        <n v="12303.2"/>
        <n v="12306.2"/>
        <n v="12311.2"/>
        <n v="12313.9"/>
        <n v="12315.9"/>
        <n v="12317"/>
        <n v="12320"/>
        <n v="12321.4"/>
        <n v="12322.5"/>
        <n v="12325.5"/>
        <n v="12326.1"/>
        <n v="12330.5"/>
        <n v="12332.6"/>
        <n v="12335.4"/>
        <n v="12342"/>
        <n v="12343.3"/>
        <n v="12344.2"/>
        <n v="12345.7"/>
        <n v="12351.3"/>
        <n v="12354.7"/>
        <n v="12360.6"/>
        <n v="12361.6"/>
        <n v="12374"/>
        <n v="12376.5"/>
        <n v="12379.9"/>
        <n v="12386.8"/>
        <n v="12395.7"/>
        <n v="12397.1"/>
        <n v="12398.4"/>
        <n v="12406.6"/>
        <n v="12407.5"/>
        <n v="12411"/>
        <n v="12416.5"/>
        <n v="12416.8"/>
        <n v="12422.7"/>
        <n v="12426.7"/>
        <n v="12429.2"/>
        <n v="12432"/>
        <n v="12434.8"/>
        <n v="12439.7"/>
        <n v="12444.8"/>
        <n v="12445.6"/>
        <n v="12450.5"/>
        <n v="12453.1"/>
        <n v="12455.1"/>
        <n v="12472.6"/>
        <n v="12472.9"/>
        <n v="12474"/>
        <n v="12480.6"/>
        <n v="12482.2"/>
        <n v="12485.2"/>
        <n v="12485.8"/>
        <n v="12486.2"/>
        <n v="12487.5"/>
        <n v="12489.4"/>
        <n v="12498"/>
        <n v="12503.1"/>
        <n v="12506"/>
        <n v="12506.4"/>
        <n v="12509.7"/>
        <n v="12515.2"/>
        <n v="12529"/>
        <n v="12535.5"/>
        <n v="12544.9"/>
        <n v="12567"/>
        <n v="12569.7"/>
        <n v="12570.4"/>
        <n v="12570.7"/>
        <n v="12577.1"/>
        <n v="12589.5"/>
        <n v="12606"/>
        <n v="12606.3"/>
        <n v="12617.8"/>
        <n v="12618"/>
        <n v="12635.5"/>
        <n v="12641.2"/>
        <n v="12644.7"/>
        <n v="12645.4"/>
        <n v="12649.6"/>
        <n v="12658.1"/>
        <n v="12663.3"/>
        <n v="12673.2"/>
        <n v="12676.4"/>
        <n v="12678.6"/>
        <n v="12685.6"/>
        <n v="12700.2"/>
        <n v="12716"/>
        <n v="12725.4"/>
        <n v="12728.9"/>
        <n v="12744"/>
        <n v="12751.4"/>
        <n v="12753.4"/>
        <n v="12760"/>
        <n v="12762.7"/>
        <n v="12765"/>
        <n v="12765.1"/>
        <n v="12766.9"/>
        <n v="12767.3"/>
        <n v="12768.9"/>
        <n v="12792.5"/>
        <n v="12800.8"/>
        <n v="12805.9"/>
        <n v="12814"/>
        <n v="12814.2"/>
        <n v="12823.2"/>
        <n v="12833.1"/>
        <n v="12842.1"/>
        <n v="12845.4"/>
        <n v="12846.9"/>
        <n v="12852"/>
        <n v="12902.8"/>
        <n v="12905.6"/>
        <n v="12911.6"/>
        <n v="12912.3"/>
        <n v="12936.4"/>
        <n v="12949"/>
        <n v="12975.8"/>
        <n v="12986"/>
        <n v="13026"/>
        <n v="13038.3"/>
        <n v="13046.2"/>
        <n v="13092.8"/>
        <n v="13097.5"/>
        <n v="13097.7"/>
        <n v="13109.5"/>
        <n v="13117.5"/>
        <n v="13122.8"/>
        <n v="13125.7"/>
        <n v="13129.6"/>
        <n v="13137.8"/>
        <n v="13167"/>
        <n v="13168"/>
        <n v="13175.5"/>
        <n v="13209.6"/>
        <n v="13227.4"/>
        <n v="13230"/>
        <n v="13241.1"/>
        <n v="13252.5"/>
        <n v="13305.7"/>
        <n v="13308.8"/>
        <n v="13321"/>
        <n v="13332"/>
        <n v="13338.3"/>
        <n v="13342.5"/>
        <n v="13346.9"/>
        <n v="13348.5"/>
        <n v="13352.5"/>
        <n v="13360"/>
        <n v="13380.7"/>
        <n v="13405"/>
        <n v="13406.7"/>
        <n v="13422.5"/>
        <n v="13435.4"/>
        <n v="13460.8"/>
        <n v="13482.7"/>
        <n v="13483.3"/>
        <n v="13486.2"/>
        <n v="13510"/>
        <n v="13527.5"/>
        <n v="13531.6"/>
        <n v="13536.9"/>
        <n v="13550.6"/>
        <n v="13560.5"/>
        <n v="13575.9"/>
        <n v="13577.1"/>
        <n v="13580"/>
        <n v="13602.1"/>
        <n v="13628.7"/>
        <n v="13632.4"/>
        <n v="13662.9"/>
        <n v="13682.1"/>
        <n v="13686"/>
        <n v="13692.1"/>
        <n v="13711.4"/>
        <n v="13720"/>
        <n v="13733.4"/>
        <n v="13744"/>
        <n v="13746.9"/>
        <n v="13755"/>
        <n v="13756.9"/>
        <n v="13762.1"/>
        <n v="13763.7"/>
        <n v="13765.1"/>
        <n v="13781.2"/>
        <n v="13809"/>
        <n v="13819.3"/>
        <n v="13825"/>
        <n v="13832.5"/>
        <n v="13865.7"/>
        <n v="13897.5"/>
        <n v="13900.2"/>
        <n v="13911.2"/>
        <n v="13912.2"/>
        <n v="13920"/>
        <n v="13926.5"/>
        <n v="13934"/>
        <n v="13938.7"/>
        <n v="13940.7"/>
        <n v="13946"/>
        <n v="13978.4"/>
        <n v="13991.8"/>
        <n v="13995.7"/>
        <n v="13999.5"/>
        <n v="14015.7"/>
        <n v="14019.6"/>
        <n v="14027.9"/>
        <n v="14030.3"/>
        <n v="14033.6"/>
        <n v="14036.5"/>
        <n v="14051.5"/>
        <n v="14052.5"/>
        <n v="14061.4"/>
        <n v="14078"/>
        <n v="14105.2"/>
        <n v="14108.9"/>
        <n v="14119.7"/>
        <n v="14133.1"/>
        <n v="14135.1"/>
        <n v="14167.8"/>
        <n v="14181.3"/>
        <n v="14185.7"/>
        <n v="14198.7"/>
        <n v="14203.6"/>
        <n v="14208"/>
        <n v="14209.9"/>
        <n v="14218.7"/>
        <n v="14221.9"/>
        <n v="14228.2"/>
        <n v="14266.3"/>
        <n v="14274"/>
        <n v="14276"/>
        <n v="14288"/>
        <n v="14289.9"/>
        <n v="14291.2"/>
        <n v="14302.1"/>
        <n v="14305.8"/>
        <n v="14309.7"/>
        <n v="14317.1"/>
        <n v="14319"/>
        <n v="14320"/>
        <n v="14337.9"/>
        <n v="14370.9"/>
        <n v="14374.6"/>
        <n v="14436.4"/>
        <n v="14438.7"/>
        <n v="14455"/>
        <n v="14466.1"/>
        <n v="14476.2"/>
        <n v="14481.1"/>
        <n v="14548.5"/>
        <n v="14557.6"/>
        <n v="14576.6"/>
        <n v="14590.8"/>
        <n v="14615"/>
        <n v="14619.6"/>
        <n v="14628.6"/>
        <n v="14642.1"/>
        <n v="14661"/>
        <n v="14667.4"/>
        <n v="14687.6"/>
        <n v="14688.8"/>
        <n v="14693.2"/>
        <n v="14697.2"/>
        <n v="14732.5"/>
        <n v="14751"/>
        <n v="14763"/>
        <n v="14764.3"/>
        <n v="14767.4"/>
        <n v="14796.7"/>
        <n v="14805.8"/>
        <n v="14838.4"/>
        <n v="14851.3"/>
        <n v="14869.3"/>
        <n v="14896"/>
        <n v="14898"/>
        <n v="14905.3"/>
        <n v="14921.5"/>
        <n v="14922.6"/>
        <n v="14977.6"/>
        <n v="15003"/>
        <n v="15015.1"/>
        <n v="15083.2"/>
        <n v="15094.8"/>
        <n v="15102.9"/>
        <n v="15170.8"/>
        <n v="15240"/>
        <n v="15337"/>
        <n v="15372.3"/>
        <n v="15388.2"/>
        <n v="15396"/>
        <n v="15417.2"/>
        <n v="15460"/>
        <n v="15500.1"/>
        <n v="15513.7"/>
        <n v="15526.7"/>
        <n v="15540"/>
        <n v="15564"/>
        <n v="15580"/>
        <n v="15600"/>
        <n v="15601.2"/>
        <n v="15614.5"/>
        <n v="15640"/>
        <n v="15680"/>
        <n v="15714.5"/>
        <n v="15752"/>
        <n v="15767.5"/>
        <n v="15768.9"/>
        <n v="15787.8"/>
        <n v="15820"/>
        <n v="15837.5"/>
        <n v="15895.2"/>
        <n v="15928"/>
        <n v="15962"/>
        <n v="16011.5"/>
        <n v="16083.1"/>
        <n v="16140.6"/>
        <n v="16142.4"/>
        <n v="16160.6"/>
        <n v="16161.1"/>
        <n v="16217.4"/>
        <n v="16253.2"/>
        <n v="16305.3"/>
        <n v="16306.9"/>
        <n v="16320.8"/>
        <n v="16354"/>
        <n v="16360.2"/>
        <n v="16371.4"/>
        <n v="16387.4"/>
        <n v="16442.4"/>
        <n v="16474.7"/>
        <n v="16492.7"/>
        <n v="16502"/>
        <n v="16511.2"/>
        <n v="16512.1"/>
        <n v="16518.6"/>
        <n v="16537.5"/>
        <n v="16548.2"/>
        <n v="16584.3"/>
        <n v="16610"/>
        <n v="16664.7"/>
        <n v="16677.7"/>
        <n v="16689.6"/>
        <n v="16699.1"/>
        <n v="16706.3"/>
        <n v="16788.9"/>
        <n v="16798.4"/>
        <n v="16802.1"/>
        <n v="16817.5"/>
        <n v="16913"/>
        <n v="16924.9"/>
        <n v="16953.3"/>
        <n v="16980"/>
        <n v="16989.4"/>
        <n v="17062"/>
        <n v="17110"/>
        <n v="17325.2"/>
        <n v="17820"/>
        <n v="17860"/>
        <n v="17880"/>
        <n v="17900"/>
        <n v="17980"/>
        <n v="18000"/>
        <n v="18100"/>
        <n v="18116.2"/>
        <n v="18170"/>
        <n v="18235.9"/>
        <n v="18280"/>
        <n v="18440"/>
        <n v="18451.6"/>
        <n v="18625.9"/>
        <n v="18774.8"/>
        <n v="22920"/>
        <m/>
      </sharedItems>
    </cacheField>
    <cacheField name="Год урожая" numFmtId="0">
      <sharedItems containsSemiMixedTypes="0" containsString="0" containsNumber="1" containsInteger="1" minValue="2023" maxValue="2026" count="4">
        <n v="2023"/>
        <n v="2024"/>
        <n v="2025"/>
        <n v="2026"/>
      </sharedItems>
    </cacheField>
    <cacheField name="Номер акта" numFmtId="0">
      <sharedItems containsString="0" containsBlank="1" containsNumber="1" containsInteger="1" minValue="14" maxValue="122" count="109"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m/>
      </sharedItems>
    </cacheField>
    <cacheField name="Дата акта" numFmtId="0">
      <sharedItems containsSemiMixedTypes="0" containsNonDate="0" containsDate="1" containsString="0" minDate="2023-05-26T00:00:00" maxDate="2026-06-10T00:00:00" count="127">
        <d v="2023-05-26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4-05-17T00:00:00"/>
        <d v="2024-05-18T00:00:00"/>
        <d v="2024-05-20T00:00:00"/>
        <d v="2024-05-21T00:00:00"/>
        <d v="2024-05-22T00:00:00"/>
        <d v="2024-05-23T00:00:00"/>
        <d v="2024-05-24T00:00:00"/>
        <d v="2024-05-25T00:00:00"/>
        <d v="2024-05-28T00:00:00"/>
        <d v="2024-05-29T00:00:00"/>
        <d v="2024-05-30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4T00:00:00"/>
        <d v="2024-06-25T00:00:00"/>
        <d v="2024-06-26T00:00:00"/>
        <d v="2024-06-27T00:00:00"/>
        <d v="2024-06-28T00:00:00"/>
        <d v="2025-05-27T00:00:00"/>
        <d v="2025-05-28T00:00:00"/>
        <d v="2025-05-29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8T00:00:00"/>
        <d v="2025-07-09T00:00:00"/>
        <d v="2025-07-10T00:00:00"/>
        <d v="2026-06-03T00:00:00"/>
        <d v="2026-06-04T00:00:00"/>
        <d v="2026-06-06T00:00:00"/>
        <d v="2026-06-07T00:00:00"/>
        <d v="2026-06-08T00:00:00"/>
        <d v="2026-06-09T00:00:00"/>
        <d v="2026-06-10T00:00:00"/>
      </sharedItems>
    </cacheField>
    <cacheField name="Отход" numFmtId="0">
      <sharedItems containsSemiMixedTypes="0" containsString="0" containsNumber="1" minValue="0" maxValue="16860" count="1363">
        <n v="0"/>
        <n v="70"/>
        <n v="201.6"/>
        <n v="265.4"/>
        <n v="290"/>
        <n v="293.8"/>
        <n v="294"/>
        <n v="300.2"/>
        <n v="300.3"/>
        <n v="301.4"/>
        <n v="327.8"/>
        <n v="339"/>
        <n v="344.1"/>
        <n v="358.2"/>
        <n v="363"/>
        <n v="386.4"/>
        <n v="424.2"/>
        <n v="428.4"/>
        <n v="430.4"/>
        <n v="432.5"/>
        <n v="447.3"/>
        <n v="447.9"/>
        <n v="450"/>
        <n v="451"/>
        <n v="453.6"/>
        <n v="471.5"/>
        <n v="498.8"/>
        <n v="514.1"/>
        <n v="517"/>
        <n v="535.5"/>
        <n v="540.8"/>
        <n v="550"/>
        <n v="567.5"/>
        <n v="571.2"/>
        <n v="571.9"/>
        <n v="581.4"/>
        <n v="583.7"/>
        <n v="596.700000000001"/>
        <n v="599.3"/>
        <n v="600.3"/>
        <n v="603.5"/>
        <n v="606.2"/>
        <n v="611.1"/>
        <n v="628.6"/>
        <n v="632.8"/>
        <n v="633.9"/>
        <n v="637.5"/>
        <n v="640.799999999999"/>
        <n v="655"/>
        <n v="658.8"/>
        <n v="661.7"/>
        <n v="668.2"/>
        <n v="672.8"/>
        <n v="675.2"/>
        <n v="686.6"/>
        <n v="695.5"/>
        <n v="695.700000000001"/>
        <n v="696"/>
        <n v="696.9"/>
        <n v="697.2"/>
        <n v="700.200000000001"/>
        <n v="700.700000000001"/>
        <n v="702"/>
        <n v="702.4"/>
        <n v="702.5"/>
        <n v="705.700000000001"/>
        <n v="706.8"/>
        <n v="707"/>
        <n v="707.7"/>
        <n v="708.9"/>
        <n v="714.2"/>
        <n v="719.3"/>
        <n v="719.4"/>
        <n v="721.6"/>
        <n v="723.299999999999"/>
        <n v="724.4"/>
        <n v="724.9"/>
        <n v="726"/>
        <n v="731.9"/>
        <n v="733.3"/>
        <n v="733.700000000001"/>
        <n v="741.6"/>
        <n v="743.1"/>
        <n v="745.799999999999"/>
        <n v="748"/>
        <n v="750.8"/>
        <n v="769.4"/>
        <n v="775"/>
        <n v="777.4"/>
        <n v="782.3"/>
        <n v="784"/>
        <n v="785.299999999999"/>
        <n v="789.3"/>
        <n v="790.4"/>
        <n v="791.099999999999"/>
        <n v="791.2"/>
        <n v="791.599999999999"/>
        <n v="792.5"/>
        <n v="794.4"/>
        <n v="797"/>
        <n v="798"/>
        <n v="800.599999999999"/>
        <n v="816"/>
        <n v="817.1"/>
        <n v="822.9"/>
        <n v="826.3"/>
        <n v="827.4"/>
        <n v="831.3"/>
        <n v="831.4"/>
        <n v="832.700000000001"/>
        <n v="834.4"/>
        <n v="835.9"/>
        <n v="837.6"/>
        <n v="838.3"/>
        <n v="843.8"/>
        <n v="844.4"/>
        <n v="845"/>
        <n v="845.700000000001"/>
        <n v="847.6"/>
        <n v="848.299999999999"/>
        <n v="849.2"/>
        <n v="849.4"/>
        <n v="850.9"/>
        <n v="851"/>
        <n v="851.4"/>
        <n v="852.5"/>
        <n v="852.799999999999"/>
        <n v="853.5"/>
        <n v="856.1"/>
        <n v="857.4"/>
        <n v="857.5"/>
        <n v="857.9"/>
        <n v="858"/>
        <n v="858.700000000001"/>
        <n v="861"/>
        <n v="863.200000000001"/>
        <n v="865.1"/>
        <n v="865.200000000001"/>
        <n v="867.1"/>
        <n v="867.799999999999"/>
        <n v="868.5"/>
        <n v="869.7"/>
        <n v="871"/>
        <n v="877.5"/>
        <n v="878.4"/>
        <n v="878.799999999999"/>
        <n v="880.4"/>
        <n v="881.4"/>
        <n v="886"/>
        <n v="886.6"/>
        <n v="887.299999999999"/>
        <n v="893.1"/>
        <n v="896.7"/>
        <n v="897.700000000001"/>
        <n v="898"/>
        <n v="898.799999999999"/>
        <n v="909.299999999999"/>
        <n v="909.9"/>
        <n v="911.4"/>
        <n v="914.9"/>
        <n v="918.4"/>
        <n v="920.5"/>
        <n v="924.6"/>
        <n v="924.8"/>
        <n v="927.2"/>
        <n v="928.1"/>
        <n v="930.7"/>
        <n v="932.4"/>
        <n v="932.8"/>
        <n v="934.2"/>
        <n v="940.8"/>
        <n v="942.6"/>
        <n v="945.6"/>
        <n v="946.4"/>
        <n v="946.5"/>
        <n v="953.1"/>
        <n v="956.299999999999"/>
        <n v="957"/>
        <n v="957.4"/>
        <n v="960.4"/>
        <n v="961.1"/>
        <n v="961.4"/>
        <n v="961.5"/>
        <n v="962.5"/>
        <n v="964.3"/>
        <n v="964.6"/>
        <n v="965.299999999999"/>
        <n v="966"/>
        <n v="969.799999999999"/>
        <n v="975.799999999999"/>
        <n v="976"/>
        <n v="976.5"/>
        <n v="977.3"/>
        <n v="977.900000000002"/>
        <n v="978.799999999999"/>
        <n v="981"/>
        <n v="981.4"/>
        <n v="982"/>
        <n v="982.299999999999"/>
        <n v="982.5"/>
        <n v="983.299999999999"/>
        <n v="984"/>
        <n v="985.099999999999"/>
        <n v="986.700000000001"/>
        <n v="987"/>
        <n v="987.799999999999"/>
        <n v="989.299999999999"/>
        <n v="992.2"/>
        <n v="992.299999999999"/>
        <n v="993"/>
        <n v="994.4"/>
        <n v="994.5"/>
        <n v="995.299999999999"/>
        <n v="996.799999999999"/>
        <n v="997.6"/>
        <n v="999.1"/>
        <n v="1001.9"/>
        <n v="1003.2"/>
        <n v="1003.5"/>
        <n v="1003.6"/>
        <n v="1007.3"/>
        <n v="1008"/>
        <n v="1009.5"/>
        <n v="1010.7"/>
        <n v="1012.5"/>
        <n v="1012.8"/>
        <n v="1013.4"/>
        <n v="1014"/>
        <n v="1014.8"/>
        <n v="1016.4"/>
        <n v="1017.9"/>
        <n v="1019.3"/>
        <n v="1021.2"/>
        <n v="1024.5"/>
        <n v="1024.8"/>
        <n v="1025.3"/>
        <n v="1029.5"/>
        <n v="1029.8"/>
        <n v="1031.6"/>
        <n v="1032.8"/>
        <n v="1035"/>
        <n v="1037.4"/>
        <n v="1041"/>
        <n v="1049.3"/>
        <n v="1049.4"/>
        <n v="1060.8"/>
        <n v="1064.8"/>
        <n v="1073.1"/>
        <n v="1076"/>
        <n v="1076.8"/>
        <n v="1078.7"/>
        <n v="1080"/>
        <n v="1083.8"/>
        <n v="1084.1"/>
        <n v="1085.5"/>
        <n v="1089.7"/>
        <n v="1097.4"/>
        <n v="1097.5"/>
        <n v="1098.2"/>
        <n v="1100.4"/>
        <n v="1101.6"/>
        <n v="1102"/>
        <n v="1105"/>
        <n v="1112.7"/>
        <n v="1113.5"/>
        <n v="1116.9"/>
        <n v="1118"/>
        <n v="1119.5"/>
        <n v="1121.2"/>
        <n v="1122"/>
        <n v="1122.5"/>
        <n v="1122.9"/>
        <n v="1124.3"/>
        <n v="1124.6"/>
        <n v="1125.4"/>
        <n v="1126.3"/>
        <n v="1127.1"/>
        <n v="1133.1"/>
        <n v="1135.6"/>
        <n v="1137.3"/>
        <n v="1139.4"/>
        <n v="1144.1"/>
        <n v="1145.3"/>
        <n v="1146.7"/>
        <n v="1147.9"/>
        <n v="1148.4"/>
        <n v="1150.1"/>
        <n v="1151.3"/>
        <n v="1152"/>
        <n v="1155.2"/>
        <n v="1156.5"/>
        <n v="1156.9"/>
        <n v="1158.8"/>
        <n v="1159.4"/>
        <n v="1160.3"/>
        <n v="1160.9"/>
        <n v="1161"/>
        <n v="1164.5"/>
        <n v="1165.5"/>
        <n v="1168.7"/>
        <n v="1170.5"/>
        <n v="1172.2"/>
        <n v="1173.8"/>
        <n v="1174.6"/>
        <n v="1176"/>
        <n v="1182.5"/>
        <n v="1185"/>
        <n v="1188.9"/>
        <n v="1189.2"/>
        <n v="1190"/>
        <n v="1195.1"/>
        <n v="1196"/>
        <n v="1197"/>
        <n v="1197.9"/>
        <n v="1201.2"/>
        <n v="1212.1"/>
        <n v="1212.6"/>
        <n v="1216.4"/>
        <n v="1218.6"/>
        <n v="1218.9"/>
        <n v="1219.5"/>
        <n v="1224.6"/>
        <n v="1225.3"/>
        <n v="1226.5"/>
        <n v="1227.2"/>
        <n v="1228.4"/>
        <n v="1230.3"/>
        <n v="1234.1"/>
        <n v="1234.8"/>
        <n v="1236.9"/>
        <n v="1237.6"/>
        <n v="1241.7"/>
        <n v="1251.9"/>
        <n v="1253.1"/>
        <n v="1255"/>
        <n v="1255.9"/>
        <n v="1257.8"/>
        <n v="1258.8"/>
        <n v="1261.2"/>
        <n v="1261.7"/>
        <n v="1263.5"/>
        <n v="1268.3"/>
        <n v="1270.2"/>
        <n v="1271.1"/>
        <n v="1272"/>
        <n v="1273.9"/>
        <n v="1274"/>
        <n v="1276.8"/>
        <n v="1277.8"/>
        <n v="1279.1"/>
        <n v="1282.3"/>
        <n v="1283.5"/>
        <n v="1284.4"/>
        <n v="1290.5"/>
        <n v="1293"/>
        <n v="1293.9"/>
        <n v="1295.1"/>
        <n v="1295.8"/>
        <n v="1300.5"/>
        <n v="1303.4"/>
        <n v="1305"/>
        <n v="1305.2"/>
        <n v="1312"/>
        <n v="1319.2"/>
        <n v="1319.5"/>
        <n v="1319.6"/>
        <n v="1320.1"/>
        <n v="1321.8"/>
        <n v="1326"/>
        <n v="1327.5"/>
        <n v="1328.7"/>
        <n v="1329"/>
        <n v="1330"/>
        <n v="1332.5"/>
        <n v="1333"/>
        <n v="1335.4"/>
        <n v="1337.3"/>
        <n v="1338"/>
        <n v="1338.6"/>
        <n v="1341.3"/>
        <n v="1341.8"/>
        <n v="1343.9"/>
        <n v="1345"/>
        <n v="1347.1"/>
        <n v="1350"/>
        <n v="1351.1"/>
        <n v="1351.4"/>
        <n v="1351.5"/>
        <n v="1352.3"/>
        <n v="1352.4"/>
        <n v="1354.1"/>
        <n v="1355"/>
        <n v="1355.6"/>
        <n v="1356.3"/>
        <n v="1358.7"/>
        <n v="1361.9"/>
        <n v="1362.6"/>
        <n v="1367"/>
        <n v="1367.4"/>
        <n v="1367.9"/>
        <n v="1368.2"/>
        <n v="1369.2"/>
        <n v="1371.3"/>
        <n v="1373.2"/>
        <n v="1379"/>
        <n v="1381.2"/>
        <n v="1382.9"/>
        <n v="1383.9"/>
        <n v="1385"/>
        <n v="1386"/>
        <n v="1388.1"/>
        <n v="1389.2"/>
        <n v="1393"/>
        <n v="1393.3"/>
        <n v="1393.4"/>
        <n v="1394.4"/>
        <n v="1394.9"/>
        <n v="1397.6"/>
        <n v="1399.5"/>
        <n v="1401.8"/>
        <n v="1402"/>
        <n v="1402.5"/>
        <n v="1404.8"/>
        <n v="1407"/>
        <n v="1408.1"/>
        <n v="1409.1"/>
        <n v="1410.2"/>
        <n v="1415.2"/>
        <n v="1416.9"/>
        <n v="1417.5"/>
        <n v="1419.2"/>
        <n v="1429.1"/>
        <n v="1430"/>
        <n v="1430.1"/>
        <n v="1432.2"/>
        <n v="1433.6"/>
        <n v="1437.5"/>
        <n v="1439.9"/>
        <n v="1441"/>
        <n v="1441.1"/>
        <n v="1442.7"/>
        <n v="1443.1"/>
        <n v="1443.2"/>
        <n v="1443.8"/>
        <n v="1444.6"/>
        <n v="1448"/>
        <n v="1450.7"/>
        <n v="1454.3"/>
        <n v="1462.8"/>
        <n v="1463"/>
        <n v="1464"/>
        <n v="1465.2"/>
        <n v="1466.9"/>
        <n v="1468.5"/>
        <n v="1473.5"/>
        <n v="1474.2"/>
        <n v="1478.7"/>
        <n v="1481.1"/>
        <n v="1482.8"/>
        <n v="1488.7"/>
        <n v="1489.1"/>
        <n v="1489.6"/>
        <n v="1490.4"/>
        <n v="1491.6"/>
        <n v="1493.1"/>
        <n v="1496.2"/>
        <n v="1497.3"/>
        <n v="1498.2"/>
        <n v="1499.4"/>
        <n v="1499.6"/>
        <n v="1500.1"/>
        <n v="1502.9"/>
        <n v="1503.1"/>
        <n v="1508.8"/>
        <n v="1510"/>
        <n v="1512.3"/>
        <n v="1514.7"/>
        <n v="1519.2"/>
        <n v="1519.8"/>
        <n v="1521.5"/>
        <n v="1523.8"/>
        <n v="1524.6"/>
        <n v="1524.9"/>
        <n v="1527.2"/>
        <n v="1528.4"/>
        <n v="1530.7"/>
        <n v="1531.8"/>
        <n v="1533"/>
        <n v="1533.4"/>
        <n v="1534.1"/>
        <n v="1537"/>
        <n v="1538.7"/>
        <n v="1539"/>
        <n v="1539.9"/>
        <n v="1540.4"/>
        <n v="1541"/>
        <n v="1542.8"/>
        <n v="1543.1"/>
        <n v="1544.5"/>
        <n v="1547.9"/>
        <n v="1550.2"/>
        <n v="1550.4"/>
        <n v="1552.5"/>
        <n v="1553.3"/>
        <n v="1554.2"/>
        <n v="1559.4"/>
        <n v="1560.6"/>
        <n v="1562.9"/>
        <n v="1563.1"/>
        <n v="1564.6"/>
        <n v="1564.7"/>
        <n v="1566.3"/>
        <n v="1568.6"/>
        <n v="1569.4"/>
        <n v="1581.3"/>
        <n v="1582.4"/>
        <n v="1591"/>
        <n v="1591.8"/>
        <n v="1592.1"/>
        <n v="1593.9"/>
        <n v="1594.1"/>
        <n v="1595.1"/>
        <n v="1597.4"/>
        <n v="1598"/>
        <n v="1599.4"/>
        <n v="1599.7"/>
        <n v="1603.2"/>
        <n v="1604.3"/>
        <n v="1608.6"/>
        <n v="1609.2"/>
        <n v="1610"/>
        <n v="1611.8"/>
        <n v="1613.5"/>
        <n v="1614"/>
        <n v="1614.9"/>
        <n v="1618.9"/>
        <n v="1621.8"/>
        <n v="1622.5"/>
        <n v="1633"/>
        <n v="1636"/>
        <n v="1636.3"/>
        <n v="1636.8"/>
        <n v="1642.5"/>
        <n v="1644.3"/>
        <n v="1645"/>
        <n v="1646.4"/>
        <n v="1646.8"/>
        <n v="1647.6"/>
        <n v="1648.5"/>
        <n v="1648.8"/>
        <n v="1650"/>
        <n v="1652.5"/>
        <n v="1653.6"/>
        <n v="1653.8"/>
        <n v="1654.8"/>
        <n v="1655"/>
        <n v="1656"/>
        <n v="1656.3"/>
        <n v="1657.5"/>
        <n v="1658.7"/>
        <n v="1658.8"/>
        <n v="1662"/>
        <n v="1662.2"/>
        <n v="1662.5"/>
        <n v="1663.8"/>
        <n v="1664.1"/>
        <n v="1664.3"/>
        <n v="1666.3"/>
        <n v="1666.4"/>
        <n v="1668.8"/>
        <n v="1670"/>
        <n v="1672"/>
        <n v="1673.7"/>
        <n v="1673.8"/>
        <n v="1675"/>
        <n v="1676.3"/>
        <n v="1677.9"/>
        <n v="1678.8"/>
        <n v="1680"/>
        <n v="1681.3"/>
        <n v="1682.1"/>
        <n v="1686.3"/>
        <n v="1689.3"/>
        <n v="1690"/>
        <n v="1694.1"/>
        <n v="1696.8"/>
        <n v="1698"/>
        <n v="1698.9"/>
        <n v="1700"/>
        <n v="1702.5"/>
        <n v="1703.8"/>
        <n v="1703.9"/>
        <n v="1708.8"/>
        <n v="1718.6"/>
        <n v="1720"/>
        <n v="1721.3"/>
        <n v="1722.5"/>
        <n v="1725"/>
        <n v="1725.1"/>
        <n v="1726.3"/>
        <n v="1729"/>
        <n v="1732.5"/>
        <n v="1732.9"/>
        <n v="1734"/>
        <n v="1736.7"/>
        <n v="1737.5"/>
        <n v="1744.6"/>
        <n v="1745"/>
        <n v="1749.2"/>
        <n v="1751"/>
        <n v="1753.7"/>
        <n v="1757.5"/>
        <n v="1757.6"/>
        <n v="1758.4"/>
        <n v="1758.8"/>
        <n v="1760"/>
        <n v="1764.1"/>
        <n v="1765.5"/>
        <n v="1768.5"/>
        <n v="1772.5"/>
        <n v="1772.6"/>
        <n v="1773.9"/>
        <n v="1775.3"/>
        <n v="1777.9"/>
        <n v="1778.4"/>
        <n v="1780.7"/>
        <n v="1783.8"/>
        <n v="1784.7"/>
        <n v="1794.2"/>
        <n v="1797.5"/>
        <n v="1799.6"/>
        <n v="1800.9"/>
        <n v="1802.3"/>
        <n v="1806.3"/>
        <n v="1807.7"/>
        <n v="1807.8"/>
        <n v="1809"/>
        <n v="1814.4"/>
        <n v="1818.2"/>
        <n v="1818.5"/>
        <n v="1819.8"/>
        <n v="1820"/>
        <n v="1822.5"/>
        <n v="1823.9"/>
        <n v="1827.9"/>
        <n v="1830.6"/>
        <n v="1832"/>
        <n v="1834.3"/>
        <n v="1837.4"/>
        <n v="1846.8"/>
        <n v="1848"/>
        <n v="1848.1"/>
        <n v="1849.5"/>
        <n v="1852.2"/>
        <n v="1862"/>
        <n v="1863.8"/>
        <n v="1864.4"/>
        <n v="1864.8"/>
        <n v="1866"/>
        <n v="1868.4"/>
        <n v="1874.6"/>
        <n v="1876.1"/>
        <n v="1877.8"/>
        <n v="1878.5"/>
        <n v="1879"/>
        <n v="1880.2"/>
        <n v="1881.9"/>
        <n v="1884.6"/>
        <n v="1886.9"/>
        <n v="1887.7"/>
        <n v="1887.9"/>
        <n v="1888.6"/>
        <n v="1891.4"/>
        <n v="1893.7"/>
        <n v="1895.2"/>
        <n v="1895.4"/>
        <n v="1898.1"/>
        <n v="1900.8"/>
        <n v="1902.6"/>
        <n v="1905.3"/>
        <n v="1906.8"/>
        <n v="1907.5"/>
        <n v="1908.2"/>
        <n v="1911.1"/>
        <n v="1913.1"/>
        <n v="1915"/>
        <n v="1917.3"/>
        <n v="1917.5"/>
        <n v="1919.8"/>
        <n v="1921.3"/>
        <n v="1922.3"/>
        <n v="1922.6"/>
        <n v="1923.8"/>
        <n v="1924.2"/>
        <n v="1925"/>
        <n v="1925.6"/>
        <n v="1927.1"/>
        <n v="1930"/>
        <n v="1932.5"/>
        <n v="1934.3"/>
        <n v="1937.2"/>
        <n v="1939"/>
        <n v="1940"/>
        <n v="1943"/>
        <n v="1945.7"/>
        <n v="1945.9"/>
        <n v="1946"/>
        <n v="1947"/>
        <n v="1950.2"/>
        <n v="1950.3"/>
        <n v="1952"/>
        <n v="1952.9"/>
        <n v="1953.2"/>
        <n v="1954.4"/>
        <n v="1957.5"/>
        <n v="1959"/>
        <n v="1960"/>
        <n v="1962.9"/>
        <n v="1965"/>
        <n v="1965.6"/>
        <n v="1966.2"/>
        <n v="1966.3"/>
        <n v="1968.8"/>
        <n v="1972"/>
        <n v="1973.4"/>
        <n v="1975"/>
        <n v="1977.8"/>
        <n v="1979.3"/>
        <n v="1979.5"/>
        <n v="1980.7"/>
        <n v="1984"/>
        <n v="1989.9"/>
        <n v="1991.3"/>
        <n v="1993"/>
        <n v="1993.5"/>
        <n v="1995.2"/>
        <n v="1996.5"/>
        <n v="1999.5"/>
        <n v="2001"/>
        <n v="2003.3"/>
        <n v="2003.9"/>
        <n v="2004.2"/>
        <n v="2004.4"/>
        <n v="2004.9"/>
        <n v="2007.5"/>
        <n v="2008.3"/>
        <n v="2011.2"/>
        <n v="2011.9"/>
        <n v="2021.3"/>
        <n v="2022.8"/>
        <n v="2025.5"/>
        <n v="2027.1"/>
        <n v="2029.5"/>
        <n v="2031.3"/>
        <n v="2032.9"/>
        <n v="2035.2"/>
        <n v="2036.7"/>
        <n v="2042.4"/>
        <n v="2043"/>
        <n v="2044.8"/>
        <n v="2046"/>
        <n v="2049"/>
        <n v="2052"/>
        <n v="2056.8"/>
        <n v="2058.4"/>
        <n v="2059.9"/>
        <n v="2061.5"/>
        <n v="2063"/>
        <n v="2063.1"/>
        <n v="2064.8"/>
        <n v="2065"/>
        <n v="2066.2"/>
        <n v="2075.5"/>
        <n v="2076"/>
        <n v="2077"/>
        <n v="2077.5"/>
        <n v="2079"/>
        <n v="2080"/>
        <n v="2080.1"/>
        <n v="2080.8"/>
        <n v="2081.7"/>
        <n v="2083.1"/>
        <n v="2083.2"/>
        <n v="2084.8"/>
        <n v="2085"/>
        <n v="2087.9"/>
        <n v="2091.5"/>
        <n v="2092.5"/>
        <n v="2095.3"/>
        <n v="2095.6"/>
        <n v="2097.6"/>
        <n v="2097.9"/>
        <n v="2101.8"/>
        <n v="2103.4"/>
        <n v="2104"/>
        <n v="2106"/>
        <n v="2106.5"/>
        <n v="2111"/>
        <n v="2112"/>
        <n v="2112.7"/>
        <n v="2113.5"/>
        <n v="2114.2"/>
        <n v="2116.5"/>
        <n v="2116.8"/>
        <n v="2117"/>
        <n v="2118.9"/>
        <n v="2122"/>
        <n v="2123.5"/>
        <n v="2125.1"/>
        <n v="2125.2"/>
        <n v="2126.6"/>
        <n v="2127"/>
        <n v="2127.9"/>
        <n v="2128.2"/>
        <n v="2129.8"/>
        <n v="2130.2"/>
        <n v="2131.3"/>
        <n v="2131.5"/>
        <n v="2134"/>
        <n v="2134.4"/>
        <n v="2135.9"/>
        <n v="2137.5"/>
        <n v="2142.5"/>
        <n v="2144.6"/>
        <n v="2144.7"/>
        <n v="2147.9"/>
        <n v="2150.4"/>
        <n v="2156.1"/>
        <n v="2156.6"/>
        <n v="2160.7"/>
        <n v="2161.5"/>
        <n v="2164.8"/>
        <n v="2164.9"/>
        <n v="2165.4"/>
        <n v="2166.7"/>
        <n v="2169.8"/>
        <n v="2170"/>
        <n v="2170.1"/>
        <n v="2171.6"/>
        <n v="2173.5"/>
        <n v="2177.9"/>
        <n v="2181.3"/>
        <n v="2181.6"/>
        <n v="2184.3"/>
        <n v="2189.7"/>
        <n v="2191.7"/>
        <n v="2192"/>
        <n v="2194.5"/>
        <n v="2195.6"/>
        <n v="2196.1"/>
        <n v="2201.1"/>
        <n v="2203.2"/>
        <n v="2206.9"/>
        <n v="2207.7"/>
        <n v="2209.4"/>
        <n v="2216"/>
        <n v="2216.3"/>
        <n v="2218.2"/>
        <n v="2219.2"/>
        <n v="2222.4"/>
        <n v="2223.5"/>
        <n v="2223.6"/>
        <n v="2224.6"/>
        <n v="2228.8"/>
        <n v="2232.1"/>
        <n v="2233"/>
        <n v="2234.5"/>
        <n v="2235.1"/>
        <n v="2235.8"/>
        <n v="2237.4"/>
        <n v="2242.8"/>
        <n v="2244"/>
        <n v="2245.3"/>
        <n v="2247.5"/>
        <n v="2249"/>
        <n v="2249.1"/>
        <n v="2252.3"/>
        <n v="2252.5"/>
        <n v="2253.9"/>
        <n v="2256"/>
        <n v="2256.8"/>
        <n v="2257.5"/>
        <n v="2257.6"/>
        <n v="2258.9"/>
        <n v="2260.5"/>
        <n v="2263.2"/>
        <n v="2267.8"/>
        <n v="2269.3"/>
        <n v="2269.7"/>
        <n v="2270.4"/>
        <n v="2271.2"/>
        <n v="2279.7"/>
        <n v="2283.6"/>
        <n v="2285.3"/>
        <n v="2286.7"/>
        <n v="2287.6"/>
        <n v="2288.6"/>
        <n v="2290.2"/>
        <n v="2291.9"/>
        <n v="2294.3"/>
        <n v="2300.1"/>
        <n v="2306.5"/>
        <n v="2306.9"/>
        <n v="2310"/>
        <n v="2311.3"/>
        <n v="2311.7"/>
        <n v="2317.1"/>
        <n v="2320.4"/>
        <n v="2324"/>
        <n v="2327.3"/>
        <n v="2327.5"/>
        <n v="2328.2"/>
        <n v="2333.1"/>
        <n v="2337.3"/>
        <n v="2339.8"/>
        <n v="2340.9"/>
        <n v="2347.2"/>
        <n v="2349.4"/>
        <n v="2350.3"/>
        <n v="2351.1"/>
        <n v="2356.2"/>
        <n v="2357.1"/>
        <n v="2357.2"/>
        <n v="2358.8"/>
        <n v="2361"/>
        <n v="2364.6"/>
        <n v="2366"/>
        <n v="2366.4"/>
        <n v="2367.8"/>
        <n v="2368.4"/>
        <n v="2369.1"/>
        <n v="2376.5"/>
        <n v="2378.3"/>
        <n v="2385.2"/>
        <n v="2385.3"/>
        <n v="2386.5"/>
        <n v="2386.8"/>
        <n v="2387.7"/>
        <n v="2391.7"/>
        <n v="2392.1"/>
        <n v="2393"/>
        <n v="2397.8"/>
        <n v="2401"/>
        <n v="2402.5"/>
        <n v="2402.8"/>
        <n v="2406.9"/>
        <n v="2407.2"/>
        <n v="2408.7"/>
        <n v="2410.6"/>
        <n v="2411.6"/>
        <n v="2412.6"/>
        <n v="2415"/>
        <n v="2416.8"/>
        <n v="2421"/>
        <n v="2422"/>
        <n v="2423.3"/>
        <n v="2428.9"/>
        <n v="2430.7"/>
        <n v="2434.3"/>
        <n v="2434.6"/>
        <n v="2435.3"/>
        <n v="2436.8"/>
        <n v="2441.2"/>
        <n v="2441.3"/>
        <n v="2447.5"/>
        <n v="2449.4"/>
        <n v="2451.3"/>
        <n v="2454.9"/>
        <n v="2456.8"/>
        <n v="2461.1"/>
        <n v="2464.2"/>
        <n v="2466.1"/>
        <n v="2467.9"/>
        <n v="2471.6"/>
        <n v="2472.8"/>
        <n v="2473.8"/>
        <n v="2474.5"/>
        <n v="2475.3"/>
        <n v="2483.1"/>
        <n v="2485.7"/>
        <n v="2486.4"/>
        <n v="2489.6"/>
        <n v="2490.2"/>
        <n v="2492"/>
        <n v="2496.6"/>
        <n v="2501.2"/>
        <n v="2504.9"/>
        <n v="2511"/>
        <n v="2512.3"/>
        <n v="2516.5"/>
        <n v="2517.9"/>
        <n v="2518.7"/>
        <n v="2525.3"/>
        <n v="2530.8"/>
        <n v="2534.5"/>
        <n v="2536.4"/>
        <n v="2538.9"/>
        <n v="2540.8"/>
        <n v="2545.6"/>
        <n v="2549.8"/>
        <n v="2552.6"/>
        <n v="2556.7"/>
        <n v="2559.6"/>
        <n v="2564.3"/>
        <n v="2566.2"/>
        <n v="2573.4"/>
        <n v="2574"/>
        <n v="2577.1"/>
        <n v="2577.9"/>
        <n v="2585.3"/>
        <n v="2585.7"/>
        <n v="2587.2"/>
        <n v="2587.8"/>
        <n v="2589.6"/>
        <n v="2593.5"/>
        <n v="2595.5"/>
        <n v="2601.2"/>
        <n v="2601.3"/>
        <n v="2602.9"/>
        <n v="2603.3"/>
        <n v="2604"/>
        <n v="2606.7"/>
        <n v="2610"/>
        <n v="2611"/>
        <n v="2614.5"/>
        <n v="2617.8"/>
        <n v="2619.6"/>
        <n v="2620.8"/>
        <n v="2622.8"/>
        <n v="2627.7"/>
        <n v="2634.5"/>
        <n v="2638.4"/>
        <n v="2640"/>
        <n v="2640.4"/>
        <n v="2644.2"/>
        <n v="2646.2"/>
        <n v="2648.1"/>
        <n v="2663.7"/>
        <n v="2665.7"/>
        <n v="2670.5"/>
        <n v="2674"/>
        <n v="2676"/>
        <n v="2679.3"/>
        <n v="2682.8"/>
        <n v="2682.9"/>
        <n v="2687.9"/>
        <n v="2697.9"/>
        <n v="2699.2"/>
        <n v="2701.9"/>
        <n v="2708.4"/>
        <n v="2711.1"/>
        <n v="2712.1"/>
        <n v="2714"/>
        <n v="2720.3"/>
        <n v="2726"/>
        <n v="2730"/>
        <n v="2732.5"/>
        <n v="2734"/>
        <n v="2734.7"/>
        <n v="2741.7"/>
        <n v="2744.8"/>
        <n v="2744.9"/>
        <n v="2745"/>
        <n v="2745.6"/>
        <n v="2747"/>
        <n v="2749"/>
        <n v="2749.5"/>
        <n v="2753.1"/>
        <n v="2755.2"/>
        <n v="2755.4"/>
        <n v="2759.3"/>
        <n v="2760"/>
        <n v="2763.4"/>
        <n v="2770.4"/>
        <n v="2773.7"/>
        <n v="2777.7"/>
        <n v="2778.6"/>
        <n v="2782.5"/>
        <n v="2783.9"/>
        <n v="2784.3"/>
        <n v="2786"/>
        <n v="2794.2"/>
        <n v="2795.1"/>
        <n v="2811.4"/>
        <n v="2812.6"/>
        <n v="2814.7"/>
        <n v="2815.1"/>
        <n v="2816.5"/>
        <n v="2820.8"/>
        <n v="2824.5"/>
        <n v="2828"/>
        <n v="2831.1"/>
        <n v="2831.5"/>
        <n v="2833.1"/>
        <n v="2834.2"/>
        <n v="2835"/>
        <n v="2835.2"/>
        <n v="2837.2"/>
        <n v="2838"/>
        <n v="2845.4"/>
        <n v="2851.6"/>
        <n v="2851.8"/>
        <n v="2858.2"/>
        <n v="2859.8"/>
        <n v="2861.7"/>
        <n v="2862.6"/>
        <n v="2875.2"/>
        <n v="2878.8"/>
        <n v="2882.3"/>
        <n v="2884.3"/>
        <n v="2886.1"/>
        <n v="2886.4"/>
        <n v="2887.5"/>
        <n v="2902.4"/>
        <n v="2904.7"/>
        <n v="2913.3"/>
        <n v="2916"/>
        <n v="2926.1"/>
        <n v="2929"/>
        <n v="2932.6"/>
        <n v="2943.8"/>
        <n v="2947.6"/>
        <n v="2950.5"/>
        <n v="2956.8"/>
        <n v="2963.4"/>
        <n v="2968.4"/>
        <n v="2976.8"/>
        <n v="2982.2"/>
        <n v="2986.9"/>
        <n v="2988"/>
        <n v="2997"/>
        <n v="2998.6"/>
        <n v="3001.5"/>
        <n v="3002.6"/>
        <n v="3010.8"/>
        <n v="3012.2"/>
        <n v="3016.8"/>
        <n v="3019.5"/>
        <n v="3024"/>
        <n v="3024.2"/>
        <n v="3030.3"/>
        <n v="3037.5"/>
        <n v="3037.7"/>
        <n v="3053.3"/>
        <n v="3053.6"/>
        <n v="3055.5"/>
        <n v="3060"/>
        <n v="3064.4"/>
        <n v="3076.7"/>
        <n v="3078"/>
        <n v="3084.8"/>
        <n v="3085.5"/>
        <n v="3085.6"/>
        <n v="3087"/>
        <n v="3091.5"/>
        <n v="3092.7"/>
        <n v="3096"/>
        <n v="3100.3"/>
        <n v="3101.7"/>
        <n v="3102"/>
        <n v="3114"/>
        <n v="3114.6"/>
        <n v="3116.8"/>
        <n v="3129"/>
        <n v="3132.6"/>
        <n v="3133.6"/>
        <n v="3136.5"/>
        <n v="3151.8"/>
        <n v="3152.3"/>
        <n v="3154.5"/>
        <n v="3158.4"/>
        <n v="3174"/>
        <n v="3177.2"/>
        <n v="3177.5"/>
        <n v="3199.3"/>
        <n v="3207.8"/>
        <n v="3210.8"/>
        <n v="3211"/>
        <n v="3217.1"/>
        <n v="3219.3"/>
        <n v="3220.6"/>
        <n v="3224.2"/>
        <n v="3241.3"/>
        <n v="3245.4"/>
        <n v="3254.2"/>
        <n v="3254.6"/>
        <n v="3259.5"/>
        <n v="3282.8"/>
        <n v="3285.6"/>
        <n v="3292.8"/>
        <n v="3307.2"/>
        <n v="3326.4"/>
        <n v="3327.2"/>
        <n v="3330.6"/>
        <n v="3373.7"/>
        <n v="3378.6"/>
        <n v="3380.5"/>
        <n v="3381"/>
        <n v="3408.8"/>
        <n v="3417.5"/>
        <n v="3417.8"/>
        <n v="3420.2"/>
        <n v="3420.3"/>
        <n v="3429.8"/>
        <n v="3431"/>
        <n v="3435.2"/>
        <n v="3440.3"/>
        <n v="3442.5"/>
        <n v="3456"/>
        <n v="3463.9"/>
        <n v="3471"/>
        <n v="3474.4"/>
        <n v="3494.6"/>
        <n v="3503.3"/>
        <n v="3513.9"/>
        <n v="3516.4"/>
        <n v="3516.5"/>
        <n v="3525.8"/>
        <n v="3526.8"/>
        <n v="3529.7"/>
        <n v="3542"/>
        <n v="3556.3"/>
        <n v="3557.9"/>
        <n v="3561.6"/>
        <n v="3577.4"/>
        <n v="3582.8"/>
        <n v="3594.2"/>
        <n v="3594.3"/>
        <n v="3613.5"/>
        <n v="3624.5"/>
        <n v="3626.1"/>
        <n v="3630.9"/>
        <n v="3631.5"/>
        <n v="3632.2"/>
        <n v="3644.9"/>
        <n v="3648.7"/>
        <n v="3668.4"/>
        <n v="3677.8"/>
        <n v="3679.7"/>
        <n v="3684.6"/>
        <n v="3689.5"/>
        <n v="3694.1"/>
        <n v="3717.9"/>
        <n v="3726"/>
        <n v="3739.2"/>
        <n v="3746.5"/>
        <n v="3751"/>
        <n v="3760.4"/>
        <n v="3761.3"/>
        <n v="3775.2"/>
        <n v="3778.8"/>
        <n v="3801.6"/>
        <n v="3825.4"/>
        <n v="3826.6"/>
        <n v="3833.2"/>
        <n v="3842.1"/>
        <n v="3850"/>
        <n v="3930.2"/>
        <n v="3935.8"/>
        <n v="3949.4"/>
        <n v="3953.6"/>
        <n v="3977.2"/>
        <n v="3980.3"/>
        <n v="3990.3"/>
        <n v="4022.9"/>
        <n v="4032.6"/>
        <n v="4032.7"/>
        <n v="4038.8"/>
        <n v="4047.4"/>
        <n v="4065.1"/>
        <n v="4074.8"/>
        <n v="4085.2"/>
        <n v="4086.3"/>
        <n v="4087.2"/>
        <n v="4090.1"/>
        <n v="4113.6"/>
        <n v="4137"/>
        <n v="4140.8"/>
        <n v="4144.3"/>
        <n v="4148"/>
        <n v="4154.1"/>
        <n v="4157.4"/>
        <n v="4175.6"/>
        <n v="4177.2"/>
        <n v="4188.4"/>
        <n v="4206"/>
        <n v="4208.4"/>
        <n v="4214"/>
        <n v="4218.8"/>
        <n v="4220.1"/>
        <n v="4224.4"/>
        <n v="4257.8"/>
        <n v="4268"/>
        <n v="4297.5"/>
        <n v="4303.5"/>
        <n v="4303.6"/>
        <n v="4345.3"/>
        <n v="4362.8"/>
        <n v="4386"/>
        <n v="4403.7"/>
        <n v="4425.8"/>
        <n v="4426.5"/>
        <n v="4456.6"/>
        <n v="4466.7"/>
        <n v="4482.3"/>
        <n v="4482.5"/>
        <n v="4485.3"/>
        <n v="4512"/>
        <n v="4542.9"/>
        <n v="4554.3"/>
        <n v="4555"/>
        <n v="4581.4"/>
        <n v="4600.2"/>
        <n v="4608.5"/>
        <n v="4626.9"/>
        <n v="4632.5"/>
        <n v="4660.5"/>
        <n v="4697.6"/>
        <n v="4722.3"/>
        <n v="4725.6"/>
        <n v="4743.6"/>
        <n v="4780.8"/>
        <n v="4789"/>
        <n v="4796.6"/>
        <n v="4803.8"/>
        <n v="4827.9"/>
        <n v="4833.5"/>
        <n v="4849.8"/>
        <n v="4886.1"/>
        <n v="4893.5"/>
        <n v="4927.5"/>
        <n v="4938.1"/>
        <n v="4964.6"/>
        <n v="5040.8"/>
        <n v="5183.2"/>
        <n v="5206.4"/>
        <n v="5222.7"/>
        <n v="5225"/>
        <n v="5234.1"/>
        <n v="5251.6"/>
        <n v="5258.5"/>
        <n v="5374.7"/>
        <n v="5556.6"/>
        <n v="5685.6"/>
        <n v="5711.6"/>
        <n v="5731.2"/>
        <n v="5768.1"/>
        <n v="5909"/>
        <n v="6006"/>
        <n v="6089.3"/>
        <n v="6168.3"/>
        <n v="6237"/>
        <n v="6520"/>
        <n v="6575"/>
        <n v="6629.4"/>
        <n v="6633.8"/>
        <n v="6913.9"/>
        <n v="7102.2"/>
        <n v="7165.5"/>
        <n v="7378.6"/>
        <n v="8187.4"/>
        <n v="16520"/>
        <n v="16860"/>
      </sharedItems>
    </cacheField>
    <cacheField name="Отход %" numFmtId="0">
      <sharedItems containsMixedTypes="1" containsNumber="1" minValue="0" maxValue="1" count="675">
        <n v="0"/>
        <n v="0.00776914539400666"/>
        <n v="0.0286806883365201"/>
        <n v="0.035"/>
        <n v="0.0449999999999999"/>
        <n v="0.0450028105677346"/>
        <n v="0.0450028232636928"/>
        <n v="0.0450028392958546"/>
        <n v="0.0450028425241614"/>
        <n v="0.0450028653295129"/>
        <n v="0.0450031826861871"/>
        <n v="0.0450032113037894"/>
        <n v="0.05"/>
        <n v="0.055"/>
        <n v="0.0550025367833586"/>
        <n v="0.05500279173646"/>
        <n v="0.0550031665611146"/>
        <n v="0.0550032071840924"/>
        <n v="0.0550037009622502"/>
        <n v="0.0550037965072133"/>
        <n v="0.0550038022813688"/>
        <n v="0.0550038971161341"/>
        <n v="0.0550039154267815"/>
        <n v="0.0550039277297723"/>
        <n v="0.0550039463299132"/>
        <n v="0.0550042918454935"/>
        <n v="0.0590084643288996"/>
        <n v="0.06"/>
        <n v="0.065"/>
        <n v="0.0650031505986138"/>
        <n v="0.0650031826861872"/>
        <n v="0.0650032071840924"/>
        <n v="0.0650032530904359"/>
        <n v="0.0650036205648082"/>
        <n v="0.065003663003663"/>
        <n v="0.0650036683785767"/>
        <n v="0.065003745318352"/>
        <n v="0.0650037565740046"/>
        <n v="0.0650037850113551"/>
        <n v="0.0650037907505686"/>
        <n v="0.0650037965072134"/>
        <n v="0.065003808073115"/>
        <n v="0.065003819709702"/>
        <n v="0.0650038431975404"/>
        <n v="0.0650038491147036"/>
        <n v="0.0650039032006246"/>
        <n v="0.0650039093041438"/>
        <n v="0.0650039777247415"/>
        <n v="0.0650072568940493"/>
        <n v="0.0650075872534142"/>
        <n v="0.0650273224043716"/>
        <n v="0.0700000000000001"/>
        <n v="0.075"/>
        <n v="0.0750026695141484"/>
        <n v="0.0750027731558513"/>
        <n v="0.0750027948574622"/>
        <n v="0.0750028042624789"/>
        <n v="0.0750031948881789"/>
        <n v="0.0750032320620555"/>
        <n v="0.0750032362459547"/>
        <n v="0.0750032573289902"/>
        <n v="0.075003335557038"/>
        <n v="0.0750036416605972"/>
        <n v="0.0750036576444769"/>
        <n v="0.0750036791758646"/>
        <n v="0.0750036954915003"/>
        <n v="0.0750037230081906"/>
        <n v="0.0750037622272385"/>
        <n v="0.0750037678975131"/>
        <n v="0.0750037792894935"/>
        <n v="0.0750037907505686"/>
        <n v="0.0750037965072133"/>
        <n v="0.0750038138825324"/>
        <n v="0.0750038314176245"/>
        <n v="0.0750038431975403"/>
        <n v="0.0750038669760247"/>
        <n v="0.075003885003885"/>
        <n v="0.0750039215686274"/>
        <n v="0.0750075187969925"/>
        <n v="0.0750114416475973"/>
        <n v="0.0751670378619154"/>
        <n v="0.0765627435697583"/>
        <n v="0.08"/>
        <n v="0.085"/>
        <n v="0.0850025087807325"/>
        <n v="0.0850030469226081"/>
        <n v="0.0850031191515908"/>
        <n v="0.0850031426775613"/>
        <n v="0.0850031625553447"/>
        <n v="0.0850031826861871"/>
        <n v="0.0850032154340836"/>
        <n v="0.0850032195750161"/>
        <n v="0.0850035739814154"/>
        <n v="0.0850036258158086"/>
        <n v="0.0850036737692873"/>
        <n v="0.0850036791758647"/>
        <n v="0.0850036954915004"/>
        <n v="0.0850037009622502"/>
        <n v="0.0850037064492217"/>
        <n v="0.0850037509377345"/>
        <n v="0.0850037735849056"/>
        <n v="0.0850037792894936"/>
        <n v="0.085003785011355"/>
        <n v="0.0850037907505687"/>
        <n v="0.0850037965072134"/>
        <n v="0.0850038197097021"/>
        <n v="0.0850039154267815"/>
        <n v="0.0850039215686274"/>
        <n v="0.0850039401103231"/>
        <n v="0.0850058072009291"/>
        <n v="0.0850070921985816"/>
        <n v="0.0850100200400801"/>
        <n v="0.0850117096018735"/>
        <n v="0.09"/>
        <n v="0.0900563063063063"/>
        <n v="0.091002277904328"/>
        <n v="0.0910517435320585"/>
        <n v="0.0949962714392244"/>
        <n v="0.0949963741841915"/>
        <n v="0.095"/>
        <n v="0.0950027639579879"/>
        <n v="0.095003035822708"/>
        <n v="0.0950030581039755"/>
        <n v="0.0950031665611147"/>
        <n v="0.0950031908104659"/>
        <n v="0.0950032071840924"/>
        <n v="0.095003223726628"/>
        <n v="0.0950032446463335"/>
        <n v="0.0950032743942371"/>
        <n v="0.0950032916392364"/>
        <n v="0.0950035486160398"/>
        <n v="0.0950035997120231"/>
        <n v="0.0950036205648081"/>
        <n v="0.0950036737692873"/>
        <n v="0.0950037009622502"/>
        <n v="0.0950037174721189"/>
        <n v="0.0950037285607756"/>
        <n v="0.0950037397157817"/>
        <n v="0.095003745318352"/>
        <n v="0.0950037735849056"/>
        <n v="0.095003785011355"/>
        <n v="0.0950037907505686"/>
        <n v="0.0950038255547055"/>
        <n v="0.0950038491147037"/>
        <n v="0.0950038669760247"/>
        <n v="0.0950038729666925"/>
        <n v="0.0950038789759504"/>
        <n v="0.095003897116134"/>
        <n v="0.0950051921079958"/>
        <n v="0.0950055370985603"/>
        <n v="0.0950110375275937"/>
        <n v="0.0950132625994695"/>
        <n v="0.0959980039920159"/>
        <n v="0.1"/>
        <n v="0.100679758308157"/>
        <n v="0.10100114416476"/>
        <n v="0.101700776287932"/>
        <n v="0.104996232102487"/>
        <n v="0.105"/>
        <n v="0.105002698327037"/>
        <n v="0.105002730748225"/>
        <n v="0.105002782415136"/>
        <n v="0.105002794857462"/>
        <n v="0.105003150598614"/>
        <n v="0.105003154574132"/>
        <n v="0.105003158559697"/>
        <n v="0.105003408316292"/>
        <n v="0.105003579098067"/>
        <n v="0.105003610108303"/>
        <n v="0.105003625815809"/>
        <n v="0.105003636363636"/>
        <n v="0.10500365230095"/>
        <n v="0.105003673769287"/>
        <n v="0.105003723008191"/>
        <n v="0.105003728560776"/>
        <n v="0.105003745318352"/>
        <n v="0.105003756574005"/>
        <n v="0.105003767897513"/>
        <n v="0.105003779289494"/>
        <n v="0.105003790750569"/>
        <n v="0.105003796507213"/>
        <n v="0.105003837298542"/>
        <n v="0.105003855050116"/>
        <n v="0.105003872966693"/>
        <n v="0.105003885003885"/>
        <n v="0.105003940110323"/>
        <n v="0.105004389815628"/>
        <n v="0.105005662514156"/>
        <n v="0.105006993006993"/>
        <n v="0.105007299270073"/>
        <n v="0.105007473841555"/>
        <n v="0.105007776049767"/>
        <n v="0.105011135857461"/>
        <n v="0.109489153254024"/>
        <n v="0.11"/>
        <n v="0.111532507739938"/>
        <n v="0.112"/>
        <n v="0.11415420023015"/>
        <n v="0.115"/>
        <n v="0.115002885170225"/>
        <n v="0.115003111387679"/>
        <n v="0.115003162555345"/>
        <n v="0.115003198976328"/>
        <n v="0.115003270111184"/>
        <n v="0.11500328731098"/>
        <n v="0.115003455425017"/>
        <n v="0.115003563791875"/>
        <n v="0.115003584229391"/>
        <n v="0.115003599712023"/>
        <n v="0.115003604902668"/>
        <n v="0.115003636363636"/>
        <n v="0.115003679175865"/>
        <n v="0.115003684598379"/>
        <n v="0.115003723008191"/>
        <n v="0.115003734129948"/>
        <n v="0.115003750937734"/>
        <n v="0.115003756574005"/>
        <n v="0.115003762227239"/>
        <n v="0.115003773584906"/>
        <n v="0.115003779289494"/>
        <n v="0.115003785011355"/>
        <n v="0.115003802281369"/>
        <n v="0.115003808073115"/>
        <n v="0.115003825554705"/>
        <n v="0.11500384319754"/>
        <n v="0.115003855050116"/>
        <n v="0.115003927729772"/>
        <n v="0.115004163197336"/>
        <n v="0.115004205214466"/>
        <n v="0.115004484304933"/>
        <n v="0.115006195786865"/>
        <n v="0.115007473841555"/>
        <n v="0.115008051529791"/>
        <n v="0.115008605851979"/>
        <n v="0.115011185682327"/>
        <n v="0.116"/>
        <n v="0.116813048933501"/>
        <n v="0.119984917043741"/>
        <n v="0.12"/>
        <n v="0.120197044334975"/>
        <n v="0.121703139866794"/>
        <n v="0.122544080604534"/>
        <n v="0.123939393939394"/>
        <n v="0.123963133640553"/>
        <n v="0.124996232102487"/>
        <n v="0.125"/>
        <n v="0.125002649708532"/>
        <n v="0.125002804262479"/>
        <n v="0.125002820078962"/>
        <n v="0.125003076923077"/>
        <n v="0.125003138731952"/>
        <n v="0.125003174603175"/>
        <n v="0.125003178639542"/>
        <n v="0.125003353454058"/>
        <n v="0.12500350385424"/>
        <n v="0.12500355366027"/>
        <n v="0.125003620564808"/>
        <n v="0.125003631082062"/>
        <n v="0.125003657644477"/>
        <n v="0.125003668378577"/>
        <n v="0.125003706449222"/>
        <n v="0.125003717472119"/>
        <n v="0.125003723008191"/>
        <n v="0.125003728560776"/>
        <n v="0.125003734129948"/>
        <n v="0.125003745318352"/>
        <n v="0.125003750937734"/>
        <n v="0.125003756574004"/>
        <n v="0.125003767897513"/>
        <n v="0.125003773584906"/>
        <n v="0.125003779289494"/>
        <n v="0.125003790750569"/>
        <n v="0.125003819709702"/>
        <n v="0.125007407407407"/>
        <n v="0.125007518796993"/>
        <n v="0.12500756429652"/>
        <n v="0.125021276595745"/>
        <n v="0.126998867497169"/>
        <n v="0.127380952380952"/>
        <n v="0.13"/>
        <n v="0.132600502512563"/>
        <n v="0.133937677053824"/>
        <n v="0.134433266264252"/>
        <n v="0.134506953223767"/>
        <n v="0.134892541087231"/>
        <n v="0.135"/>
        <n v="0.135002742731761"/>
        <n v="0.13500278551532"/>
        <n v="0.135003142677561"/>
        <n v="0.1350032404407"/>
        <n v="0.135003568879372"/>
        <n v="0.135003620564808"/>
        <n v="0.135003673769287"/>
        <n v="0.135003684598379"/>
        <n v="0.13500370096225"/>
        <n v="0.135003711952487"/>
        <n v="0.135003734129948"/>
        <n v="0.135003745318352"/>
        <n v="0.135003750937734"/>
        <n v="0.135003762227239"/>
        <n v="0.135003790750569"/>
        <n v="0.135003802281369"/>
        <n v="0.135003808073115"/>
        <n v="0.135003849114704"/>
        <n v="0.135003855050116"/>
        <n v="0.135004374453193"/>
        <n v="0.135004533091568"/>
        <n v="0.135005500550055"/>
        <n v="0.135005549389567"/>
        <n v="0.135005767012687"/>
        <n v="0.135007299270073"/>
        <n v="0.135011135857461"/>
        <n v="0.135011185682327"/>
        <n v="0.135061199510404"/>
        <n v="0.136836935166994"/>
        <n v="0.138219895287958"/>
        <n v="0.138222222222222"/>
        <n v="0.14"/>
        <n v="0.143693467336683"/>
        <n v="0.145"/>
        <n v="0.145002878526195"/>
        <n v="0.145003107520199"/>
        <n v="0.145003170577045"/>
        <n v="0.145003194888179"/>
        <n v="0.145003244646334"/>
        <n v="0.145003348961822"/>
        <n v="0.14500338066261"/>
        <n v="0.145003460207612"/>
        <n v="0.145003584229391"/>
        <n v="0.145003610108303"/>
        <n v="0.145003663003663"/>
        <n v="0.14500370096225"/>
        <n v="0.145003711952487"/>
        <n v="0.145003717472119"/>
        <n v="0.145003762227239"/>
        <n v="0.145003767897513"/>
        <n v="0.145003773584906"/>
        <n v="0.145003819709702"/>
        <n v="0.145003825554705"/>
        <n v="0.14500395256917"/>
        <n v="0.145004269854825"/>
        <n v="0.145004291845494"/>
        <n v="0.145005279831045"/>
        <n v="0.145005917159763"/>
        <n v="0.145007518796993"/>
        <n v="0.14500754147813"/>
        <n v="0.145024154589372"/>
        <n v="0.145027322404372"/>
        <n v="0.147743362831858"/>
        <n v="0.147761006289308"/>
        <n v="0.15"/>
        <n v="0.152008928571429"/>
        <n v="0.153916184971098"/>
        <n v="0.154905193734542"/>
        <n v="0.154987775061125"/>
        <n v="0.154988713318284"/>
        <n v="0.154996237772761"/>
        <n v="0.154996825396825"/>
        <n v="0.155"/>
        <n v="0.155003039513678"/>
        <n v="0.155003166561115"/>
        <n v="0.155003190810466"/>
        <n v="0.155003219575016"/>
        <n v="0.1550032404407"/>
        <n v="0.15500334001336"/>
        <n v="0.155003579098067"/>
        <n v="0.155003594536305"/>
        <n v="0.155003631082062"/>
        <n v="0.155003636363636"/>
        <n v="0.155003641660597"/>
        <n v="0.155003646973012"/>
        <n v="0.15500365230095"/>
        <n v="0.155003657644477"/>
        <n v="0.155003668378577"/>
        <n v="0.155003679175865"/>
        <n v="0.155003684598379"/>
        <n v="0.155003711952487"/>
        <n v="0.155003717472119"/>
        <n v="0.155003734129948"/>
        <n v="0.155003750937735"/>
        <n v="0.155003756574005"/>
        <n v="0.155003808073115"/>
        <n v="0.155003866976025"/>
        <n v="0.15500547645126"/>
        <n v="0.155005714285714"/>
        <n v="0.155011764705882"/>
        <n v="0.159182098765432"/>
        <n v="0.16"/>
        <n v="0.160500379075057"/>
        <n v="0.164996243425996"/>
        <n v="0.165"/>
        <n v="0.165002715915263"/>
        <n v="0.165002842524161"/>
        <n v="0.165002977963073"/>
        <n v="0.16500306936771"/>
        <n v="0.165003543586109"/>
        <n v="0.165003568879372"/>
        <n v="0.165003599712023"/>
        <n v="0.165003604902668"/>
        <n v="0.165003610108303"/>
        <n v="0.16500365230095"/>
        <n v="0.165003663003663"/>
        <n v="0.165003668378577"/>
        <n v="0.1650036900369"/>
        <n v="0.165003723008191"/>
        <n v="0.165003734129948"/>
        <n v="0.165003802281369"/>
        <n v="0.165003825554705"/>
        <n v="0.165004397537379"/>
        <n v="0.165005347593583"/>
        <n v="0.165006031363088"/>
        <n v="0.16501246882793"/>
        <n v="0.166861370716511"/>
        <n v="0.169130434782609"/>
        <n v="0.169821989528796"/>
        <n v="0.17"/>
        <n v="0.171173104434907"/>
        <n v="0.173997113997114"/>
        <n v="0.174996144949884"/>
        <n v="0.174996288047513"/>
        <n v="0.174996331621423"/>
        <n v="0.174996486296557"/>
        <n v="0.175"/>
        <n v="0.175002807411566"/>
        <n v="0.175003142677561"/>
        <n v="0.175003538570418"/>
        <n v="0.175003584229391"/>
        <n v="0.175003594536305"/>
        <n v="0.175003620564808"/>
        <n v="0.175003641660597"/>
        <n v="0.175003668378577"/>
        <n v="0.175003679175865"/>
        <n v="0.175003723008191"/>
        <n v="0.175003739715782"/>
        <n v="0.175003813882532"/>
        <n v="0.175003897116134"/>
        <n v="0.17500542888165"/>
        <n v="0.175010438413361"/>
        <n v="0.175011086474501"/>
        <n v="0.175011185682327"/>
        <n v="0.175011933174224"/>
        <n v="0.175030012004802"/>
        <n v="0.17554565701559"/>
        <n v="0.176986506746627"/>
        <n v="0.18"/>
        <n v="0.183274739583333"/>
        <n v="0.184996232102487"/>
        <n v="0.18499644633973"/>
        <n v="0.185"/>
        <n v="0.185003080714726"/>
        <n v="0.185003385240352"/>
        <n v="0.185003427004798"/>
        <n v="0.185003533568905"/>
        <n v="0.18500354861604"/>
        <n v="0.185003589375449"/>
        <n v="0.185003594536305"/>
        <n v="0.185003646973012"/>
        <n v="0.185003663003663"/>
        <n v="0.185003673769287"/>
        <n v="0.185003711952487"/>
        <n v="0.185003750937734"/>
        <n v="0.185003773584906"/>
        <n v="0.185003837298542"/>
        <n v="0.18500384319754"/>
        <n v="0.185003866976025"/>
        <n v="0.185004170141785"/>
        <n v="0.185004262574595"/>
        <n v="0.18500542888165"/>
        <n v="0.185006877579092"/>
        <n v="0.185010893246187"/>
        <n v="0.185011086474501"/>
        <n v="0.185318906605923"/>
        <n v="0.1890125"/>
        <n v="0.189683908045977"/>
        <n v="0.19"/>
        <n v="0.190454545454545"/>
        <n v="0.194996162701458"/>
        <n v="0.194996265870052"/>
        <n v="0.194996888612321"/>
        <n v="0.195"/>
        <n v="0.195002995805872"/>
        <n v="0.195003533568905"/>
        <n v="0.195003538570418"/>
        <n v="0.195003584229391"/>
        <n v="0.195003657644477"/>
        <n v="0.195003684598379"/>
        <n v="0.1950036954915"/>
        <n v="0.19500370096225"/>
        <n v="0.195003717472119"/>
        <n v="0.195003745318352"/>
        <n v="0.195003756574005"/>
        <n v="0.195003802281369"/>
        <n v="0.195007132667618"/>
        <n v="0.195011235955056"/>
        <n v="0.198700495049505"/>
        <n v="0.2"/>
        <n v="0.204996265870052"/>
        <n v="0.204996271439224"/>
        <n v="0.2049963099631"/>
        <n v="0.20499644633973"/>
        <n v="0.205"/>
        <n v="0.205003032140691"/>
        <n v="0.205003080714726"/>
        <n v="0.205003182686187"/>
        <n v="0.205003304692664"/>
        <n v="0.205003431708991"/>
        <n v="0.205003584229391"/>
        <n v="0.205003594536305"/>
        <n v="0.205003615328995"/>
        <n v="0.205003620564808"/>
        <n v="0.205003641660597"/>
        <n v="0.205003668378577"/>
        <n v="0.2050036954915"/>
        <n v="0.205003734129948"/>
        <n v="0.20501014198783"/>
        <n v="0.205010438413361"/>
        <n v="0.20501066098081"/>
        <n v="0.205010706638116"/>
        <n v="0.205010989010989"/>
        <n v="0.205011086474501"/>
        <n v="0.21"/>
        <n v="0.213867809057528"/>
        <n v="0.214996326230713"/>
        <n v="0.214996353026988"/>
        <n v="0.215"/>
        <n v="0.215002797985451"/>
        <n v="0.215003431708991"/>
        <n v="0.215003494060098"/>
        <n v="0.215003568879372"/>
        <n v="0.2150036900369"/>
        <n v="0.21500370096225"/>
        <n v="0.215003723008191"/>
        <n v="0.215003756574005"/>
        <n v="0.215006877579092"/>
        <n v="0.215007587253414"/>
        <n v="0.22"/>
        <n v="0.224992967651195"/>
        <n v="0.225"/>
        <n v="0.22500278551532"/>
        <n v="0.225003190810466"/>
        <n v="0.225003270111184"/>
        <n v="0.225003291639236"/>
        <n v="0.225003300330033"/>
        <n v="0.225003427004798"/>
        <n v="0.22500350385424"/>
        <n v="0.225003568879372"/>
        <n v="0.225003646973012"/>
        <n v="0.225003684598379"/>
        <n v="0.225003779289494"/>
        <n v="0.225010893246187"/>
        <n v="0.23"/>
        <n v="0.23499634769905"/>
        <n v="0.235"/>
        <n v="0.235003194888179"/>
        <n v="0.235003203074952"/>
        <n v="0.235003385240352"/>
        <n v="0.235003604902668"/>
        <n v="0.235003620564808"/>
        <n v="0.235003663003663"/>
        <n v="0.235003750937734"/>
        <n v="0.235003808073115"/>
        <n v="0.235004081632653"/>
        <n v="0.235006016847172"/>
        <n v="0.235006765899865"/>
        <n v="0.237237569060774"/>
        <n v="0.24"/>
        <n v="0.240501510574018"/>
        <n v="0.244996220710506"/>
        <n v="0.245"/>
        <n v="0.245002748763057"/>
        <n v="0.245002977963073"/>
        <n v="0.245003408316292"/>
        <n v="0.245003625815809"/>
        <n v="0.245003631082063"/>
        <n v="0.25"/>
        <n v="0.25299856527977"/>
        <n v="0.255"/>
        <n v="0.255003389830508"/>
        <n v="0.255003465003465"/>
        <n v="0.255003625815809"/>
        <n v="0.255003717472119"/>
        <n v="0.255005807200929"/>
        <n v="0.26"/>
        <n v="0.265"/>
        <n v="0.265003543586109"/>
        <n v="0.265005549389567"/>
        <n v="0.267"/>
        <n v="0.27"/>
        <n v="0.275"/>
        <n v="0.275003065603924"/>
        <n v="0.275003317850033"/>
        <n v="0.27500344589938"/>
        <n v="0.275003825554705"/>
        <n v="0.275005807200929"/>
        <n v="0.28"/>
        <n v="0.285"/>
        <n v="0.285002912055912"/>
        <n v="0.285003625815809"/>
        <n v="0.285005847953216"/>
        <n v="0.29"/>
        <n v="0.294992947813822"/>
        <n v="0.294996342355523"/>
        <n v="0.295"/>
        <n v="0.295002845759818"/>
        <n v="0.295003219575016"/>
        <n v="0.295003657644477"/>
        <n v="0.295005246589717"/>
        <n v="0.295005440696409"/>
        <n v="0.295006877579092"/>
        <n v="0.295010893246187"/>
        <n v="0.29501138952164"/>
        <n v="0.3"/>
        <n v="0.305"/>
        <n v="0.305002929115407"/>
        <n v="0.305003174603175"/>
        <n v="0.305003543586109"/>
        <n v="0.30500354861604"/>
        <n v="0.305003625815809"/>
        <n v="0.305003728560776"/>
        <n v="0.305006858710562"/>
        <n v="0.31"/>
        <n v="0.315"/>
        <n v="0.315003558718861"/>
        <n v="0.315003610108303"/>
        <n v="0.315007776049767"/>
        <n v="0.317642956764296"/>
        <n v="0.32"/>
        <n v="0.325"/>
        <n v="0.325003223726628"/>
        <n v="0.325003399048266"/>
        <n v="0.325003739715782"/>
        <n v="0.33"/>
        <n v="0.335"/>
        <n v="0.335003207184092"/>
        <n v="0.335004029008864"/>
        <n v="0.34"/>
        <n v="0.345"/>
        <n v="0.34500283286119"/>
        <n v="0.345003474635163"/>
        <n v="0.345003568879372"/>
        <n v="0.345007194244604"/>
        <n v="0.35"/>
        <n v="0.355"/>
        <n v="0.355003594536305"/>
        <n v="0.355003706449222"/>
        <n v="0.36"/>
        <n v="0.365"/>
        <n v="0.365003885003885"/>
        <n v="0.375"/>
        <n v="0.38"/>
        <n v="0.385"/>
        <n v="0.38500754147813"/>
        <n v="0.39"/>
        <n v="0.395"/>
        <n v="0.405"/>
        <n v="0.405003427004798"/>
        <n v="0.415"/>
        <n v="0.415003620564808"/>
        <n v="0.42"/>
        <n v="0.43"/>
        <n v="0.435"/>
        <n v="0.435003278688525"/>
        <n v="0.435003808073115"/>
        <n v="0.455005780346821"/>
        <n v="0.47"/>
        <n v="0.5"/>
        <n v="0.51"/>
        <n v="0.515"/>
        <n v="0.535"/>
        <n v="0.54"/>
        <n v="0.545"/>
        <n v="0.565011709601874"/>
        <n v="0.575"/>
        <n v="1"/>
        <e v="#ДЕЛ/0!"/>
      </sharedItems>
    </cacheField>
    <cacheField name="Месяц" numFmtId="0">
      <sharedItems containsSemiMixedTypes="0" containsString="0" containsNumber="1" containsInteger="1" minValue="5" maxValue="7" count="3">
        <n v="5"/>
        <n v="6"/>
        <n v="7"/>
      </sharedItems>
    </cacheField>
    <cacheField name="Число" numFmtId="0">
      <sharedItems containsSemiMixedTypes="0" containsString="0" containsNumber="1" containsInteger="1" minValue="1" maxValue="31" count="3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</sharedItems>
    </cacheField>
    <cacheField name="Дата" numFmtId="0">
      <sharedItems containsSemiMixedTypes="0" containsNonDate="0" containsDate="1" containsString="0" minDate="1900-05-17T00:00:00" maxDate="1900-07-10T00:00:00" count="54">
        <d v="1900-05-17T00:00:00"/>
        <d v="1900-05-18T00:00:00"/>
        <d v="1900-05-20T00:00:00"/>
        <d v="1900-05-21T00:00:00"/>
        <d v="1900-05-22T00:00:00"/>
        <d v="1900-05-23T00:00:00"/>
        <d v="1900-05-24T00:00:00"/>
        <d v="1900-05-25T00:00:00"/>
        <d v="1900-05-26T00:00:00"/>
        <d v="1900-05-27T00:00:00"/>
        <d v="1900-05-28T00:00:00"/>
        <d v="1900-05-29T00:00:00"/>
        <d v="1900-05-30T00:00:00"/>
        <d v="1900-05-31T00:00:00"/>
        <d v="1900-06-01T00:00:00"/>
        <d v="1900-06-02T00:00:00"/>
        <d v="1900-06-03T00:00:00"/>
        <d v="1900-06-04T00:00:00"/>
        <d v="1900-06-05T00:00:00"/>
        <d v="1900-06-06T00:00:00"/>
        <d v="1900-06-07T00:00:00"/>
        <d v="1900-06-08T00:00:00"/>
        <d v="1900-06-09T00:00:00"/>
        <d v="1900-06-10T00:00:00"/>
        <d v="1900-06-11T00:00:00"/>
        <d v="1900-06-12T00:00:00"/>
        <d v="1900-06-13T00:00:00"/>
        <d v="1900-06-14T00:00:00"/>
        <d v="1900-06-15T00:00:00"/>
        <d v="1900-06-16T00:00:00"/>
        <d v="1900-06-17T00:00:00"/>
        <d v="1900-06-18T00:00:00"/>
        <d v="1900-06-19T00:00:00"/>
        <d v="1900-06-20T00:00:00"/>
        <d v="1900-06-21T00:00:00"/>
        <d v="1900-06-22T00:00:00"/>
        <d v="1900-06-23T00:00:00"/>
        <d v="1900-06-24T00:00:00"/>
        <d v="1900-06-25T00:00:00"/>
        <d v="1900-06-26T00:00:00"/>
        <d v="1900-06-27T00:00:00"/>
        <d v="1900-06-28T00:00:00"/>
        <d v="1900-06-29T00:00:00"/>
        <d v="1900-06-30T00:00:00"/>
        <d v="1900-07-01T00:00:00"/>
        <d v="1900-07-02T00:00:00"/>
        <d v="1900-07-03T00:00:00"/>
        <d v="1900-07-04T00:00:00"/>
        <d v="1900-07-05T00:00:00"/>
        <d v="1900-07-06T00:00:00"/>
        <d v="1900-07-07T00:00:00"/>
        <d v="1900-07-08T00:00:00"/>
        <d v="1900-07-09T00:00:00"/>
        <d v="1900-07-10T00:00:00"/>
      </sharedItems>
    </cacheField>
    <cacheField name="учет" numFmtId="0">
      <sharedItems containsBlank="1" count="2">
        <s v="нет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r:id="rId1" recordCount="41" createdVersion="3">
  <cacheSource type="worksheet">
    <worksheetSource ref="A1:M42" sheet="Реестр 2024"/>
  </cacheSource>
  <cacheFields count="13">
    <cacheField name="Контрагент" numFmtId="0">
      <sharedItems count="4">
        <s v="ООО ГРК"/>
        <s v="ООО Колос"/>
        <s v="ООО Кубань Хлеб"/>
        <s v="Учхоз"/>
      </sharedItems>
    </cacheField>
    <cacheField name="Полив" numFmtId="0">
      <sharedItems count="2">
        <s v="богара"/>
        <s v="полив"/>
      </sharedItems>
    </cacheField>
    <cacheField name="Номер поля" numFmtId="0">
      <sharedItems count="20">
        <s v="А-17"/>
        <s v="А-20"/>
        <s v="А-21"/>
        <s v="А-28"/>
        <s v="А-33"/>
        <s v="А-48"/>
        <s v="Поле-1.3."/>
        <s v="Поле-1.4."/>
        <s v="Поле-1/1.1."/>
        <s v="Поле-1/7.1."/>
        <s v="Поле-10/12"/>
        <s v="Поле-10/5"/>
        <s v="Поле-2.1."/>
        <s v="Поле-2/3.5."/>
        <s v="Поле-3.1."/>
        <s v="Поле-3.3."/>
        <s v="Поле-3.4."/>
        <s v="Поле-3.5."/>
        <s v="Поле-4.3."/>
        <s v="Поле-9/2"/>
      </sharedItems>
    </cacheField>
    <cacheField name="Сорт" numFmtId="0">
      <sharedItems count="18">
        <s v="Амалфи"/>
        <s v="Асана"/>
        <s v="Беркут"/>
        <s v="Бинго"/>
        <s v="Бутана"/>
        <s v="Грюнди"/>
        <s v="Джоф"/>
        <s v="Донана"/>
        <s v="Женева"/>
        <s v="Изюминка"/>
        <s v="Исток"/>
        <s v="Маяк"/>
        <s v="Патриот"/>
        <s v="Преладо"/>
        <s v="Сомервуд"/>
        <s v="Стандана"/>
        <s v="Увертюра"/>
        <s v="Фалькон"/>
      </sharedItems>
    </cacheField>
    <cacheField name="Площадь сева" numFmtId="0">
      <sharedItems containsSemiMixedTypes="0" containsString="0" containsNumber="1" minValue="3.5" maxValue="112" count="36">
        <n v="3.5"/>
        <n v="4"/>
        <n v="5"/>
        <n v="7"/>
        <n v="8"/>
        <n v="8.5"/>
        <n v="10.5"/>
        <n v="18"/>
        <n v="20"/>
        <n v="21.6"/>
        <n v="28.3"/>
        <n v="29"/>
        <n v="32"/>
        <n v="32.9"/>
        <n v="35"/>
        <n v="39.6"/>
        <n v="41"/>
        <n v="43"/>
        <n v="45"/>
        <n v="48"/>
        <n v="48.3"/>
        <n v="50.7"/>
        <n v="52"/>
        <n v="55.9"/>
        <n v="61"/>
        <n v="66"/>
        <n v="70.6"/>
        <n v="72"/>
        <n v="73.4"/>
        <n v="80"/>
        <n v="81.9"/>
        <n v="85"/>
        <n v="86"/>
        <n v="93"/>
        <n v="97.4"/>
        <n v="112"/>
      </sharedItems>
    </cacheField>
    <cacheField name="Площадь уборки" numFmtId="0">
      <sharedItems containsSemiMixedTypes="0" containsString="0" containsNumber="1" minValue="1E-007" maxValue="112" count="33">
        <n v="1E-007"/>
        <n v="3.5"/>
        <n v="4"/>
        <n v="5"/>
        <n v="7"/>
        <n v="8.5"/>
        <n v="10.5"/>
        <n v="18"/>
        <n v="20"/>
        <n v="21.6"/>
        <n v="28.3"/>
        <n v="29"/>
        <n v="32"/>
        <n v="32.9"/>
        <n v="39.6"/>
        <n v="41"/>
        <n v="43"/>
        <n v="45"/>
        <n v="48"/>
        <n v="48.3"/>
        <n v="50.7"/>
        <n v="55.9"/>
        <n v="60"/>
        <n v="61"/>
        <n v="66"/>
        <n v="73.4"/>
        <n v="80"/>
        <n v="81.9"/>
        <n v="85"/>
        <n v="86"/>
        <n v="93"/>
        <n v="97.4"/>
        <n v="112"/>
      </sharedItems>
    </cacheField>
    <cacheField name="Остаток площади" numFmtId="0">
      <sharedItems containsSemiMixedTypes="0" containsString="0" containsNumber="1" minValue="0" maxValue="71.9999999" count="6">
        <n v="0"/>
        <n v="7"/>
        <n v="7.9999999"/>
        <n v="10.6"/>
        <n v="34.9999999"/>
        <n v="71.9999999"/>
      </sharedItems>
    </cacheField>
    <cacheField name="Закрытие, %" numFmtId="0">
      <sharedItems containsSemiMixedTypes="0" containsString="0" containsNumber="1" minValue="1.38888888888889E-009" maxValue="1" count="6">
        <n v="1.38888888888889E-009"/>
        <n v="2.85714285714286E-009"/>
        <n v="1.25E-008"/>
        <n v="0.84985835694051"/>
        <n v="0.865384615384615"/>
        <n v="1"/>
      </sharedItems>
    </cacheField>
    <cacheField name="Урожайность плановая, тн./га" numFmtId="0">
      <sharedItems containsSemiMixedTypes="0" containsString="0" containsNumber="1" minValue="3" maxValue="5.5" count="7">
        <n v="3"/>
        <n v="3.6"/>
        <n v="3.8"/>
        <n v="4"/>
        <n v="4.5"/>
        <n v="5"/>
        <n v="5.5"/>
      </sharedItems>
    </cacheField>
    <cacheField name="Урожайность фактическая, тн./га" numFmtId="0">
      <sharedItems containsSemiMixedTypes="0" containsString="0" containsNumber="1" minValue="0.001" maxValue="5.78666666666667" count="39">
        <n v="0.001"/>
        <n v="0.722857142857143"/>
        <n v="0.762352941176471"/>
        <n v="0.935164835164835"/>
        <n v="1.064"/>
        <n v="1.305"/>
        <n v="1.38723404255319"/>
        <n v="1.38863636363636"/>
        <n v="1.52790163934426"/>
        <n v="1.59193460490463"/>
        <n v="1.83090349075975"/>
        <n v="1.921"/>
        <n v="2.00722222222222"/>
        <n v="2.01017857142857"/>
        <n v="2.2575"/>
        <n v="2.27"/>
        <n v="2.27133333333333"/>
        <n v="2.3025"/>
        <n v="2.39270588235294"/>
        <n v="2.41020833333333"/>
        <n v="2.53865877712032"/>
        <n v="2.63439024390244"/>
        <n v="2.9275"/>
        <n v="2.94275618374558"/>
        <n v="3.01515151515151"/>
        <n v="3.21805555555556"/>
        <n v="3.224625"/>
        <n v="3.36591397849462"/>
        <n v="3.6265"/>
        <n v="3.72271914132379"/>
        <n v="3.7771875"/>
        <n v="3.89142857142857"/>
        <n v="3.96255813953488"/>
        <n v="3.97651162790698"/>
        <n v="4.2451724137931"/>
        <n v="4.81142857142857"/>
        <n v="4.87101449275362"/>
        <n v="5.21422222222222"/>
        <n v="5.78666666666667"/>
      </sharedItems>
    </cacheField>
    <cacheField name="Валовый сбор плановый" numFmtId="0">
      <sharedItems containsSemiMixedTypes="0" containsString="0" containsNumber="1" minValue="15.2" maxValue="535.7" count="38">
        <n v="15.2"/>
        <n v="16"/>
        <n v="18"/>
        <n v="19.25"/>
        <n v="26.6"/>
        <n v="44"/>
        <n v="46.75"/>
        <n v="57.75"/>
        <n v="80"/>
        <n v="90"/>
        <n v="108"/>
        <n v="127.35"/>
        <n v="145"/>
        <n v="160"/>
        <n v="164"/>
        <n v="172"/>
        <n v="172.8"/>
        <n v="180.95"/>
        <n v="192.5"/>
        <n v="198"/>
        <n v="217.8"/>
        <n v="225"/>
        <n v="228.15"/>
        <n v="247.5"/>
        <n v="265.65"/>
        <n v="274.5"/>
        <n v="279.5"/>
        <n v="286"/>
        <n v="288"/>
        <n v="306"/>
        <n v="330.3"/>
        <n v="336"/>
        <n v="344"/>
        <n v="368.55"/>
        <n v="388.3"/>
        <n v="396"/>
        <n v="511.5"/>
        <n v="535.7"/>
      </sharedItems>
    </cacheField>
    <cacheField name="Валовый сбор фактический" numFmtId="0">
      <sharedItems containsSemiMixedTypes="0" containsString="0" containsNumber="1" minValue="1E-010" maxValue="340.78" count="39">
        <n v="1E-010"/>
        <n v="5.06"/>
        <n v="5.22"/>
        <n v="5.32"/>
        <n v="6.48"/>
        <n v="9.03"/>
        <n v="9.08"/>
        <n v="9.21"/>
        <n v="11.71"/>
        <n v="13.62"/>
        <n v="36.13"/>
        <n v="45.64"/>
        <n v="50.52"/>
        <n v="69.51"/>
        <n v="72.53"/>
        <n v="76.59"/>
        <n v="83.28"/>
        <n v="91.65"/>
        <n v="93.202"/>
        <n v="102.21"/>
        <n v="108.01"/>
        <n v="115.26"/>
        <n v="115.69"/>
        <n v="116.848"/>
        <n v="119.4"/>
        <n v="120.87"/>
        <n v="123.11"/>
        <n v="128.71"/>
        <n v="170.99"/>
        <n v="178.33"/>
        <n v="203.38"/>
        <n v="208.1"/>
        <n v="225.14"/>
        <n v="234.64"/>
        <n v="235.27"/>
        <n v="257.97"/>
        <n v="260.4"/>
        <n v="313.03"/>
        <n v="340.78"/>
      </sharedItems>
    </cacheField>
    <cacheField name="Выполнение плана, %" numFmtId="0">
      <sharedItems containsSemiMixedTypes="0" containsString="0" containsNumber="1" minValue="2.52525252525253E-013" maxValue="0.994127906976744" count="41">
        <n v="2.52525252525253E-013"/>
        <n v="5.19480519480519E-013"/>
        <n v="2.27272727272727E-012"/>
        <n v="0.138609625668449"/>
        <n v="0.190225563909774"/>
        <n v="0.207814407814408"/>
        <n v="0.252224371373308"/>
        <n v="0.295555555555556"/>
        <n v="0.296832346124131"/>
        <n v="0.332891543774501"/>
        <n v="0.339533697632058"/>
        <n v="0.343421052631579"/>
        <n v="0.353763245534363"/>
        <n v="0.401444444444445"/>
        <n v="0.454266666666667"/>
        <n v="0.462878787878788"/>
        <n v="0.548209366391185"/>
        <n v="0.564146394915626"/>
        <n v="0.564375"/>
        <n v="0.5675"/>
        <n v="0.575625"/>
        <n v="0.611984359726295"/>
        <n v="0.643611111111111"/>
        <n v="0.65394581861013"/>
        <n v="0.65859756097561"/>
        <n v="0.664640522875817"/>
        <n v="0.669502314814815"/>
        <n v="0.670059523809524"/>
        <n v="0.707532467532468"/>
        <n v="0.731875"/>
        <n v="0.744543828264759"/>
        <n v="0.7554375"/>
        <n v="0.849034482758621"/>
        <n v="0.874805194805195"/>
        <n v="0.885638998682477"/>
        <n v="0.895729166666667"/>
        <n v="0.906625"/>
        <n v="0.91048951048951"/>
        <n v="0.948040404040404"/>
        <n v="0.990639534883721"/>
        <n v="0.994127906976744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2">
  <r>
    <x v="0"/>
    <x v="0"/>
    <x v="8"/>
    <x v="0"/>
    <x v="0"/>
    <x v="0"/>
    <x v="86"/>
    <x v="0"/>
    <x v="100"/>
    <x v="0"/>
    <x v="1"/>
    <x v="0"/>
    <x v="3"/>
    <x v="0"/>
    <x v="0"/>
    <x v="0"/>
    <x v="0"/>
    <x v="2"/>
    <x v="0"/>
    <x v="3"/>
    <x v="1"/>
    <x v="100"/>
    <x v="0"/>
    <x v="0"/>
    <x v="0"/>
    <x v="0"/>
    <x v="4"/>
    <x v="2"/>
    <x v="0"/>
    <x v="0"/>
    <x v="0"/>
    <x v="0"/>
    <x v="0"/>
    <x v="7"/>
  </r>
  <r>
    <x v="0"/>
    <x v="0"/>
    <x v="12"/>
    <x v="1"/>
    <x v="0"/>
    <x v="0"/>
    <x v="66"/>
    <x v="0"/>
    <x v="21"/>
    <x v="0"/>
    <x v="1"/>
    <x v="0"/>
    <x v="19"/>
    <x v="0"/>
    <x v="0"/>
    <x v="0"/>
    <x v="0"/>
    <x v="9"/>
    <x v="0"/>
    <x v="3"/>
    <x v="1"/>
    <x v="93"/>
    <x v="0"/>
    <x v="0"/>
    <x v="0"/>
    <x v="0"/>
    <x v="4"/>
    <x v="2"/>
    <x v="1"/>
    <x v="0"/>
    <x v="1"/>
    <x v="0"/>
    <x v="0"/>
    <x v="11"/>
  </r>
  <r>
    <x v="0"/>
    <x v="0"/>
    <x v="9"/>
    <x v="2"/>
    <x v="0"/>
    <x v="0"/>
    <x v="61"/>
    <x v="0"/>
    <x v="38"/>
    <x v="0"/>
    <x v="1"/>
    <x v="0"/>
    <x v="3"/>
    <x v="0"/>
    <x v="0"/>
    <x v="0"/>
    <x v="0"/>
    <x v="2"/>
    <x v="0"/>
    <x v="3"/>
    <x v="1"/>
    <x v="91"/>
    <x v="0"/>
    <x v="0"/>
    <x v="0"/>
    <x v="0"/>
    <x v="4"/>
    <x v="2"/>
    <x v="0"/>
    <x v="0"/>
    <x v="2"/>
    <x v="0"/>
    <x v="0"/>
    <x v="8"/>
  </r>
  <r>
    <x v="0"/>
    <x v="0"/>
    <x v="13"/>
    <x v="3"/>
    <x v="0"/>
    <x v="0"/>
    <x v="70"/>
    <x v="0"/>
    <x v="34"/>
    <x v="0"/>
    <x v="1"/>
    <x v="0"/>
    <x v="10"/>
    <x v="0"/>
    <x v="0"/>
    <x v="0"/>
    <x v="0"/>
    <x v="3"/>
    <x v="0"/>
    <x v="3"/>
    <x v="1"/>
    <x v="95"/>
    <x v="0"/>
    <x v="0"/>
    <x v="0"/>
    <x v="0"/>
    <x v="4"/>
    <x v="2"/>
    <x v="1"/>
    <x v="0"/>
    <x v="3"/>
    <x v="0"/>
    <x v="0"/>
    <x v="12"/>
  </r>
  <r>
    <x v="0"/>
    <x v="0"/>
    <x v="12"/>
    <x v="4"/>
    <x v="0"/>
    <x v="0"/>
    <x v="65"/>
    <x v="0"/>
    <x v="63"/>
    <x v="0"/>
    <x v="1"/>
    <x v="0"/>
    <x v="3"/>
    <x v="0"/>
    <x v="0"/>
    <x v="0"/>
    <x v="0"/>
    <x v="2"/>
    <x v="0"/>
    <x v="3"/>
    <x v="1"/>
    <x v="92"/>
    <x v="0"/>
    <x v="0"/>
    <x v="0"/>
    <x v="0"/>
    <x v="4"/>
    <x v="2"/>
    <x v="1"/>
    <x v="0"/>
    <x v="4"/>
    <x v="0"/>
    <x v="0"/>
    <x v="11"/>
  </r>
  <r>
    <x v="0"/>
    <x v="0"/>
    <x v="12"/>
    <x v="5"/>
    <x v="0"/>
    <x v="0"/>
    <x v="46"/>
    <x v="0"/>
    <x v="33"/>
    <x v="0"/>
    <x v="1"/>
    <x v="0"/>
    <x v="20"/>
    <x v="0"/>
    <x v="0"/>
    <x v="0"/>
    <x v="0"/>
    <x v="0"/>
    <x v="0"/>
    <x v="3"/>
    <x v="1"/>
    <x v="84"/>
    <x v="0"/>
    <x v="0"/>
    <x v="0"/>
    <x v="0"/>
    <x v="4"/>
    <x v="2"/>
    <x v="1"/>
    <x v="0"/>
    <x v="5"/>
    <x v="0"/>
    <x v="0"/>
    <x v="11"/>
  </r>
  <r>
    <x v="0"/>
    <x v="0"/>
    <x v="11"/>
    <x v="6"/>
    <x v="0"/>
    <x v="0"/>
    <x v="69"/>
    <x v="0"/>
    <x v="57"/>
    <x v="0"/>
    <x v="1"/>
    <x v="0"/>
    <x v="10"/>
    <x v="0"/>
    <x v="0"/>
    <x v="0"/>
    <x v="0"/>
    <x v="3"/>
    <x v="0"/>
    <x v="3"/>
    <x v="1"/>
    <x v="94"/>
    <x v="0"/>
    <x v="0"/>
    <x v="0"/>
    <x v="0"/>
    <x v="4"/>
    <x v="2"/>
    <x v="0"/>
    <x v="0"/>
    <x v="6"/>
    <x v="0"/>
    <x v="0"/>
    <x v="10"/>
  </r>
  <r>
    <x v="0"/>
    <x v="0"/>
    <x v="11"/>
    <x v="7"/>
    <x v="0"/>
    <x v="0"/>
    <x v="70"/>
    <x v="0"/>
    <x v="68"/>
    <x v="0"/>
    <x v="1"/>
    <x v="0"/>
    <x v="3"/>
    <x v="0"/>
    <x v="0"/>
    <x v="0"/>
    <x v="0"/>
    <x v="2"/>
    <x v="0"/>
    <x v="3"/>
    <x v="1"/>
    <x v="95"/>
    <x v="0"/>
    <x v="0"/>
    <x v="0"/>
    <x v="0"/>
    <x v="4"/>
    <x v="2"/>
    <x v="0"/>
    <x v="0"/>
    <x v="7"/>
    <x v="0"/>
    <x v="0"/>
    <x v="10"/>
  </r>
  <r>
    <x v="0"/>
    <x v="0"/>
    <x v="10"/>
    <x v="8"/>
    <x v="0"/>
    <x v="0"/>
    <x v="37"/>
    <x v="0"/>
    <x v="37"/>
    <x v="0"/>
    <x v="1"/>
    <x v="0"/>
    <x v="20"/>
    <x v="0"/>
    <x v="0"/>
    <x v="0"/>
    <x v="0"/>
    <x v="0"/>
    <x v="0"/>
    <x v="3"/>
    <x v="1"/>
    <x v="76"/>
    <x v="0"/>
    <x v="0"/>
    <x v="0"/>
    <x v="0"/>
    <x v="4"/>
    <x v="2"/>
    <x v="0"/>
    <x v="0"/>
    <x v="8"/>
    <x v="1"/>
    <x v="0"/>
    <x v="9"/>
  </r>
  <r>
    <x v="0"/>
    <x v="0"/>
    <x v="12"/>
    <x v="9"/>
    <x v="0"/>
    <x v="0"/>
    <x v="46"/>
    <x v="0"/>
    <x v="48"/>
    <x v="0"/>
    <x v="1"/>
    <x v="0"/>
    <x v="10"/>
    <x v="0"/>
    <x v="0"/>
    <x v="0"/>
    <x v="0"/>
    <x v="3"/>
    <x v="0"/>
    <x v="3"/>
    <x v="1"/>
    <x v="84"/>
    <x v="0"/>
    <x v="0"/>
    <x v="0"/>
    <x v="0"/>
    <x v="4"/>
    <x v="2"/>
    <x v="1"/>
    <x v="0"/>
    <x v="9"/>
    <x v="1"/>
    <x v="0"/>
    <x v="11"/>
  </r>
  <r>
    <x v="0"/>
    <x v="0"/>
    <x v="14"/>
    <x v="10"/>
    <x v="0"/>
    <x v="0"/>
    <x v="38"/>
    <x v="0"/>
    <x v="50"/>
    <x v="0"/>
    <x v="1"/>
    <x v="0"/>
    <x v="3"/>
    <x v="0"/>
    <x v="0"/>
    <x v="0"/>
    <x v="0"/>
    <x v="2"/>
    <x v="0"/>
    <x v="3"/>
    <x v="1"/>
    <x v="77"/>
    <x v="0"/>
    <x v="0"/>
    <x v="0"/>
    <x v="0"/>
    <x v="4"/>
    <x v="2"/>
    <x v="1"/>
    <x v="0"/>
    <x v="10"/>
    <x v="1"/>
    <x v="0"/>
    <x v="13"/>
  </r>
  <r>
    <x v="0"/>
    <x v="0"/>
    <x v="9"/>
    <x v="11"/>
    <x v="0"/>
    <x v="0"/>
    <x v="33"/>
    <x v="0"/>
    <x v="26"/>
    <x v="0"/>
    <x v="1"/>
    <x v="0"/>
    <x v="20"/>
    <x v="0"/>
    <x v="0"/>
    <x v="0"/>
    <x v="0"/>
    <x v="0"/>
    <x v="0"/>
    <x v="3"/>
    <x v="1"/>
    <x v="74"/>
    <x v="0"/>
    <x v="0"/>
    <x v="0"/>
    <x v="0"/>
    <x v="4"/>
    <x v="2"/>
    <x v="0"/>
    <x v="0"/>
    <x v="11"/>
    <x v="1"/>
    <x v="0"/>
    <x v="8"/>
  </r>
  <r>
    <x v="0"/>
    <x v="0"/>
    <x v="12"/>
    <x v="12"/>
    <x v="0"/>
    <x v="0"/>
    <x v="26"/>
    <x v="0"/>
    <x v="28"/>
    <x v="0"/>
    <x v="1"/>
    <x v="0"/>
    <x v="10"/>
    <x v="0"/>
    <x v="0"/>
    <x v="0"/>
    <x v="0"/>
    <x v="3"/>
    <x v="0"/>
    <x v="3"/>
    <x v="1"/>
    <x v="69"/>
    <x v="0"/>
    <x v="0"/>
    <x v="0"/>
    <x v="0"/>
    <x v="4"/>
    <x v="2"/>
    <x v="1"/>
    <x v="0"/>
    <x v="12"/>
    <x v="1"/>
    <x v="0"/>
    <x v="11"/>
  </r>
  <r>
    <x v="0"/>
    <x v="0"/>
    <x v="13"/>
    <x v="13"/>
    <x v="0"/>
    <x v="0"/>
    <x v="71"/>
    <x v="0"/>
    <x v="60"/>
    <x v="0"/>
    <x v="1"/>
    <x v="0"/>
    <x v="14"/>
    <x v="0"/>
    <x v="0"/>
    <x v="0"/>
    <x v="0"/>
    <x v="10"/>
    <x v="0"/>
    <x v="3"/>
    <x v="1"/>
    <x v="96"/>
    <x v="0"/>
    <x v="0"/>
    <x v="0"/>
    <x v="0"/>
    <x v="4"/>
    <x v="2"/>
    <x v="1"/>
    <x v="0"/>
    <x v="13"/>
    <x v="1"/>
    <x v="0"/>
    <x v="12"/>
  </r>
  <r>
    <x v="1"/>
    <x v="0"/>
    <x v="14"/>
    <x v="14"/>
    <x v="0"/>
    <x v="0"/>
    <x v="59"/>
    <x v="0"/>
    <x v="29"/>
    <x v="0"/>
    <x v="1"/>
    <x v="0"/>
    <x v="6"/>
    <x v="0"/>
    <x v="0"/>
    <x v="0"/>
    <x v="0"/>
    <x v="14"/>
    <x v="0"/>
    <x v="3"/>
    <x v="1"/>
    <x v="68"/>
    <x v="0"/>
    <x v="0"/>
    <x v="1"/>
    <x v="1"/>
    <x v="4"/>
    <x v="2"/>
    <x v="1"/>
    <x v="0"/>
    <x v="14"/>
    <x v="1"/>
    <x v="0"/>
    <x v="13"/>
  </r>
  <r>
    <x v="1"/>
    <x v="0"/>
    <x v="14"/>
    <x v="15"/>
    <x v="0"/>
    <x v="0"/>
    <x v="39"/>
    <x v="0"/>
    <x v="52"/>
    <x v="0"/>
    <x v="1"/>
    <x v="0"/>
    <x v="13"/>
    <x v="0"/>
    <x v="0"/>
    <x v="0"/>
    <x v="0"/>
    <x v="8"/>
    <x v="0"/>
    <x v="3"/>
    <x v="1"/>
    <x v="67"/>
    <x v="0"/>
    <x v="0"/>
    <x v="1"/>
    <x v="1"/>
    <x v="4"/>
    <x v="2"/>
    <x v="1"/>
    <x v="0"/>
    <x v="15"/>
    <x v="1"/>
    <x v="0"/>
    <x v="13"/>
  </r>
  <r>
    <x v="1"/>
    <x v="0"/>
    <x v="12"/>
    <x v="16"/>
    <x v="0"/>
    <x v="0"/>
    <x v="72"/>
    <x v="0"/>
    <x v="81"/>
    <x v="0"/>
    <x v="1"/>
    <x v="0"/>
    <x v="2"/>
    <x v="0"/>
    <x v="0"/>
    <x v="0"/>
    <x v="0"/>
    <x v="15"/>
    <x v="0"/>
    <x v="3"/>
    <x v="1"/>
    <x v="75"/>
    <x v="0"/>
    <x v="0"/>
    <x v="1"/>
    <x v="1"/>
    <x v="4"/>
    <x v="2"/>
    <x v="1"/>
    <x v="0"/>
    <x v="16"/>
    <x v="1"/>
    <x v="0"/>
    <x v="11"/>
  </r>
  <r>
    <x v="1"/>
    <x v="0"/>
    <x v="12"/>
    <x v="17"/>
    <x v="0"/>
    <x v="0"/>
    <x v="76"/>
    <x v="0"/>
    <x v="79"/>
    <x v="0"/>
    <x v="1"/>
    <x v="0"/>
    <x v="14"/>
    <x v="0"/>
    <x v="0"/>
    <x v="0"/>
    <x v="0"/>
    <x v="10"/>
    <x v="0"/>
    <x v="3"/>
    <x v="1"/>
    <x v="88"/>
    <x v="0"/>
    <x v="0"/>
    <x v="1"/>
    <x v="1"/>
    <x v="4"/>
    <x v="2"/>
    <x v="1"/>
    <x v="0"/>
    <x v="17"/>
    <x v="1"/>
    <x v="0"/>
    <x v="11"/>
  </r>
  <r>
    <x v="1"/>
    <x v="0"/>
    <x v="11"/>
    <x v="18"/>
    <x v="0"/>
    <x v="0"/>
    <x v="75"/>
    <x v="0"/>
    <x v="84"/>
    <x v="0"/>
    <x v="1"/>
    <x v="0"/>
    <x v="6"/>
    <x v="0"/>
    <x v="0"/>
    <x v="0"/>
    <x v="0"/>
    <x v="14"/>
    <x v="0"/>
    <x v="3"/>
    <x v="1"/>
    <x v="87"/>
    <x v="0"/>
    <x v="0"/>
    <x v="1"/>
    <x v="1"/>
    <x v="4"/>
    <x v="2"/>
    <x v="0"/>
    <x v="0"/>
    <x v="18"/>
    <x v="1"/>
    <x v="0"/>
    <x v="10"/>
  </r>
  <r>
    <x v="1"/>
    <x v="0"/>
    <x v="12"/>
    <x v="19"/>
    <x v="0"/>
    <x v="0"/>
    <x v="78"/>
    <x v="0"/>
    <x v="94"/>
    <x v="0"/>
    <x v="1"/>
    <x v="0"/>
    <x v="15"/>
    <x v="0"/>
    <x v="0"/>
    <x v="0"/>
    <x v="0"/>
    <x v="4"/>
    <x v="0"/>
    <x v="3"/>
    <x v="1"/>
    <x v="90"/>
    <x v="0"/>
    <x v="0"/>
    <x v="1"/>
    <x v="1"/>
    <x v="4"/>
    <x v="2"/>
    <x v="1"/>
    <x v="0"/>
    <x v="19"/>
    <x v="1"/>
    <x v="0"/>
    <x v="11"/>
  </r>
  <r>
    <x v="1"/>
    <x v="0"/>
    <x v="12"/>
    <x v="21"/>
    <x v="0"/>
    <x v="0"/>
    <x v="77"/>
    <x v="0"/>
    <x v="95"/>
    <x v="0"/>
    <x v="1"/>
    <x v="0"/>
    <x v="14"/>
    <x v="0"/>
    <x v="0"/>
    <x v="0"/>
    <x v="0"/>
    <x v="10"/>
    <x v="0"/>
    <x v="3"/>
    <x v="1"/>
    <x v="89"/>
    <x v="0"/>
    <x v="0"/>
    <x v="1"/>
    <x v="1"/>
    <x v="4"/>
    <x v="2"/>
    <x v="1"/>
    <x v="0"/>
    <x v="21"/>
    <x v="1"/>
    <x v="0"/>
    <x v="11"/>
  </r>
  <r>
    <x v="1"/>
    <x v="0"/>
    <x v="11"/>
    <x v="20"/>
    <x v="0"/>
    <x v="0"/>
    <x v="75"/>
    <x v="0"/>
    <x v="74"/>
    <x v="0"/>
    <x v="1"/>
    <x v="0"/>
    <x v="2"/>
    <x v="0"/>
    <x v="0"/>
    <x v="0"/>
    <x v="0"/>
    <x v="15"/>
    <x v="0"/>
    <x v="3"/>
    <x v="1"/>
    <x v="87"/>
    <x v="0"/>
    <x v="0"/>
    <x v="1"/>
    <x v="1"/>
    <x v="4"/>
    <x v="2"/>
    <x v="0"/>
    <x v="0"/>
    <x v="20"/>
    <x v="1"/>
    <x v="0"/>
    <x v="10"/>
  </r>
  <r>
    <x v="1"/>
    <x v="0"/>
    <x v="1"/>
    <x v="22"/>
    <x v="0"/>
    <x v="0"/>
    <x v="14"/>
    <x v="0"/>
    <x v="15"/>
    <x v="0"/>
    <x v="0"/>
    <x v="0"/>
    <x v="6"/>
    <x v="0"/>
    <x v="0"/>
    <x v="0"/>
    <x v="0"/>
    <x v="14"/>
    <x v="0"/>
    <x v="2"/>
    <x v="0"/>
    <x v="31"/>
    <x v="0"/>
    <x v="0"/>
    <x v="1"/>
    <x v="1"/>
    <x v="4"/>
    <x v="2"/>
    <x v="0"/>
    <x v="0"/>
    <x v="22"/>
    <x v="1"/>
    <x v="0"/>
    <x v="0"/>
  </r>
  <r>
    <x v="1"/>
    <x v="0"/>
    <x v="8"/>
    <x v="36"/>
    <x v="0"/>
    <x v="0"/>
    <x v="84"/>
    <x v="0"/>
    <x v="99"/>
    <x v="0"/>
    <x v="1"/>
    <x v="0"/>
    <x v="14"/>
    <x v="0"/>
    <x v="0"/>
    <x v="0"/>
    <x v="0"/>
    <x v="13"/>
    <x v="0"/>
    <x v="3"/>
    <x v="1"/>
    <x v="98"/>
    <x v="0"/>
    <x v="0"/>
    <x v="2"/>
    <x v="2"/>
    <x v="4"/>
    <x v="2"/>
    <x v="0"/>
    <x v="0"/>
    <x v="36"/>
    <x v="2"/>
    <x v="0"/>
    <x v="7"/>
  </r>
  <r>
    <x v="1"/>
    <x v="0"/>
    <x v="8"/>
    <x v="37"/>
    <x v="0"/>
    <x v="0"/>
    <x v="54"/>
    <x v="0"/>
    <x v="25"/>
    <x v="0"/>
    <x v="1"/>
    <x v="0"/>
    <x v="6"/>
    <x v="0"/>
    <x v="0"/>
    <x v="0"/>
    <x v="0"/>
    <x v="14"/>
    <x v="0"/>
    <x v="3"/>
    <x v="1"/>
    <x v="55"/>
    <x v="0"/>
    <x v="0"/>
    <x v="2"/>
    <x v="2"/>
    <x v="4"/>
    <x v="2"/>
    <x v="0"/>
    <x v="0"/>
    <x v="37"/>
    <x v="2"/>
    <x v="0"/>
    <x v="7"/>
  </r>
  <r>
    <x v="1"/>
    <x v="0"/>
    <x v="7"/>
    <x v="38"/>
    <x v="0"/>
    <x v="0"/>
    <x v="57"/>
    <x v="0"/>
    <x v="47"/>
    <x v="0"/>
    <x v="1"/>
    <x v="0"/>
    <x v="2"/>
    <x v="0"/>
    <x v="0"/>
    <x v="0"/>
    <x v="0"/>
    <x v="15"/>
    <x v="0"/>
    <x v="3"/>
    <x v="1"/>
    <x v="58"/>
    <x v="0"/>
    <x v="0"/>
    <x v="2"/>
    <x v="2"/>
    <x v="4"/>
    <x v="2"/>
    <x v="0"/>
    <x v="0"/>
    <x v="38"/>
    <x v="2"/>
    <x v="0"/>
    <x v="6"/>
  </r>
  <r>
    <x v="1"/>
    <x v="0"/>
    <x v="6"/>
    <x v="39"/>
    <x v="0"/>
    <x v="0"/>
    <x v="4"/>
    <x v="0"/>
    <x v="7"/>
    <x v="0"/>
    <x v="1"/>
    <x v="0"/>
    <x v="18"/>
    <x v="0"/>
    <x v="0"/>
    <x v="0"/>
    <x v="0"/>
    <x v="18"/>
    <x v="0"/>
    <x v="3"/>
    <x v="1"/>
    <x v="6"/>
    <x v="0"/>
    <x v="0"/>
    <x v="2"/>
    <x v="2"/>
    <x v="4"/>
    <x v="2"/>
    <x v="0"/>
    <x v="0"/>
    <x v="39"/>
    <x v="2"/>
    <x v="0"/>
    <x v="5"/>
  </r>
  <r>
    <x v="1"/>
    <x v="0"/>
    <x v="9"/>
    <x v="23"/>
    <x v="0"/>
    <x v="0"/>
    <x v="85"/>
    <x v="0"/>
    <x v="103"/>
    <x v="0"/>
    <x v="1"/>
    <x v="0"/>
    <x v="2"/>
    <x v="0"/>
    <x v="0"/>
    <x v="0"/>
    <x v="0"/>
    <x v="15"/>
    <x v="0"/>
    <x v="0"/>
    <x v="1"/>
    <x v="101"/>
    <x v="0"/>
    <x v="0"/>
    <x v="2"/>
    <x v="2"/>
    <x v="4"/>
    <x v="2"/>
    <x v="0"/>
    <x v="0"/>
    <x v="27"/>
    <x v="2"/>
    <x v="0"/>
    <x v="8"/>
  </r>
  <r>
    <x v="1"/>
    <x v="0"/>
    <x v="13"/>
    <x v="24"/>
    <x v="0"/>
    <x v="0"/>
    <x v="18"/>
    <x v="0"/>
    <x v="19"/>
    <x v="0"/>
    <x v="1"/>
    <x v="0"/>
    <x v="21"/>
    <x v="0"/>
    <x v="0"/>
    <x v="0"/>
    <x v="0"/>
    <x v="6"/>
    <x v="0"/>
    <x v="0"/>
    <x v="1"/>
    <x v="23"/>
    <x v="0"/>
    <x v="0"/>
    <x v="2"/>
    <x v="2"/>
    <x v="4"/>
    <x v="2"/>
    <x v="1"/>
    <x v="0"/>
    <x v="23"/>
    <x v="2"/>
    <x v="0"/>
    <x v="12"/>
  </r>
  <r>
    <x v="1"/>
    <x v="0"/>
    <x v="5"/>
    <x v="25"/>
    <x v="0"/>
    <x v="0"/>
    <x v="9"/>
    <x v="0"/>
    <x v="4"/>
    <x v="0"/>
    <x v="1"/>
    <x v="0"/>
    <x v="18"/>
    <x v="0"/>
    <x v="0"/>
    <x v="0"/>
    <x v="0"/>
    <x v="18"/>
    <x v="0"/>
    <x v="3"/>
    <x v="1"/>
    <x v="8"/>
    <x v="0"/>
    <x v="0"/>
    <x v="2"/>
    <x v="2"/>
    <x v="4"/>
    <x v="2"/>
    <x v="0"/>
    <x v="0"/>
    <x v="28"/>
    <x v="2"/>
    <x v="0"/>
    <x v="4"/>
  </r>
  <r>
    <x v="1"/>
    <x v="0"/>
    <x v="6"/>
    <x v="26"/>
    <x v="0"/>
    <x v="0"/>
    <x v="62"/>
    <x v="0"/>
    <x v="54"/>
    <x v="0"/>
    <x v="1"/>
    <x v="0"/>
    <x v="14"/>
    <x v="0"/>
    <x v="0"/>
    <x v="0"/>
    <x v="0"/>
    <x v="13"/>
    <x v="0"/>
    <x v="3"/>
    <x v="1"/>
    <x v="60"/>
    <x v="0"/>
    <x v="0"/>
    <x v="2"/>
    <x v="2"/>
    <x v="4"/>
    <x v="2"/>
    <x v="0"/>
    <x v="0"/>
    <x v="29"/>
    <x v="2"/>
    <x v="0"/>
    <x v="5"/>
  </r>
  <r>
    <x v="1"/>
    <x v="0"/>
    <x v="6"/>
    <x v="27"/>
    <x v="0"/>
    <x v="0"/>
    <x v="72"/>
    <x v="0"/>
    <x v="43"/>
    <x v="0"/>
    <x v="1"/>
    <x v="0"/>
    <x v="6"/>
    <x v="0"/>
    <x v="0"/>
    <x v="0"/>
    <x v="0"/>
    <x v="14"/>
    <x v="0"/>
    <x v="3"/>
    <x v="1"/>
    <x v="66"/>
    <x v="0"/>
    <x v="0"/>
    <x v="2"/>
    <x v="2"/>
    <x v="4"/>
    <x v="2"/>
    <x v="0"/>
    <x v="0"/>
    <x v="30"/>
    <x v="2"/>
    <x v="0"/>
    <x v="5"/>
  </r>
  <r>
    <x v="1"/>
    <x v="0"/>
    <x v="3"/>
    <x v="28"/>
    <x v="0"/>
    <x v="0"/>
    <x v="63"/>
    <x v="0"/>
    <x v="41"/>
    <x v="0"/>
    <x v="1"/>
    <x v="0"/>
    <x v="2"/>
    <x v="0"/>
    <x v="0"/>
    <x v="0"/>
    <x v="0"/>
    <x v="15"/>
    <x v="0"/>
    <x v="3"/>
    <x v="1"/>
    <x v="61"/>
    <x v="0"/>
    <x v="0"/>
    <x v="2"/>
    <x v="2"/>
    <x v="4"/>
    <x v="2"/>
    <x v="0"/>
    <x v="0"/>
    <x v="31"/>
    <x v="2"/>
    <x v="0"/>
    <x v="2"/>
  </r>
  <r>
    <x v="1"/>
    <x v="0"/>
    <x v="2"/>
    <x v="29"/>
    <x v="0"/>
    <x v="0"/>
    <x v="12"/>
    <x v="0"/>
    <x v="6"/>
    <x v="0"/>
    <x v="1"/>
    <x v="0"/>
    <x v="18"/>
    <x v="0"/>
    <x v="0"/>
    <x v="0"/>
    <x v="0"/>
    <x v="18"/>
    <x v="0"/>
    <x v="3"/>
    <x v="1"/>
    <x v="9"/>
    <x v="0"/>
    <x v="0"/>
    <x v="2"/>
    <x v="2"/>
    <x v="4"/>
    <x v="2"/>
    <x v="0"/>
    <x v="0"/>
    <x v="32"/>
    <x v="2"/>
    <x v="0"/>
    <x v="1"/>
  </r>
  <r>
    <x v="1"/>
    <x v="0"/>
    <x v="6"/>
    <x v="30"/>
    <x v="0"/>
    <x v="0"/>
    <x v="68"/>
    <x v="0"/>
    <x v="46"/>
    <x v="0"/>
    <x v="1"/>
    <x v="0"/>
    <x v="21"/>
    <x v="0"/>
    <x v="0"/>
    <x v="0"/>
    <x v="0"/>
    <x v="6"/>
    <x v="0"/>
    <x v="3"/>
    <x v="1"/>
    <x v="64"/>
    <x v="0"/>
    <x v="0"/>
    <x v="2"/>
    <x v="2"/>
    <x v="4"/>
    <x v="2"/>
    <x v="0"/>
    <x v="0"/>
    <x v="33"/>
    <x v="2"/>
    <x v="0"/>
    <x v="5"/>
  </r>
  <r>
    <x v="1"/>
    <x v="0"/>
    <x v="4"/>
    <x v="31"/>
    <x v="0"/>
    <x v="0"/>
    <x v="79"/>
    <x v="0"/>
    <x v="76"/>
    <x v="0"/>
    <x v="1"/>
    <x v="0"/>
    <x v="14"/>
    <x v="0"/>
    <x v="0"/>
    <x v="0"/>
    <x v="0"/>
    <x v="13"/>
    <x v="0"/>
    <x v="3"/>
    <x v="1"/>
    <x v="71"/>
    <x v="0"/>
    <x v="0"/>
    <x v="2"/>
    <x v="2"/>
    <x v="4"/>
    <x v="2"/>
    <x v="0"/>
    <x v="0"/>
    <x v="34"/>
    <x v="2"/>
    <x v="0"/>
    <x v="3"/>
  </r>
  <r>
    <x v="1"/>
    <x v="0"/>
    <x v="9"/>
    <x v="32"/>
    <x v="0"/>
    <x v="0"/>
    <x v="67"/>
    <x v="0"/>
    <x v="27"/>
    <x v="0"/>
    <x v="1"/>
    <x v="0"/>
    <x v="6"/>
    <x v="0"/>
    <x v="0"/>
    <x v="0"/>
    <x v="0"/>
    <x v="14"/>
    <x v="0"/>
    <x v="3"/>
    <x v="1"/>
    <x v="62"/>
    <x v="0"/>
    <x v="0"/>
    <x v="2"/>
    <x v="2"/>
    <x v="4"/>
    <x v="2"/>
    <x v="0"/>
    <x v="0"/>
    <x v="35"/>
    <x v="2"/>
    <x v="0"/>
    <x v="8"/>
  </r>
  <r>
    <x v="1"/>
    <x v="0"/>
    <x v="9"/>
    <x v="33"/>
    <x v="0"/>
    <x v="0"/>
    <x v="72"/>
    <x v="0"/>
    <x v="65"/>
    <x v="0"/>
    <x v="1"/>
    <x v="0"/>
    <x v="2"/>
    <x v="0"/>
    <x v="0"/>
    <x v="0"/>
    <x v="0"/>
    <x v="15"/>
    <x v="0"/>
    <x v="3"/>
    <x v="1"/>
    <x v="66"/>
    <x v="0"/>
    <x v="0"/>
    <x v="2"/>
    <x v="2"/>
    <x v="4"/>
    <x v="2"/>
    <x v="0"/>
    <x v="0"/>
    <x v="25"/>
    <x v="2"/>
    <x v="0"/>
    <x v="8"/>
  </r>
  <r>
    <x v="1"/>
    <x v="0"/>
    <x v="12"/>
    <x v="34"/>
    <x v="0"/>
    <x v="0"/>
    <x v="62"/>
    <x v="0"/>
    <x v="78"/>
    <x v="0"/>
    <x v="1"/>
    <x v="0"/>
    <x v="21"/>
    <x v="0"/>
    <x v="0"/>
    <x v="0"/>
    <x v="0"/>
    <x v="6"/>
    <x v="0"/>
    <x v="3"/>
    <x v="1"/>
    <x v="60"/>
    <x v="0"/>
    <x v="0"/>
    <x v="2"/>
    <x v="2"/>
    <x v="4"/>
    <x v="2"/>
    <x v="1"/>
    <x v="0"/>
    <x v="24"/>
    <x v="2"/>
    <x v="0"/>
    <x v="11"/>
  </r>
  <r>
    <x v="1"/>
    <x v="0"/>
    <x v="4"/>
    <x v="35"/>
    <x v="0"/>
    <x v="0"/>
    <x v="13"/>
    <x v="0"/>
    <x v="9"/>
    <x v="0"/>
    <x v="1"/>
    <x v="0"/>
    <x v="18"/>
    <x v="0"/>
    <x v="0"/>
    <x v="0"/>
    <x v="0"/>
    <x v="18"/>
    <x v="0"/>
    <x v="3"/>
    <x v="1"/>
    <x v="10"/>
    <x v="0"/>
    <x v="0"/>
    <x v="2"/>
    <x v="2"/>
    <x v="4"/>
    <x v="2"/>
    <x v="0"/>
    <x v="0"/>
    <x v="26"/>
    <x v="2"/>
    <x v="0"/>
    <x v="3"/>
  </r>
  <r>
    <x v="1"/>
    <x v="0"/>
    <x v="8"/>
    <x v="40"/>
    <x v="0"/>
    <x v="0"/>
    <x v="80"/>
    <x v="0"/>
    <x v="98"/>
    <x v="0"/>
    <x v="1"/>
    <x v="0"/>
    <x v="21"/>
    <x v="0"/>
    <x v="0"/>
    <x v="0"/>
    <x v="0"/>
    <x v="6"/>
    <x v="0"/>
    <x v="3"/>
    <x v="1"/>
    <x v="80"/>
    <x v="0"/>
    <x v="0"/>
    <x v="2"/>
    <x v="2"/>
    <x v="4"/>
    <x v="2"/>
    <x v="0"/>
    <x v="0"/>
    <x v="40"/>
    <x v="2"/>
    <x v="0"/>
    <x v="7"/>
  </r>
  <r>
    <x v="1"/>
    <x v="0"/>
    <x v="4"/>
    <x v="43"/>
    <x v="0"/>
    <x v="0"/>
    <x v="5"/>
    <x v="0"/>
    <x v="14"/>
    <x v="0"/>
    <x v="1"/>
    <x v="0"/>
    <x v="18"/>
    <x v="0"/>
    <x v="0"/>
    <x v="0"/>
    <x v="0"/>
    <x v="18"/>
    <x v="0"/>
    <x v="3"/>
    <x v="1"/>
    <x v="7"/>
    <x v="0"/>
    <x v="0"/>
    <x v="2"/>
    <x v="2"/>
    <x v="4"/>
    <x v="2"/>
    <x v="0"/>
    <x v="0"/>
    <x v="43"/>
    <x v="3"/>
    <x v="0"/>
    <x v="3"/>
  </r>
  <r>
    <x v="1"/>
    <x v="0"/>
    <x v="6"/>
    <x v="41"/>
    <x v="0"/>
    <x v="0"/>
    <x v="47"/>
    <x v="0"/>
    <x v="82"/>
    <x v="0"/>
    <x v="1"/>
    <x v="0"/>
    <x v="14"/>
    <x v="0"/>
    <x v="0"/>
    <x v="0"/>
    <x v="0"/>
    <x v="13"/>
    <x v="0"/>
    <x v="3"/>
    <x v="1"/>
    <x v="51"/>
    <x v="0"/>
    <x v="0"/>
    <x v="2"/>
    <x v="2"/>
    <x v="4"/>
    <x v="2"/>
    <x v="0"/>
    <x v="0"/>
    <x v="41"/>
    <x v="3"/>
    <x v="0"/>
    <x v="5"/>
  </r>
  <r>
    <x v="1"/>
    <x v="0"/>
    <x v="7"/>
    <x v="42"/>
    <x v="0"/>
    <x v="0"/>
    <x v="52"/>
    <x v="0"/>
    <x v="70"/>
    <x v="0"/>
    <x v="1"/>
    <x v="0"/>
    <x v="6"/>
    <x v="0"/>
    <x v="0"/>
    <x v="0"/>
    <x v="0"/>
    <x v="14"/>
    <x v="0"/>
    <x v="3"/>
    <x v="1"/>
    <x v="54"/>
    <x v="0"/>
    <x v="0"/>
    <x v="2"/>
    <x v="2"/>
    <x v="4"/>
    <x v="2"/>
    <x v="0"/>
    <x v="0"/>
    <x v="42"/>
    <x v="3"/>
    <x v="0"/>
    <x v="6"/>
  </r>
  <r>
    <x v="1"/>
    <x v="0"/>
    <x v="6"/>
    <x v="44"/>
    <x v="0"/>
    <x v="0"/>
    <x v="60"/>
    <x v="0"/>
    <x v="69"/>
    <x v="0"/>
    <x v="1"/>
    <x v="0"/>
    <x v="2"/>
    <x v="0"/>
    <x v="0"/>
    <x v="0"/>
    <x v="0"/>
    <x v="15"/>
    <x v="0"/>
    <x v="3"/>
    <x v="1"/>
    <x v="59"/>
    <x v="0"/>
    <x v="0"/>
    <x v="2"/>
    <x v="2"/>
    <x v="4"/>
    <x v="2"/>
    <x v="0"/>
    <x v="0"/>
    <x v="44"/>
    <x v="3"/>
    <x v="0"/>
    <x v="5"/>
  </r>
  <r>
    <x v="1"/>
    <x v="0"/>
    <x v="9"/>
    <x v="45"/>
    <x v="0"/>
    <x v="0"/>
    <x v="56"/>
    <x v="0"/>
    <x v="67"/>
    <x v="0"/>
    <x v="1"/>
    <x v="0"/>
    <x v="21"/>
    <x v="0"/>
    <x v="0"/>
    <x v="0"/>
    <x v="0"/>
    <x v="6"/>
    <x v="0"/>
    <x v="3"/>
    <x v="1"/>
    <x v="57"/>
    <x v="0"/>
    <x v="0"/>
    <x v="2"/>
    <x v="2"/>
    <x v="4"/>
    <x v="2"/>
    <x v="0"/>
    <x v="0"/>
    <x v="45"/>
    <x v="3"/>
    <x v="0"/>
    <x v="8"/>
  </r>
  <r>
    <x v="1"/>
    <x v="0"/>
    <x v="15"/>
    <x v="46"/>
    <x v="0"/>
    <x v="0"/>
    <x v="73"/>
    <x v="0"/>
    <x v="66"/>
    <x v="0"/>
    <x v="1"/>
    <x v="0"/>
    <x v="19"/>
    <x v="0"/>
    <x v="0"/>
    <x v="0"/>
    <x v="0"/>
    <x v="9"/>
    <x v="0"/>
    <x v="3"/>
    <x v="1"/>
    <x v="99"/>
    <x v="0"/>
    <x v="0"/>
    <x v="3"/>
    <x v="3"/>
    <x v="4"/>
    <x v="2"/>
    <x v="1"/>
    <x v="0"/>
    <x v="46"/>
    <x v="3"/>
    <x v="0"/>
    <x v="14"/>
  </r>
  <r>
    <x v="1"/>
    <x v="0"/>
    <x v="16"/>
    <x v="47"/>
    <x v="0"/>
    <x v="0"/>
    <x v="4"/>
    <x v="0"/>
    <x v="13"/>
    <x v="0"/>
    <x v="1"/>
    <x v="0"/>
    <x v="16"/>
    <x v="0"/>
    <x v="0"/>
    <x v="0"/>
    <x v="0"/>
    <x v="19"/>
    <x v="0"/>
    <x v="3"/>
    <x v="1"/>
    <x v="14"/>
    <x v="0"/>
    <x v="0"/>
    <x v="3"/>
    <x v="3"/>
    <x v="4"/>
    <x v="2"/>
    <x v="1"/>
    <x v="0"/>
    <x v="47"/>
    <x v="3"/>
    <x v="0"/>
    <x v="15"/>
  </r>
  <r>
    <x v="1"/>
    <x v="0"/>
    <x v="9"/>
    <x v="48"/>
    <x v="0"/>
    <x v="0"/>
    <x v="73"/>
    <x v="0"/>
    <x v="90"/>
    <x v="0"/>
    <x v="1"/>
    <x v="0"/>
    <x v="5"/>
    <x v="0"/>
    <x v="0"/>
    <x v="0"/>
    <x v="0"/>
    <x v="5"/>
    <x v="0"/>
    <x v="3"/>
    <x v="1"/>
    <x v="99"/>
    <x v="0"/>
    <x v="0"/>
    <x v="3"/>
    <x v="3"/>
    <x v="4"/>
    <x v="2"/>
    <x v="0"/>
    <x v="0"/>
    <x v="48"/>
    <x v="3"/>
    <x v="0"/>
    <x v="8"/>
  </r>
  <r>
    <x v="1"/>
    <x v="0"/>
    <x v="14"/>
    <x v="49"/>
    <x v="0"/>
    <x v="0"/>
    <x v="19"/>
    <x v="0"/>
    <x v="20"/>
    <x v="0"/>
    <x v="1"/>
    <x v="0"/>
    <x v="4"/>
    <x v="0"/>
    <x v="0"/>
    <x v="0"/>
    <x v="0"/>
    <x v="17"/>
    <x v="0"/>
    <x v="3"/>
    <x v="1"/>
    <x v="85"/>
    <x v="0"/>
    <x v="0"/>
    <x v="3"/>
    <x v="3"/>
    <x v="4"/>
    <x v="2"/>
    <x v="1"/>
    <x v="0"/>
    <x v="49"/>
    <x v="3"/>
    <x v="0"/>
    <x v="13"/>
  </r>
  <r>
    <x v="1"/>
    <x v="0"/>
    <x v="9"/>
    <x v="50"/>
    <x v="0"/>
    <x v="0"/>
    <x v="0"/>
    <x v="0"/>
    <x v="0"/>
    <x v="0"/>
    <x v="1"/>
    <x v="0"/>
    <x v="16"/>
    <x v="0"/>
    <x v="0"/>
    <x v="0"/>
    <x v="0"/>
    <x v="19"/>
    <x v="0"/>
    <x v="3"/>
    <x v="1"/>
    <x v="0"/>
    <x v="0"/>
    <x v="0"/>
    <x v="3"/>
    <x v="3"/>
    <x v="4"/>
    <x v="2"/>
    <x v="0"/>
    <x v="0"/>
    <x v="50"/>
    <x v="3"/>
    <x v="0"/>
    <x v="8"/>
  </r>
  <r>
    <x v="1"/>
    <x v="0"/>
    <x v="9"/>
    <x v="51"/>
    <x v="0"/>
    <x v="0"/>
    <x v="82"/>
    <x v="0"/>
    <x v="104"/>
    <x v="0"/>
    <x v="1"/>
    <x v="0"/>
    <x v="8"/>
    <x v="0"/>
    <x v="0"/>
    <x v="0"/>
    <x v="0"/>
    <x v="16"/>
    <x v="0"/>
    <x v="3"/>
    <x v="1"/>
    <x v="102"/>
    <x v="0"/>
    <x v="0"/>
    <x v="3"/>
    <x v="3"/>
    <x v="4"/>
    <x v="2"/>
    <x v="0"/>
    <x v="0"/>
    <x v="51"/>
    <x v="3"/>
    <x v="0"/>
    <x v="8"/>
  </r>
  <r>
    <x v="1"/>
    <x v="0"/>
    <x v="11"/>
    <x v="52"/>
    <x v="0"/>
    <x v="0"/>
    <x v="47"/>
    <x v="0"/>
    <x v="35"/>
    <x v="0"/>
    <x v="0"/>
    <x v="0"/>
    <x v="19"/>
    <x v="0"/>
    <x v="0"/>
    <x v="0"/>
    <x v="0"/>
    <x v="9"/>
    <x v="0"/>
    <x v="2"/>
    <x v="0"/>
    <x v="78"/>
    <x v="0"/>
    <x v="0"/>
    <x v="3"/>
    <x v="3"/>
    <x v="4"/>
    <x v="2"/>
    <x v="0"/>
    <x v="0"/>
    <x v="52"/>
    <x v="3"/>
    <x v="0"/>
    <x v="10"/>
  </r>
  <r>
    <x v="1"/>
    <x v="0"/>
    <x v="14"/>
    <x v="53"/>
    <x v="0"/>
    <x v="0"/>
    <x v="30"/>
    <x v="0"/>
    <x v="30"/>
    <x v="0"/>
    <x v="0"/>
    <x v="0"/>
    <x v="5"/>
    <x v="0"/>
    <x v="0"/>
    <x v="0"/>
    <x v="0"/>
    <x v="5"/>
    <x v="0"/>
    <x v="2"/>
    <x v="0"/>
    <x v="70"/>
    <x v="0"/>
    <x v="0"/>
    <x v="3"/>
    <x v="3"/>
    <x v="4"/>
    <x v="2"/>
    <x v="1"/>
    <x v="0"/>
    <x v="53"/>
    <x v="3"/>
    <x v="0"/>
    <x v="13"/>
  </r>
  <r>
    <x v="1"/>
    <x v="0"/>
    <x v="7"/>
    <x v="54"/>
    <x v="0"/>
    <x v="0"/>
    <x v="50"/>
    <x v="0"/>
    <x v="53"/>
    <x v="0"/>
    <x v="0"/>
    <x v="0"/>
    <x v="4"/>
    <x v="0"/>
    <x v="0"/>
    <x v="0"/>
    <x v="0"/>
    <x v="17"/>
    <x v="0"/>
    <x v="2"/>
    <x v="0"/>
    <x v="82"/>
    <x v="0"/>
    <x v="0"/>
    <x v="3"/>
    <x v="3"/>
    <x v="4"/>
    <x v="2"/>
    <x v="0"/>
    <x v="0"/>
    <x v="54"/>
    <x v="3"/>
    <x v="0"/>
    <x v="6"/>
  </r>
  <r>
    <x v="1"/>
    <x v="0"/>
    <x v="7"/>
    <x v="55"/>
    <x v="0"/>
    <x v="0"/>
    <x v="11"/>
    <x v="0"/>
    <x v="10"/>
    <x v="0"/>
    <x v="0"/>
    <x v="0"/>
    <x v="16"/>
    <x v="0"/>
    <x v="0"/>
    <x v="0"/>
    <x v="0"/>
    <x v="19"/>
    <x v="0"/>
    <x v="2"/>
    <x v="0"/>
    <x v="13"/>
    <x v="0"/>
    <x v="0"/>
    <x v="3"/>
    <x v="3"/>
    <x v="4"/>
    <x v="2"/>
    <x v="0"/>
    <x v="0"/>
    <x v="55"/>
    <x v="3"/>
    <x v="0"/>
    <x v="6"/>
  </r>
  <r>
    <x v="1"/>
    <x v="0"/>
    <x v="5"/>
    <x v="56"/>
    <x v="0"/>
    <x v="0"/>
    <x v="50"/>
    <x v="0"/>
    <x v="53"/>
    <x v="0"/>
    <x v="0"/>
    <x v="0"/>
    <x v="8"/>
    <x v="0"/>
    <x v="0"/>
    <x v="0"/>
    <x v="0"/>
    <x v="16"/>
    <x v="0"/>
    <x v="2"/>
    <x v="0"/>
    <x v="82"/>
    <x v="0"/>
    <x v="0"/>
    <x v="3"/>
    <x v="3"/>
    <x v="4"/>
    <x v="2"/>
    <x v="0"/>
    <x v="0"/>
    <x v="56"/>
    <x v="3"/>
    <x v="0"/>
    <x v="4"/>
  </r>
  <r>
    <x v="1"/>
    <x v="0"/>
    <x v="15"/>
    <x v="57"/>
    <x v="0"/>
    <x v="0"/>
    <x v="36"/>
    <x v="0"/>
    <x v="64"/>
    <x v="0"/>
    <x v="0"/>
    <x v="0"/>
    <x v="19"/>
    <x v="0"/>
    <x v="0"/>
    <x v="0"/>
    <x v="0"/>
    <x v="9"/>
    <x v="0"/>
    <x v="2"/>
    <x v="0"/>
    <x v="72"/>
    <x v="0"/>
    <x v="0"/>
    <x v="3"/>
    <x v="3"/>
    <x v="4"/>
    <x v="2"/>
    <x v="1"/>
    <x v="0"/>
    <x v="57"/>
    <x v="3"/>
    <x v="0"/>
    <x v="14"/>
  </r>
  <r>
    <x v="1"/>
    <x v="0"/>
    <x v="9"/>
    <x v="58"/>
    <x v="0"/>
    <x v="0"/>
    <x v="42"/>
    <x v="0"/>
    <x v="42"/>
    <x v="0"/>
    <x v="0"/>
    <x v="0"/>
    <x v="5"/>
    <x v="0"/>
    <x v="0"/>
    <x v="0"/>
    <x v="0"/>
    <x v="5"/>
    <x v="0"/>
    <x v="2"/>
    <x v="0"/>
    <x v="73"/>
    <x v="0"/>
    <x v="0"/>
    <x v="3"/>
    <x v="3"/>
    <x v="4"/>
    <x v="2"/>
    <x v="0"/>
    <x v="0"/>
    <x v="58"/>
    <x v="3"/>
    <x v="0"/>
    <x v="8"/>
  </r>
  <r>
    <x v="1"/>
    <x v="0"/>
    <x v="9"/>
    <x v="59"/>
    <x v="0"/>
    <x v="0"/>
    <x v="48"/>
    <x v="0"/>
    <x v="73"/>
    <x v="0"/>
    <x v="0"/>
    <x v="0"/>
    <x v="4"/>
    <x v="0"/>
    <x v="0"/>
    <x v="0"/>
    <x v="0"/>
    <x v="17"/>
    <x v="0"/>
    <x v="2"/>
    <x v="0"/>
    <x v="79"/>
    <x v="0"/>
    <x v="0"/>
    <x v="3"/>
    <x v="3"/>
    <x v="4"/>
    <x v="2"/>
    <x v="0"/>
    <x v="0"/>
    <x v="60"/>
    <x v="3"/>
    <x v="0"/>
    <x v="8"/>
  </r>
  <r>
    <x v="1"/>
    <x v="0"/>
    <x v="7"/>
    <x v="60"/>
    <x v="0"/>
    <x v="0"/>
    <x v="6"/>
    <x v="0"/>
    <x v="5"/>
    <x v="0"/>
    <x v="0"/>
    <x v="0"/>
    <x v="16"/>
    <x v="0"/>
    <x v="0"/>
    <x v="0"/>
    <x v="0"/>
    <x v="19"/>
    <x v="0"/>
    <x v="2"/>
    <x v="0"/>
    <x v="11"/>
    <x v="0"/>
    <x v="0"/>
    <x v="3"/>
    <x v="3"/>
    <x v="4"/>
    <x v="2"/>
    <x v="0"/>
    <x v="0"/>
    <x v="59"/>
    <x v="3"/>
    <x v="0"/>
    <x v="6"/>
  </r>
  <r>
    <x v="1"/>
    <x v="0"/>
    <x v="12"/>
    <x v="61"/>
    <x v="0"/>
    <x v="0"/>
    <x v="50"/>
    <x v="0"/>
    <x v="53"/>
    <x v="0"/>
    <x v="0"/>
    <x v="0"/>
    <x v="8"/>
    <x v="0"/>
    <x v="0"/>
    <x v="0"/>
    <x v="0"/>
    <x v="16"/>
    <x v="0"/>
    <x v="2"/>
    <x v="0"/>
    <x v="82"/>
    <x v="0"/>
    <x v="0"/>
    <x v="3"/>
    <x v="3"/>
    <x v="4"/>
    <x v="2"/>
    <x v="1"/>
    <x v="0"/>
    <x v="61"/>
    <x v="4"/>
    <x v="0"/>
    <x v="11"/>
  </r>
  <r>
    <x v="1"/>
    <x v="0"/>
    <x v="12"/>
    <x v="62"/>
    <x v="0"/>
    <x v="0"/>
    <x v="58"/>
    <x v="0"/>
    <x v="83"/>
    <x v="0"/>
    <x v="0"/>
    <x v="0"/>
    <x v="19"/>
    <x v="0"/>
    <x v="0"/>
    <x v="0"/>
    <x v="0"/>
    <x v="9"/>
    <x v="0"/>
    <x v="2"/>
    <x v="0"/>
    <x v="86"/>
    <x v="0"/>
    <x v="0"/>
    <x v="3"/>
    <x v="3"/>
    <x v="4"/>
    <x v="2"/>
    <x v="1"/>
    <x v="0"/>
    <x v="62"/>
    <x v="4"/>
    <x v="0"/>
    <x v="11"/>
  </r>
  <r>
    <x v="1"/>
    <x v="0"/>
    <x v="7"/>
    <x v="63"/>
    <x v="0"/>
    <x v="0"/>
    <x v="7"/>
    <x v="0"/>
    <x v="8"/>
    <x v="0"/>
    <x v="0"/>
    <x v="0"/>
    <x v="16"/>
    <x v="0"/>
    <x v="0"/>
    <x v="0"/>
    <x v="0"/>
    <x v="19"/>
    <x v="0"/>
    <x v="2"/>
    <x v="0"/>
    <x v="12"/>
    <x v="0"/>
    <x v="0"/>
    <x v="3"/>
    <x v="3"/>
    <x v="4"/>
    <x v="2"/>
    <x v="0"/>
    <x v="0"/>
    <x v="63"/>
    <x v="4"/>
    <x v="0"/>
    <x v="6"/>
  </r>
  <r>
    <x v="1"/>
    <x v="0"/>
    <x v="9"/>
    <x v="64"/>
    <x v="0"/>
    <x v="0"/>
    <x v="49"/>
    <x v="0"/>
    <x v="51"/>
    <x v="0"/>
    <x v="0"/>
    <x v="0"/>
    <x v="5"/>
    <x v="0"/>
    <x v="0"/>
    <x v="0"/>
    <x v="0"/>
    <x v="5"/>
    <x v="0"/>
    <x v="2"/>
    <x v="0"/>
    <x v="81"/>
    <x v="0"/>
    <x v="0"/>
    <x v="3"/>
    <x v="3"/>
    <x v="4"/>
    <x v="2"/>
    <x v="0"/>
    <x v="0"/>
    <x v="64"/>
    <x v="4"/>
    <x v="0"/>
    <x v="8"/>
  </r>
  <r>
    <x v="1"/>
    <x v="0"/>
    <x v="8"/>
    <x v="65"/>
    <x v="0"/>
    <x v="0"/>
    <x v="51"/>
    <x v="0"/>
    <x v="40"/>
    <x v="0"/>
    <x v="0"/>
    <x v="0"/>
    <x v="4"/>
    <x v="0"/>
    <x v="0"/>
    <x v="0"/>
    <x v="0"/>
    <x v="17"/>
    <x v="0"/>
    <x v="2"/>
    <x v="0"/>
    <x v="83"/>
    <x v="0"/>
    <x v="0"/>
    <x v="3"/>
    <x v="3"/>
    <x v="4"/>
    <x v="2"/>
    <x v="0"/>
    <x v="0"/>
    <x v="65"/>
    <x v="4"/>
    <x v="0"/>
    <x v="7"/>
  </r>
  <r>
    <x v="1"/>
    <x v="0"/>
    <x v="6"/>
    <x v="68"/>
    <x v="0"/>
    <x v="0"/>
    <x v="8"/>
    <x v="0"/>
    <x v="3"/>
    <x v="0"/>
    <x v="0"/>
    <x v="0"/>
    <x v="16"/>
    <x v="0"/>
    <x v="0"/>
    <x v="0"/>
    <x v="0"/>
    <x v="19"/>
    <x v="0"/>
    <x v="2"/>
    <x v="0"/>
    <x v="5"/>
    <x v="0"/>
    <x v="0"/>
    <x v="4"/>
    <x v="4"/>
    <x v="4"/>
    <x v="2"/>
    <x v="0"/>
    <x v="0"/>
    <x v="66"/>
    <x v="4"/>
    <x v="0"/>
    <x v="5"/>
  </r>
  <r>
    <x v="1"/>
    <x v="0"/>
    <x v="8"/>
    <x v="67"/>
    <x v="0"/>
    <x v="0"/>
    <x v="60"/>
    <x v="0"/>
    <x v="59"/>
    <x v="0"/>
    <x v="0"/>
    <x v="0"/>
    <x v="19"/>
    <x v="0"/>
    <x v="0"/>
    <x v="0"/>
    <x v="0"/>
    <x v="9"/>
    <x v="0"/>
    <x v="2"/>
    <x v="0"/>
    <x v="47"/>
    <x v="0"/>
    <x v="0"/>
    <x v="4"/>
    <x v="4"/>
    <x v="4"/>
    <x v="2"/>
    <x v="0"/>
    <x v="0"/>
    <x v="67"/>
    <x v="4"/>
    <x v="0"/>
    <x v="7"/>
  </r>
  <r>
    <x v="1"/>
    <x v="0"/>
    <x v="7"/>
    <x v="66"/>
    <x v="0"/>
    <x v="0"/>
    <x v="35"/>
    <x v="0"/>
    <x v="49"/>
    <x v="0"/>
    <x v="0"/>
    <x v="0"/>
    <x v="8"/>
    <x v="0"/>
    <x v="0"/>
    <x v="0"/>
    <x v="0"/>
    <x v="16"/>
    <x v="0"/>
    <x v="2"/>
    <x v="0"/>
    <x v="38"/>
    <x v="0"/>
    <x v="0"/>
    <x v="4"/>
    <x v="4"/>
    <x v="4"/>
    <x v="2"/>
    <x v="0"/>
    <x v="0"/>
    <x v="68"/>
    <x v="4"/>
    <x v="0"/>
    <x v="6"/>
  </r>
  <r>
    <x v="1"/>
    <x v="0"/>
    <x v="6"/>
    <x v="69"/>
    <x v="0"/>
    <x v="0"/>
    <x v="48"/>
    <x v="0"/>
    <x v="36"/>
    <x v="0"/>
    <x v="0"/>
    <x v="0"/>
    <x v="15"/>
    <x v="0"/>
    <x v="0"/>
    <x v="0"/>
    <x v="0"/>
    <x v="4"/>
    <x v="0"/>
    <x v="2"/>
    <x v="0"/>
    <x v="44"/>
    <x v="0"/>
    <x v="0"/>
    <x v="4"/>
    <x v="4"/>
    <x v="4"/>
    <x v="2"/>
    <x v="0"/>
    <x v="0"/>
    <x v="69"/>
    <x v="4"/>
    <x v="0"/>
    <x v="5"/>
  </r>
  <r>
    <x v="1"/>
    <x v="0"/>
    <x v="7"/>
    <x v="70"/>
    <x v="0"/>
    <x v="0"/>
    <x v="64"/>
    <x v="0"/>
    <x v="72"/>
    <x v="0"/>
    <x v="0"/>
    <x v="0"/>
    <x v="9"/>
    <x v="0"/>
    <x v="0"/>
    <x v="0"/>
    <x v="0"/>
    <x v="12"/>
    <x v="0"/>
    <x v="2"/>
    <x v="0"/>
    <x v="49"/>
    <x v="0"/>
    <x v="0"/>
    <x v="4"/>
    <x v="4"/>
    <x v="4"/>
    <x v="2"/>
    <x v="0"/>
    <x v="0"/>
    <x v="70"/>
    <x v="4"/>
    <x v="0"/>
    <x v="6"/>
  </r>
  <r>
    <x v="1"/>
    <x v="0"/>
    <x v="7"/>
    <x v="71"/>
    <x v="0"/>
    <x v="0"/>
    <x v="62"/>
    <x v="0"/>
    <x v="86"/>
    <x v="0"/>
    <x v="0"/>
    <x v="0"/>
    <x v="7"/>
    <x v="0"/>
    <x v="0"/>
    <x v="0"/>
    <x v="0"/>
    <x v="21"/>
    <x v="0"/>
    <x v="2"/>
    <x v="0"/>
    <x v="48"/>
    <x v="0"/>
    <x v="0"/>
    <x v="4"/>
    <x v="4"/>
    <x v="4"/>
    <x v="2"/>
    <x v="0"/>
    <x v="0"/>
    <x v="71"/>
    <x v="4"/>
    <x v="0"/>
    <x v="6"/>
  </r>
  <r>
    <x v="1"/>
    <x v="0"/>
    <x v="8"/>
    <x v="72"/>
    <x v="0"/>
    <x v="0"/>
    <x v="15"/>
    <x v="0"/>
    <x v="18"/>
    <x v="0"/>
    <x v="0"/>
    <x v="0"/>
    <x v="15"/>
    <x v="0"/>
    <x v="0"/>
    <x v="0"/>
    <x v="0"/>
    <x v="4"/>
    <x v="0"/>
    <x v="2"/>
    <x v="0"/>
    <x v="15"/>
    <x v="0"/>
    <x v="0"/>
    <x v="4"/>
    <x v="4"/>
    <x v="4"/>
    <x v="2"/>
    <x v="0"/>
    <x v="0"/>
    <x v="72"/>
    <x v="4"/>
    <x v="0"/>
    <x v="7"/>
  </r>
  <r>
    <x v="1"/>
    <x v="0"/>
    <x v="8"/>
    <x v="73"/>
    <x v="0"/>
    <x v="0"/>
    <x v="16"/>
    <x v="0"/>
    <x v="17"/>
    <x v="0"/>
    <x v="0"/>
    <x v="0"/>
    <x v="15"/>
    <x v="0"/>
    <x v="0"/>
    <x v="0"/>
    <x v="0"/>
    <x v="4"/>
    <x v="0"/>
    <x v="2"/>
    <x v="0"/>
    <x v="16"/>
    <x v="0"/>
    <x v="0"/>
    <x v="4"/>
    <x v="4"/>
    <x v="4"/>
    <x v="2"/>
    <x v="0"/>
    <x v="0"/>
    <x v="73"/>
    <x v="4"/>
    <x v="0"/>
    <x v="7"/>
  </r>
  <r>
    <x v="1"/>
    <x v="0"/>
    <x v="9"/>
    <x v="74"/>
    <x v="0"/>
    <x v="0"/>
    <x v="45"/>
    <x v="0"/>
    <x v="88"/>
    <x v="0"/>
    <x v="0"/>
    <x v="0"/>
    <x v="9"/>
    <x v="0"/>
    <x v="0"/>
    <x v="0"/>
    <x v="0"/>
    <x v="12"/>
    <x v="0"/>
    <x v="2"/>
    <x v="0"/>
    <x v="43"/>
    <x v="0"/>
    <x v="0"/>
    <x v="4"/>
    <x v="4"/>
    <x v="4"/>
    <x v="2"/>
    <x v="0"/>
    <x v="0"/>
    <x v="74"/>
    <x v="4"/>
    <x v="0"/>
    <x v="8"/>
  </r>
  <r>
    <x v="1"/>
    <x v="0"/>
    <x v="10"/>
    <x v="75"/>
    <x v="0"/>
    <x v="0"/>
    <x v="58"/>
    <x v="0"/>
    <x v="58"/>
    <x v="0"/>
    <x v="0"/>
    <x v="0"/>
    <x v="7"/>
    <x v="0"/>
    <x v="0"/>
    <x v="0"/>
    <x v="0"/>
    <x v="21"/>
    <x v="0"/>
    <x v="2"/>
    <x v="0"/>
    <x v="46"/>
    <x v="0"/>
    <x v="0"/>
    <x v="4"/>
    <x v="4"/>
    <x v="4"/>
    <x v="2"/>
    <x v="0"/>
    <x v="0"/>
    <x v="75"/>
    <x v="4"/>
    <x v="0"/>
    <x v="9"/>
  </r>
  <r>
    <x v="1"/>
    <x v="0"/>
    <x v="8"/>
    <x v="76"/>
    <x v="0"/>
    <x v="0"/>
    <x v="67"/>
    <x v="0"/>
    <x v="80"/>
    <x v="0"/>
    <x v="0"/>
    <x v="0"/>
    <x v="15"/>
    <x v="0"/>
    <x v="0"/>
    <x v="0"/>
    <x v="0"/>
    <x v="4"/>
    <x v="0"/>
    <x v="2"/>
    <x v="0"/>
    <x v="50"/>
    <x v="0"/>
    <x v="0"/>
    <x v="4"/>
    <x v="4"/>
    <x v="4"/>
    <x v="2"/>
    <x v="0"/>
    <x v="0"/>
    <x v="76"/>
    <x v="4"/>
    <x v="0"/>
    <x v="7"/>
  </r>
  <r>
    <x v="1"/>
    <x v="0"/>
    <x v="10"/>
    <x v="80"/>
    <x v="0"/>
    <x v="0"/>
    <x v="43"/>
    <x v="0"/>
    <x v="55"/>
    <x v="0"/>
    <x v="0"/>
    <x v="0"/>
    <x v="15"/>
    <x v="0"/>
    <x v="0"/>
    <x v="0"/>
    <x v="0"/>
    <x v="4"/>
    <x v="0"/>
    <x v="2"/>
    <x v="0"/>
    <x v="41"/>
    <x v="0"/>
    <x v="0"/>
    <x v="4"/>
    <x v="4"/>
    <x v="4"/>
    <x v="2"/>
    <x v="0"/>
    <x v="0"/>
    <x v="80"/>
    <x v="4"/>
    <x v="0"/>
    <x v="9"/>
  </r>
  <r>
    <x v="1"/>
    <x v="0"/>
    <x v="7"/>
    <x v="81"/>
    <x v="0"/>
    <x v="0"/>
    <x v="44"/>
    <x v="0"/>
    <x v="44"/>
    <x v="0"/>
    <x v="0"/>
    <x v="0"/>
    <x v="9"/>
    <x v="0"/>
    <x v="0"/>
    <x v="0"/>
    <x v="0"/>
    <x v="12"/>
    <x v="0"/>
    <x v="2"/>
    <x v="0"/>
    <x v="42"/>
    <x v="0"/>
    <x v="0"/>
    <x v="4"/>
    <x v="4"/>
    <x v="4"/>
    <x v="2"/>
    <x v="0"/>
    <x v="0"/>
    <x v="81"/>
    <x v="4"/>
    <x v="0"/>
    <x v="6"/>
  </r>
  <r>
    <x v="1"/>
    <x v="0"/>
    <x v="10"/>
    <x v="77"/>
    <x v="0"/>
    <x v="0"/>
    <x v="74"/>
    <x v="0"/>
    <x v="96"/>
    <x v="0"/>
    <x v="0"/>
    <x v="0"/>
    <x v="9"/>
    <x v="0"/>
    <x v="0"/>
    <x v="0"/>
    <x v="0"/>
    <x v="12"/>
    <x v="0"/>
    <x v="2"/>
    <x v="0"/>
    <x v="56"/>
    <x v="0"/>
    <x v="0"/>
    <x v="4"/>
    <x v="4"/>
    <x v="4"/>
    <x v="2"/>
    <x v="0"/>
    <x v="0"/>
    <x v="77"/>
    <x v="4"/>
    <x v="0"/>
    <x v="9"/>
  </r>
  <r>
    <x v="1"/>
    <x v="0"/>
    <x v="9"/>
    <x v="78"/>
    <x v="0"/>
    <x v="0"/>
    <x v="32"/>
    <x v="0"/>
    <x v="56"/>
    <x v="0"/>
    <x v="0"/>
    <x v="0"/>
    <x v="7"/>
    <x v="0"/>
    <x v="0"/>
    <x v="0"/>
    <x v="0"/>
    <x v="21"/>
    <x v="0"/>
    <x v="2"/>
    <x v="0"/>
    <x v="37"/>
    <x v="0"/>
    <x v="0"/>
    <x v="4"/>
    <x v="4"/>
    <x v="4"/>
    <x v="2"/>
    <x v="0"/>
    <x v="0"/>
    <x v="78"/>
    <x v="4"/>
    <x v="0"/>
    <x v="8"/>
  </r>
  <r>
    <x v="1"/>
    <x v="0"/>
    <x v="7"/>
    <x v="79"/>
    <x v="0"/>
    <x v="0"/>
    <x v="40"/>
    <x v="0"/>
    <x v="75"/>
    <x v="0"/>
    <x v="0"/>
    <x v="0"/>
    <x v="19"/>
    <x v="0"/>
    <x v="0"/>
    <x v="0"/>
    <x v="0"/>
    <x v="9"/>
    <x v="0"/>
    <x v="2"/>
    <x v="0"/>
    <x v="39"/>
    <x v="0"/>
    <x v="0"/>
    <x v="4"/>
    <x v="4"/>
    <x v="4"/>
    <x v="2"/>
    <x v="0"/>
    <x v="0"/>
    <x v="79"/>
    <x v="4"/>
    <x v="0"/>
    <x v="6"/>
  </r>
  <r>
    <x v="1"/>
    <x v="0"/>
    <x v="12"/>
    <x v="82"/>
    <x v="0"/>
    <x v="0"/>
    <x v="25"/>
    <x v="0"/>
    <x v="32"/>
    <x v="0"/>
    <x v="0"/>
    <x v="0"/>
    <x v="7"/>
    <x v="0"/>
    <x v="0"/>
    <x v="0"/>
    <x v="0"/>
    <x v="21"/>
    <x v="0"/>
    <x v="2"/>
    <x v="0"/>
    <x v="36"/>
    <x v="0"/>
    <x v="0"/>
    <x v="4"/>
    <x v="4"/>
    <x v="4"/>
    <x v="2"/>
    <x v="1"/>
    <x v="0"/>
    <x v="82"/>
    <x v="5"/>
    <x v="0"/>
    <x v="11"/>
  </r>
  <r>
    <x v="1"/>
    <x v="0"/>
    <x v="11"/>
    <x v="83"/>
    <x v="0"/>
    <x v="0"/>
    <x v="42"/>
    <x v="0"/>
    <x v="71"/>
    <x v="0"/>
    <x v="0"/>
    <x v="0"/>
    <x v="19"/>
    <x v="0"/>
    <x v="0"/>
    <x v="0"/>
    <x v="0"/>
    <x v="9"/>
    <x v="0"/>
    <x v="2"/>
    <x v="0"/>
    <x v="40"/>
    <x v="0"/>
    <x v="0"/>
    <x v="4"/>
    <x v="4"/>
    <x v="4"/>
    <x v="2"/>
    <x v="0"/>
    <x v="0"/>
    <x v="83"/>
    <x v="5"/>
    <x v="0"/>
    <x v="10"/>
  </r>
  <r>
    <x v="1"/>
    <x v="0"/>
    <x v="12"/>
    <x v="84"/>
    <x v="0"/>
    <x v="0"/>
    <x v="44"/>
    <x v="0"/>
    <x v="31"/>
    <x v="0"/>
    <x v="0"/>
    <x v="0"/>
    <x v="15"/>
    <x v="0"/>
    <x v="0"/>
    <x v="0"/>
    <x v="0"/>
    <x v="4"/>
    <x v="0"/>
    <x v="2"/>
    <x v="0"/>
    <x v="42"/>
    <x v="0"/>
    <x v="0"/>
    <x v="4"/>
    <x v="4"/>
    <x v="4"/>
    <x v="2"/>
    <x v="1"/>
    <x v="0"/>
    <x v="84"/>
    <x v="5"/>
    <x v="0"/>
    <x v="11"/>
  </r>
  <r>
    <x v="1"/>
    <x v="0"/>
    <x v="9"/>
    <x v="85"/>
    <x v="0"/>
    <x v="0"/>
    <x v="53"/>
    <x v="0"/>
    <x v="31"/>
    <x v="0"/>
    <x v="0"/>
    <x v="0"/>
    <x v="9"/>
    <x v="0"/>
    <x v="0"/>
    <x v="0"/>
    <x v="0"/>
    <x v="12"/>
    <x v="0"/>
    <x v="2"/>
    <x v="0"/>
    <x v="45"/>
    <x v="0"/>
    <x v="0"/>
    <x v="4"/>
    <x v="4"/>
    <x v="4"/>
    <x v="2"/>
    <x v="0"/>
    <x v="0"/>
    <x v="85"/>
    <x v="5"/>
    <x v="0"/>
    <x v="8"/>
  </r>
  <r>
    <x v="1"/>
    <x v="0"/>
    <x v="7"/>
    <x v="86"/>
    <x v="0"/>
    <x v="0"/>
    <x v="34"/>
    <x v="0"/>
    <x v="23"/>
    <x v="0"/>
    <x v="0"/>
    <x v="0"/>
    <x v="7"/>
    <x v="0"/>
    <x v="0"/>
    <x v="0"/>
    <x v="0"/>
    <x v="21"/>
    <x v="0"/>
    <x v="2"/>
    <x v="0"/>
    <x v="65"/>
    <x v="0"/>
    <x v="0"/>
    <x v="5"/>
    <x v="5"/>
    <x v="4"/>
    <x v="2"/>
    <x v="0"/>
    <x v="0"/>
    <x v="86"/>
    <x v="5"/>
    <x v="0"/>
    <x v="6"/>
  </r>
  <r>
    <x v="1"/>
    <x v="0"/>
    <x v="9"/>
    <x v="87"/>
    <x v="0"/>
    <x v="0"/>
    <x v="31"/>
    <x v="0"/>
    <x v="22"/>
    <x v="0"/>
    <x v="0"/>
    <x v="0"/>
    <x v="19"/>
    <x v="0"/>
    <x v="0"/>
    <x v="0"/>
    <x v="0"/>
    <x v="9"/>
    <x v="0"/>
    <x v="2"/>
    <x v="0"/>
    <x v="63"/>
    <x v="0"/>
    <x v="0"/>
    <x v="5"/>
    <x v="5"/>
    <x v="4"/>
    <x v="2"/>
    <x v="0"/>
    <x v="0"/>
    <x v="87"/>
    <x v="5"/>
    <x v="0"/>
    <x v="8"/>
  </r>
  <r>
    <x v="1"/>
    <x v="0"/>
    <x v="9"/>
    <x v="88"/>
    <x v="0"/>
    <x v="0"/>
    <x v="17"/>
    <x v="0"/>
    <x v="16"/>
    <x v="0"/>
    <x v="0"/>
    <x v="0"/>
    <x v="15"/>
    <x v="0"/>
    <x v="0"/>
    <x v="0"/>
    <x v="0"/>
    <x v="4"/>
    <x v="0"/>
    <x v="2"/>
    <x v="0"/>
    <x v="17"/>
    <x v="0"/>
    <x v="0"/>
    <x v="5"/>
    <x v="5"/>
    <x v="4"/>
    <x v="2"/>
    <x v="0"/>
    <x v="0"/>
    <x v="88"/>
    <x v="5"/>
    <x v="0"/>
    <x v="8"/>
  </r>
  <r>
    <x v="1"/>
    <x v="0"/>
    <x v="10"/>
    <x v="89"/>
    <x v="0"/>
    <x v="0"/>
    <x v="47"/>
    <x v="0"/>
    <x v="35"/>
    <x v="0"/>
    <x v="2"/>
    <x v="0"/>
    <x v="9"/>
    <x v="0"/>
    <x v="0"/>
    <x v="0"/>
    <x v="0"/>
    <x v="12"/>
    <x v="0"/>
    <x v="0"/>
    <x v="2"/>
    <x v="32"/>
    <x v="0"/>
    <x v="0"/>
    <x v="5"/>
    <x v="5"/>
    <x v="4"/>
    <x v="2"/>
    <x v="0"/>
    <x v="0"/>
    <x v="89"/>
    <x v="5"/>
    <x v="0"/>
    <x v="9"/>
  </r>
  <r>
    <x v="1"/>
    <x v="0"/>
    <x v="12"/>
    <x v="91"/>
    <x v="0"/>
    <x v="0"/>
    <x v="24"/>
    <x v="0"/>
    <x v="85"/>
    <x v="0"/>
    <x v="2"/>
    <x v="0"/>
    <x v="5"/>
    <x v="0"/>
    <x v="0"/>
    <x v="0"/>
    <x v="0"/>
    <x v="5"/>
    <x v="0"/>
    <x v="0"/>
    <x v="2"/>
    <x v="26"/>
    <x v="0"/>
    <x v="0"/>
    <x v="5"/>
    <x v="5"/>
    <x v="4"/>
    <x v="2"/>
    <x v="1"/>
    <x v="0"/>
    <x v="91"/>
    <x v="5"/>
    <x v="0"/>
    <x v="11"/>
  </r>
  <r>
    <x v="1"/>
    <x v="0"/>
    <x v="12"/>
    <x v="92"/>
    <x v="0"/>
    <x v="0"/>
    <x v="52"/>
    <x v="0"/>
    <x v="62"/>
    <x v="0"/>
    <x v="2"/>
    <x v="0"/>
    <x v="17"/>
    <x v="0"/>
    <x v="0"/>
    <x v="0"/>
    <x v="0"/>
    <x v="1"/>
    <x v="0"/>
    <x v="0"/>
    <x v="2"/>
    <x v="34"/>
    <x v="0"/>
    <x v="0"/>
    <x v="5"/>
    <x v="5"/>
    <x v="4"/>
    <x v="2"/>
    <x v="1"/>
    <x v="0"/>
    <x v="92"/>
    <x v="5"/>
    <x v="0"/>
    <x v="11"/>
  </r>
  <r>
    <x v="1"/>
    <x v="0"/>
    <x v="15"/>
    <x v="93"/>
    <x v="0"/>
    <x v="0"/>
    <x v="55"/>
    <x v="0"/>
    <x v="45"/>
    <x v="0"/>
    <x v="2"/>
    <x v="0"/>
    <x v="15"/>
    <x v="0"/>
    <x v="0"/>
    <x v="0"/>
    <x v="0"/>
    <x v="4"/>
    <x v="0"/>
    <x v="0"/>
    <x v="2"/>
    <x v="35"/>
    <x v="0"/>
    <x v="0"/>
    <x v="5"/>
    <x v="5"/>
    <x v="4"/>
    <x v="2"/>
    <x v="1"/>
    <x v="0"/>
    <x v="93"/>
    <x v="5"/>
    <x v="0"/>
    <x v="14"/>
  </r>
  <r>
    <x v="1"/>
    <x v="0"/>
    <x v="9"/>
    <x v="90"/>
    <x v="0"/>
    <x v="0"/>
    <x v="10"/>
    <x v="0"/>
    <x v="12"/>
    <x v="0"/>
    <x v="2"/>
    <x v="0"/>
    <x v="16"/>
    <x v="0"/>
    <x v="0"/>
    <x v="0"/>
    <x v="0"/>
    <x v="19"/>
    <x v="0"/>
    <x v="0"/>
    <x v="2"/>
    <x v="4"/>
    <x v="0"/>
    <x v="0"/>
    <x v="5"/>
    <x v="5"/>
    <x v="4"/>
    <x v="2"/>
    <x v="0"/>
    <x v="0"/>
    <x v="90"/>
    <x v="5"/>
    <x v="0"/>
    <x v="8"/>
  </r>
  <r>
    <x v="1"/>
    <x v="0"/>
    <x v="13"/>
    <x v="94"/>
    <x v="0"/>
    <x v="0"/>
    <x v="1"/>
    <x v="0"/>
    <x v="1"/>
    <x v="0"/>
    <x v="2"/>
    <x v="0"/>
    <x v="16"/>
    <x v="0"/>
    <x v="0"/>
    <x v="0"/>
    <x v="0"/>
    <x v="19"/>
    <x v="0"/>
    <x v="0"/>
    <x v="2"/>
    <x v="2"/>
    <x v="0"/>
    <x v="0"/>
    <x v="5"/>
    <x v="5"/>
    <x v="4"/>
    <x v="2"/>
    <x v="1"/>
    <x v="0"/>
    <x v="94"/>
    <x v="5"/>
    <x v="0"/>
    <x v="12"/>
  </r>
  <r>
    <x v="1"/>
    <x v="0"/>
    <x v="13"/>
    <x v="98"/>
    <x v="0"/>
    <x v="0"/>
    <x v="29"/>
    <x v="0"/>
    <x v="24"/>
    <x v="0"/>
    <x v="2"/>
    <x v="0"/>
    <x v="15"/>
    <x v="0"/>
    <x v="0"/>
    <x v="0"/>
    <x v="0"/>
    <x v="4"/>
    <x v="0"/>
    <x v="0"/>
    <x v="2"/>
    <x v="28"/>
    <x v="0"/>
    <x v="0"/>
    <x v="5"/>
    <x v="5"/>
    <x v="4"/>
    <x v="2"/>
    <x v="1"/>
    <x v="0"/>
    <x v="98"/>
    <x v="5"/>
    <x v="0"/>
    <x v="12"/>
  </r>
  <r>
    <x v="1"/>
    <x v="0"/>
    <x v="15"/>
    <x v="95"/>
    <x v="0"/>
    <x v="0"/>
    <x v="48"/>
    <x v="0"/>
    <x v="97"/>
    <x v="0"/>
    <x v="2"/>
    <x v="0"/>
    <x v="9"/>
    <x v="0"/>
    <x v="0"/>
    <x v="0"/>
    <x v="0"/>
    <x v="12"/>
    <x v="0"/>
    <x v="0"/>
    <x v="2"/>
    <x v="33"/>
    <x v="0"/>
    <x v="0"/>
    <x v="5"/>
    <x v="5"/>
    <x v="4"/>
    <x v="2"/>
    <x v="1"/>
    <x v="0"/>
    <x v="95"/>
    <x v="5"/>
    <x v="0"/>
    <x v="14"/>
  </r>
  <r>
    <x v="1"/>
    <x v="0"/>
    <x v="13"/>
    <x v="96"/>
    <x v="0"/>
    <x v="0"/>
    <x v="41"/>
    <x v="0"/>
    <x v="77"/>
    <x v="0"/>
    <x v="2"/>
    <x v="0"/>
    <x v="5"/>
    <x v="0"/>
    <x v="0"/>
    <x v="0"/>
    <x v="0"/>
    <x v="5"/>
    <x v="0"/>
    <x v="0"/>
    <x v="2"/>
    <x v="30"/>
    <x v="0"/>
    <x v="0"/>
    <x v="5"/>
    <x v="5"/>
    <x v="4"/>
    <x v="2"/>
    <x v="1"/>
    <x v="0"/>
    <x v="96"/>
    <x v="5"/>
    <x v="0"/>
    <x v="12"/>
  </r>
  <r>
    <x v="1"/>
    <x v="0"/>
    <x v="10"/>
    <x v="97"/>
    <x v="0"/>
    <x v="0"/>
    <x v="28"/>
    <x v="0"/>
    <x v="89"/>
    <x v="0"/>
    <x v="2"/>
    <x v="0"/>
    <x v="17"/>
    <x v="0"/>
    <x v="0"/>
    <x v="0"/>
    <x v="0"/>
    <x v="1"/>
    <x v="0"/>
    <x v="0"/>
    <x v="2"/>
    <x v="27"/>
    <x v="0"/>
    <x v="0"/>
    <x v="5"/>
    <x v="5"/>
    <x v="4"/>
    <x v="2"/>
    <x v="0"/>
    <x v="0"/>
    <x v="97"/>
    <x v="5"/>
    <x v="0"/>
    <x v="9"/>
  </r>
  <r>
    <x v="1"/>
    <x v="0"/>
    <x v="13"/>
    <x v="100"/>
    <x v="0"/>
    <x v="0"/>
    <x v="38"/>
    <x v="0"/>
    <x v="91"/>
    <x v="0"/>
    <x v="2"/>
    <x v="0"/>
    <x v="9"/>
    <x v="0"/>
    <x v="0"/>
    <x v="0"/>
    <x v="0"/>
    <x v="12"/>
    <x v="0"/>
    <x v="0"/>
    <x v="2"/>
    <x v="29"/>
    <x v="0"/>
    <x v="0"/>
    <x v="5"/>
    <x v="5"/>
    <x v="4"/>
    <x v="2"/>
    <x v="1"/>
    <x v="0"/>
    <x v="100"/>
    <x v="5"/>
    <x v="0"/>
    <x v="12"/>
  </r>
  <r>
    <x v="1"/>
    <x v="0"/>
    <x v="12"/>
    <x v="99"/>
    <x v="0"/>
    <x v="0"/>
    <x v="3"/>
    <x v="0"/>
    <x v="11"/>
    <x v="0"/>
    <x v="2"/>
    <x v="0"/>
    <x v="16"/>
    <x v="0"/>
    <x v="0"/>
    <x v="0"/>
    <x v="0"/>
    <x v="19"/>
    <x v="0"/>
    <x v="0"/>
    <x v="2"/>
    <x v="3"/>
    <x v="0"/>
    <x v="0"/>
    <x v="5"/>
    <x v="5"/>
    <x v="4"/>
    <x v="2"/>
    <x v="1"/>
    <x v="0"/>
    <x v="99"/>
    <x v="5"/>
    <x v="0"/>
    <x v="11"/>
  </r>
  <r>
    <x v="1"/>
    <x v="0"/>
    <x v="14"/>
    <x v="101"/>
    <x v="0"/>
    <x v="0"/>
    <x v="20"/>
    <x v="0"/>
    <x v="87"/>
    <x v="0"/>
    <x v="2"/>
    <x v="0"/>
    <x v="5"/>
    <x v="0"/>
    <x v="0"/>
    <x v="0"/>
    <x v="0"/>
    <x v="5"/>
    <x v="0"/>
    <x v="0"/>
    <x v="2"/>
    <x v="24"/>
    <x v="0"/>
    <x v="0"/>
    <x v="5"/>
    <x v="5"/>
    <x v="4"/>
    <x v="2"/>
    <x v="1"/>
    <x v="0"/>
    <x v="101"/>
    <x v="5"/>
    <x v="0"/>
    <x v="13"/>
  </r>
  <r>
    <x v="1"/>
    <x v="0"/>
    <x v="15"/>
    <x v="102"/>
    <x v="0"/>
    <x v="0"/>
    <x v="22"/>
    <x v="0"/>
    <x v="39"/>
    <x v="0"/>
    <x v="2"/>
    <x v="0"/>
    <x v="17"/>
    <x v="0"/>
    <x v="0"/>
    <x v="0"/>
    <x v="0"/>
    <x v="1"/>
    <x v="0"/>
    <x v="0"/>
    <x v="2"/>
    <x v="25"/>
    <x v="0"/>
    <x v="0"/>
    <x v="5"/>
    <x v="5"/>
    <x v="4"/>
    <x v="2"/>
    <x v="1"/>
    <x v="0"/>
    <x v="102"/>
    <x v="5"/>
    <x v="0"/>
    <x v="14"/>
  </r>
  <r>
    <x v="1"/>
    <x v="0"/>
    <x v="14"/>
    <x v="103"/>
    <x v="0"/>
    <x v="0"/>
    <x v="83"/>
    <x v="0"/>
    <x v="105"/>
    <x v="0"/>
    <x v="2"/>
    <x v="0"/>
    <x v="15"/>
    <x v="0"/>
    <x v="0"/>
    <x v="0"/>
    <x v="0"/>
    <x v="4"/>
    <x v="0"/>
    <x v="0"/>
    <x v="2"/>
    <x v="53"/>
    <x v="0"/>
    <x v="0"/>
    <x v="5"/>
    <x v="5"/>
    <x v="4"/>
    <x v="2"/>
    <x v="1"/>
    <x v="0"/>
    <x v="103"/>
    <x v="5"/>
    <x v="0"/>
    <x v="13"/>
  </r>
  <r>
    <x v="1"/>
    <x v="0"/>
    <x v="14"/>
    <x v="104"/>
    <x v="0"/>
    <x v="0"/>
    <x v="2"/>
    <x v="0"/>
    <x v="2"/>
    <x v="0"/>
    <x v="2"/>
    <x v="0"/>
    <x v="16"/>
    <x v="0"/>
    <x v="0"/>
    <x v="0"/>
    <x v="0"/>
    <x v="19"/>
    <x v="0"/>
    <x v="1"/>
    <x v="2"/>
    <x v="1"/>
    <x v="0"/>
    <x v="0"/>
    <x v="5"/>
    <x v="5"/>
    <x v="4"/>
    <x v="2"/>
    <x v="1"/>
    <x v="0"/>
    <x v="104"/>
    <x v="6"/>
    <x v="0"/>
    <x v="13"/>
  </r>
  <r>
    <x v="1"/>
    <x v="0"/>
    <x v="15"/>
    <x v="105"/>
    <x v="0"/>
    <x v="0"/>
    <x v="23"/>
    <x v="0"/>
    <x v="61"/>
    <x v="0"/>
    <x v="2"/>
    <x v="0"/>
    <x v="9"/>
    <x v="0"/>
    <x v="0"/>
    <x v="0"/>
    <x v="0"/>
    <x v="12"/>
    <x v="0"/>
    <x v="1"/>
    <x v="2"/>
    <x v="19"/>
    <x v="0"/>
    <x v="0"/>
    <x v="5"/>
    <x v="5"/>
    <x v="4"/>
    <x v="2"/>
    <x v="1"/>
    <x v="0"/>
    <x v="105"/>
    <x v="6"/>
    <x v="0"/>
    <x v="14"/>
  </r>
  <r>
    <x v="1"/>
    <x v="0"/>
    <x v="13"/>
    <x v="106"/>
    <x v="0"/>
    <x v="0"/>
    <x v="27"/>
    <x v="0"/>
    <x v="92"/>
    <x v="0"/>
    <x v="2"/>
    <x v="0"/>
    <x v="5"/>
    <x v="0"/>
    <x v="0"/>
    <x v="0"/>
    <x v="0"/>
    <x v="5"/>
    <x v="0"/>
    <x v="1"/>
    <x v="2"/>
    <x v="21"/>
    <x v="0"/>
    <x v="0"/>
    <x v="5"/>
    <x v="5"/>
    <x v="4"/>
    <x v="2"/>
    <x v="1"/>
    <x v="0"/>
    <x v="106"/>
    <x v="6"/>
    <x v="0"/>
    <x v="12"/>
  </r>
  <r>
    <x v="1"/>
    <x v="0"/>
    <x v="13"/>
    <x v="107"/>
    <x v="0"/>
    <x v="0"/>
    <x v="21"/>
    <x v="0"/>
    <x v="93"/>
    <x v="0"/>
    <x v="2"/>
    <x v="0"/>
    <x v="17"/>
    <x v="0"/>
    <x v="0"/>
    <x v="0"/>
    <x v="0"/>
    <x v="1"/>
    <x v="0"/>
    <x v="1"/>
    <x v="2"/>
    <x v="18"/>
    <x v="0"/>
    <x v="0"/>
    <x v="5"/>
    <x v="5"/>
    <x v="4"/>
    <x v="2"/>
    <x v="1"/>
    <x v="0"/>
    <x v="107"/>
    <x v="6"/>
    <x v="0"/>
    <x v="12"/>
  </r>
  <r>
    <x v="1"/>
    <x v="0"/>
    <x v="0"/>
    <x v="54"/>
    <x v="0"/>
    <x v="0"/>
    <x v="81"/>
    <x v="0"/>
    <x v="106"/>
    <x v="1"/>
    <x v="2"/>
    <x v="0"/>
    <x v="1"/>
    <x v="0"/>
    <x v="0"/>
    <x v="0"/>
    <x v="0"/>
    <x v="11"/>
    <x v="0"/>
    <x v="0"/>
    <x v="2"/>
    <x v="52"/>
    <x v="0"/>
    <x v="0"/>
    <x v="5"/>
    <x v="5"/>
    <x v="2"/>
    <x v="1"/>
    <x v="2"/>
    <x v="1"/>
    <x v="108"/>
    <x v="7"/>
    <x v="0"/>
    <x v="16"/>
  </r>
  <r>
    <x v="1"/>
    <x v="0"/>
    <x v="0"/>
    <x v="57"/>
    <x v="0"/>
    <x v="0"/>
    <x v="87"/>
    <x v="0"/>
    <x v="107"/>
    <x v="1"/>
    <x v="2"/>
    <x v="0"/>
    <x v="0"/>
    <x v="0"/>
    <x v="0"/>
    <x v="0"/>
    <x v="0"/>
    <x v="7"/>
    <x v="0"/>
    <x v="0"/>
    <x v="2"/>
    <x v="97"/>
    <x v="0"/>
    <x v="0"/>
    <x v="5"/>
    <x v="5"/>
    <x v="3"/>
    <x v="1"/>
    <x v="2"/>
    <x v="1"/>
    <x v="108"/>
    <x v="7"/>
    <x v="0"/>
    <x v="16"/>
  </r>
  <r>
    <x v="1"/>
    <x v="0"/>
    <x v="0"/>
    <x v="63"/>
    <x v="0"/>
    <x v="0"/>
    <x v="26"/>
    <x v="0"/>
    <x v="101"/>
    <x v="1"/>
    <x v="2"/>
    <x v="0"/>
    <x v="12"/>
    <x v="0"/>
    <x v="0"/>
    <x v="0"/>
    <x v="0"/>
    <x v="20"/>
    <x v="0"/>
    <x v="1"/>
    <x v="2"/>
    <x v="20"/>
    <x v="0"/>
    <x v="0"/>
    <x v="5"/>
    <x v="5"/>
    <x v="0"/>
    <x v="0"/>
    <x v="2"/>
    <x v="1"/>
    <x v="108"/>
    <x v="7"/>
    <x v="0"/>
    <x v="16"/>
  </r>
  <r>
    <x v="1"/>
    <x v="0"/>
    <x v="0"/>
    <x v="64"/>
    <x v="0"/>
    <x v="0"/>
    <x v="29"/>
    <x v="0"/>
    <x v="102"/>
    <x v="1"/>
    <x v="2"/>
    <x v="0"/>
    <x v="11"/>
    <x v="0"/>
    <x v="0"/>
    <x v="0"/>
    <x v="0"/>
    <x v="22"/>
    <x v="0"/>
    <x v="1"/>
    <x v="2"/>
    <x v="22"/>
    <x v="0"/>
    <x v="0"/>
    <x v="5"/>
    <x v="5"/>
    <x v="1"/>
    <x v="0"/>
    <x v="2"/>
    <x v="1"/>
    <x v="108"/>
    <x v="7"/>
    <x v="0"/>
    <x v="1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">
  <r>
    <x v="1"/>
    <x v="0"/>
    <x v="3"/>
    <x v="1"/>
    <x v="1"/>
    <x v="3"/>
    <x v="1"/>
    <x v="1"/>
    <x v="1"/>
  </r>
  <r>
    <x v="2"/>
    <x v="1"/>
    <x v="1"/>
    <x v="0"/>
    <x v="0"/>
    <x v="1"/>
    <x v="0"/>
    <x v="0"/>
    <x v="0"/>
  </r>
  <r>
    <x v="0"/>
    <x v="1"/>
    <x v="0"/>
    <x v="0"/>
    <x v="0"/>
    <x v="0"/>
    <x v="0"/>
    <x v="0"/>
    <x v="0"/>
  </r>
  <r>
    <x v="3"/>
    <x v="1"/>
    <x v="2"/>
    <x v="0"/>
    <x v="0"/>
    <x v="2"/>
    <x v="0"/>
    <x v="0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8">
  <r>
    <x v="7"/>
    <x v="0"/>
    <x v="6"/>
    <x v="6"/>
    <x v="6"/>
    <x v="4"/>
    <x v="5"/>
    <x v="4"/>
    <x v="5"/>
  </r>
  <r>
    <x v="5"/>
    <x v="0"/>
    <x v="4"/>
    <x v="1"/>
    <x v="0"/>
    <x v="5"/>
    <x v="4"/>
    <x v="0"/>
    <x v="0"/>
  </r>
  <r>
    <x v="4"/>
    <x v="0"/>
    <x v="0"/>
    <x v="0"/>
    <x v="1"/>
    <x v="0"/>
    <x v="0"/>
    <x v="1"/>
    <x v="1"/>
  </r>
  <r>
    <x v="3"/>
    <x v="0"/>
    <x v="5"/>
    <x v="3"/>
    <x v="2"/>
    <x v="6"/>
    <x v="6"/>
    <x v="2"/>
    <x v="2"/>
  </r>
  <r>
    <x v="1"/>
    <x v="1"/>
    <x v="3"/>
    <x v="4"/>
    <x v="4"/>
    <x v="3"/>
    <x v="3"/>
    <x v="3"/>
    <x v="6"/>
  </r>
  <r>
    <x v="2"/>
    <x v="1"/>
    <x v="1"/>
    <x v="2"/>
    <x v="3"/>
    <x v="1"/>
    <x v="1"/>
    <x v="7"/>
    <x v="3"/>
  </r>
  <r>
    <x v="0"/>
    <x v="1"/>
    <x v="2"/>
    <x v="5"/>
    <x v="7"/>
    <x v="2"/>
    <x v="2"/>
    <x v="6"/>
    <x v="7"/>
  </r>
  <r>
    <x v="6"/>
    <x v="1"/>
    <x v="7"/>
    <x v="7"/>
    <x v="5"/>
    <x v="7"/>
    <x v="7"/>
    <x v="5"/>
    <x v="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45">
  <r>
    <x v="0"/>
    <x v="1"/>
  </r>
  <r>
    <x v="1"/>
    <x v="12"/>
  </r>
  <r>
    <x v="2"/>
    <x v="5"/>
  </r>
  <r>
    <x v="3"/>
    <x v="4"/>
  </r>
  <r>
    <x v="4"/>
    <x v="41"/>
  </r>
  <r>
    <x v="5"/>
    <x v="19"/>
  </r>
  <r>
    <x v="6"/>
    <x v="21"/>
  </r>
  <r>
    <x v="7"/>
    <x v="14"/>
  </r>
  <r>
    <x v="8"/>
    <x v="29"/>
  </r>
  <r>
    <x v="9"/>
    <x v="37"/>
  </r>
  <r>
    <x v="10"/>
    <x v="23"/>
  </r>
  <r>
    <x v="11"/>
    <x v="32"/>
  </r>
  <r>
    <x v="12"/>
    <x v="36"/>
  </r>
  <r>
    <x v="13"/>
    <x v="17"/>
  </r>
  <r>
    <x v="14"/>
    <x v="22"/>
  </r>
  <r>
    <x v="15"/>
    <x v="18"/>
  </r>
  <r>
    <x v="16"/>
    <x v="38"/>
  </r>
  <r>
    <x v="17"/>
    <x v="28"/>
  </r>
  <r>
    <x v="18"/>
    <x v="40"/>
  </r>
  <r>
    <x v="19"/>
    <x v="35"/>
  </r>
  <r>
    <x v="20"/>
    <x v="20"/>
  </r>
  <r>
    <x v="21"/>
    <x v="9"/>
  </r>
  <r>
    <x v="22"/>
    <x v="26"/>
  </r>
  <r>
    <x v="23"/>
    <x v="39"/>
  </r>
  <r>
    <x v="24"/>
    <x v="31"/>
  </r>
  <r>
    <x v="25"/>
    <x v="16"/>
  </r>
  <r>
    <x v="26"/>
    <x v="25"/>
  </r>
  <r>
    <x v="27"/>
    <x v="34"/>
  </r>
  <r>
    <x v="28"/>
    <x v="11"/>
  </r>
  <r>
    <x v="29"/>
    <x v="13"/>
  </r>
  <r>
    <x v="30"/>
    <x v="41"/>
  </r>
  <r>
    <x v="31"/>
    <x v="41"/>
  </r>
  <r>
    <x v="32"/>
    <x v="6"/>
  </r>
  <r>
    <x v="33"/>
    <x v="8"/>
  </r>
  <r>
    <x v="34"/>
    <x v="0"/>
  </r>
  <r>
    <x v="35"/>
    <x v="7"/>
  </r>
  <r>
    <x v="36"/>
    <x v="30"/>
  </r>
  <r>
    <x v="37"/>
    <x v="24"/>
  </r>
  <r>
    <x v="38"/>
    <x v="27"/>
  </r>
  <r>
    <x v="39"/>
    <x v="10"/>
  </r>
  <r>
    <x v="40"/>
    <x v="33"/>
  </r>
  <r>
    <x v="41"/>
    <x v="41"/>
  </r>
  <r>
    <x v="42"/>
    <x v="3"/>
  </r>
  <r>
    <x v="43"/>
    <x v="15"/>
  </r>
  <r>
    <x v="44"/>
    <x v="2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1501">
  <r>
    <x v="0"/>
    <x v="1"/>
    <x v="31"/>
    <x v="239"/>
    <x v="11"/>
    <x v="106"/>
    <x v="20"/>
    <x v="15"/>
    <x v="11"/>
    <x v="20"/>
    <x v="0"/>
    <x v="43"/>
    <x v="34"/>
    <x v="10"/>
    <x v="23"/>
    <x v="78"/>
    <x v="0"/>
    <x v="108"/>
    <x v="0"/>
    <x v="10"/>
    <x v="79"/>
    <x v="0"/>
    <x v="25"/>
    <x v="8"/>
    <x v="1"/>
  </r>
  <r>
    <x v="1"/>
    <x v="1"/>
    <x v="32"/>
    <x v="240"/>
    <x v="11"/>
    <x v="106"/>
    <x v="20"/>
    <x v="15"/>
    <x v="11"/>
    <x v="20"/>
    <x v="0"/>
    <x v="192"/>
    <x v="126"/>
    <x v="20"/>
    <x v="203"/>
    <x v="355"/>
    <x v="0"/>
    <x v="108"/>
    <x v="1"/>
    <x v="304"/>
    <x v="158"/>
    <x v="0"/>
    <x v="28"/>
    <x v="11"/>
    <x v="1"/>
  </r>
  <r>
    <x v="2"/>
    <x v="1"/>
    <x v="33"/>
    <x v="242"/>
    <x v="11"/>
    <x v="18"/>
    <x v="18"/>
    <x v="15"/>
    <x v="11"/>
    <x v="20"/>
    <x v="0"/>
    <x v="190"/>
    <x v="107"/>
    <x v="51"/>
    <x v="205"/>
    <x v="304"/>
    <x v="0"/>
    <x v="108"/>
    <x v="1"/>
    <x v="661"/>
    <x v="408"/>
    <x v="0"/>
    <x v="28"/>
    <x v="11"/>
    <x v="1"/>
  </r>
  <r>
    <x v="9"/>
    <x v="1"/>
    <x v="34"/>
    <x v="241"/>
    <x v="11"/>
    <x v="14"/>
    <x v="26"/>
    <x v="15"/>
    <x v="11"/>
    <x v="20"/>
    <x v="0"/>
    <x v="180"/>
    <x v="57"/>
    <x v="37"/>
    <x v="207"/>
    <x v="343"/>
    <x v="0"/>
    <x v="108"/>
    <x v="1"/>
    <x v="497"/>
    <x v="305"/>
    <x v="0"/>
    <x v="28"/>
    <x v="11"/>
    <x v="1"/>
  </r>
  <r>
    <x v="8"/>
    <x v="1"/>
    <x v="35"/>
    <x v="243"/>
    <x v="11"/>
    <x v="6"/>
    <x v="66"/>
    <x v="15"/>
    <x v="11"/>
    <x v="20"/>
    <x v="0"/>
    <x v="227"/>
    <x v="195"/>
    <x v="62"/>
    <x v="215"/>
    <x v="327"/>
    <x v="0"/>
    <x v="108"/>
    <x v="1"/>
    <x v="857"/>
    <x v="465"/>
    <x v="0"/>
    <x v="28"/>
    <x v="11"/>
    <x v="1"/>
  </r>
  <r>
    <x v="6"/>
    <x v="1"/>
    <x v="36"/>
    <x v="244"/>
    <x v="11"/>
    <x v="44"/>
    <x v="28"/>
    <x v="15"/>
    <x v="11"/>
    <x v="20"/>
    <x v="0"/>
    <x v="253"/>
    <x v="255"/>
    <x v="42"/>
    <x v="209"/>
    <x v="348"/>
    <x v="0"/>
    <x v="108"/>
    <x v="1"/>
    <x v="582"/>
    <x v="341"/>
    <x v="0"/>
    <x v="28"/>
    <x v="11"/>
    <x v="1"/>
  </r>
  <r>
    <x v="5"/>
    <x v="1"/>
    <x v="37"/>
    <x v="245"/>
    <x v="11"/>
    <x v="34"/>
    <x v="12"/>
    <x v="15"/>
    <x v="11"/>
    <x v="20"/>
    <x v="0"/>
    <x v="200"/>
    <x v="152"/>
    <x v="20"/>
    <x v="206"/>
    <x v="366"/>
    <x v="0"/>
    <x v="108"/>
    <x v="1"/>
    <x v="311"/>
    <x v="186"/>
    <x v="0"/>
    <x v="28"/>
    <x v="11"/>
    <x v="1"/>
  </r>
  <r>
    <x v="7"/>
    <x v="1"/>
    <x v="39"/>
    <x v="246"/>
    <x v="11"/>
    <x v="23"/>
    <x v="61"/>
    <x v="15"/>
    <x v="11"/>
    <x v="20"/>
    <x v="0"/>
    <x v="197"/>
    <x v="141"/>
    <x v="47"/>
    <x v="202"/>
    <x v="299"/>
    <x v="0"/>
    <x v="108"/>
    <x v="2"/>
    <x v="602"/>
    <x v="358"/>
    <x v="0"/>
    <x v="29"/>
    <x v="12"/>
    <x v="1"/>
  </r>
  <r>
    <x v="4"/>
    <x v="1"/>
    <x v="40"/>
    <x v="247"/>
    <x v="11"/>
    <x v="22"/>
    <x v="62"/>
    <x v="15"/>
    <x v="11"/>
    <x v="20"/>
    <x v="0"/>
    <x v="187"/>
    <x v="116"/>
    <x v="25"/>
    <x v="201"/>
    <x v="341"/>
    <x v="0"/>
    <x v="108"/>
    <x v="2"/>
    <x v="350"/>
    <x v="229"/>
    <x v="0"/>
    <x v="29"/>
    <x v="12"/>
    <x v="1"/>
  </r>
  <r>
    <x v="3"/>
    <x v="1"/>
    <x v="41"/>
    <x v="248"/>
    <x v="11"/>
    <x v="69"/>
    <x v="36"/>
    <x v="15"/>
    <x v="11"/>
    <x v="20"/>
    <x v="0"/>
    <x v="181"/>
    <x v="81"/>
    <x v="37"/>
    <x v="198"/>
    <x v="306"/>
    <x v="0"/>
    <x v="108"/>
    <x v="2"/>
    <x v="460"/>
    <x v="306"/>
    <x v="0"/>
    <x v="29"/>
    <x v="12"/>
    <x v="1"/>
  </r>
  <r>
    <x v="10"/>
    <x v="1"/>
    <x v="42"/>
    <x v="249"/>
    <x v="11"/>
    <x v="60"/>
    <x v="75"/>
    <x v="15"/>
    <x v="11"/>
    <x v="20"/>
    <x v="0"/>
    <x v="189"/>
    <x v="130"/>
    <x v="37"/>
    <x v="200"/>
    <x v="309"/>
    <x v="0"/>
    <x v="108"/>
    <x v="2"/>
    <x v="464"/>
    <x v="285"/>
    <x v="0"/>
    <x v="29"/>
    <x v="12"/>
    <x v="1"/>
  </r>
  <r>
    <x v="11"/>
    <x v="1"/>
    <x v="43"/>
    <x v="250"/>
    <x v="11"/>
    <x v="15"/>
    <x v="26"/>
    <x v="15"/>
    <x v="11"/>
    <x v="20"/>
    <x v="0"/>
    <x v="179"/>
    <x v="60"/>
    <x v="32"/>
    <x v="204"/>
    <x v="335"/>
    <x v="0"/>
    <x v="108"/>
    <x v="2"/>
    <x v="421"/>
    <x v="245"/>
    <x v="0"/>
    <x v="29"/>
    <x v="12"/>
    <x v="1"/>
  </r>
  <r>
    <x v="13"/>
    <x v="1"/>
    <x v="44"/>
    <x v="251"/>
    <x v="11"/>
    <x v="6"/>
    <x v="66"/>
    <x v="15"/>
    <x v="11"/>
    <x v="20"/>
    <x v="0"/>
    <x v="340"/>
    <x v="190"/>
    <x v="42"/>
    <x v="287"/>
    <x v="625"/>
    <x v="0"/>
    <x v="108"/>
    <x v="2"/>
    <x v="695"/>
    <x v="319"/>
    <x v="0"/>
    <x v="29"/>
    <x v="12"/>
    <x v="1"/>
  </r>
  <r>
    <x v="15"/>
    <x v="1"/>
    <x v="46"/>
    <x v="252"/>
    <x v="11"/>
    <x v="45"/>
    <x v="28"/>
    <x v="15"/>
    <x v="11"/>
    <x v="20"/>
    <x v="0"/>
    <x v="447"/>
    <x v="248"/>
    <x v="51"/>
    <x v="329"/>
    <x v="660"/>
    <x v="0"/>
    <x v="108"/>
    <x v="2"/>
    <x v="884"/>
    <x v="390"/>
    <x v="0"/>
    <x v="29"/>
    <x v="12"/>
    <x v="1"/>
  </r>
  <r>
    <x v="17"/>
    <x v="1"/>
    <x v="48"/>
    <x v="253"/>
    <x v="11"/>
    <x v="106"/>
    <x v="20"/>
    <x v="15"/>
    <x v="11"/>
    <x v="20"/>
    <x v="0"/>
    <x v="298"/>
    <x v="134"/>
    <x v="57"/>
    <x v="302"/>
    <x v="542"/>
    <x v="0"/>
    <x v="108"/>
    <x v="2"/>
    <x v="918"/>
    <x v="432"/>
    <x v="0"/>
    <x v="29"/>
    <x v="12"/>
    <x v="1"/>
  </r>
  <r>
    <x v="19"/>
    <x v="1"/>
    <x v="49"/>
    <x v="254"/>
    <x v="11"/>
    <x v="18"/>
    <x v="18"/>
    <x v="15"/>
    <x v="11"/>
    <x v="20"/>
    <x v="0"/>
    <x v="280"/>
    <x v="123"/>
    <x v="62"/>
    <x v="295"/>
    <x v="486"/>
    <x v="0"/>
    <x v="108"/>
    <x v="2"/>
    <x v="973"/>
    <x v="448"/>
    <x v="0"/>
    <x v="29"/>
    <x v="12"/>
    <x v="1"/>
  </r>
  <r>
    <x v="32"/>
    <x v="1"/>
    <x v="50"/>
    <x v="256"/>
    <x v="11"/>
    <x v="36"/>
    <x v="12"/>
    <x v="15"/>
    <x v="11"/>
    <x v="20"/>
    <x v="0"/>
    <x v="342"/>
    <x v="159"/>
    <x v="20"/>
    <x v="321"/>
    <x v="991"/>
    <x v="0"/>
    <x v="108"/>
    <x v="3"/>
    <x v="433"/>
    <x v="158"/>
    <x v="0"/>
    <x v="30"/>
    <x v="13"/>
    <x v="1"/>
  </r>
  <r>
    <x v="22"/>
    <x v="1"/>
    <x v="51"/>
    <x v="255"/>
    <x v="11"/>
    <x v="23"/>
    <x v="61"/>
    <x v="15"/>
    <x v="11"/>
    <x v="20"/>
    <x v="0"/>
    <x v="328"/>
    <x v="139"/>
    <x v="37"/>
    <x v="327"/>
    <x v="844"/>
    <x v="0"/>
    <x v="108"/>
    <x v="3"/>
    <x v="649"/>
    <x v="285"/>
    <x v="0"/>
    <x v="30"/>
    <x v="13"/>
    <x v="1"/>
  </r>
  <r>
    <x v="24"/>
    <x v="1"/>
    <x v="54"/>
    <x v="257"/>
    <x v="11"/>
    <x v="3"/>
    <x v="17"/>
    <x v="15"/>
    <x v="11"/>
    <x v="20"/>
    <x v="0"/>
    <x v="369"/>
    <x v="177"/>
    <x v="37"/>
    <x v="329"/>
    <x v="854"/>
    <x v="0"/>
    <x v="108"/>
    <x v="3"/>
    <x v="652"/>
    <x v="285"/>
    <x v="0"/>
    <x v="30"/>
    <x v="13"/>
    <x v="1"/>
  </r>
  <r>
    <x v="26"/>
    <x v="1"/>
    <x v="55"/>
    <x v="258"/>
    <x v="11"/>
    <x v="91"/>
    <x v="37"/>
    <x v="15"/>
    <x v="11"/>
    <x v="20"/>
    <x v="0"/>
    <x v="303"/>
    <x v="133"/>
    <x v="32"/>
    <x v="308"/>
    <x v="827"/>
    <x v="0"/>
    <x v="108"/>
    <x v="3"/>
    <x v="581"/>
    <x v="260"/>
    <x v="0"/>
    <x v="30"/>
    <x v="13"/>
    <x v="1"/>
  </r>
  <r>
    <x v="28"/>
    <x v="1"/>
    <x v="56"/>
    <x v="259"/>
    <x v="11"/>
    <x v="6"/>
    <x v="66"/>
    <x v="15"/>
    <x v="11"/>
    <x v="20"/>
    <x v="0"/>
    <x v="369"/>
    <x v="191"/>
    <x v="42"/>
    <x v="315"/>
    <x v="733"/>
    <x v="0"/>
    <x v="108"/>
    <x v="3"/>
    <x v="720"/>
    <x v="319"/>
    <x v="0"/>
    <x v="30"/>
    <x v="13"/>
    <x v="1"/>
  </r>
  <r>
    <x v="29"/>
    <x v="1"/>
    <x v="58"/>
    <x v="260"/>
    <x v="11"/>
    <x v="46"/>
    <x v="28"/>
    <x v="15"/>
    <x v="11"/>
    <x v="20"/>
    <x v="0"/>
    <x v="455"/>
    <x v="255"/>
    <x v="47"/>
    <x v="330"/>
    <x v="726"/>
    <x v="0"/>
    <x v="108"/>
    <x v="4"/>
    <x v="808"/>
    <x v="370"/>
    <x v="1"/>
    <x v="0"/>
    <x v="14"/>
    <x v="1"/>
  </r>
  <r>
    <x v="35"/>
    <x v="1"/>
    <x v="60"/>
    <x v="261"/>
    <x v="11"/>
    <x v="14"/>
    <x v="26"/>
    <x v="15"/>
    <x v="11"/>
    <x v="20"/>
    <x v="0"/>
    <x v="222"/>
    <x v="58"/>
    <x v="47"/>
    <x v="318"/>
    <x v="675"/>
    <x v="0"/>
    <x v="108"/>
    <x v="4"/>
    <x v="796"/>
    <x v="374"/>
    <x v="1"/>
    <x v="0"/>
    <x v="14"/>
    <x v="1"/>
  </r>
  <r>
    <x v="33"/>
    <x v="1"/>
    <x v="61"/>
    <x v="262"/>
    <x v="11"/>
    <x v="70"/>
    <x v="36"/>
    <x v="15"/>
    <x v="11"/>
    <x v="20"/>
    <x v="0"/>
    <x v="244"/>
    <x v="81"/>
    <x v="42"/>
    <x v="301"/>
    <x v="669"/>
    <x v="0"/>
    <x v="108"/>
    <x v="4"/>
    <x v="705"/>
    <x v="319"/>
    <x v="1"/>
    <x v="0"/>
    <x v="14"/>
    <x v="1"/>
  </r>
  <r>
    <x v="37"/>
    <x v="1"/>
    <x v="62"/>
    <x v="263"/>
    <x v="11"/>
    <x v="21"/>
    <x v="62"/>
    <x v="15"/>
    <x v="11"/>
    <x v="20"/>
    <x v="0"/>
    <x v="268"/>
    <x v="113"/>
    <x v="42"/>
    <x v="293"/>
    <x v="645"/>
    <x v="0"/>
    <x v="108"/>
    <x v="4"/>
    <x v="699"/>
    <x v="319"/>
    <x v="1"/>
    <x v="0"/>
    <x v="14"/>
    <x v="1"/>
  </r>
  <r>
    <x v="39"/>
    <x v="1"/>
    <x v="63"/>
    <x v="264"/>
    <x v="11"/>
    <x v="21"/>
    <x v="56"/>
    <x v="15"/>
    <x v="11"/>
    <x v="20"/>
    <x v="0"/>
    <x v="297"/>
    <x v="124"/>
    <x v="47"/>
    <x v="311"/>
    <x v="654"/>
    <x v="0"/>
    <x v="108"/>
    <x v="4"/>
    <x v="789"/>
    <x v="358"/>
    <x v="1"/>
    <x v="0"/>
    <x v="14"/>
    <x v="1"/>
  </r>
  <r>
    <x v="41"/>
    <x v="1"/>
    <x v="64"/>
    <x v="265"/>
    <x v="11"/>
    <x v="106"/>
    <x v="20"/>
    <x v="15"/>
    <x v="11"/>
    <x v="20"/>
    <x v="0"/>
    <x v="312"/>
    <x v="126"/>
    <x v="42"/>
    <x v="324"/>
    <x v="767"/>
    <x v="0"/>
    <x v="108"/>
    <x v="4"/>
    <x v="727"/>
    <x v="330"/>
    <x v="1"/>
    <x v="0"/>
    <x v="14"/>
    <x v="1"/>
  </r>
  <r>
    <x v="43"/>
    <x v="1"/>
    <x v="66"/>
    <x v="266"/>
    <x v="11"/>
    <x v="18"/>
    <x v="18"/>
    <x v="15"/>
    <x v="11"/>
    <x v="20"/>
    <x v="0"/>
    <x v="282"/>
    <x v="114"/>
    <x v="42"/>
    <x v="306"/>
    <x v="687"/>
    <x v="0"/>
    <x v="108"/>
    <x v="4"/>
    <x v="712"/>
    <x v="332"/>
    <x v="1"/>
    <x v="0"/>
    <x v="14"/>
    <x v="1"/>
  </r>
  <r>
    <x v="45"/>
    <x v="1"/>
    <x v="67"/>
    <x v="267"/>
    <x v="11"/>
    <x v="60"/>
    <x v="75"/>
    <x v="15"/>
    <x v="11"/>
    <x v="20"/>
    <x v="0"/>
    <x v="246"/>
    <x v="118"/>
    <x v="42"/>
    <x v="266"/>
    <x v="566"/>
    <x v="0"/>
    <x v="108"/>
    <x v="4"/>
    <x v="674"/>
    <x v="338"/>
    <x v="1"/>
    <x v="0"/>
    <x v="14"/>
    <x v="1"/>
  </r>
  <r>
    <x v="47"/>
    <x v="1"/>
    <x v="68"/>
    <x v="268"/>
    <x v="11"/>
    <x v="74"/>
    <x v="41"/>
    <x v="15"/>
    <x v="11"/>
    <x v="20"/>
    <x v="0"/>
    <x v="615"/>
    <x v="307"/>
    <x v="32"/>
    <x v="447"/>
    <x v="1180"/>
    <x v="0"/>
    <x v="108"/>
    <x v="4"/>
    <x v="698"/>
    <x v="245"/>
    <x v="1"/>
    <x v="0"/>
    <x v="14"/>
    <x v="1"/>
  </r>
  <r>
    <x v="51"/>
    <x v="1"/>
    <x v="70"/>
    <x v="269"/>
    <x v="11"/>
    <x v="61"/>
    <x v="86"/>
    <x v="15"/>
    <x v="11"/>
    <x v="20"/>
    <x v="0"/>
    <x v="763"/>
    <x v="388"/>
    <x v="37"/>
    <x v="545"/>
    <x v="1305"/>
    <x v="0"/>
    <x v="108"/>
    <x v="4"/>
    <x v="921"/>
    <x v="285"/>
    <x v="1"/>
    <x v="0"/>
    <x v="14"/>
    <x v="1"/>
  </r>
  <r>
    <x v="49"/>
    <x v="1"/>
    <x v="71"/>
    <x v="270"/>
    <x v="11"/>
    <x v="6"/>
    <x v="66"/>
    <x v="15"/>
    <x v="11"/>
    <x v="20"/>
    <x v="0"/>
    <x v="347"/>
    <x v="200"/>
    <x v="42"/>
    <x v="284"/>
    <x v="616"/>
    <x v="0"/>
    <x v="108"/>
    <x v="4"/>
    <x v="689"/>
    <x v="336"/>
    <x v="1"/>
    <x v="0"/>
    <x v="14"/>
    <x v="1"/>
  </r>
  <r>
    <x v="53"/>
    <x v="1"/>
    <x v="72"/>
    <x v="271"/>
    <x v="11"/>
    <x v="43"/>
    <x v="28"/>
    <x v="15"/>
    <x v="11"/>
    <x v="20"/>
    <x v="0"/>
    <x v="409"/>
    <x v="244"/>
    <x v="42"/>
    <x v="295"/>
    <x v="653"/>
    <x v="0"/>
    <x v="108"/>
    <x v="4"/>
    <x v="700"/>
    <x v="319"/>
    <x v="1"/>
    <x v="0"/>
    <x v="14"/>
    <x v="1"/>
  </r>
  <r>
    <x v="55"/>
    <x v="1"/>
    <x v="73"/>
    <x v="274"/>
    <x v="11"/>
    <x v="36"/>
    <x v="12"/>
    <x v="15"/>
    <x v="11"/>
    <x v="20"/>
    <x v="0"/>
    <x v="499"/>
    <x v="160"/>
    <x v="47"/>
    <x v="453"/>
    <x v="1148"/>
    <x v="0"/>
    <x v="108"/>
    <x v="4"/>
    <x v="946"/>
    <x v="362"/>
    <x v="1"/>
    <x v="0"/>
    <x v="14"/>
    <x v="1"/>
  </r>
  <r>
    <x v="57"/>
    <x v="1"/>
    <x v="74"/>
    <x v="273"/>
    <x v="11"/>
    <x v="53"/>
    <x v="78"/>
    <x v="15"/>
    <x v="11"/>
    <x v="20"/>
    <x v="0"/>
    <x v="487"/>
    <x v="128"/>
    <x v="42"/>
    <x v="463"/>
    <x v="1170"/>
    <x v="0"/>
    <x v="108"/>
    <x v="4"/>
    <x v="887"/>
    <x v="323"/>
    <x v="1"/>
    <x v="0"/>
    <x v="14"/>
    <x v="1"/>
  </r>
  <r>
    <x v="59"/>
    <x v="1"/>
    <x v="75"/>
    <x v="272"/>
    <x v="11"/>
    <x v="2"/>
    <x v="17"/>
    <x v="15"/>
    <x v="11"/>
    <x v="20"/>
    <x v="0"/>
    <x v="492"/>
    <x v="174"/>
    <x v="47"/>
    <x v="432"/>
    <x v="1134"/>
    <x v="0"/>
    <x v="108"/>
    <x v="5"/>
    <x v="929"/>
    <x v="358"/>
    <x v="1"/>
    <x v="1"/>
    <x v="15"/>
    <x v="1"/>
  </r>
  <r>
    <x v="61"/>
    <x v="1"/>
    <x v="76"/>
    <x v="275"/>
    <x v="11"/>
    <x v="91"/>
    <x v="37"/>
    <x v="15"/>
    <x v="11"/>
    <x v="20"/>
    <x v="0"/>
    <x v="482"/>
    <x v="134"/>
    <x v="42"/>
    <x v="450"/>
    <x v="1159"/>
    <x v="0"/>
    <x v="108"/>
    <x v="5"/>
    <x v="873"/>
    <x v="319"/>
    <x v="1"/>
    <x v="1"/>
    <x v="15"/>
    <x v="1"/>
  </r>
  <r>
    <x v="63"/>
    <x v="1"/>
    <x v="77"/>
    <x v="276"/>
    <x v="11"/>
    <x v="14"/>
    <x v="26"/>
    <x v="15"/>
    <x v="11"/>
    <x v="20"/>
    <x v="0"/>
    <x v="368"/>
    <x v="50"/>
    <x v="32"/>
    <x v="435"/>
    <x v="1171"/>
    <x v="0"/>
    <x v="108"/>
    <x v="5"/>
    <x v="685"/>
    <x v="245"/>
    <x v="1"/>
    <x v="1"/>
    <x v="15"/>
    <x v="1"/>
  </r>
  <r>
    <x v="67"/>
    <x v="1"/>
    <x v="78"/>
    <x v="277"/>
    <x v="11"/>
    <x v="21"/>
    <x v="56"/>
    <x v="15"/>
    <x v="11"/>
    <x v="20"/>
    <x v="0"/>
    <x v="280"/>
    <x v="124"/>
    <x v="8"/>
    <x v="294"/>
    <x v="1071"/>
    <x v="0"/>
    <x v="108"/>
    <x v="5"/>
    <x v="139"/>
    <x v="36"/>
    <x v="1"/>
    <x v="1"/>
    <x v="15"/>
    <x v="1"/>
  </r>
  <r>
    <x v="65"/>
    <x v="1"/>
    <x v="79"/>
    <x v="0"/>
    <x v="3"/>
    <x v="18"/>
    <x v="18"/>
    <x v="74"/>
    <x v="52"/>
    <x v="20"/>
    <x v="0"/>
    <x v="66"/>
    <x v="33"/>
    <x v="12"/>
    <x v="93"/>
    <x v="166"/>
    <x v="0"/>
    <x v="108"/>
    <x v="5"/>
    <x v="30"/>
    <x v="82"/>
    <x v="1"/>
    <x v="1"/>
    <x v="15"/>
    <x v="1"/>
  </r>
  <r>
    <x v="69"/>
    <x v="1"/>
    <x v="80"/>
    <x v="263"/>
    <x v="11"/>
    <x v="21"/>
    <x v="62"/>
    <x v="15"/>
    <x v="11"/>
    <x v="20"/>
    <x v="0"/>
    <x v="285"/>
    <x v="114"/>
    <x v="47"/>
    <x v="309"/>
    <x v="648"/>
    <x v="0"/>
    <x v="108"/>
    <x v="5"/>
    <x v="787"/>
    <x v="358"/>
    <x v="1"/>
    <x v="1"/>
    <x v="15"/>
    <x v="1"/>
  </r>
  <r>
    <x v="74"/>
    <x v="1"/>
    <x v="81"/>
    <x v="262"/>
    <x v="11"/>
    <x v="70"/>
    <x v="36"/>
    <x v="15"/>
    <x v="11"/>
    <x v="20"/>
    <x v="0"/>
    <x v="232"/>
    <x v="81"/>
    <x v="16"/>
    <x v="284"/>
    <x v="909"/>
    <x v="0"/>
    <x v="108"/>
    <x v="5"/>
    <x v="337"/>
    <x v="139"/>
    <x v="1"/>
    <x v="1"/>
    <x v="15"/>
    <x v="1"/>
  </r>
  <r>
    <x v="77"/>
    <x v="1"/>
    <x v="82"/>
    <x v="1"/>
    <x v="3"/>
    <x v="18"/>
    <x v="18"/>
    <x v="74"/>
    <x v="52"/>
    <x v="20"/>
    <x v="0"/>
    <x v="67"/>
    <x v="32"/>
    <x v="14"/>
    <x v="94"/>
    <x v="165"/>
    <x v="0"/>
    <x v="108"/>
    <x v="5"/>
    <x v="42"/>
    <x v="113"/>
    <x v="1"/>
    <x v="1"/>
    <x v="15"/>
    <x v="1"/>
  </r>
  <r>
    <x v="71"/>
    <x v="1"/>
    <x v="83"/>
    <x v="278"/>
    <x v="11"/>
    <x v="60"/>
    <x v="75"/>
    <x v="15"/>
    <x v="11"/>
    <x v="20"/>
    <x v="0"/>
    <x v="302"/>
    <x v="135"/>
    <x v="13"/>
    <x v="305"/>
    <x v="1026"/>
    <x v="0"/>
    <x v="108"/>
    <x v="5"/>
    <x v="281"/>
    <x v="83"/>
    <x v="1"/>
    <x v="1"/>
    <x v="15"/>
    <x v="1"/>
  </r>
  <r>
    <x v="80"/>
    <x v="1"/>
    <x v="84"/>
    <x v="279"/>
    <x v="11"/>
    <x v="49"/>
    <x v="41"/>
    <x v="15"/>
    <x v="11"/>
    <x v="20"/>
    <x v="0"/>
    <x v="639"/>
    <x v="308"/>
    <x v="20"/>
    <x v="493"/>
    <x v="1261"/>
    <x v="0"/>
    <x v="108"/>
    <x v="5"/>
    <x v="578"/>
    <x v="158"/>
    <x v="1"/>
    <x v="1"/>
    <x v="15"/>
    <x v="1"/>
  </r>
  <r>
    <x v="83"/>
    <x v="1"/>
    <x v="85"/>
    <x v="281"/>
    <x v="11"/>
    <x v="106"/>
    <x v="20"/>
    <x v="15"/>
    <x v="11"/>
    <x v="20"/>
    <x v="0"/>
    <x v="280"/>
    <x v="128"/>
    <x v="20"/>
    <x v="290"/>
    <x v="877"/>
    <x v="0"/>
    <x v="108"/>
    <x v="5"/>
    <x v="417"/>
    <x v="176"/>
    <x v="1"/>
    <x v="1"/>
    <x v="15"/>
    <x v="1"/>
  </r>
  <r>
    <x v="88"/>
    <x v="1"/>
    <x v="86"/>
    <x v="280"/>
    <x v="11"/>
    <x v="61"/>
    <x v="86"/>
    <x v="15"/>
    <x v="11"/>
    <x v="20"/>
    <x v="0"/>
    <x v="766"/>
    <x v="375"/>
    <x v="10"/>
    <x v="568"/>
    <x v="1352"/>
    <x v="0"/>
    <x v="108"/>
    <x v="5"/>
    <x v="376"/>
    <x v="56"/>
    <x v="1"/>
    <x v="1"/>
    <x v="15"/>
    <x v="1"/>
  </r>
  <r>
    <x v="86"/>
    <x v="1"/>
    <x v="87"/>
    <x v="2"/>
    <x v="3"/>
    <x v="18"/>
    <x v="18"/>
    <x v="74"/>
    <x v="52"/>
    <x v="20"/>
    <x v="0"/>
    <x v="67"/>
    <x v="31"/>
    <x v="28"/>
    <x v="95"/>
    <x v="148"/>
    <x v="0"/>
    <x v="108"/>
    <x v="6"/>
    <x v="102"/>
    <x v="238"/>
    <x v="1"/>
    <x v="2"/>
    <x v="16"/>
    <x v="1"/>
  </r>
  <r>
    <x v="89"/>
    <x v="1"/>
    <x v="88"/>
    <x v="282"/>
    <x v="11"/>
    <x v="23"/>
    <x v="61"/>
    <x v="15"/>
    <x v="11"/>
    <x v="20"/>
    <x v="0"/>
    <x v="277"/>
    <x v="136"/>
    <x v="13"/>
    <x v="279"/>
    <x v="945"/>
    <x v="0"/>
    <x v="108"/>
    <x v="6"/>
    <x v="269"/>
    <x v="83"/>
    <x v="1"/>
    <x v="2"/>
    <x v="16"/>
    <x v="1"/>
  </r>
  <r>
    <x v="91"/>
    <x v="1"/>
    <x v="89"/>
    <x v="283"/>
    <x v="11"/>
    <x v="10"/>
    <x v="33"/>
    <x v="15"/>
    <x v="11"/>
    <x v="20"/>
    <x v="0"/>
    <x v="231"/>
    <x v="76"/>
    <x v="20"/>
    <x v="287"/>
    <x v="867"/>
    <x v="0"/>
    <x v="108"/>
    <x v="6"/>
    <x v="415"/>
    <x v="158"/>
    <x v="1"/>
    <x v="2"/>
    <x v="16"/>
    <x v="1"/>
  </r>
  <r>
    <x v="94"/>
    <x v="1"/>
    <x v="90"/>
    <x v="3"/>
    <x v="3"/>
    <x v="18"/>
    <x v="18"/>
    <x v="74"/>
    <x v="52"/>
    <x v="20"/>
    <x v="0"/>
    <x v="45"/>
    <x v="31"/>
    <x v="34"/>
    <x v="32"/>
    <x v="66"/>
    <x v="0"/>
    <x v="108"/>
    <x v="6"/>
    <x v="36"/>
    <x v="279"/>
    <x v="1"/>
    <x v="2"/>
    <x v="16"/>
    <x v="1"/>
  </r>
  <r>
    <x v="97"/>
    <x v="1"/>
    <x v="91"/>
    <x v="284"/>
    <x v="11"/>
    <x v="14"/>
    <x v="26"/>
    <x v="15"/>
    <x v="11"/>
    <x v="20"/>
    <x v="0"/>
    <x v="204"/>
    <x v="47"/>
    <x v="32"/>
    <x v="268"/>
    <x v="663"/>
    <x v="0"/>
    <x v="108"/>
    <x v="6"/>
    <x v="540"/>
    <x v="272"/>
    <x v="1"/>
    <x v="2"/>
    <x v="16"/>
    <x v="1"/>
  </r>
  <r>
    <x v="100"/>
    <x v="1"/>
    <x v="92"/>
    <x v="285"/>
    <x v="11"/>
    <x v="43"/>
    <x v="28"/>
    <x v="15"/>
    <x v="11"/>
    <x v="20"/>
    <x v="0"/>
    <x v="366"/>
    <x v="225"/>
    <x v="37"/>
    <x v="272"/>
    <x v="628"/>
    <x v="0"/>
    <x v="108"/>
    <x v="6"/>
    <x v="620"/>
    <x v="302"/>
    <x v="1"/>
    <x v="2"/>
    <x v="16"/>
    <x v="1"/>
  </r>
  <r>
    <x v="103"/>
    <x v="1"/>
    <x v="93"/>
    <x v="4"/>
    <x v="3"/>
    <x v="105"/>
    <x v="20"/>
    <x v="43"/>
    <x v="29"/>
    <x v="20"/>
    <x v="0"/>
    <x v="72"/>
    <x v="40"/>
    <x v="40"/>
    <x v="101"/>
    <x v="145"/>
    <x v="0"/>
    <x v="108"/>
    <x v="6"/>
    <x v="185"/>
    <x v="317"/>
    <x v="1"/>
    <x v="2"/>
    <x v="16"/>
    <x v="1"/>
  </r>
  <r>
    <x v="106"/>
    <x v="1"/>
    <x v="94"/>
    <x v="288"/>
    <x v="11"/>
    <x v="91"/>
    <x v="37"/>
    <x v="15"/>
    <x v="11"/>
    <x v="20"/>
    <x v="0"/>
    <x v="277"/>
    <x v="131"/>
    <x v="42"/>
    <x v="284"/>
    <x v="616"/>
    <x v="0"/>
    <x v="108"/>
    <x v="6"/>
    <x v="689"/>
    <x v="336"/>
    <x v="1"/>
    <x v="2"/>
    <x v="16"/>
    <x v="1"/>
  </r>
  <r>
    <x v="112"/>
    <x v="1"/>
    <x v="95"/>
    <x v="286"/>
    <x v="11"/>
    <x v="53"/>
    <x v="78"/>
    <x v="15"/>
    <x v="11"/>
    <x v="2"/>
    <x v="0"/>
    <x v="271"/>
    <x v="123"/>
    <x v="42"/>
    <x v="286"/>
    <x v="622"/>
    <x v="0"/>
    <x v="108"/>
    <x v="6"/>
    <x v="693"/>
    <x v="335"/>
    <x v="1"/>
    <x v="2"/>
    <x v="16"/>
    <x v="1"/>
  </r>
  <r>
    <x v="109"/>
    <x v="1"/>
    <x v="96"/>
    <x v="5"/>
    <x v="3"/>
    <x v="105"/>
    <x v="20"/>
    <x v="43"/>
    <x v="29"/>
    <x v="20"/>
    <x v="0"/>
    <x v="50"/>
    <x v="39"/>
    <x v="44"/>
    <x v="43"/>
    <x v="69"/>
    <x v="0"/>
    <x v="108"/>
    <x v="6"/>
    <x v="57"/>
    <x v="350"/>
    <x v="1"/>
    <x v="2"/>
    <x v="16"/>
    <x v="1"/>
  </r>
  <r>
    <x v="115"/>
    <x v="1"/>
    <x v="97"/>
    <x v="287"/>
    <x v="11"/>
    <x v="4"/>
    <x v="17"/>
    <x v="15"/>
    <x v="11"/>
    <x v="2"/>
    <x v="0"/>
    <x v="311"/>
    <x v="171"/>
    <x v="42"/>
    <x v="277"/>
    <x v="598"/>
    <x v="0"/>
    <x v="108"/>
    <x v="6"/>
    <x v="683"/>
    <x v="319"/>
    <x v="1"/>
    <x v="2"/>
    <x v="16"/>
    <x v="1"/>
  </r>
  <r>
    <x v="117"/>
    <x v="2"/>
    <x v="98"/>
    <x v="289"/>
    <x v="11"/>
    <x v="6"/>
    <x v="66"/>
    <x v="15"/>
    <x v="11"/>
    <x v="2"/>
    <x v="0"/>
    <x v="345"/>
    <x v="187"/>
    <x v="32"/>
    <x v="295"/>
    <x v="779"/>
    <x v="0"/>
    <x v="108"/>
    <x v="6"/>
    <x v="570"/>
    <x v="245"/>
    <x v="1"/>
    <x v="2"/>
    <x v="16"/>
    <x v="1"/>
  </r>
  <r>
    <x v="119"/>
    <x v="1"/>
    <x v="99"/>
    <x v="6"/>
    <x v="3"/>
    <x v="106"/>
    <x v="20"/>
    <x v="43"/>
    <x v="29"/>
    <x v="20"/>
    <x v="0"/>
    <x v="75"/>
    <x v="40"/>
    <x v="28"/>
    <x v="107"/>
    <x v="161"/>
    <x v="0"/>
    <x v="108"/>
    <x v="6"/>
    <x v="112"/>
    <x v="238"/>
    <x v="1"/>
    <x v="2"/>
    <x v="16"/>
    <x v="1"/>
  </r>
  <r>
    <x v="121"/>
    <x v="2"/>
    <x v="100"/>
    <x v="290"/>
    <x v="11"/>
    <x v="35"/>
    <x v="12"/>
    <x v="15"/>
    <x v="11"/>
    <x v="2"/>
    <x v="0"/>
    <x v="317"/>
    <x v="153"/>
    <x v="25"/>
    <x v="302"/>
    <x v="866"/>
    <x v="0"/>
    <x v="108"/>
    <x v="6"/>
    <x v="498"/>
    <x v="213"/>
    <x v="1"/>
    <x v="2"/>
    <x v="16"/>
    <x v="1"/>
  </r>
  <r>
    <x v="123"/>
    <x v="2"/>
    <x v="101"/>
    <x v="291"/>
    <x v="11"/>
    <x v="9"/>
    <x v="33"/>
    <x v="15"/>
    <x v="11"/>
    <x v="2"/>
    <x v="0"/>
    <x v="237"/>
    <x v="76"/>
    <x v="25"/>
    <x v="297"/>
    <x v="848"/>
    <x v="0"/>
    <x v="108"/>
    <x v="6"/>
    <x v="491"/>
    <x v="198"/>
    <x v="1"/>
    <x v="2"/>
    <x v="16"/>
    <x v="1"/>
  </r>
  <r>
    <x v="125"/>
    <x v="2"/>
    <x v="102"/>
    <x v="292"/>
    <x v="11"/>
    <x v="21"/>
    <x v="56"/>
    <x v="15"/>
    <x v="11"/>
    <x v="2"/>
    <x v="0"/>
    <x v="260"/>
    <x v="109"/>
    <x v="16"/>
    <x v="289"/>
    <x v="928"/>
    <x v="0"/>
    <x v="108"/>
    <x v="6"/>
    <x v="340"/>
    <x v="119"/>
    <x v="1"/>
    <x v="2"/>
    <x v="16"/>
    <x v="1"/>
  </r>
  <r>
    <x v="127"/>
    <x v="2"/>
    <x v="103"/>
    <x v="293"/>
    <x v="11"/>
    <x v="49"/>
    <x v="41"/>
    <x v="15"/>
    <x v="11"/>
    <x v="20"/>
    <x v="0"/>
    <x v="635"/>
    <x v="308"/>
    <x v="20"/>
    <x v="482"/>
    <x v="1242"/>
    <x v="0"/>
    <x v="108"/>
    <x v="6"/>
    <x v="566"/>
    <x v="164"/>
    <x v="1"/>
    <x v="2"/>
    <x v="16"/>
    <x v="1"/>
  </r>
  <r>
    <x v="131"/>
    <x v="2"/>
    <x v="104"/>
    <x v="294"/>
    <x v="11"/>
    <x v="14"/>
    <x v="26"/>
    <x v="15"/>
    <x v="11"/>
    <x v="2"/>
    <x v="0"/>
    <x v="207"/>
    <x v="46"/>
    <x v="25"/>
    <x v="290"/>
    <x v="814"/>
    <x v="0"/>
    <x v="108"/>
    <x v="6"/>
    <x v="485"/>
    <x v="216"/>
    <x v="1"/>
    <x v="2"/>
    <x v="16"/>
    <x v="1"/>
  </r>
  <r>
    <x v="129"/>
    <x v="2"/>
    <x v="105"/>
    <x v="295"/>
    <x v="11"/>
    <x v="61"/>
    <x v="86"/>
    <x v="15"/>
    <x v="11"/>
    <x v="2"/>
    <x v="0"/>
    <x v="768"/>
    <x v="390"/>
    <x v="13"/>
    <x v="556"/>
    <x v="1337"/>
    <x v="0"/>
    <x v="108"/>
    <x v="7"/>
    <x v="468"/>
    <x v="83"/>
    <x v="1"/>
    <x v="3"/>
    <x v="17"/>
    <x v="1"/>
  </r>
  <r>
    <x v="133"/>
    <x v="2"/>
    <x v="106"/>
    <x v="296"/>
    <x v="11"/>
    <x v="60"/>
    <x v="75"/>
    <x v="15"/>
    <x v="11"/>
    <x v="20"/>
    <x v="0"/>
    <x v="281"/>
    <x v="126"/>
    <x v="37"/>
    <x v="293"/>
    <x v="695"/>
    <x v="0"/>
    <x v="108"/>
    <x v="7"/>
    <x v="631"/>
    <x v="285"/>
    <x v="1"/>
    <x v="3"/>
    <x v="17"/>
    <x v="1"/>
  </r>
  <r>
    <x v="135"/>
    <x v="2"/>
    <x v="107"/>
    <x v="297"/>
    <x v="11"/>
    <x v="53"/>
    <x v="78"/>
    <x v="15"/>
    <x v="11"/>
    <x v="2"/>
    <x v="0"/>
    <x v="291"/>
    <x v="125"/>
    <x v="42"/>
    <x v="304"/>
    <x v="680"/>
    <x v="0"/>
    <x v="108"/>
    <x v="7"/>
    <x v="709"/>
    <x v="333"/>
    <x v="1"/>
    <x v="3"/>
    <x v="17"/>
    <x v="1"/>
  </r>
  <r>
    <x v="137"/>
    <x v="2"/>
    <x v="108"/>
    <x v="298"/>
    <x v="11"/>
    <x v="2"/>
    <x v="17"/>
    <x v="15"/>
    <x v="11"/>
    <x v="2"/>
    <x v="0"/>
    <x v="376"/>
    <x v="173"/>
    <x v="32"/>
    <x v="340"/>
    <x v="951"/>
    <x v="0"/>
    <x v="108"/>
    <x v="7"/>
    <x v="599"/>
    <x v="256"/>
    <x v="1"/>
    <x v="3"/>
    <x v="17"/>
    <x v="1"/>
  </r>
  <r>
    <x v="139"/>
    <x v="1"/>
    <x v="109"/>
    <x v="3"/>
    <x v="3"/>
    <x v="18"/>
    <x v="18"/>
    <x v="74"/>
    <x v="52"/>
    <x v="20"/>
    <x v="0"/>
    <x v="71"/>
    <x v="27"/>
    <x v="40"/>
    <x v="108"/>
    <x v="151"/>
    <x v="0"/>
    <x v="108"/>
    <x v="7"/>
    <x v="196"/>
    <x v="317"/>
    <x v="1"/>
    <x v="3"/>
    <x v="17"/>
    <x v="1"/>
  </r>
  <r>
    <x v="142"/>
    <x v="1"/>
    <x v="110"/>
    <x v="8"/>
    <x v="3"/>
    <x v="36"/>
    <x v="12"/>
    <x v="43"/>
    <x v="29"/>
    <x v="20"/>
    <x v="0"/>
    <x v="167"/>
    <x v="154"/>
    <x v="40"/>
    <x v="171"/>
    <x v="250"/>
    <x v="0"/>
    <x v="108"/>
    <x v="7"/>
    <x v="359"/>
    <x v="317"/>
    <x v="1"/>
    <x v="3"/>
    <x v="17"/>
    <x v="1"/>
  </r>
  <r>
    <x v="145"/>
    <x v="1"/>
    <x v="111"/>
    <x v="9"/>
    <x v="3"/>
    <x v="18"/>
    <x v="18"/>
    <x v="43"/>
    <x v="29"/>
    <x v="20"/>
    <x v="0"/>
    <x v="76"/>
    <x v="27"/>
    <x v="42"/>
    <x v="125"/>
    <x v="185"/>
    <x v="0"/>
    <x v="108"/>
    <x v="7"/>
    <x v="261"/>
    <x v="319"/>
    <x v="1"/>
    <x v="3"/>
    <x v="17"/>
    <x v="1"/>
  </r>
  <r>
    <x v="148"/>
    <x v="1"/>
    <x v="112"/>
    <x v="10"/>
    <x v="3"/>
    <x v="34"/>
    <x v="12"/>
    <x v="54"/>
    <x v="36"/>
    <x v="20"/>
    <x v="0"/>
    <x v="72"/>
    <x v="41"/>
    <x v="42"/>
    <x v="100"/>
    <x v="138"/>
    <x v="0"/>
    <x v="108"/>
    <x v="7"/>
    <x v="214"/>
    <x v="319"/>
    <x v="1"/>
    <x v="3"/>
    <x v="17"/>
    <x v="1"/>
  </r>
  <r>
    <x v="151"/>
    <x v="1"/>
    <x v="113"/>
    <x v="11"/>
    <x v="3"/>
    <x v="18"/>
    <x v="18"/>
    <x v="54"/>
    <x v="36"/>
    <x v="20"/>
    <x v="0"/>
    <x v="61"/>
    <x v="26"/>
    <x v="34"/>
    <x v="86"/>
    <x v="133"/>
    <x v="0"/>
    <x v="108"/>
    <x v="7"/>
    <x v="141"/>
    <x v="279"/>
    <x v="1"/>
    <x v="3"/>
    <x v="17"/>
    <x v="1"/>
  </r>
  <r>
    <x v="154"/>
    <x v="1"/>
    <x v="114"/>
    <x v="12"/>
    <x v="3"/>
    <x v="34"/>
    <x v="12"/>
    <x v="54"/>
    <x v="36"/>
    <x v="20"/>
    <x v="0"/>
    <x v="67"/>
    <x v="39"/>
    <x v="34"/>
    <x v="87"/>
    <x v="135"/>
    <x v="0"/>
    <x v="108"/>
    <x v="8"/>
    <x v="142"/>
    <x v="279"/>
    <x v="1"/>
    <x v="4"/>
    <x v="18"/>
    <x v="1"/>
  </r>
  <r>
    <x v="157"/>
    <x v="1"/>
    <x v="115"/>
    <x v="13"/>
    <x v="3"/>
    <x v="18"/>
    <x v="18"/>
    <x v="54"/>
    <x v="36"/>
    <x v="20"/>
    <x v="0"/>
    <x v="64"/>
    <x v="25"/>
    <x v="32"/>
    <x v="92"/>
    <x v="140"/>
    <x v="0"/>
    <x v="108"/>
    <x v="8"/>
    <x v="114"/>
    <x v="273"/>
    <x v="1"/>
    <x v="4"/>
    <x v="18"/>
    <x v="1"/>
  </r>
  <r>
    <x v="160"/>
    <x v="1"/>
    <x v="116"/>
    <x v="14"/>
    <x v="3"/>
    <x v="33"/>
    <x v="12"/>
    <x v="54"/>
    <x v="36"/>
    <x v="20"/>
    <x v="0"/>
    <x v="73"/>
    <x v="40"/>
    <x v="37"/>
    <x v="104"/>
    <x v="149"/>
    <x v="0"/>
    <x v="108"/>
    <x v="8"/>
    <x v="169"/>
    <x v="285"/>
    <x v="1"/>
    <x v="4"/>
    <x v="18"/>
    <x v="1"/>
  </r>
  <r>
    <x v="163"/>
    <x v="1"/>
    <x v="117"/>
    <x v="15"/>
    <x v="3"/>
    <x v="18"/>
    <x v="18"/>
    <x v="54"/>
    <x v="36"/>
    <x v="20"/>
    <x v="0"/>
    <x v="58"/>
    <x v="24"/>
    <x v="40"/>
    <x v="77"/>
    <x v="119"/>
    <x v="0"/>
    <x v="108"/>
    <x v="8"/>
    <x v="158"/>
    <x v="317"/>
    <x v="1"/>
    <x v="4"/>
    <x v="18"/>
    <x v="1"/>
  </r>
  <r>
    <x v="167"/>
    <x v="1"/>
    <x v="118"/>
    <x v="16"/>
    <x v="3"/>
    <x v="106"/>
    <x v="20"/>
    <x v="54"/>
    <x v="36"/>
    <x v="20"/>
    <x v="0"/>
    <x v="70"/>
    <x v="39"/>
    <x v="40"/>
    <x v="93"/>
    <x v="131"/>
    <x v="0"/>
    <x v="108"/>
    <x v="8"/>
    <x v="173"/>
    <x v="317"/>
    <x v="1"/>
    <x v="4"/>
    <x v="18"/>
    <x v="1"/>
  </r>
  <r>
    <x v="170"/>
    <x v="1"/>
    <x v="119"/>
    <x v="17"/>
    <x v="3"/>
    <x v="9"/>
    <x v="33"/>
    <x v="54"/>
    <x v="36"/>
    <x v="20"/>
    <x v="0"/>
    <x v="41"/>
    <x v="17"/>
    <x v="40"/>
    <x v="35"/>
    <x v="64"/>
    <x v="0"/>
    <x v="108"/>
    <x v="8"/>
    <x v="44"/>
    <x v="317"/>
    <x v="1"/>
    <x v="4"/>
    <x v="18"/>
    <x v="1"/>
  </r>
  <r>
    <x v="173"/>
    <x v="2"/>
    <x v="121"/>
    <x v="299"/>
    <x v="11"/>
    <x v="23"/>
    <x v="61"/>
    <x v="15"/>
    <x v="11"/>
    <x v="2"/>
    <x v="0"/>
    <x v="274"/>
    <x v="138"/>
    <x v="37"/>
    <x v="274"/>
    <x v="635"/>
    <x v="0"/>
    <x v="108"/>
    <x v="8"/>
    <x v="622"/>
    <x v="301"/>
    <x v="1"/>
    <x v="4"/>
    <x v="18"/>
    <x v="1"/>
  </r>
  <r>
    <x v="176"/>
    <x v="2"/>
    <x v="122"/>
    <x v="301"/>
    <x v="11"/>
    <x v="91"/>
    <x v="37"/>
    <x v="15"/>
    <x v="11"/>
    <x v="2"/>
    <x v="0"/>
    <x v="277"/>
    <x v="136"/>
    <x v="13"/>
    <x v="279"/>
    <x v="945"/>
    <x v="0"/>
    <x v="108"/>
    <x v="8"/>
    <x v="269"/>
    <x v="83"/>
    <x v="1"/>
    <x v="4"/>
    <x v="18"/>
    <x v="1"/>
  </r>
  <r>
    <x v="179"/>
    <x v="1"/>
    <x v="123"/>
    <x v="18"/>
    <x v="3"/>
    <x v="106"/>
    <x v="20"/>
    <x v="54"/>
    <x v="36"/>
    <x v="20"/>
    <x v="0"/>
    <x v="68"/>
    <x v="36"/>
    <x v="25"/>
    <x v="93"/>
    <x v="147"/>
    <x v="0"/>
    <x v="108"/>
    <x v="8"/>
    <x v="88"/>
    <x v="198"/>
    <x v="1"/>
    <x v="4"/>
    <x v="18"/>
    <x v="1"/>
  </r>
  <r>
    <x v="182"/>
    <x v="2"/>
    <x v="124"/>
    <x v="302"/>
    <x v="11"/>
    <x v="20"/>
    <x v="51"/>
    <x v="15"/>
    <x v="11"/>
    <x v="2"/>
    <x v="0"/>
    <x v="313"/>
    <x v="181"/>
    <x v="13"/>
    <x v="269"/>
    <x v="907"/>
    <x v="0"/>
    <x v="108"/>
    <x v="8"/>
    <x v="264"/>
    <x v="83"/>
    <x v="1"/>
    <x v="4"/>
    <x v="18"/>
    <x v="1"/>
  </r>
  <r>
    <x v="185"/>
    <x v="2"/>
    <x v="125"/>
    <x v="300"/>
    <x v="11"/>
    <x v="21"/>
    <x v="62"/>
    <x v="15"/>
    <x v="11"/>
    <x v="2"/>
    <x v="0"/>
    <x v="255"/>
    <x v="111"/>
    <x v="10"/>
    <x v="282"/>
    <x v="1005"/>
    <x v="0"/>
    <x v="108"/>
    <x v="8"/>
    <x v="208"/>
    <x v="69"/>
    <x v="1"/>
    <x v="4"/>
    <x v="18"/>
    <x v="1"/>
  </r>
  <r>
    <x v="188"/>
    <x v="2"/>
    <x v="126"/>
    <x v="303"/>
    <x v="11"/>
    <x v="6"/>
    <x v="66"/>
    <x v="15"/>
    <x v="11"/>
    <x v="2"/>
    <x v="0"/>
    <x v="340"/>
    <x v="199"/>
    <x v="20"/>
    <x v="278"/>
    <x v="829"/>
    <x v="0"/>
    <x v="108"/>
    <x v="8"/>
    <x v="408"/>
    <x v="179"/>
    <x v="1"/>
    <x v="4"/>
    <x v="18"/>
    <x v="1"/>
  </r>
  <r>
    <x v="191"/>
    <x v="2"/>
    <x v="128"/>
    <x v="304"/>
    <x v="11"/>
    <x v="43"/>
    <x v="28"/>
    <x v="15"/>
    <x v="11"/>
    <x v="2"/>
    <x v="0"/>
    <x v="402"/>
    <x v="245"/>
    <x v="25"/>
    <x v="287"/>
    <x v="801"/>
    <x v="0"/>
    <x v="108"/>
    <x v="8"/>
    <x v="483"/>
    <x v="198"/>
    <x v="1"/>
    <x v="4"/>
    <x v="18"/>
    <x v="1"/>
  </r>
  <r>
    <x v="194"/>
    <x v="2"/>
    <x v="129"/>
    <x v="305"/>
    <x v="11"/>
    <x v="9"/>
    <x v="33"/>
    <x v="15"/>
    <x v="11"/>
    <x v="2"/>
    <x v="0"/>
    <x v="231"/>
    <x v="83"/>
    <x v="16"/>
    <x v="280"/>
    <x v="893"/>
    <x v="0"/>
    <x v="108"/>
    <x v="8"/>
    <x v="334"/>
    <x v="140"/>
    <x v="1"/>
    <x v="4"/>
    <x v="18"/>
    <x v="1"/>
  </r>
  <r>
    <x v="197"/>
    <x v="2"/>
    <x v="130"/>
    <x v="306"/>
    <x v="11"/>
    <x v="60"/>
    <x v="75"/>
    <x v="15"/>
    <x v="11"/>
    <x v="2"/>
    <x v="0"/>
    <x v="258"/>
    <x v="115"/>
    <x v="37"/>
    <x v="281"/>
    <x v="657"/>
    <x v="0"/>
    <x v="108"/>
    <x v="8"/>
    <x v="627"/>
    <x v="285"/>
    <x v="1"/>
    <x v="4"/>
    <x v="18"/>
    <x v="1"/>
  </r>
  <r>
    <x v="202"/>
    <x v="2"/>
    <x v="131"/>
    <x v="307"/>
    <x v="11"/>
    <x v="14"/>
    <x v="26"/>
    <x v="15"/>
    <x v="11"/>
    <x v="2"/>
    <x v="0"/>
    <x v="215"/>
    <x v="59"/>
    <x v="25"/>
    <x v="302"/>
    <x v="866"/>
    <x v="0"/>
    <x v="108"/>
    <x v="8"/>
    <x v="498"/>
    <x v="213"/>
    <x v="1"/>
    <x v="4"/>
    <x v="18"/>
    <x v="1"/>
  </r>
  <r>
    <x v="205"/>
    <x v="2"/>
    <x v="132"/>
    <x v="308"/>
    <x v="11"/>
    <x v="53"/>
    <x v="78"/>
    <x v="15"/>
    <x v="11"/>
    <x v="2"/>
    <x v="0"/>
    <x v="274"/>
    <x v="127"/>
    <x v="32"/>
    <x v="285"/>
    <x v="738"/>
    <x v="0"/>
    <x v="108"/>
    <x v="9"/>
    <x v="558"/>
    <x v="245"/>
    <x v="1"/>
    <x v="5"/>
    <x v="19"/>
    <x v="1"/>
  </r>
  <r>
    <x v="213"/>
    <x v="2"/>
    <x v="133"/>
    <x v="309"/>
    <x v="11"/>
    <x v="2"/>
    <x v="17"/>
    <x v="15"/>
    <x v="11"/>
    <x v="2"/>
    <x v="0"/>
    <x v="315"/>
    <x v="173"/>
    <x v="32"/>
    <x v="279"/>
    <x v="702"/>
    <x v="0"/>
    <x v="108"/>
    <x v="9"/>
    <x v="550"/>
    <x v="245"/>
    <x v="1"/>
    <x v="5"/>
    <x v="19"/>
    <x v="1"/>
  </r>
  <r>
    <x v="216"/>
    <x v="1"/>
    <x v="134"/>
    <x v="19"/>
    <x v="3"/>
    <x v="18"/>
    <x v="18"/>
    <x v="54"/>
    <x v="36"/>
    <x v="31"/>
    <x v="0"/>
    <x v="67"/>
    <x v="29"/>
    <x v="32"/>
    <x v="96"/>
    <x v="146"/>
    <x v="0"/>
    <x v="108"/>
    <x v="9"/>
    <x v="125"/>
    <x v="245"/>
    <x v="1"/>
    <x v="5"/>
    <x v="19"/>
    <x v="1"/>
  </r>
  <r>
    <x v="219"/>
    <x v="2"/>
    <x v="136"/>
    <x v="310"/>
    <x v="11"/>
    <x v="20"/>
    <x v="51"/>
    <x v="15"/>
    <x v="11"/>
    <x v="2"/>
    <x v="0"/>
    <x v="314"/>
    <x v="170"/>
    <x v="32"/>
    <x v="281"/>
    <x v="713"/>
    <x v="0"/>
    <x v="108"/>
    <x v="9"/>
    <x v="551"/>
    <x v="245"/>
    <x v="1"/>
    <x v="5"/>
    <x v="19"/>
    <x v="1"/>
  </r>
  <r>
    <x v="222"/>
    <x v="2"/>
    <x v="137"/>
    <x v="311"/>
    <x v="11"/>
    <x v="6"/>
    <x v="66"/>
    <x v="15"/>
    <x v="11"/>
    <x v="2"/>
    <x v="0"/>
    <x v="333"/>
    <x v="186"/>
    <x v="25"/>
    <x v="284"/>
    <x v="791"/>
    <x v="0"/>
    <x v="108"/>
    <x v="9"/>
    <x v="480"/>
    <x v="218"/>
    <x v="1"/>
    <x v="5"/>
    <x v="19"/>
    <x v="1"/>
  </r>
  <r>
    <x v="225"/>
    <x v="1"/>
    <x v="138"/>
    <x v="20"/>
    <x v="3"/>
    <x v="18"/>
    <x v="18"/>
    <x v="54"/>
    <x v="36"/>
    <x v="20"/>
    <x v="0"/>
    <x v="62"/>
    <x v="28"/>
    <x v="25"/>
    <x v="86"/>
    <x v="142"/>
    <x v="0"/>
    <x v="108"/>
    <x v="9"/>
    <x v="86"/>
    <x v="231"/>
    <x v="1"/>
    <x v="5"/>
    <x v="19"/>
    <x v="1"/>
  </r>
  <r>
    <x v="228"/>
    <x v="1"/>
    <x v="139"/>
    <x v="312"/>
    <x v="11"/>
    <x v="43"/>
    <x v="28"/>
    <x v="15"/>
    <x v="11"/>
    <x v="2"/>
    <x v="0"/>
    <x v="399"/>
    <x v="232"/>
    <x v="25"/>
    <x v="298"/>
    <x v="853"/>
    <x v="0"/>
    <x v="108"/>
    <x v="9"/>
    <x v="493"/>
    <x v="214"/>
    <x v="1"/>
    <x v="5"/>
    <x v="19"/>
    <x v="1"/>
  </r>
  <r>
    <x v="231"/>
    <x v="1"/>
    <x v="140"/>
    <x v="313"/>
    <x v="11"/>
    <x v="49"/>
    <x v="41"/>
    <x v="15"/>
    <x v="11"/>
    <x v="2"/>
    <x v="0"/>
    <x v="617"/>
    <x v="313"/>
    <x v="32"/>
    <x v="445"/>
    <x v="1179"/>
    <x v="0"/>
    <x v="108"/>
    <x v="9"/>
    <x v="697"/>
    <x v="245"/>
    <x v="1"/>
    <x v="5"/>
    <x v="19"/>
    <x v="1"/>
  </r>
  <r>
    <x v="234"/>
    <x v="1"/>
    <x v="141"/>
    <x v="21"/>
    <x v="3"/>
    <x v="18"/>
    <x v="18"/>
    <x v="55"/>
    <x v="37"/>
    <x v="20"/>
    <x v="0"/>
    <x v="68"/>
    <x v="27"/>
    <x v="25"/>
    <x v="100"/>
    <x v="156"/>
    <x v="0"/>
    <x v="108"/>
    <x v="9"/>
    <x v="95"/>
    <x v="198"/>
    <x v="1"/>
    <x v="5"/>
    <x v="19"/>
    <x v="1"/>
  </r>
  <r>
    <x v="237"/>
    <x v="2"/>
    <x v="142"/>
    <x v="295"/>
    <x v="11"/>
    <x v="61"/>
    <x v="86"/>
    <x v="15"/>
    <x v="11"/>
    <x v="2"/>
    <x v="0"/>
    <x v="772"/>
    <x v="376"/>
    <x v="10"/>
    <x v="573"/>
    <x v="1358"/>
    <x v="0"/>
    <x v="108"/>
    <x v="9"/>
    <x v="380"/>
    <x v="55"/>
    <x v="1"/>
    <x v="5"/>
    <x v="19"/>
    <x v="1"/>
  </r>
  <r>
    <x v="240"/>
    <x v="2"/>
    <x v="143"/>
    <x v="314"/>
    <x v="11"/>
    <x v="35"/>
    <x v="12"/>
    <x v="15"/>
    <x v="11"/>
    <x v="2"/>
    <x v="0"/>
    <x v="496"/>
    <x v="149"/>
    <x v="13"/>
    <x v="459"/>
    <x v="1251"/>
    <x v="0"/>
    <x v="108"/>
    <x v="9"/>
    <x v="368"/>
    <x v="83"/>
    <x v="1"/>
    <x v="5"/>
    <x v="19"/>
    <x v="1"/>
  </r>
  <r>
    <x v="243"/>
    <x v="2"/>
    <x v="144"/>
    <x v="315"/>
    <x v="11"/>
    <x v="9"/>
    <x v="33"/>
    <x v="14"/>
    <x v="10"/>
    <x v="2"/>
    <x v="0"/>
    <x v="447"/>
    <x v="74"/>
    <x v="13"/>
    <x v="455"/>
    <x v="1249"/>
    <x v="0"/>
    <x v="108"/>
    <x v="9"/>
    <x v="367"/>
    <x v="90"/>
    <x v="1"/>
    <x v="5"/>
    <x v="19"/>
    <x v="1"/>
  </r>
  <r>
    <x v="246"/>
    <x v="1"/>
    <x v="146"/>
    <x v="22"/>
    <x v="3"/>
    <x v="18"/>
    <x v="18"/>
    <x v="55"/>
    <x v="37"/>
    <x v="20"/>
    <x v="0"/>
    <x v="60"/>
    <x v="26"/>
    <x v="32"/>
    <x v="83"/>
    <x v="132"/>
    <x v="0"/>
    <x v="108"/>
    <x v="9"/>
    <x v="107"/>
    <x v="274"/>
    <x v="1"/>
    <x v="5"/>
    <x v="19"/>
    <x v="1"/>
  </r>
  <r>
    <x v="249"/>
    <x v="2"/>
    <x v="147"/>
    <x v="316"/>
    <x v="11"/>
    <x v="21"/>
    <x v="56"/>
    <x v="14"/>
    <x v="10"/>
    <x v="2"/>
    <x v="0"/>
    <x v="475"/>
    <x v="121"/>
    <x v="16"/>
    <x v="451"/>
    <x v="1230"/>
    <x v="0"/>
    <x v="108"/>
    <x v="9"/>
    <x v="454"/>
    <x v="126"/>
    <x v="1"/>
    <x v="5"/>
    <x v="19"/>
    <x v="1"/>
  </r>
  <r>
    <x v="252"/>
    <x v="2"/>
    <x v="149"/>
    <x v="317"/>
    <x v="11"/>
    <x v="14"/>
    <x v="26"/>
    <x v="14"/>
    <x v="10"/>
    <x v="2"/>
    <x v="0"/>
    <x v="402"/>
    <x v="49"/>
    <x v="32"/>
    <x v="466"/>
    <x v="1196"/>
    <x v="0"/>
    <x v="108"/>
    <x v="10"/>
    <x v="716"/>
    <x v="245"/>
    <x v="1"/>
    <x v="6"/>
    <x v="20"/>
    <x v="1"/>
  </r>
  <r>
    <x v="255"/>
    <x v="2"/>
    <x v="150"/>
    <x v="318"/>
    <x v="11"/>
    <x v="2"/>
    <x v="17"/>
    <x v="14"/>
    <x v="10"/>
    <x v="28"/>
    <x v="0"/>
    <x v="499"/>
    <x v="177"/>
    <x v="10"/>
    <x v="437"/>
    <x v="1243"/>
    <x v="0"/>
    <x v="108"/>
    <x v="10"/>
    <x v="287"/>
    <x v="60"/>
    <x v="1"/>
    <x v="6"/>
    <x v="20"/>
    <x v="1"/>
  </r>
  <r>
    <x v="258"/>
    <x v="2"/>
    <x v="151"/>
    <x v="205"/>
    <x v="11"/>
    <x v="70"/>
    <x v="36"/>
    <x v="14"/>
    <x v="10"/>
    <x v="28"/>
    <x v="0"/>
    <x v="453"/>
    <x v="86"/>
    <x v="10"/>
    <x v="449"/>
    <x v="1260"/>
    <x v="0"/>
    <x v="108"/>
    <x v="10"/>
    <x v="296"/>
    <x v="52"/>
    <x v="1"/>
    <x v="6"/>
    <x v="20"/>
    <x v="1"/>
  </r>
  <r>
    <x v="261"/>
    <x v="2"/>
    <x v="152"/>
    <x v="319"/>
    <x v="11"/>
    <x v="59"/>
    <x v="75"/>
    <x v="14"/>
    <x v="10"/>
    <x v="28"/>
    <x v="0"/>
    <x v="481"/>
    <x v="110"/>
    <x v="25"/>
    <x v="470"/>
    <x v="1214"/>
    <x v="0"/>
    <x v="108"/>
    <x v="10"/>
    <x v="635"/>
    <x v="198"/>
    <x v="1"/>
    <x v="6"/>
    <x v="20"/>
    <x v="1"/>
  </r>
  <r>
    <x v="264"/>
    <x v="2"/>
    <x v="153"/>
    <x v="320"/>
    <x v="11"/>
    <x v="6"/>
    <x v="66"/>
    <x v="14"/>
    <x v="10"/>
    <x v="28"/>
    <x v="0"/>
    <x v="516"/>
    <x v="186"/>
    <x v="16"/>
    <x v="465"/>
    <x v="1241"/>
    <x v="0"/>
    <x v="108"/>
    <x v="10"/>
    <x v="459"/>
    <x v="124"/>
    <x v="1"/>
    <x v="6"/>
    <x v="20"/>
    <x v="1"/>
  </r>
  <r>
    <x v="271"/>
    <x v="2"/>
    <x v="154"/>
    <x v="321"/>
    <x v="11"/>
    <x v="43"/>
    <x v="28"/>
    <x v="14"/>
    <x v="10"/>
    <x v="28"/>
    <x v="0"/>
    <x v="556"/>
    <x v="414"/>
    <x v="16"/>
    <x v="182"/>
    <x v="269"/>
    <x v="0"/>
    <x v="108"/>
    <x v="10"/>
    <x v="159"/>
    <x v="148"/>
    <x v="1"/>
    <x v="6"/>
    <x v="20"/>
    <x v="1"/>
  </r>
  <r>
    <x v="273"/>
    <x v="2"/>
    <x v="156"/>
    <x v="322"/>
    <x v="11"/>
    <x v="49"/>
    <x v="41"/>
    <x v="14"/>
    <x v="10"/>
    <x v="28"/>
    <x v="0"/>
    <x v="614"/>
    <x v="434"/>
    <x v="20"/>
    <x v="148"/>
    <x v="243"/>
    <x v="0"/>
    <x v="108"/>
    <x v="10"/>
    <x v="164"/>
    <x v="187"/>
    <x v="1"/>
    <x v="6"/>
    <x v="20"/>
    <x v="1"/>
  </r>
  <r>
    <x v="267"/>
    <x v="0"/>
    <x v="158"/>
    <x v="323"/>
    <x v="11"/>
    <x v="21"/>
    <x v="62"/>
    <x v="14"/>
    <x v="10"/>
    <x v="28"/>
    <x v="0"/>
    <x v="483"/>
    <x v="465"/>
    <x v="20"/>
    <x v="464"/>
    <x v="1225"/>
    <x v="0"/>
    <x v="108"/>
    <x v="10"/>
    <x v="543"/>
    <x v="158"/>
    <x v="1"/>
    <x v="6"/>
    <x v="20"/>
    <x v="1"/>
  </r>
  <r>
    <x v="269"/>
    <x v="2"/>
    <x v="159"/>
    <x v="324"/>
    <x v="11"/>
    <x v="35"/>
    <x v="12"/>
    <x v="14"/>
    <x v="10"/>
    <x v="28"/>
    <x v="0"/>
    <x v="476"/>
    <x v="148"/>
    <x v="16"/>
    <x v="431"/>
    <x v="1207"/>
    <x v="0"/>
    <x v="108"/>
    <x v="11"/>
    <x v="446"/>
    <x v="128"/>
    <x v="1"/>
    <x v="7"/>
    <x v="21"/>
    <x v="1"/>
  </r>
  <r>
    <x v="275"/>
    <x v="2"/>
    <x v="160"/>
    <x v="325"/>
    <x v="11"/>
    <x v="9"/>
    <x v="33"/>
    <x v="14"/>
    <x v="10"/>
    <x v="28"/>
    <x v="0"/>
    <x v="442"/>
    <x v="84"/>
    <x v="20"/>
    <x v="440"/>
    <x v="1204"/>
    <x v="0"/>
    <x v="108"/>
    <x v="11"/>
    <x v="534"/>
    <x v="158"/>
    <x v="1"/>
    <x v="7"/>
    <x v="21"/>
    <x v="1"/>
  </r>
  <r>
    <x v="281"/>
    <x v="2"/>
    <x v="161"/>
    <x v="326"/>
    <x v="11"/>
    <x v="91"/>
    <x v="37"/>
    <x v="14"/>
    <x v="10"/>
    <x v="28"/>
    <x v="0"/>
    <x v="462"/>
    <x v="122"/>
    <x v="25"/>
    <x v="433"/>
    <x v="1181"/>
    <x v="0"/>
    <x v="108"/>
    <x v="11"/>
    <x v="613"/>
    <x v="203"/>
    <x v="1"/>
    <x v="7"/>
    <x v="21"/>
    <x v="1"/>
  </r>
  <r>
    <x v="285"/>
    <x v="2"/>
    <x v="162"/>
    <x v="327"/>
    <x v="11"/>
    <x v="14"/>
    <x v="26"/>
    <x v="14"/>
    <x v="10"/>
    <x v="28"/>
    <x v="0"/>
    <x v="388"/>
    <x v="56"/>
    <x v="8"/>
    <x v="445"/>
    <x v="1265"/>
    <x v="0"/>
    <x v="108"/>
    <x v="11"/>
    <x v="219"/>
    <x v="28"/>
    <x v="1"/>
    <x v="7"/>
    <x v="21"/>
    <x v="1"/>
  </r>
  <r>
    <x v="286"/>
    <x v="2"/>
    <x v="163"/>
    <x v="0"/>
    <x v="3"/>
    <x v="41"/>
    <x v="28"/>
    <x v="76"/>
    <x v="54"/>
    <x v="32"/>
    <x v="0"/>
    <x v="111"/>
    <x v="239"/>
    <x v="16"/>
    <x v="66"/>
    <x v="114"/>
    <x v="0"/>
    <x v="108"/>
    <x v="11"/>
    <x v="34"/>
    <x v="119"/>
    <x v="1"/>
    <x v="7"/>
    <x v="21"/>
    <x v="0"/>
  </r>
  <r>
    <x v="287"/>
    <x v="2"/>
    <x v="164"/>
    <x v="0"/>
    <x v="3"/>
    <x v="49"/>
    <x v="41"/>
    <x v="76"/>
    <x v="54"/>
    <x v="32"/>
    <x v="0"/>
    <x v="156"/>
    <x v="295"/>
    <x v="20"/>
    <x v="74"/>
    <x v="127"/>
    <x v="0"/>
    <x v="108"/>
    <x v="11"/>
    <x v="53"/>
    <x v="191"/>
    <x v="1"/>
    <x v="7"/>
    <x v="21"/>
    <x v="0"/>
  </r>
  <r>
    <x v="291"/>
    <x v="1"/>
    <x v="165"/>
    <x v="22"/>
    <x v="3"/>
    <x v="18"/>
    <x v="18"/>
    <x v="55"/>
    <x v="37"/>
    <x v="20"/>
    <x v="0"/>
    <x v="63"/>
    <x v="23"/>
    <x v="32"/>
    <x v="93"/>
    <x v="141"/>
    <x v="0"/>
    <x v="108"/>
    <x v="11"/>
    <x v="116"/>
    <x v="245"/>
    <x v="1"/>
    <x v="7"/>
    <x v="21"/>
    <x v="1"/>
  </r>
  <r>
    <x v="288"/>
    <x v="2"/>
    <x v="166"/>
    <x v="490"/>
    <x v="11"/>
    <x v="61"/>
    <x v="86"/>
    <x v="14"/>
    <x v="10"/>
    <x v="28"/>
    <x v="0"/>
    <x v="749"/>
    <x v="381"/>
    <x v="127"/>
    <x v="531"/>
    <x v="1394"/>
    <x v="0"/>
    <x v="108"/>
    <x v="10"/>
    <x v="1362"/>
    <x v="673"/>
    <x v="1"/>
    <x v="6"/>
    <x v="20"/>
    <x v="1"/>
  </r>
  <r>
    <x v="289"/>
    <x v="2"/>
    <x v="167"/>
    <x v="328"/>
    <x v="11"/>
    <x v="21"/>
    <x v="56"/>
    <x v="14"/>
    <x v="10"/>
    <x v="28"/>
    <x v="0"/>
    <x v="461"/>
    <x v="114"/>
    <x v="10"/>
    <x v="438"/>
    <x v="1245"/>
    <x v="0"/>
    <x v="108"/>
    <x v="11"/>
    <x v="288"/>
    <x v="52"/>
    <x v="1"/>
    <x v="7"/>
    <x v="21"/>
    <x v="1"/>
  </r>
  <r>
    <x v="290"/>
    <x v="2"/>
    <x v="168"/>
    <x v="329"/>
    <x v="11"/>
    <x v="59"/>
    <x v="75"/>
    <x v="14"/>
    <x v="10"/>
    <x v="28"/>
    <x v="0"/>
    <x v="468"/>
    <x v="108"/>
    <x v="13"/>
    <x v="453"/>
    <x v="1246"/>
    <x v="0"/>
    <x v="108"/>
    <x v="11"/>
    <x v="366"/>
    <x v="91"/>
    <x v="1"/>
    <x v="7"/>
    <x v="21"/>
    <x v="1"/>
  </r>
  <r>
    <x v="294"/>
    <x v="2"/>
    <x v="169"/>
    <x v="206"/>
    <x v="11"/>
    <x v="2"/>
    <x v="17"/>
    <x v="14"/>
    <x v="10"/>
    <x v="28"/>
    <x v="0"/>
    <x v="524"/>
    <x v="171"/>
    <x v="10"/>
    <x v="491"/>
    <x v="1287"/>
    <x v="0"/>
    <x v="108"/>
    <x v="11"/>
    <x v="312"/>
    <x v="52"/>
    <x v="1"/>
    <x v="7"/>
    <x v="21"/>
    <x v="1"/>
  </r>
  <r>
    <x v="293"/>
    <x v="2"/>
    <x v="171"/>
    <x v="26"/>
    <x v="3"/>
    <x v="18"/>
    <x v="18"/>
    <x v="55"/>
    <x v="37"/>
    <x v="20"/>
    <x v="0"/>
    <x v="59"/>
    <x v="22"/>
    <x v="20"/>
    <x v="86"/>
    <x v="150"/>
    <x v="0"/>
    <x v="108"/>
    <x v="11"/>
    <x v="64"/>
    <x v="190"/>
    <x v="1"/>
    <x v="7"/>
    <x v="21"/>
    <x v="1"/>
  </r>
  <r>
    <x v="295"/>
    <x v="2"/>
    <x v="172"/>
    <x v="330"/>
    <x v="11"/>
    <x v="23"/>
    <x v="61"/>
    <x v="14"/>
    <x v="10"/>
    <x v="28"/>
    <x v="0"/>
    <x v="508"/>
    <x v="136"/>
    <x v="8"/>
    <x v="491"/>
    <x v="1299"/>
    <x v="0"/>
    <x v="108"/>
    <x v="11"/>
    <x v="241"/>
    <x v="28"/>
    <x v="1"/>
    <x v="7"/>
    <x v="21"/>
    <x v="1"/>
  </r>
  <r>
    <x v="296"/>
    <x v="2"/>
    <x v="173"/>
    <x v="25"/>
    <x v="3"/>
    <x v="9"/>
    <x v="33"/>
    <x v="55"/>
    <x v="37"/>
    <x v="20"/>
    <x v="0"/>
    <x v="263"/>
    <x v="82"/>
    <x v="13"/>
    <x v="320"/>
    <x v="1065"/>
    <x v="0"/>
    <x v="108"/>
    <x v="11"/>
    <x v="291"/>
    <x v="94"/>
    <x v="1"/>
    <x v="7"/>
    <x v="21"/>
    <x v="1"/>
  </r>
  <r>
    <x v="298"/>
    <x v="2"/>
    <x v="174"/>
    <x v="331"/>
    <x v="11"/>
    <x v="70"/>
    <x v="83"/>
    <x v="14"/>
    <x v="10"/>
    <x v="28"/>
    <x v="0"/>
    <x v="466"/>
    <x v="73"/>
    <x v="8"/>
    <x v="484"/>
    <x v="1292"/>
    <x v="0"/>
    <x v="108"/>
    <x v="11"/>
    <x v="238"/>
    <x v="29"/>
    <x v="1"/>
    <x v="7"/>
    <x v="21"/>
    <x v="1"/>
  </r>
  <r>
    <x v="300"/>
    <x v="2"/>
    <x v="175"/>
    <x v="23"/>
    <x v="3"/>
    <x v="18"/>
    <x v="18"/>
    <x v="55"/>
    <x v="37"/>
    <x v="20"/>
    <x v="0"/>
    <x v="289"/>
    <x v="103"/>
    <x v="8"/>
    <x v="324"/>
    <x v="1115"/>
    <x v="0"/>
    <x v="108"/>
    <x v="11"/>
    <x v="150"/>
    <x v="34"/>
    <x v="1"/>
    <x v="7"/>
    <x v="21"/>
    <x v="1"/>
  </r>
  <r>
    <x v="302"/>
    <x v="2"/>
    <x v="176"/>
    <x v="27"/>
    <x v="3"/>
    <x v="9"/>
    <x v="33"/>
    <x v="55"/>
    <x v="37"/>
    <x v="20"/>
    <x v="0"/>
    <x v="252"/>
    <x v="82"/>
    <x v="10"/>
    <x v="309"/>
    <x v="1075"/>
    <x v="0"/>
    <x v="108"/>
    <x v="12"/>
    <x v="224"/>
    <x v="52"/>
    <x v="1"/>
    <x v="8"/>
    <x v="22"/>
    <x v="1"/>
  </r>
  <r>
    <x v="304"/>
    <x v="2"/>
    <x v="177"/>
    <x v="28"/>
    <x v="3"/>
    <x v="18"/>
    <x v="18"/>
    <x v="55"/>
    <x v="37"/>
    <x v="20"/>
    <x v="0"/>
    <x v="273"/>
    <x v="101"/>
    <x v="5"/>
    <x v="310"/>
    <x v="1118"/>
    <x v="0"/>
    <x v="108"/>
    <x v="12"/>
    <x v="82"/>
    <x v="18"/>
    <x v="1"/>
    <x v="8"/>
    <x v="22"/>
    <x v="1"/>
  </r>
  <r>
    <x v="306"/>
    <x v="2"/>
    <x v="178"/>
    <x v="29"/>
    <x v="3"/>
    <x v="35"/>
    <x v="12"/>
    <x v="55"/>
    <x v="37"/>
    <x v="20"/>
    <x v="0"/>
    <x v="293"/>
    <x v="145"/>
    <x v="10"/>
    <x v="286"/>
    <x v="1014"/>
    <x v="0"/>
    <x v="108"/>
    <x v="12"/>
    <x v="212"/>
    <x v="68"/>
    <x v="1"/>
    <x v="8"/>
    <x v="22"/>
    <x v="1"/>
  </r>
  <r>
    <x v="308"/>
    <x v="2"/>
    <x v="182"/>
    <x v="18"/>
    <x v="3"/>
    <x v="106"/>
    <x v="20"/>
    <x v="55"/>
    <x v="37"/>
    <x v="20"/>
    <x v="0"/>
    <x v="275"/>
    <x v="118"/>
    <x v="13"/>
    <x v="295"/>
    <x v="1000"/>
    <x v="0"/>
    <x v="108"/>
    <x v="12"/>
    <x v="278"/>
    <x v="83"/>
    <x v="1"/>
    <x v="8"/>
    <x v="22"/>
    <x v="1"/>
  </r>
  <r>
    <x v="310"/>
    <x v="2"/>
    <x v="183"/>
    <x v="31"/>
    <x v="3"/>
    <x v="45"/>
    <x v="28"/>
    <x v="55"/>
    <x v="37"/>
    <x v="20"/>
    <x v="0"/>
    <x v="407"/>
    <x v="235"/>
    <x v="10"/>
    <x v="303"/>
    <x v="1059"/>
    <x v="0"/>
    <x v="108"/>
    <x v="12"/>
    <x v="221"/>
    <x v="52"/>
    <x v="1"/>
    <x v="8"/>
    <x v="22"/>
    <x v="1"/>
  </r>
  <r>
    <x v="312"/>
    <x v="2"/>
    <x v="184"/>
    <x v="32"/>
    <x v="3"/>
    <x v="21"/>
    <x v="62"/>
    <x v="55"/>
    <x v="37"/>
    <x v="20"/>
    <x v="0"/>
    <x v="303"/>
    <x v="130"/>
    <x v="10"/>
    <x v="311"/>
    <x v="1079"/>
    <x v="0"/>
    <x v="108"/>
    <x v="12"/>
    <x v="227"/>
    <x v="52"/>
    <x v="1"/>
    <x v="8"/>
    <x v="22"/>
    <x v="1"/>
  </r>
  <r>
    <x v="314"/>
    <x v="0"/>
    <x v="186"/>
    <x v="33"/>
    <x v="3"/>
    <x v="35"/>
    <x v="12"/>
    <x v="55"/>
    <x v="37"/>
    <x v="20"/>
    <x v="0"/>
    <x v="332"/>
    <x v="152"/>
    <x v="10"/>
    <x v="318"/>
    <x v="1089"/>
    <x v="0"/>
    <x v="108"/>
    <x v="12"/>
    <x v="231"/>
    <x v="64"/>
    <x v="1"/>
    <x v="8"/>
    <x v="22"/>
    <x v="1"/>
  </r>
  <r>
    <x v="317"/>
    <x v="1"/>
    <x v="188"/>
    <x v="35"/>
    <x v="3"/>
    <x v="106"/>
    <x v="20"/>
    <x v="43"/>
    <x v="29"/>
    <x v="20"/>
    <x v="0"/>
    <x v="357"/>
    <x v="116"/>
    <x v="25"/>
    <x v="378"/>
    <x v="1086"/>
    <x v="0"/>
    <x v="108"/>
    <x v="12"/>
    <x v="538"/>
    <x v="198"/>
    <x v="1"/>
    <x v="8"/>
    <x v="22"/>
    <x v="1"/>
  </r>
  <r>
    <x v="320"/>
    <x v="2"/>
    <x v="189"/>
    <x v="36"/>
    <x v="3"/>
    <x v="43"/>
    <x v="28"/>
    <x v="55"/>
    <x v="37"/>
    <x v="20"/>
    <x v="0"/>
    <x v="405"/>
    <x v="234"/>
    <x v="10"/>
    <x v="302"/>
    <x v="1056"/>
    <x v="0"/>
    <x v="108"/>
    <x v="12"/>
    <x v="220"/>
    <x v="66"/>
    <x v="1"/>
    <x v="8"/>
    <x v="22"/>
    <x v="1"/>
  </r>
  <r>
    <x v="323"/>
    <x v="1"/>
    <x v="190"/>
    <x v="37"/>
    <x v="3"/>
    <x v="22"/>
    <x v="62"/>
    <x v="43"/>
    <x v="29"/>
    <x v="20"/>
    <x v="0"/>
    <x v="382"/>
    <x v="129"/>
    <x v="25"/>
    <x v="385"/>
    <x v="1103"/>
    <x v="0"/>
    <x v="108"/>
    <x v="12"/>
    <x v="546"/>
    <x v="198"/>
    <x v="1"/>
    <x v="8"/>
    <x v="22"/>
    <x v="1"/>
  </r>
  <r>
    <x v="326"/>
    <x v="1"/>
    <x v="195"/>
    <x v="39"/>
    <x v="3"/>
    <x v="106"/>
    <x v="20"/>
    <x v="43"/>
    <x v="29"/>
    <x v="20"/>
    <x v="0"/>
    <x v="315"/>
    <x v="116"/>
    <x v="47"/>
    <x v="337"/>
    <x v="752"/>
    <x v="0"/>
    <x v="108"/>
    <x v="12"/>
    <x v="820"/>
    <x v="358"/>
    <x v="1"/>
    <x v="8"/>
    <x v="22"/>
    <x v="1"/>
  </r>
  <r>
    <x v="329"/>
    <x v="2"/>
    <x v="196"/>
    <x v="40"/>
    <x v="3"/>
    <x v="43"/>
    <x v="28"/>
    <x v="55"/>
    <x v="37"/>
    <x v="20"/>
    <x v="0"/>
    <x v="374"/>
    <x v="232"/>
    <x v="37"/>
    <x v="273"/>
    <x v="633"/>
    <x v="0"/>
    <x v="108"/>
    <x v="12"/>
    <x v="621"/>
    <x v="285"/>
    <x v="1"/>
    <x v="8"/>
    <x v="22"/>
    <x v="1"/>
  </r>
  <r>
    <x v="332"/>
    <x v="1"/>
    <x v="197"/>
    <x v="41"/>
    <x v="3"/>
    <x v="22"/>
    <x v="62"/>
    <x v="43"/>
    <x v="29"/>
    <x v="20"/>
    <x v="0"/>
    <x v="334"/>
    <x v="128"/>
    <x v="42"/>
    <x v="344"/>
    <x v="849"/>
    <x v="0"/>
    <x v="108"/>
    <x v="13"/>
    <x v="745"/>
    <x v="329"/>
    <x v="1"/>
    <x v="9"/>
    <x v="23"/>
    <x v="1"/>
  </r>
  <r>
    <x v="335"/>
    <x v="1"/>
    <x v="198"/>
    <x v="42"/>
    <x v="3"/>
    <x v="106"/>
    <x v="20"/>
    <x v="43"/>
    <x v="29"/>
    <x v="20"/>
    <x v="0"/>
    <x v="331"/>
    <x v="116"/>
    <x v="42"/>
    <x v="353"/>
    <x v="880"/>
    <x v="0"/>
    <x v="108"/>
    <x v="13"/>
    <x v="748"/>
    <x v="319"/>
    <x v="1"/>
    <x v="9"/>
    <x v="23"/>
    <x v="1"/>
  </r>
  <r>
    <x v="338"/>
    <x v="2"/>
    <x v="199"/>
    <x v="43"/>
    <x v="3"/>
    <x v="43"/>
    <x v="28"/>
    <x v="55"/>
    <x v="37"/>
    <x v="31"/>
    <x v="0"/>
    <x v="380"/>
    <x v="230"/>
    <x v="20"/>
    <x v="281"/>
    <x v="843"/>
    <x v="0"/>
    <x v="108"/>
    <x v="13"/>
    <x v="410"/>
    <x v="158"/>
    <x v="1"/>
    <x v="9"/>
    <x v="23"/>
    <x v="1"/>
  </r>
  <r>
    <x v="341"/>
    <x v="2"/>
    <x v="201"/>
    <x v="44"/>
    <x v="3"/>
    <x v="22"/>
    <x v="62"/>
    <x v="74"/>
    <x v="52"/>
    <x v="20"/>
    <x v="0"/>
    <x v="309"/>
    <x v="126"/>
    <x v="25"/>
    <x v="321"/>
    <x v="935"/>
    <x v="0"/>
    <x v="108"/>
    <x v="13"/>
    <x v="511"/>
    <x v="198"/>
    <x v="1"/>
    <x v="9"/>
    <x v="23"/>
    <x v="1"/>
  </r>
  <r>
    <x v="344"/>
    <x v="2"/>
    <x v="202"/>
    <x v="45"/>
    <x v="3"/>
    <x v="106"/>
    <x v="20"/>
    <x v="74"/>
    <x v="52"/>
    <x v="20"/>
    <x v="0"/>
    <x v="96"/>
    <x v="113"/>
    <x v="32"/>
    <x v="70"/>
    <x v="113"/>
    <x v="0"/>
    <x v="108"/>
    <x v="13"/>
    <x v="87"/>
    <x v="245"/>
    <x v="1"/>
    <x v="9"/>
    <x v="23"/>
    <x v="1"/>
  </r>
  <r>
    <x v="347"/>
    <x v="2"/>
    <x v="204"/>
    <x v="46"/>
    <x v="3"/>
    <x v="59"/>
    <x v="75"/>
    <x v="55"/>
    <x v="37"/>
    <x v="31"/>
    <x v="0"/>
    <x v="283"/>
    <x v="106"/>
    <x v="25"/>
    <x v="315"/>
    <x v="913"/>
    <x v="0"/>
    <x v="108"/>
    <x v="13"/>
    <x v="505"/>
    <x v="198"/>
    <x v="1"/>
    <x v="9"/>
    <x v="23"/>
    <x v="1"/>
  </r>
  <r>
    <x v="350"/>
    <x v="2"/>
    <x v="205"/>
    <x v="47"/>
    <x v="3"/>
    <x v="14"/>
    <x v="26"/>
    <x v="55"/>
    <x v="37"/>
    <x v="31"/>
    <x v="0"/>
    <x v="217"/>
    <x v="54"/>
    <x v="25"/>
    <x v="316"/>
    <x v="917"/>
    <x v="0"/>
    <x v="108"/>
    <x v="13"/>
    <x v="506"/>
    <x v="212"/>
    <x v="1"/>
    <x v="9"/>
    <x v="23"/>
    <x v="1"/>
  </r>
  <r>
    <x v="352"/>
    <x v="2"/>
    <x v="206"/>
    <x v="48"/>
    <x v="3"/>
    <x v="6"/>
    <x v="66"/>
    <x v="55"/>
    <x v="37"/>
    <x v="31"/>
    <x v="0"/>
    <x v="380"/>
    <x v="183"/>
    <x v="20"/>
    <x v="334"/>
    <x v="1023"/>
    <x v="0"/>
    <x v="108"/>
    <x v="13"/>
    <x v="443"/>
    <x v="170"/>
    <x v="1"/>
    <x v="9"/>
    <x v="23"/>
    <x v="1"/>
  </r>
  <r>
    <x v="354"/>
    <x v="2"/>
    <x v="207"/>
    <x v="49"/>
    <x v="3"/>
    <x v="49"/>
    <x v="41"/>
    <x v="55"/>
    <x v="37"/>
    <x v="31"/>
    <x v="0"/>
    <x v="646"/>
    <x v="319"/>
    <x v="20"/>
    <x v="494"/>
    <x v="1262"/>
    <x v="0"/>
    <x v="108"/>
    <x v="13"/>
    <x v="580"/>
    <x v="158"/>
    <x v="1"/>
    <x v="9"/>
    <x v="23"/>
    <x v="1"/>
  </r>
  <r>
    <x v="356"/>
    <x v="2"/>
    <x v="208"/>
    <x v="50"/>
    <x v="3"/>
    <x v="59"/>
    <x v="75"/>
    <x v="55"/>
    <x v="37"/>
    <x v="31"/>
    <x v="0"/>
    <x v="317"/>
    <x v="390"/>
    <x v="91"/>
    <x v="114"/>
    <x v="105"/>
    <x v="0"/>
    <x v="108"/>
    <x v="13"/>
    <x v="786"/>
    <x v="600"/>
    <x v="1"/>
    <x v="9"/>
    <x v="23"/>
    <x v="1"/>
  </r>
  <r>
    <x v="375"/>
    <x v="2"/>
    <x v="208"/>
    <x v="50"/>
    <x v="3"/>
    <x v="59"/>
    <x v="75"/>
    <x v="55"/>
    <x v="37"/>
    <x v="20"/>
    <x v="0"/>
    <x v="101"/>
    <x v="105"/>
    <x v="91"/>
    <x v="96"/>
    <x v="101"/>
    <x v="0"/>
    <x v="108"/>
    <x v="13"/>
    <x v="747"/>
    <x v="602"/>
    <x v="1"/>
    <x v="9"/>
    <x v="23"/>
    <x v="1"/>
  </r>
  <r>
    <x v="360"/>
    <x v="2"/>
    <x v="209"/>
    <x v="51"/>
    <x v="3"/>
    <x v="14"/>
    <x v="26"/>
    <x v="55"/>
    <x v="37"/>
    <x v="31"/>
    <x v="0"/>
    <x v="234"/>
    <x v="53"/>
    <x v="16"/>
    <x v="348"/>
    <x v="1088"/>
    <x v="0"/>
    <x v="108"/>
    <x v="13"/>
    <x v="365"/>
    <x v="131"/>
    <x v="1"/>
    <x v="9"/>
    <x v="23"/>
    <x v="1"/>
  </r>
  <r>
    <x v="358"/>
    <x v="2"/>
    <x v="210"/>
    <x v="52"/>
    <x v="3"/>
    <x v="6"/>
    <x v="66"/>
    <x v="55"/>
    <x v="37"/>
    <x v="31"/>
    <x v="0"/>
    <x v="385"/>
    <x v="182"/>
    <x v="16"/>
    <x v="340"/>
    <x v="1077"/>
    <x v="0"/>
    <x v="108"/>
    <x v="13"/>
    <x v="362"/>
    <x v="132"/>
    <x v="1"/>
    <x v="9"/>
    <x v="23"/>
    <x v="1"/>
  </r>
  <r>
    <x v="362"/>
    <x v="2"/>
    <x v="211"/>
    <x v="53"/>
    <x v="3"/>
    <x v="49"/>
    <x v="41"/>
    <x v="55"/>
    <x v="37"/>
    <x v="2"/>
    <x v="0"/>
    <x v="666"/>
    <x v="318"/>
    <x v="47"/>
    <x v="519"/>
    <x v="1212"/>
    <x v="0"/>
    <x v="108"/>
    <x v="14"/>
    <x v="999"/>
    <x v="359"/>
    <x v="1"/>
    <x v="10"/>
    <x v="24"/>
    <x v="1"/>
  </r>
  <r>
    <x v="363"/>
    <x v="1"/>
    <x v="213"/>
    <x v="54"/>
    <x v="3"/>
    <x v="59"/>
    <x v="75"/>
    <x v="55"/>
    <x v="37"/>
    <x v="2"/>
    <x v="0"/>
    <x v="322"/>
    <x v="104"/>
    <x v="47"/>
    <x v="356"/>
    <x v="828"/>
    <x v="0"/>
    <x v="108"/>
    <x v="14"/>
    <x v="833"/>
    <x v="365"/>
    <x v="1"/>
    <x v="10"/>
    <x v="24"/>
    <x v="1"/>
  </r>
  <r>
    <x v="365"/>
    <x v="1"/>
    <x v="214"/>
    <x v="55"/>
    <x v="3"/>
    <x v="6"/>
    <x v="66"/>
    <x v="55"/>
    <x v="37"/>
    <x v="2"/>
    <x v="0"/>
    <x v="397"/>
    <x v="186"/>
    <x v="51"/>
    <x v="348"/>
    <x v="735"/>
    <x v="0"/>
    <x v="108"/>
    <x v="14"/>
    <x v="898"/>
    <x v="397"/>
    <x v="1"/>
    <x v="10"/>
    <x v="24"/>
    <x v="1"/>
  </r>
  <r>
    <x v="364"/>
    <x v="1"/>
    <x v="215"/>
    <x v="56"/>
    <x v="3"/>
    <x v="14"/>
    <x v="26"/>
    <x v="55"/>
    <x v="37"/>
    <x v="2"/>
    <x v="0"/>
    <x v="224"/>
    <x v="52"/>
    <x v="47"/>
    <x v="328"/>
    <x v="714"/>
    <x v="0"/>
    <x v="108"/>
    <x v="14"/>
    <x v="806"/>
    <x v="371"/>
    <x v="1"/>
    <x v="10"/>
    <x v="24"/>
    <x v="1"/>
  </r>
  <r>
    <x v="366"/>
    <x v="1"/>
    <x v="217"/>
    <x v="57"/>
    <x v="3"/>
    <x v="49"/>
    <x v="41"/>
    <x v="55"/>
    <x v="37"/>
    <x v="2"/>
    <x v="0"/>
    <x v="644"/>
    <x v="317"/>
    <x v="51"/>
    <x v="493"/>
    <x v="1169"/>
    <x v="0"/>
    <x v="108"/>
    <x v="14"/>
    <x v="1032"/>
    <x v="390"/>
    <x v="1"/>
    <x v="10"/>
    <x v="24"/>
    <x v="1"/>
  </r>
  <r>
    <x v="367"/>
    <x v="1"/>
    <x v="218"/>
    <x v="58"/>
    <x v="3"/>
    <x v="59"/>
    <x v="75"/>
    <x v="55"/>
    <x v="37"/>
    <x v="2"/>
    <x v="0"/>
    <x v="309"/>
    <x v="103"/>
    <x v="51"/>
    <x v="344"/>
    <x v="710"/>
    <x v="0"/>
    <x v="108"/>
    <x v="14"/>
    <x v="893"/>
    <x v="399"/>
    <x v="1"/>
    <x v="10"/>
    <x v="24"/>
    <x v="1"/>
  </r>
  <r>
    <x v="368"/>
    <x v="1"/>
    <x v="221"/>
    <x v="59"/>
    <x v="3"/>
    <x v="14"/>
    <x v="26"/>
    <x v="55"/>
    <x v="37"/>
    <x v="2"/>
    <x v="0"/>
    <x v="221"/>
    <x v="51"/>
    <x v="51"/>
    <x v="325"/>
    <x v="647"/>
    <x v="0"/>
    <x v="108"/>
    <x v="14"/>
    <x v="878"/>
    <x v="390"/>
    <x v="1"/>
    <x v="10"/>
    <x v="24"/>
    <x v="1"/>
  </r>
  <r>
    <x v="369"/>
    <x v="1"/>
    <x v="222"/>
    <x v="60"/>
    <x v="3"/>
    <x v="6"/>
    <x v="66"/>
    <x v="55"/>
    <x v="37"/>
    <x v="2"/>
    <x v="0"/>
    <x v="364"/>
    <x v="184"/>
    <x v="57"/>
    <x v="317"/>
    <x v="575"/>
    <x v="0"/>
    <x v="108"/>
    <x v="14"/>
    <x v="931"/>
    <x v="422"/>
    <x v="1"/>
    <x v="10"/>
    <x v="24"/>
    <x v="1"/>
  </r>
  <r>
    <x v="370"/>
    <x v="1"/>
    <x v="223"/>
    <x v="61"/>
    <x v="3"/>
    <x v="49"/>
    <x v="41"/>
    <x v="55"/>
    <x v="37"/>
    <x v="2"/>
    <x v="0"/>
    <x v="645"/>
    <x v="316"/>
    <x v="47"/>
    <x v="494"/>
    <x v="1182"/>
    <x v="0"/>
    <x v="108"/>
    <x v="14"/>
    <x v="978"/>
    <x v="358"/>
    <x v="1"/>
    <x v="10"/>
    <x v="24"/>
    <x v="1"/>
  </r>
  <r>
    <x v="371"/>
    <x v="2"/>
    <x v="224"/>
    <x v="62"/>
    <x v="3"/>
    <x v="23"/>
    <x v="61"/>
    <x v="55"/>
    <x v="37"/>
    <x v="2"/>
    <x v="0"/>
    <x v="303"/>
    <x v="142"/>
    <x v="47"/>
    <x v="299"/>
    <x v="614"/>
    <x v="0"/>
    <x v="108"/>
    <x v="14"/>
    <x v="774"/>
    <x v="358"/>
    <x v="1"/>
    <x v="10"/>
    <x v="24"/>
    <x v="1"/>
  </r>
  <r>
    <x v="372"/>
    <x v="2"/>
    <x v="225"/>
    <x v="63"/>
    <x v="3"/>
    <x v="18"/>
    <x v="18"/>
    <x v="55"/>
    <x v="37"/>
    <x v="2"/>
    <x v="0"/>
    <x v="295"/>
    <x v="110"/>
    <x v="42"/>
    <x v="323"/>
    <x v="760"/>
    <x v="0"/>
    <x v="108"/>
    <x v="14"/>
    <x v="726"/>
    <x v="319"/>
    <x v="1"/>
    <x v="10"/>
    <x v="24"/>
    <x v="1"/>
  </r>
  <r>
    <x v="373"/>
    <x v="1"/>
    <x v="226"/>
    <x v="64"/>
    <x v="3"/>
    <x v="20"/>
    <x v="51"/>
    <x v="55"/>
    <x v="37"/>
    <x v="2"/>
    <x v="0"/>
    <x v="357"/>
    <x v="188"/>
    <x v="62"/>
    <x v="306"/>
    <x v="511"/>
    <x v="0"/>
    <x v="108"/>
    <x v="14"/>
    <x v="983"/>
    <x v="459"/>
    <x v="1"/>
    <x v="10"/>
    <x v="24"/>
    <x v="1"/>
  </r>
  <r>
    <x v="374"/>
    <x v="2"/>
    <x v="227"/>
    <x v="65"/>
    <x v="3"/>
    <x v="9"/>
    <x v="33"/>
    <x v="55"/>
    <x v="37"/>
    <x v="2"/>
    <x v="0"/>
    <x v="259"/>
    <x v="79"/>
    <x v="42"/>
    <x v="319"/>
    <x v="747"/>
    <x v="0"/>
    <x v="108"/>
    <x v="14"/>
    <x v="723"/>
    <x v="319"/>
    <x v="1"/>
    <x v="10"/>
    <x v="24"/>
    <x v="1"/>
  </r>
  <r>
    <x v="378"/>
    <x v="2"/>
    <x v="228"/>
    <x v="66"/>
    <x v="3"/>
    <x v="23"/>
    <x v="61"/>
    <x v="55"/>
    <x v="37"/>
    <x v="2"/>
    <x v="0"/>
    <x v="324"/>
    <x v="141"/>
    <x v="32"/>
    <x v="321"/>
    <x v="879"/>
    <x v="0"/>
    <x v="108"/>
    <x v="14"/>
    <x v="589"/>
    <x v="245"/>
    <x v="1"/>
    <x v="10"/>
    <x v="24"/>
    <x v="1"/>
  </r>
  <r>
    <x v="384"/>
    <x v="2"/>
    <x v="229"/>
    <x v="67"/>
    <x v="3"/>
    <x v="18"/>
    <x v="18"/>
    <x v="55"/>
    <x v="37"/>
    <x v="2"/>
    <x v="0"/>
    <x v="295"/>
    <x v="108"/>
    <x v="42"/>
    <x v="325"/>
    <x v="773"/>
    <x v="0"/>
    <x v="108"/>
    <x v="14"/>
    <x v="729"/>
    <x v="319"/>
    <x v="1"/>
    <x v="10"/>
    <x v="24"/>
    <x v="1"/>
  </r>
  <r>
    <x v="381"/>
    <x v="2"/>
    <x v="230"/>
    <x v="68"/>
    <x v="3"/>
    <x v="20"/>
    <x v="51"/>
    <x v="55"/>
    <x v="37"/>
    <x v="2"/>
    <x v="0"/>
    <x v="377"/>
    <x v="186"/>
    <x v="20"/>
    <x v="328"/>
    <x v="1010"/>
    <x v="0"/>
    <x v="108"/>
    <x v="14"/>
    <x v="436"/>
    <x v="171"/>
    <x v="1"/>
    <x v="10"/>
    <x v="24"/>
    <x v="1"/>
  </r>
  <r>
    <x v="387"/>
    <x v="1"/>
    <x v="232"/>
    <x v="70"/>
    <x v="3"/>
    <x v="9"/>
    <x v="33"/>
    <x v="55"/>
    <x v="37"/>
    <x v="28"/>
    <x v="0"/>
    <x v="302"/>
    <x v="80"/>
    <x v="73"/>
    <x v="361"/>
    <x v="481"/>
    <x v="0"/>
    <x v="108"/>
    <x v="14"/>
    <x v="1169"/>
    <x v="537"/>
    <x v="1"/>
    <x v="10"/>
    <x v="24"/>
    <x v="1"/>
  </r>
  <r>
    <x v="390"/>
    <x v="1"/>
    <x v="233"/>
    <x v="71"/>
    <x v="3"/>
    <x v="23"/>
    <x v="61"/>
    <x v="55"/>
    <x v="37"/>
    <x v="28"/>
    <x v="0"/>
    <x v="338"/>
    <x v="141"/>
    <x v="73"/>
    <x v="335"/>
    <x v="438"/>
    <x v="0"/>
    <x v="108"/>
    <x v="14"/>
    <x v="1156"/>
    <x v="537"/>
    <x v="1"/>
    <x v="10"/>
    <x v="24"/>
    <x v="1"/>
  </r>
  <r>
    <x v="393"/>
    <x v="1"/>
    <x v="235"/>
    <x v="73"/>
    <x v="3"/>
    <x v="20"/>
    <x v="51"/>
    <x v="55"/>
    <x v="37"/>
    <x v="28"/>
    <x v="0"/>
    <x v="380"/>
    <x v="186"/>
    <x v="73"/>
    <x v="331"/>
    <x v="430"/>
    <x v="0"/>
    <x v="108"/>
    <x v="14"/>
    <x v="1153"/>
    <x v="537"/>
    <x v="1"/>
    <x v="10"/>
    <x v="24"/>
    <x v="1"/>
  </r>
  <r>
    <x v="396"/>
    <x v="1"/>
    <x v="237"/>
    <x v="75"/>
    <x v="3"/>
    <x v="9"/>
    <x v="33"/>
    <x v="55"/>
    <x v="37"/>
    <x v="28"/>
    <x v="0"/>
    <x v="260"/>
    <x v="95"/>
    <x v="75"/>
    <x v="303"/>
    <x v="376"/>
    <x v="0"/>
    <x v="108"/>
    <x v="15"/>
    <x v="1170"/>
    <x v="552"/>
    <x v="1"/>
    <x v="11"/>
    <x v="25"/>
    <x v="1"/>
  </r>
  <r>
    <x v="399"/>
    <x v="1"/>
    <x v="238"/>
    <x v="76"/>
    <x v="3"/>
    <x v="23"/>
    <x v="61"/>
    <x v="55"/>
    <x v="37"/>
    <x v="28"/>
    <x v="0"/>
    <x v="320"/>
    <x v="141"/>
    <x v="68"/>
    <x v="317"/>
    <x v="468"/>
    <x v="0"/>
    <x v="108"/>
    <x v="15"/>
    <x v="1078"/>
    <x v="500"/>
    <x v="1"/>
    <x v="11"/>
    <x v="25"/>
    <x v="1"/>
  </r>
  <r>
    <x v="408"/>
    <x v="1"/>
    <x v="239"/>
    <x v="74"/>
    <x v="3"/>
    <x v="18"/>
    <x v="18"/>
    <x v="55"/>
    <x v="37"/>
    <x v="28"/>
    <x v="0"/>
    <x v="284"/>
    <x v="110"/>
    <x v="65"/>
    <x v="312"/>
    <x v="488"/>
    <x v="0"/>
    <x v="108"/>
    <x v="14"/>
    <x v="1031"/>
    <x v="486"/>
    <x v="1"/>
    <x v="10"/>
    <x v="24"/>
    <x v="1"/>
  </r>
  <r>
    <x v="402"/>
    <x v="1"/>
    <x v="240"/>
    <x v="77"/>
    <x v="3"/>
    <x v="20"/>
    <x v="51"/>
    <x v="55"/>
    <x v="37"/>
    <x v="28"/>
    <x v="0"/>
    <x v="349"/>
    <x v="185"/>
    <x v="73"/>
    <x v="301"/>
    <x v="387"/>
    <x v="0"/>
    <x v="108"/>
    <x v="15"/>
    <x v="1137"/>
    <x v="537"/>
    <x v="1"/>
    <x v="11"/>
    <x v="25"/>
    <x v="1"/>
  </r>
  <r>
    <x v="405"/>
    <x v="1"/>
    <x v="241"/>
    <x v="78"/>
    <x v="3"/>
    <x v="18"/>
    <x v="18"/>
    <x v="55"/>
    <x v="37"/>
    <x v="28"/>
    <x v="0"/>
    <x v="296"/>
    <x v="115"/>
    <x v="73"/>
    <x v="319"/>
    <x v="412"/>
    <x v="0"/>
    <x v="108"/>
    <x v="15"/>
    <x v="1146"/>
    <x v="537"/>
    <x v="1"/>
    <x v="11"/>
    <x v="25"/>
    <x v="1"/>
  </r>
  <r>
    <x v="411"/>
    <x v="1"/>
    <x v="242"/>
    <x v="79"/>
    <x v="3"/>
    <x v="9"/>
    <x v="33"/>
    <x v="55"/>
    <x v="37"/>
    <x v="28"/>
    <x v="0"/>
    <x v="274"/>
    <x v="98"/>
    <x v="71"/>
    <x v="314"/>
    <x v="431"/>
    <x v="0"/>
    <x v="108"/>
    <x v="15"/>
    <x v="1115"/>
    <x v="529"/>
    <x v="1"/>
    <x v="11"/>
    <x v="25"/>
    <x v="1"/>
  </r>
  <r>
    <x v="414"/>
    <x v="1"/>
    <x v="243"/>
    <x v="80"/>
    <x v="3"/>
    <x v="49"/>
    <x v="41"/>
    <x v="55"/>
    <x v="37"/>
    <x v="28"/>
    <x v="0"/>
    <x v="658"/>
    <x v="322"/>
    <x v="68"/>
    <x v="506"/>
    <x v="1132"/>
    <x v="0"/>
    <x v="108"/>
    <x v="15"/>
    <x v="1192"/>
    <x v="502"/>
    <x v="1"/>
    <x v="11"/>
    <x v="25"/>
    <x v="1"/>
  </r>
  <r>
    <x v="417"/>
    <x v="1"/>
    <x v="244"/>
    <x v="81"/>
    <x v="3"/>
    <x v="35"/>
    <x v="12"/>
    <x v="55"/>
    <x v="37"/>
    <x v="28"/>
    <x v="0"/>
    <x v="349"/>
    <x v="160"/>
    <x v="73"/>
    <x v="327"/>
    <x v="418"/>
    <x v="0"/>
    <x v="108"/>
    <x v="15"/>
    <x v="1149"/>
    <x v="537"/>
    <x v="1"/>
    <x v="11"/>
    <x v="25"/>
    <x v="1"/>
  </r>
  <r>
    <x v="420"/>
    <x v="1"/>
    <x v="245"/>
    <x v="82"/>
    <x v="3"/>
    <x v="106"/>
    <x v="20"/>
    <x v="55"/>
    <x v="37"/>
    <x v="28"/>
    <x v="0"/>
    <x v="336"/>
    <x v="465"/>
    <x v="73"/>
    <x v="317"/>
    <x v="409"/>
    <x v="0"/>
    <x v="108"/>
    <x v="15"/>
    <x v="1145"/>
    <x v="537"/>
    <x v="1"/>
    <x v="11"/>
    <x v="25"/>
    <x v="1"/>
  </r>
  <r>
    <x v="434"/>
    <x v="1"/>
    <x v="250"/>
    <x v="83"/>
    <x v="3"/>
    <x v="18"/>
    <x v="18"/>
    <x v="55"/>
    <x v="37"/>
    <x v="28"/>
    <x v="0"/>
    <x v="309"/>
    <x v="465"/>
    <x v="42"/>
    <x v="288"/>
    <x v="631"/>
    <x v="0"/>
    <x v="108"/>
    <x v="16"/>
    <x v="696"/>
    <x v="334"/>
    <x v="1"/>
    <x v="13"/>
    <x v="27"/>
    <x v="1"/>
  </r>
  <r>
    <x v="437"/>
    <x v="1"/>
    <x v="251"/>
    <x v="84"/>
    <x v="3"/>
    <x v="35"/>
    <x v="12"/>
    <x v="55"/>
    <x v="37"/>
    <x v="28"/>
    <x v="0"/>
    <x v="360"/>
    <x v="465"/>
    <x v="42"/>
    <x v="319"/>
    <x v="747"/>
    <x v="0"/>
    <x v="108"/>
    <x v="16"/>
    <x v="723"/>
    <x v="319"/>
    <x v="1"/>
    <x v="13"/>
    <x v="27"/>
    <x v="1"/>
  </r>
  <r>
    <x v="440"/>
    <x v="1"/>
    <x v="252"/>
    <x v="85"/>
    <x v="3"/>
    <x v="14"/>
    <x v="26"/>
    <x v="55"/>
    <x v="37"/>
    <x v="28"/>
    <x v="0"/>
    <x v="256"/>
    <x v="465"/>
    <x v="37"/>
    <x v="353"/>
    <x v="937"/>
    <x v="0"/>
    <x v="108"/>
    <x v="16"/>
    <x v="666"/>
    <x v="285"/>
    <x v="1"/>
    <x v="13"/>
    <x v="27"/>
    <x v="1"/>
  </r>
  <r>
    <x v="443"/>
    <x v="1"/>
    <x v="253"/>
    <x v="86"/>
    <x v="3"/>
    <x v="18"/>
    <x v="18"/>
    <x v="55"/>
    <x v="37"/>
    <x v="28"/>
    <x v="0"/>
    <x v="89"/>
    <x v="465"/>
    <x v="37"/>
    <x v="155"/>
    <x v="236"/>
    <x v="0"/>
    <x v="108"/>
    <x v="16"/>
    <x v="317"/>
    <x v="308"/>
    <x v="1"/>
    <x v="13"/>
    <x v="27"/>
    <x v="1"/>
  </r>
  <r>
    <x v="446"/>
    <x v="1"/>
    <x v="254"/>
    <x v="87"/>
    <x v="3"/>
    <x v="35"/>
    <x v="12"/>
    <x v="55"/>
    <x v="37"/>
    <x v="28"/>
    <x v="0"/>
    <x v="348"/>
    <x v="465"/>
    <x v="25"/>
    <x v="316"/>
    <x v="917"/>
    <x v="0"/>
    <x v="108"/>
    <x v="16"/>
    <x v="506"/>
    <x v="212"/>
    <x v="1"/>
    <x v="13"/>
    <x v="27"/>
    <x v="1"/>
  </r>
  <r>
    <x v="449"/>
    <x v="1"/>
    <x v="255"/>
    <x v="88"/>
    <x v="3"/>
    <x v="14"/>
    <x v="26"/>
    <x v="55"/>
    <x v="37"/>
    <x v="28"/>
    <x v="0"/>
    <x v="215"/>
    <x v="465"/>
    <x v="16"/>
    <x v="297"/>
    <x v="957"/>
    <x v="0"/>
    <x v="108"/>
    <x v="16"/>
    <x v="343"/>
    <x v="119"/>
    <x v="1"/>
    <x v="13"/>
    <x v="27"/>
    <x v="1"/>
  </r>
  <r>
    <x v="452"/>
    <x v="1"/>
    <x v="256"/>
    <x v="89"/>
    <x v="3"/>
    <x v="18"/>
    <x v="18"/>
    <x v="55"/>
    <x v="37"/>
    <x v="28"/>
    <x v="0"/>
    <x v="86"/>
    <x v="465"/>
    <x v="20"/>
    <x v="152"/>
    <x v="252"/>
    <x v="0"/>
    <x v="108"/>
    <x v="16"/>
    <x v="170"/>
    <x v="158"/>
    <x v="1"/>
    <x v="13"/>
    <x v="27"/>
    <x v="1"/>
  </r>
  <r>
    <x v="455"/>
    <x v="1"/>
    <x v="257"/>
    <x v="90"/>
    <x v="3"/>
    <x v="35"/>
    <x v="12"/>
    <x v="55"/>
    <x v="37"/>
    <x v="28"/>
    <x v="0"/>
    <x v="324"/>
    <x v="465"/>
    <x v="25"/>
    <x v="292"/>
    <x v="823"/>
    <x v="0"/>
    <x v="108"/>
    <x v="16"/>
    <x v="487"/>
    <x v="215"/>
    <x v="1"/>
    <x v="13"/>
    <x v="27"/>
    <x v="1"/>
  </r>
  <r>
    <x v="458"/>
    <x v="1"/>
    <x v="258"/>
    <x v="91"/>
    <x v="3"/>
    <x v="14"/>
    <x v="26"/>
    <x v="55"/>
    <x v="37"/>
    <x v="28"/>
    <x v="0"/>
    <x v="216"/>
    <x v="63"/>
    <x v="20"/>
    <x v="286"/>
    <x v="864"/>
    <x v="0"/>
    <x v="108"/>
    <x v="17"/>
    <x v="413"/>
    <x v="157"/>
    <x v="1"/>
    <x v="14"/>
    <x v="28"/>
    <x v="1"/>
  </r>
  <r>
    <x v="461"/>
    <x v="1"/>
    <x v="259"/>
    <x v="92"/>
    <x v="3"/>
    <x v="18"/>
    <x v="18"/>
    <x v="55"/>
    <x v="37"/>
    <x v="28"/>
    <x v="0"/>
    <x v="83"/>
    <x v="37"/>
    <x v="20"/>
    <x v="149"/>
    <x v="248"/>
    <x v="0"/>
    <x v="108"/>
    <x v="17"/>
    <x v="167"/>
    <x v="158"/>
    <x v="1"/>
    <x v="14"/>
    <x v="28"/>
    <x v="1"/>
  </r>
  <r>
    <x v="464"/>
    <x v="1"/>
    <x v="260"/>
    <x v="93"/>
    <x v="3"/>
    <x v="35"/>
    <x v="12"/>
    <x v="55"/>
    <x v="37"/>
    <x v="28"/>
    <x v="0"/>
    <x v="333"/>
    <x v="168"/>
    <x v="25"/>
    <x v="302"/>
    <x v="866"/>
    <x v="0"/>
    <x v="108"/>
    <x v="17"/>
    <x v="498"/>
    <x v="213"/>
    <x v="1"/>
    <x v="14"/>
    <x v="28"/>
    <x v="1"/>
  </r>
  <r>
    <x v="467"/>
    <x v="1"/>
    <x v="261"/>
    <x v="94"/>
    <x v="3"/>
    <x v="14"/>
    <x v="26"/>
    <x v="55"/>
    <x v="37"/>
    <x v="28"/>
    <x v="0"/>
    <x v="224"/>
    <x v="62"/>
    <x v="25"/>
    <x v="302"/>
    <x v="866"/>
    <x v="0"/>
    <x v="108"/>
    <x v="17"/>
    <x v="498"/>
    <x v="213"/>
    <x v="1"/>
    <x v="14"/>
    <x v="28"/>
    <x v="1"/>
  </r>
  <r>
    <x v="470"/>
    <x v="1"/>
    <x v="262"/>
    <x v="95"/>
    <x v="3"/>
    <x v="18"/>
    <x v="18"/>
    <x v="55"/>
    <x v="37"/>
    <x v="28"/>
    <x v="0"/>
    <x v="88"/>
    <x v="39"/>
    <x v="32"/>
    <x v="153"/>
    <x v="239"/>
    <x v="0"/>
    <x v="108"/>
    <x v="17"/>
    <x v="270"/>
    <x v="245"/>
    <x v="1"/>
    <x v="14"/>
    <x v="28"/>
    <x v="1"/>
  </r>
  <r>
    <x v="473"/>
    <x v="1"/>
    <x v="264"/>
    <x v="96"/>
    <x v="3"/>
    <x v="49"/>
    <x v="41"/>
    <x v="55"/>
    <x v="37"/>
    <x v="28"/>
    <x v="0"/>
    <x v="605"/>
    <x v="465"/>
    <x v="16"/>
    <x v="426"/>
    <x v="1199"/>
    <x v="0"/>
    <x v="108"/>
    <x v="17"/>
    <x v="441"/>
    <x v="129"/>
    <x v="1"/>
    <x v="14"/>
    <x v="28"/>
    <x v="1"/>
  </r>
  <r>
    <x v="476"/>
    <x v="1"/>
    <x v="266"/>
    <x v="97"/>
    <x v="3"/>
    <x v="6"/>
    <x v="66"/>
    <x v="55"/>
    <x v="37"/>
    <x v="28"/>
    <x v="0"/>
    <x v="319"/>
    <x v="194"/>
    <x v="20"/>
    <x v="262"/>
    <x v="759"/>
    <x v="0"/>
    <x v="108"/>
    <x v="17"/>
    <x v="400"/>
    <x v="181"/>
    <x v="1"/>
    <x v="14"/>
    <x v="28"/>
    <x v="1"/>
  </r>
  <r>
    <x v="479"/>
    <x v="1"/>
    <x v="267"/>
    <x v="98"/>
    <x v="3"/>
    <x v="59"/>
    <x v="75"/>
    <x v="55"/>
    <x v="37"/>
    <x v="28"/>
    <x v="0"/>
    <x v="248"/>
    <x v="110"/>
    <x v="20"/>
    <x v="276"/>
    <x v="819"/>
    <x v="0"/>
    <x v="108"/>
    <x v="17"/>
    <x v="406"/>
    <x v="180"/>
    <x v="1"/>
    <x v="14"/>
    <x v="28"/>
    <x v="1"/>
  </r>
  <r>
    <x v="482"/>
    <x v="1"/>
    <x v="268"/>
    <x v="99"/>
    <x v="3"/>
    <x v="49"/>
    <x v="41"/>
    <x v="55"/>
    <x v="37"/>
    <x v="28"/>
    <x v="0"/>
    <x v="619"/>
    <x v="315"/>
    <x v="25"/>
    <x v="447"/>
    <x v="1192"/>
    <x v="0"/>
    <x v="108"/>
    <x v="17"/>
    <x v="623"/>
    <x v="198"/>
    <x v="1"/>
    <x v="14"/>
    <x v="28"/>
    <x v="1"/>
  </r>
  <r>
    <x v="485"/>
    <x v="1"/>
    <x v="269"/>
    <x v="100"/>
    <x v="3"/>
    <x v="6"/>
    <x v="66"/>
    <x v="55"/>
    <x v="37"/>
    <x v="28"/>
    <x v="0"/>
    <x v="342"/>
    <x v="193"/>
    <x v="20"/>
    <x v="286"/>
    <x v="863"/>
    <x v="0"/>
    <x v="108"/>
    <x v="17"/>
    <x v="414"/>
    <x v="177"/>
    <x v="1"/>
    <x v="14"/>
    <x v="28"/>
    <x v="1"/>
  </r>
  <r>
    <x v="488"/>
    <x v="1"/>
    <x v="270"/>
    <x v="101"/>
    <x v="3"/>
    <x v="59"/>
    <x v="75"/>
    <x v="55"/>
    <x v="37"/>
    <x v="28"/>
    <x v="0"/>
    <x v="262"/>
    <x v="112"/>
    <x v="25"/>
    <x v="288"/>
    <x v="806"/>
    <x v="0"/>
    <x v="108"/>
    <x v="17"/>
    <x v="484"/>
    <x v="217"/>
    <x v="1"/>
    <x v="14"/>
    <x v="28"/>
    <x v="1"/>
  </r>
  <r>
    <x v="491"/>
    <x v="1"/>
    <x v="271"/>
    <x v="102"/>
    <x v="3"/>
    <x v="49"/>
    <x v="41"/>
    <x v="55"/>
    <x v="37"/>
    <x v="28"/>
    <x v="0"/>
    <x v="617"/>
    <x v="314"/>
    <x v="37"/>
    <x v="444"/>
    <x v="1166"/>
    <x v="0"/>
    <x v="108"/>
    <x v="17"/>
    <x v="781"/>
    <x v="289"/>
    <x v="1"/>
    <x v="14"/>
    <x v="28"/>
    <x v="1"/>
  </r>
  <r>
    <x v="494"/>
    <x v="1"/>
    <x v="272"/>
    <x v="103"/>
    <x v="3"/>
    <x v="6"/>
    <x v="66"/>
    <x v="55"/>
    <x v="37"/>
    <x v="28"/>
    <x v="0"/>
    <x v="324"/>
    <x v="190"/>
    <x v="25"/>
    <x v="271"/>
    <x v="742"/>
    <x v="0"/>
    <x v="108"/>
    <x v="17"/>
    <x v="473"/>
    <x v="198"/>
    <x v="1"/>
    <x v="14"/>
    <x v="28"/>
    <x v="1"/>
  </r>
  <r>
    <x v="497"/>
    <x v="1"/>
    <x v="273"/>
    <x v="104"/>
    <x v="3"/>
    <x v="59"/>
    <x v="75"/>
    <x v="55"/>
    <x v="37"/>
    <x v="28"/>
    <x v="0"/>
    <x v="243"/>
    <x v="124"/>
    <x v="25"/>
    <x v="256"/>
    <x v="671"/>
    <x v="0"/>
    <x v="108"/>
    <x v="17"/>
    <x v="463"/>
    <x v="225"/>
    <x v="1"/>
    <x v="14"/>
    <x v="28"/>
    <x v="1"/>
  </r>
  <r>
    <x v="500"/>
    <x v="1"/>
    <x v="274"/>
    <x v="105"/>
    <x v="3"/>
    <x v="49"/>
    <x v="41"/>
    <x v="55"/>
    <x v="37"/>
    <x v="28"/>
    <x v="0"/>
    <x v="606"/>
    <x v="312"/>
    <x v="32"/>
    <x v="430"/>
    <x v="1168"/>
    <x v="0"/>
    <x v="108"/>
    <x v="17"/>
    <x v="681"/>
    <x v="245"/>
    <x v="1"/>
    <x v="14"/>
    <x v="28"/>
    <x v="1"/>
  </r>
  <r>
    <x v="503"/>
    <x v="1"/>
    <x v="275"/>
    <x v="106"/>
    <x v="3"/>
    <x v="6"/>
    <x v="66"/>
    <x v="55"/>
    <x v="37"/>
    <x v="28"/>
    <x v="0"/>
    <x v="329"/>
    <x v="194"/>
    <x v="25"/>
    <x v="272"/>
    <x v="746"/>
    <x v="0"/>
    <x v="108"/>
    <x v="18"/>
    <x v="474"/>
    <x v="222"/>
    <x v="1"/>
    <x v="15"/>
    <x v="29"/>
    <x v="1"/>
  </r>
  <r>
    <x v="506"/>
    <x v="1"/>
    <x v="276"/>
    <x v="107"/>
    <x v="3"/>
    <x v="59"/>
    <x v="75"/>
    <x v="55"/>
    <x v="37"/>
    <x v="28"/>
    <x v="0"/>
    <x v="246"/>
    <x v="129"/>
    <x v="25"/>
    <x v="255"/>
    <x v="668"/>
    <x v="0"/>
    <x v="108"/>
    <x v="18"/>
    <x v="462"/>
    <x v="198"/>
    <x v="1"/>
    <x v="15"/>
    <x v="29"/>
    <x v="1"/>
  </r>
  <r>
    <x v="509"/>
    <x v="1"/>
    <x v="277"/>
    <x v="108"/>
    <x v="3"/>
    <x v="49"/>
    <x v="41"/>
    <x v="55"/>
    <x v="37"/>
    <x v="28"/>
    <x v="0"/>
    <x v="583"/>
    <x v="312"/>
    <x v="32"/>
    <x v="414"/>
    <x v="1142"/>
    <x v="0"/>
    <x v="108"/>
    <x v="18"/>
    <x v="655"/>
    <x v="253"/>
    <x v="1"/>
    <x v="15"/>
    <x v="29"/>
    <x v="1"/>
  </r>
  <r>
    <x v="512"/>
    <x v="1"/>
    <x v="278"/>
    <x v="106"/>
    <x v="3"/>
    <x v="6"/>
    <x v="66"/>
    <x v="55"/>
    <x v="37"/>
    <x v="28"/>
    <x v="0"/>
    <x v="333"/>
    <x v="193"/>
    <x v="20"/>
    <x v="277"/>
    <x v="822"/>
    <x v="0"/>
    <x v="108"/>
    <x v="18"/>
    <x v="407"/>
    <x v="158"/>
    <x v="1"/>
    <x v="15"/>
    <x v="29"/>
    <x v="1"/>
  </r>
  <r>
    <x v="515"/>
    <x v="1"/>
    <x v="279"/>
    <x v="110"/>
    <x v="3"/>
    <x v="59"/>
    <x v="75"/>
    <x v="55"/>
    <x v="37"/>
    <x v="28"/>
    <x v="0"/>
    <x v="259"/>
    <x v="136"/>
    <x v="16"/>
    <x v="261"/>
    <x v="816"/>
    <x v="0"/>
    <x v="108"/>
    <x v="18"/>
    <x v="329"/>
    <x v="119"/>
    <x v="1"/>
    <x v="15"/>
    <x v="29"/>
    <x v="1"/>
  </r>
  <r>
    <x v="518"/>
    <x v="1"/>
    <x v="280"/>
    <x v="111"/>
    <x v="3"/>
    <x v="49"/>
    <x v="41"/>
    <x v="55"/>
    <x v="37"/>
    <x v="28"/>
    <x v="0"/>
    <x v="602"/>
    <x v="312"/>
    <x v="25"/>
    <x v="427"/>
    <x v="1175"/>
    <x v="0"/>
    <x v="108"/>
    <x v="18"/>
    <x v="608"/>
    <x v="204"/>
    <x v="1"/>
    <x v="15"/>
    <x v="29"/>
    <x v="1"/>
  </r>
  <r>
    <x v="521"/>
    <x v="1"/>
    <x v="281"/>
    <x v="112"/>
    <x v="3"/>
    <x v="20"/>
    <x v="51"/>
    <x v="55"/>
    <x v="37"/>
    <x v="28"/>
    <x v="0"/>
    <x v="338"/>
    <x v="190"/>
    <x v="12"/>
    <x v="285"/>
    <x v="995"/>
    <x v="0"/>
    <x v="108"/>
    <x v="18"/>
    <x v="245"/>
    <x v="82"/>
    <x v="1"/>
    <x v="15"/>
    <x v="29"/>
    <x v="1"/>
  </r>
  <r>
    <x v="524"/>
    <x v="1"/>
    <x v="282"/>
    <x v="113"/>
    <x v="3"/>
    <x v="9"/>
    <x v="33"/>
    <x v="55"/>
    <x v="37"/>
    <x v="28"/>
    <x v="0"/>
    <x v="235"/>
    <x v="90"/>
    <x v="16"/>
    <x v="280"/>
    <x v="893"/>
    <x v="0"/>
    <x v="108"/>
    <x v="18"/>
    <x v="334"/>
    <x v="140"/>
    <x v="1"/>
    <x v="15"/>
    <x v="29"/>
    <x v="1"/>
  </r>
  <r>
    <x v="527"/>
    <x v="1"/>
    <x v="283"/>
    <x v="114"/>
    <x v="3"/>
    <x v="23"/>
    <x v="61"/>
    <x v="55"/>
    <x v="37"/>
    <x v="28"/>
    <x v="0"/>
    <x v="295"/>
    <x v="149"/>
    <x v="13"/>
    <x v="284"/>
    <x v="963"/>
    <x v="0"/>
    <x v="108"/>
    <x v="18"/>
    <x v="275"/>
    <x v="100"/>
    <x v="1"/>
    <x v="15"/>
    <x v="29"/>
    <x v="1"/>
  </r>
  <r>
    <x v="530"/>
    <x v="1"/>
    <x v="284"/>
    <x v="115"/>
    <x v="3"/>
    <x v="35"/>
    <x v="12"/>
    <x v="55"/>
    <x v="37"/>
    <x v="28"/>
    <x v="0"/>
    <x v="315"/>
    <x v="163"/>
    <x v="14"/>
    <x v="290"/>
    <x v="958"/>
    <x v="0"/>
    <x v="108"/>
    <x v="18"/>
    <x v="313"/>
    <x v="113"/>
    <x v="1"/>
    <x v="15"/>
    <x v="29"/>
    <x v="1"/>
  </r>
  <r>
    <x v="533"/>
    <x v="2"/>
    <x v="286"/>
    <x v="116"/>
    <x v="3"/>
    <x v="20"/>
    <x v="51"/>
    <x v="55"/>
    <x v="37"/>
    <x v="28"/>
    <x v="0"/>
    <x v="333"/>
    <x v="188"/>
    <x v="20"/>
    <x v="282"/>
    <x v="847"/>
    <x v="0"/>
    <x v="108"/>
    <x v="18"/>
    <x v="411"/>
    <x v="178"/>
    <x v="1"/>
    <x v="15"/>
    <x v="29"/>
    <x v="1"/>
  </r>
  <r>
    <x v="536"/>
    <x v="1"/>
    <x v="288"/>
    <x v="117"/>
    <x v="3"/>
    <x v="9"/>
    <x v="33"/>
    <x v="55"/>
    <x v="37"/>
    <x v="28"/>
    <x v="0"/>
    <x v="578"/>
    <x v="88"/>
    <x v="16"/>
    <x v="584"/>
    <x v="1348"/>
    <x v="0"/>
    <x v="108"/>
    <x v="18"/>
    <x v="593"/>
    <x v="120"/>
    <x v="1"/>
    <x v="15"/>
    <x v="29"/>
    <x v="1"/>
  </r>
  <r>
    <x v="539"/>
    <x v="2"/>
    <x v="289"/>
    <x v="118"/>
    <x v="3"/>
    <x v="23"/>
    <x v="61"/>
    <x v="55"/>
    <x v="37"/>
    <x v="28"/>
    <x v="0"/>
    <x v="245"/>
    <x v="147"/>
    <x v="13"/>
    <x v="237"/>
    <x v="776"/>
    <x v="0"/>
    <x v="108"/>
    <x v="18"/>
    <x v="254"/>
    <x v="106"/>
    <x v="1"/>
    <x v="15"/>
    <x v="29"/>
    <x v="1"/>
  </r>
  <r>
    <x v="542"/>
    <x v="1"/>
    <x v="290"/>
    <x v="119"/>
    <x v="3"/>
    <x v="35"/>
    <x v="12"/>
    <x v="72"/>
    <x v="50"/>
    <x v="28"/>
    <x v="0"/>
    <x v="341"/>
    <x v="465"/>
    <x v="25"/>
    <x v="318"/>
    <x v="924"/>
    <x v="0"/>
    <x v="108"/>
    <x v="18"/>
    <x v="507"/>
    <x v="211"/>
    <x v="1"/>
    <x v="15"/>
    <x v="29"/>
    <x v="1"/>
  </r>
  <r>
    <x v="545"/>
    <x v="1"/>
    <x v="291"/>
    <x v="120"/>
    <x v="3"/>
    <x v="20"/>
    <x v="51"/>
    <x v="72"/>
    <x v="50"/>
    <x v="28"/>
    <x v="0"/>
    <x v="370"/>
    <x v="187"/>
    <x v="20"/>
    <x v="320"/>
    <x v="987"/>
    <x v="0"/>
    <x v="108"/>
    <x v="18"/>
    <x v="431"/>
    <x v="172"/>
    <x v="1"/>
    <x v="15"/>
    <x v="29"/>
    <x v="1"/>
  </r>
  <r>
    <x v="548"/>
    <x v="1"/>
    <x v="292"/>
    <x v="121"/>
    <x v="3"/>
    <x v="9"/>
    <x v="33"/>
    <x v="72"/>
    <x v="50"/>
    <x v="28"/>
    <x v="0"/>
    <x v="266"/>
    <x v="104"/>
    <x v="20"/>
    <x v="300"/>
    <x v="914"/>
    <x v="0"/>
    <x v="108"/>
    <x v="18"/>
    <x v="424"/>
    <x v="174"/>
    <x v="1"/>
    <x v="15"/>
    <x v="29"/>
    <x v="1"/>
  </r>
  <r>
    <x v="554"/>
    <x v="0"/>
    <x v="293"/>
    <x v="122"/>
    <x v="3"/>
    <x v="23"/>
    <x v="61"/>
    <x v="72"/>
    <x v="50"/>
    <x v="28"/>
    <x v="0"/>
    <x v="292"/>
    <x v="145"/>
    <x v="13"/>
    <x v="285"/>
    <x v="968"/>
    <x v="0"/>
    <x v="108"/>
    <x v="19"/>
    <x v="276"/>
    <x v="83"/>
    <x v="1"/>
    <x v="16"/>
    <x v="30"/>
    <x v="1"/>
  </r>
  <r>
    <x v="560"/>
    <x v="0"/>
    <x v="294"/>
    <x v="123"/>
    <x v="3"/>
    <x v="35"/>
    <x v="12"/>
    <x v="72"/>
    <x v="50"/>
    <x v="28"/>
    <x v="0"/>
    <x v="309"/>
    <x v="150"/>
    <x v="10"/>
    <x v="297"/>
    <x v="1045"/>
    <x v="0"/>
    <x v="108"/>
    <x v="19"/>
    <x v="218"/>
    <x v="52"/>
    <x v="1"/>
    <x v="16"/>
    <x v="30"/>
    <x v="1"/>
  </r>
  <r>
    <x v="551"/>
    <x v="0"/>
    <x v="295"/>
    <x v="124"/>
    <x v="3"/>
    <x v="20"/>
    <x v="51"/>
    <x v="72"/>
    <x v="50"/>
    <x v="28"/>
    <x v="0"/>
    <x v="333"/>
    <x v="185"/>
    <x v="10"/>
    <x v="285"/>
    <x v="1011"/>
    <x v="0"/>
    <x v="108"/>
    <x v="19"/>
    <x v="211"/>
    <x v="52"/>
    <x v="1"/>
    <x v="16"/>
    <x v="30"/>
    <x v="1"/>
  </r>
  <r>
    <x v="557"/>
    <x v="0"/>
    <x v="296"/>
    <x v="125"/>
    <x v="3"/>
    <x v="9"/>
    <x v="33"/>
    <x v="72"/>
    <x v="50"/>
    <x v="28"/>
    <x v="0"/>
    <x v="247"/>
    <x v="102"/>
    <x v="10"/>
    <x v="283"/>
    <x v="1009"/>
    <x v="0"/>
    <x v="108"/>
    <x v="19"/>
    <x v="209"/>
    <x v="52"/>
    <x v="1"/>
    <x v="16"/>
    <x v="30"/>
    <x v="1"/>
  </r>
  <r>
    <x v="563"/>
    <x v="0"/>
    <x v="297"/>
    <x v="126"/>
    <x v="3"/>
    <x v="18"/>
    <x v="18"/>
    <x v="68"/>
    <x v="46"/>
    <x v="28"/>
    <x v="0"/>
    <x v="244"/>
    <x v="121"/>
    <x v="10"/>
    <x v="260"/>
    <x v="927"/>
    <x v="0"/>
    <x v="108"/>
    <x v="19"/>
    <x v="189"/>
    <x v="74"/>
    <x v="1"/>
    <x v="16"/>
    <x v="30"/>
    <x v="1"/>
  </r>
  <r>
    <x v="566"/>
    <x v="0"/>
    <x v="298"/>
    <x v="127"/>
    <x v="3"/>
    <x v="6"/>
    <x v="66"/>
    <x v="68"/>
    <x v="46"/>
    <x v="28"/>
    <x v="0"/>
    <x v="300"/>
    <x v="195"/>
    <x v="11"/>
    <x v="242"/>
    <x v="851"/>
    <x v="0"/>
    <x v="108"/>
    <x v="19"/>
    <x v="198"/>
    <x v="81"/>
    <x v="1"/>
    <x v="16"/>
    <x v="30"/>
    <x v="1"/>
  </r>
  <r>
    <x v="569"/>
    <x v="2"/>
    <x v="299"/>
    <x v="128"/>
    <x v="3"/>
    <x v="59"/>
    <x v="75"/>
    <x v="68"/>
    <x v="46"/>
    <x v="28"/>
    <x v="0"/>
    <x v="236"/>
    <x v="124"/>
    <x v="10"/>
    <x v="247"/>
    <x v="878"/>
    <x v="0"/>
    <x v="108"/>
    <x v="19"/>
    <x v="187"/>
    <x v="52"/>
    <x v="1"/>
    <x v="16"/>
    <x v="30"/>
    <x v="1"/>
  </r>
  <r>
    <x v="575"/>
    <x v="2"/>
    <x v="300"/>
    <x v="129"/>
    <x v="3"/>
    <x v="18"/>
    <x v="18"/>
    <x v="68"/>
    <x v="46"/>
    <x v="28"/>
    <x v="0"/>
    <x v="246"/>
    <x v="116"/>
    <x v="13"/>
    <x v="268"/>
    <x v="904"/>
    <x v="0"/>
    <x v="108"/>
    <x v="19"/>
    <x v="263"/>
    <x v="105"/>
    <x v="1"/>
    <x v="16"/>
    <x v="30"/>
    <x v="1"/>
  </r>
  <r>
    <x v="572"/>
    <x v="2"/>
    <x v="301"/>
    <x v="130"/>
    <x v="3"/>
    <x v="6"/>
    <x v="66"/>
    <x v="68"/>
    <x v="46"/>
    <x v="28"/>
    <x v="0"/>
    <x v="317"/>
    <x v="194"/>
    <x v="8"/>
    <x v="260"/>
    <x v="979"/>
    <x v="0"/>
    <x v="108"/>
    <x v="19"/>
    <x v="117"/>
    <x v="43"/>
    <x v="1"/>
    <x v="16"/>
    <x v="30"/>
    <x v="1"/>
  </r>
  <r>
    <x v="578"/>
    <x v="2"/>
    <x v="302"/>
    <x v="131"/>
    <x v="3"/>
    <x v="59"/>
    <x v="75"/>
    <x v="68"/>
    <x v="46"/>
    <x v="28"/>
    <x v="0"/>
    <x v="276"/>
    <x v="121"/>
    <x v="5"/>
    <x v="293"/>
    <x v="1093"/>
    <x v="0"/>
    <x v="108"/>
    <x v="19"/>
    <x v="80"/>
    <x v="13"/>
    <x v="1"/>
    <x v="16"/>
    <x v="30"/>
    <x v="1"/>
  </r>
  <r>
    <x v="581"/>
    <x v="2"/>
    <x v="303"/>
    <x v="132"/>
    <x v="3"/>
    <x v="6"/>
    <x v="66"/>
    <x v="68"/>
    <x v="46"/>
    <x v="28"/>
    <x v="0"/>
    <x v="333"/>
    <x v="192"/>
    <x v="8"/>
    <x v="278"/>
    <x v="1034"/>
    <x v="0"/>
    <x v="108"/>
    <x v="19"/>
    <x v="129"/>
    <x v="39"/>
    <x v="1"/>
    <x v="16"/>
    <x v="30"/>
    <x v="1"/>
  </r>
  <r>
    <x v="584"/>
    <x v="2"/>
    <x v="304"/>
    <x v="133"/>
    <x v="3"/>
    <x v="18"/>
    <x v="18"/>
    <x v="68"/>
    <x v="46"/>
    <x v="28"/>
    <x v="0"/>
    <x v="246"/>
    <x v="114"/>
    <x v="10"/>
    <x v="270"/>
    <x v="966"/>
    <x v="0"/>
    <x v="108"/>
    <x v="19"/>
    <x v="200"/>
    <x v="72"/>
    <x v="1"/>
    <x v="16"/>
    <x v="30"/>
    <x v="1"/>
  </r>
  <r>
    <x v="587"/>
    <x v="2"/>
    <x v="305"/>
    <x v="134"/>
    <x v="3"/>
    <x v="59"/>
    <x v="75"/>
    <x v="68"/>
    <x v="46"/>
    <x v="28"/>
    <x v="0"/>
    <x v="254"/>
    <x v="121"/>
    <x v="9"/>
    <x v="271"/>
    <x v="997"/>
    <x v="0"/>
    <x v="108"/>
    <x v="19"/>
    <x v="160"/>
    <x v="51"/>
    <x v="1"/>
    <x v="16"/>
    <x v="30"/>
    <x v="1"/>
  </r>
  <r>
    <x v="590"/>
    <x v="2"/>
    <x v="306"/>
    <x v="135"/>
    <x v="3"/>
    <x v="6"/>
    <x v="66"/>
    <x v="68"/>
    <x v="46"/>
    <x v="28"/>
    <x v="0"/>
    <x v="321"/>
    <x v="191"/>
    <x v="10"/>
    <x v="267"/>
    <x v="953"/>
    <x v="0"/>
    <x v="108"/>
    <x v="19"/>
    <x v="195"/>
    <x v="52"/>
    <x v="1"/>
    <x v="16"/>
    <x v="30"/>
    <x v="1"/>
  </r>
  <r>
    <x v="593"/>
    <x v="2"/>
    <x v="307"/>
    <x v="136"/>
    <x v="3"/>
    <x v="18"/>
    <x v="18"/>
    <x v="68"/>
    <x v="46"/>
    <x v="28"/>
    <x v="0"/>
    <x v="233"/>
    <x v="113"/>
    <x v="10"/>
    <x v="252"/>
    <x v="895"/>
    <x v="0"/>
    <x v="108"/>
    <x v="20"/>
    <x v="188"/>
    <x v="75"/>
    <x v="1"/>
    <x v="17"/>
    <x v="31"/>
    <x v="1"/>
  </r>
  <r>
    <x v="596"/>
    <x v="2"/>
    <x v="308"/>
    <x v="137"/>
    <x v="3"/>
    <x v="59"/>
    <x v="75"/>
    <x v="68"/>
    <x v="46"/>
    <x v="28"/>
    <x v="0"/>
    <x v="243"/>
    <x v="134"/>
    <x v="10"/>
    <x v="246"/>
    <x v="873"/>
    <x v="0"/>
    <x v="108"/>
    <x v="20"/>
    <x v="186"/>
    <x v="76"/>
    <x v="1"/>
    <x v="17"/>
    <x v="31"/>
    <x v="1"/>
  </r>
  <r>
    <x v="599"/>
    <x v="2"/>
    <x v="309"/>
    <x v="138"/>
    <x v="3"/>
    <x v="6"/>
    <x v="66"/>
    <x v="68"/>
    <x v="46"/>
    <x v="28"/>
    <x v="0"/>
    <x v="328"/>
    <x v="191"/>
    <x v="5"/>
    <x v="274"/>
    <x v="1057"/>
    <x v="0"/>
    <x v="108"/>
    <x v="20"/>
    <x v="74"/>
    <x v="20"/>
    <x v="1"/>
    <x v="17"/>
    <x v="31"/>
    <x v="1"/>
  </r>
  <r>
    <x v="602"/>
    <x v="2"/>
    <x v="310"/>
    <x v="139"/>
    <x v="3"/>
    <x v="18"/>
    <x v="18"/>
    <x v="67"/>
    <x v="45"/>
    <x v="28"/>
    <x v="0"/>
    <x v="232"/>
    <x v="113"/>
    <x v="13"/>
    <x v="251"/>
    <x v="838"/>
    <x v="0"/>
    <x v="108"/>
    <x v="20"/>
    <x v="258"/>
    <x v="83"/>
    <x v="1"/>
    <x v="17"/>
    <x v="31"/>
    <x v="1"/>
  </r>
  <r>
    <x v="605"/>
    <x v="2"/>
    <x v="311"/>
    <x v="140"/>
    <x v="3"/>
    <x v="59"/>
    <x v="75"/>
    <x v="67"/>
    <x v="45"/>
    <x v="28"/>
    <x v="0"/>
    <x v="319"/>
    <x v="135"/>
    <x v="8"/>
    <x v="322"/>
    <x v="1111"/>
    <x v="0"/>
    <x v="108"/>
    <x v="20"/>
    <x v="148"/>
    <x v="35"/>
    <x v="1"/>
    <x v="17"/>
    <x v="31"/>
    <x v="1"/>
  </r>
  <r>
    <x v="608"/>
    <x v="0"/>
    <x v="312"/>
    <x v="141"/>
    <x v="3"/>
    <x v="23"/>
    <x v="61"/>
    <x v="67"/>
    <x v="45"/>
    <x v="28"/>
    <x v="0"/>
    <x v="304"/>
    <x v="143"/>
    <x v="8"/>
    <x v="299"/>
    <x v="1083"/>
    <x v="0"/>
    <x v="108"/>
    <x v="20"/>
    <x v="142"/>
    <x v="28"/>
    <x v="1"/>
    <x v="17"/>
    <x v="31"/>
    <x v="1"/>
  </r>
  <r>
    <x v="612"/>
    <x v="0"/>
    <x v="313"/>
    <x v="142"/>
    <x v="3"/>
    <x v="9"/>
    <x v="33"/>
    <x v="67"/>
    <x v="45"/>
    <x v="28"/>
    <x v="0"/>
    <x v="261"/>
    <x v="89"/>
    <x v="5"/>
    <x v="310"/>
    <x v="1118"/>
    <x v="0"/>
    <x v="108"/>
    <x v="20"/>
    <x v="82"/>
    <x v="18"/>
    <x v="1"/>
    <x v="17"/>
    <x v="31"/>
    <x v="1"/>
  </r>
  <r>
    <x v="615"/>
    <x v="2"/>
    <x v="314"/>
    <x v="143"/>
    <x v="3"/>
    <x v="20"/>
    <x v="51"/>
    <x v="67"/>
    <x v="45"/>
    <x v="28"/>
    <x v="0"/>
    <x v="371"/>
    <x v="183"/>
    <x v="10"/>
    <x v="325"/>
    <x v="1096"/>
    <x v="0"/>
    <x v="108"/>
    <x v="20"/>
    <x v="233"/>
    <x v="52"/>
    <x v="1"/>
    <x v="17"/>
    <x v="31"/>
    <x v="1"/>
  </r>
  <r>
    <x v="618"/>
    <x v="2"/>
    <x v="315"/>
    <x v="144"/>
    <x v="3"/>
    <x v="35"/>
    <x v="12"/>
    <x v="67"/>
    <x v="45"/>
    <x v="28"/>
    <x v="0"/>
    <x v="353"/>
    <x v="158"/>
    <x v="8"/>
    <x v="333"/>
    <x v="1130"/>
    <x v="0"/>
    <x v="108"/>
    <x v="20"/>
    <x v="151"/>
    <x v="28"/>
    <x v="1"/>
    <x v="17"/>
    <x v="31"/>
    <x v="1"/>
  </r>
  <r>
    <x v="621"/>
    <x v="2"/>
    <x v="316"/>
    <x v="145"/>
    <x v="3"/>
    <x v="23"/>
    <x v="61"/>
    <x v="67"/>
    <x v="45"/>
    <x v="28"/>
    <x v="0"/>
    <x v="351"/>
    <x v="149"/>
    <x v="8"/>
    <x v="340"/>
    <x v="1135"/>
    <x v="0"/>
    <x v="108"/>
    <x v="20"/>
    <x v="153"/>
    <x v="33"/>
    <x v="1"/>
    <x v="17"/>
    <x v="31"/>
    <x v="1"/>
  </r>
  <r>
    <x v="624"/>
    <x v="2"/>
    <x v="317"/>
    <x v="146"/>
    <x v="3"/>
    <x v="9"/>
    <x v="33"/>
    <x v="67"/>
    <x v="45"/>
    <x v="28"/>
    <x v="0"/>
    <x v="271"/>
    <x v="86"/>
    <x v="8"/>
    <x v="323"/>
    <x v="1113"/>
    <x v="0"/>
    <x v="108"/>
    <x v="20"/>
    <x v="149"/>
    <x v="28"/>
    <x v="1"/>
    <x v="17"/>
    <x v="31"/>
    <x v="1"/>
  </r>
  <r>
    <x v="627"/>
    <x v="2"/>
    <x v="318"/>
    <x v="147"/>
    <x v="3"/>
    <x v="20"/>
    <x v="51"/>
    <x v="67"/>
    <x v="45"/>
    <x v="28"/>
    <x v="0"/>
    <x v="350"/>
    <x v="182"/>
    <x v="10"/>
    <x v="305"/>
    <x v="1064"/>
    <x v="0"/>
    <x v="108"/>
    <x v="20"/>
    <x v="222"/>
    <x v="52"/>
    <x v="1"/>
    <x v="17"/>
    <x v="31"/>
    <x v="1"/>
  </r>
  <r>
    <x v="630"/>
    <x v="2"/>
    <x v="319"/>
    <x v="148"/>
    <x v="3"/>
    <x v="36"/>
    <x v="12"/>
    <x v="67"/>
    <x v="45"/>
    <x v="28"/>
    <x v="0"/>
    <x v="331"/>
    <x v="154"/>
    <x v="5"/>
    <x v="315"/>
    <x v="1125"/>
    <x v="0"/>
    <x v="108"/>
    <x v="20"/>
    <x v="83"/>
    <x v="13"/>
    <x v="1"/>
    <x v="17"/>
    <x v="31"/>
    <x v="1"/>
  </r>
  <r>
    <x v="633"/>
    <x v="0"/>
    <x v="320"/>
    <x v="149"/>
    <x v="3"/>
    <x v="23"/>
    <x v="61"/>
    <x v="67"/>
    <x v="45"/>
    <x v="28"/>
    <x v="0"/>
    <x v="303"/>
    <x v="148"/>
    <x v="8"/>
    <x v="293"/>
    <x v="1068"/>
    <x v="0"/>
    <x v="108"/>
    <x v="20"/>
    <x v="138"/>
    <x v="28"/>
    <x v="1"/>
    <x v="17"/>
    <x v="31"/>
    <x v="1"/>
  </r>
  <r>
    <x v="636"/>
    <x v="0"/>
    <x v="322"/>
    <x v="150"/>
    <x v="3"/>
    <x v="9"/>
    <x v="33"/>
    <x v="67"/>
    <x v="45"/>
    <x v="28"/>
    <x v="0"/>
    <x v="255"/>
    <x v="100"/>
    <x v="5"/>
    <x v="293"/>
    <x v="1093"/>
    <x v="0"/>
    <x v="108"/>
    <x v="20"/>
    <x v="80"/>
    <x v="13"/>
    <x v="1"/>
    <x v="17"/>
    <x v="31"/>
    <x v="1"/>
  </r>
  <r>
    <x v="639"/>
    <x v="0"/>
    <x v="323"/>
    <x v="151"/>
    <x v="3"/>
    <x v="20"/>
    <x v="51"/>
    <x v="67"/>
    <x v="45"/>
    <x v="28"/>
    <x v="0"/>
    <x v="337"/>
    <x v="187"/>
    <x v="8"/>
    <x v="287"/>
    <x v="1055"/>
    <x v="0"/>
    <x v="108"/>
    <x v="21"/>
    <x v="135"/>
    <x v="28"/>
    <x v="1"/>
    <x v="18"/>
    <x v="32"/>
    <x v="1"/>
  </r>
  <r>
    <x v="642"/>
    <x v="0"/>
    <x v="324"/>
    <x v="152"/>
    <x v="3"/>
    <x v="35"/>
    <x v="12"/>
    <x v="67"/>
    <x v="45"/>
    <x v="28"/>
    <x v="0"/>
    <x v="303"/>
    <x v="109"/>
    <x v="10"/>
    <x v="332"/>
    <x v="1107"/>
    <x v="0"/>
    <x v="108"/>
    <x v="21"/>
    <x v="237"/>
    <x v="62"/>
    <x v="1"/>
    <x v="18"/>
    <x v="32"/>
    <x v="1"/>
  </r>
  <r>
    <x v="645"/>
    <x v="1"/>
    <x v="325"/>
    <x v="153"/>
    <x v="3"/>
    <x v="23"/>
    <x v="61"/>
    <x v="47"/>
    <x v="33"/>
    <x v="28"/>
    <x v="0"/>
    <x v="317"/>
    <x v="139"/>
    <x v="65"/>
    <x v="316"/>
    <x v="499"/>
    <x v="0"/>
    <x v="108"/>
    <x v="21"/>
    <x v="1035"/>
    <x v="485"/>
    <x v="1"/>
    <x v="18"/>
    <x v="32"/>
    <x v="1"/>
  </r>
  <r>
    <x v="648"/>
    <x v="1"/>
    <x v="326"/>
    <x v="150"/>
    <x v="3"/>
    <x v="9"/>
    <x v="33"/>
    <x v="47"/>
    <x v="33"/>
    <x v="28"/>
    <x v="0"/>
    <x v="274"/>
    <x v="89"/>
    <x v="47"/>
    <x v="323"/>
    <x v="691"/>
    <x v="0"/>
    <x v="108"/>
    <x v="21"/>
    <x v="801"/>
    <x v="358"/>
    <x v="1"/>
    <x v="18"/>
    <x v="32"/>
    <x v="1"/>
  </r>
  <r>
    <x v="651"/>
    <x v="1"/>
    <x v="329"/>
    <x v="154"/>
    <x v="3"/>
    <x v="6"/>
    <x v="66"/>
    <x v="47"/>
    <x v="33"/>
    <x v="28"/>
    <x v="0"/>
    <x v="191"/>
    <x v="193"/>
    <x v="29"/>
    <x v="192"/>
    <x v="286"/>
    <x v="0"/>
    <x v="108"/>
    <x v="21"/>
    <x v="349"/>
    <x v="240"/>
    <x v="1"/>
    <x v="18"/>
    <x v="32"/>
    <x v="1"/>
  </r>
  <r>
    <x v="656"/>
    <x v="1"/>
    <x v="330"/>
    <x v="155"/>
    <x v="3"/>
    <x v="18"/>
    <x v="18"/>
    <x v="45"/>
    <x v="31"/>
    <x v="28"/>
    <x v="0"/>
    <x v="352"/>
    <x v="113"/>
    <x v="32"/>
    <x v="377"/>
    <x v="1052"/>
    <x v="0"/>
    <x v="108"/>
    <x v="21"/>
    <x v="619"/>
    <x v="245"/>
    <x v="1"/>
    <x v="18"/>
    <x v="32"/>
    <x v="1"/>
  </r>
  <r>
    <x v="659"/>
    <x v="1"/>
    <x v="331"/>
    <x v="156"/>
    <x v="3"/>
    <x v="6"/>
    <x v="66"/>
    <x v="45"/>
    <x v="31"/>
    <x v="28"/>
    <x v="0"/>
    <x v="394"/>
    <x v="193"/>
    <x v="20"/>
    <x v="338"/>
    <x v="1036"/>
    <x v="0"/>
    <x v="108"/>
    <x v="21"/>
    <x v="445"/>
    <x v="169"/>
    <x v="1"/>
    <x v="18"/>
    <x v="32"/>
    <x v="1"/>
  </r>
  <r>
    <x v="662"/>
    <x v="1"/>
    <x v="332"/>
    <x v="157"/>
    <x v="3"/>
    <x v="59"/>
    <x v="75"/>
    <x v="45"/>
    <x v="31"/>
    <x v="28"/>
    <x v="0"/>
    <x v="328"/>
    <x v="127"/>
    <x v="32"/>
    <x v="339"/>
    <x v="943"/>
    <x v="0"/>
    <x v="108"/>
    <x v="21"/>
    <x v="597"/>
    <x v="245"/>
    <x v="1"/>
    <x v="18"/>
    <x v="32"/>
    <x v="1"/>
  </r>
  <r>
    <x v="665"/>
    <x v="1"/>
    <x v="333"/>
    <x v="158"/>
    <x v="3"/>
    <x v="18"/>
    <x v="18"/>
    <x v="45"/>
    <x v="31"/>
    <x v="28"/>
    <x v="0"/>
    <x v="321"/>
    <x v="111"/>
    <x v="25"/>
    <x v="348"/>
    <x v="1017"/>
    <x v="0"/>
    <x v="108"/>
    <x v="21"/>
    <x v="522"/>
    <x v="208"/>
    <x v="1"/>
    <x v="18"/>
    <x v="32"/>
    <x v="1"/>
  </r>
  <r>
    <x v="668"/>
    <x v="1"/>
    <x v="334"/>
    <x v="111"/>
    <x v="3"/>
    <x v="49"/>
    <x v="41"/>
    <x v="45"/>
    <x v="31"/>
    <x v="28"/>
    <x v="0"/>
    <x v="660"/>
    <x v="328"/>
    <x v="37"/>
    <x v="502"/>
    <x v="1221"/>
    <x v="0"/>
    <x v="108"/>
    <x v="21"/>
    <x v="842"/>
    <x v="285"/>
    <x v="1"/>
    <x v="18"/>
    <x v="32"/>
    <x v="1"/>
  </r>
  <r>
    <x v="671"/>
    <x v="1"/>
    <x v="335"/>
    <x v="159"/>
    <x v="3"/>
    <x v="6"/>
    <x v="66"/>
    <x v="45"/>
    <x v="31"/>
    <x v="28"/>
    <x v="0"/>
    <x v="408"/>
    <x v="191"/>
    <x v="42"/>
    <x v="354"/>
    <x v="882"/>
    <x v="0"/>
    <x v="108"/>
    <x v="21"/>
    <x v="749"/>
    <x v="328"/>
    <x v="1"/>
    <x v="18"/>
    <x v="32"/>
    <x v="1"/>
  </r>
  <r>
    <x v="674"/>
    <x v="1"/>
    <x v="336"/>
    <x v="160"/>
    <x v="3"/>
    <x v="59"/>
    <x v="75"/>
    <x v="45"/>
    <x v="31"/>
    <x v="28"/>
    <x v="0"/>
    <x v="346"/>
    <x v="139"/>
    <x v="25"/>
    <x v="345"/>
    <x v="1012"/>
    <x v="0"/>
    <x v="108"/>
    <x v="22"/>
    <x v="519"/>
    <x v="198"/>
    <x v="1"/>
    <x v="19"/>
    <x v="33"/>
    <x v="1"/>
  </r>
  <r>
    <x v="677"/>
    <x v="1"/>
    <x v="337"/>
    <x v="161"/>
    <x v="3"/>
    <x v="18"/>
    <x v="18"/>
    <x v="45"/>
    <x v="31"/>
    <x v="28"/>
    <x v="0"/>
    <x v="309"/>
    <x v="110"/>
    <x v="32"/>
    <x v="337"/>
    <x v="936"/>
    <x v="0"/>
    <x v="108"/>
    <x v="22"/>
    <x v="596"/>
    <x v="245"/>
    <x v="1"/>
    <x v="19"/>
    <x v="33"/>
    <x v="1"/>
  </r>
  <r>
    <x v="680"/>
    <x v="1"/>
    <x v="338"/>
    <x v="162"/>
    <x v="3"/>
    <x v="49"/>
    <x v="41"/>
    <x v="45"/>
    <x v="31"/>
    <x v="28"/>
    <x v="0"/>
    <x v="660"/>
    <x v="327"/>
    <x v="20"/>
    <x v="503"/>
    <x v="1270"/>
    <x v="0"/>
    <x v="108"/>
    <x v="22"/>
    <x v="587"/>
    <x v="158"/>
    <x v="1"/>
    <x v="19"/>
    <x v="33"/>
    <x v="1"/>
  </r>
  <r>
    <x v="686"/>
    <x v="1"/>
    <x v="339"/>
    <x v="163"/>
    <x v="3"/>
    <x v="6"/>
    <x v="66"/>
    <x v="45"/>
    <x v="31"/>
    <x v="28"/>
    <x v="0"/>
    <x v="438"/>
    <x v="189"/>
    <x v="32"/>
    <x v="382"/>
    <x v="1074"/>
    <x v="0"/>
    <x v="108"/>
    <x v="22"/>
    <x v="626"/>
    <x v="254"/>
    <x v="1"/>
    <x v="19"/>
    <x v="33"/>
    <x v="1"/>
  </r>
  <r>
    <x v="683"/>
    <x v="1"/>
    <x v="343"/>
    <x v="164"/>
    <x v="3"/>
    <x v="59"/>
    <x v="75"/>
    <x v="45"/>
    <x v="31"/>
    <x v="28"/>
    <x v="0"/>
    <x v="79"/>
    <x v="137"/>
    <x v="32"/>
    <x v="10"/>
    <x v="16"/>
    <x v="0"/>
    <x v="108"/>
    <x v="22"/>
    <x v="19"/>
    <x v="245"/>
    <x v="1"/>
    <x v="19"/>
    <x v="33"/>
    <x v="1"/>
  </r>
  <r>
    <x v="693"/>
    <x v="1"/>
    <x v="346"/>
    <x v="165"/>
    <x v="3"/>
    <x v="20"/>
    <x v="51"/>
    <x v="45"/>
    <x v="31"/>
    <x v="28"/>
    <x v="0"/>
    <x v="223"/>
    <x v="184"/>
    <x v="25"/>
    <x v="216"/>
    <x v="428"/>
    <x v="0"/>
    <x v="108"/>
    <x v="22"/>
    <x v="405"/>
    <x v="227"/>
    <x v="1"/>
    <x v="19"/>
    <x v="33"/>
    <x v="1"/>
  </r>
  <r>
    <x v="696"/>
    <x v="1"/>
    <x v="347"/>
    <x v="166"/>
    <x v="3"/>
    <x v="9"/>
    <x v="33"/>
    <x v="45"/>
    <x v="31"/>
    <x v="28"/>
    <x v="0"/>
    <x v="362"/>
    <x v="87"/>
    <x v="37"/>
    <x v="398"/>
    <x v="1090"/>
    <x v="0"/>
    <x v="108"/>
    <x v="22"/>
    <x v="717"/>
    <x v="285"/>
    <x v="1"/>
    <x v="19"/>
    <x v="33"/>
    <x v="1"/>
  </r>
  <r>
    <x v="699"/>
    <x v="1"/>
    <x v="348"/>
    <x v="167"/>
    <x v="3"/>
    <x v="23"/>
    <x v="61"/>
    <x v="45"/>
    <x v="31"/>
    <x v="28"/>
    <x v="0"/>
    <x v="405"/>
    <x v="142"/>
    <x v="47"/>
    <x v="390"/>
    <x v="989"/>
    <x v="0"/>
    <x v="108"/>
    <x v="22"/>
    <x v="867"/>
    <x v="358"/>
    <x v="1"/>
    <x v="19"/>
    <x v="33"/>
    <x v="1"/>
  </r>
  <r>
    <x v="702"/>
    <x v="1"/>
    <x v="350"/>
    <x v="168"/>
    <x v="3"/>
    <x v="20"/>
    <x v="51"/>
    <x v="45"/>
    <x v="31"/>
    <x v="28"/>
    <x v="0"/>
    <x v="449"/>
    <x v="182"/>
    <x v="25"/>
    <x v="394"/>
    <x v="1123"/>
    <x v="0"/>
    <x v="108"/>
    <x v="22"/>
    <x v="565"/>
    <x v="205"/>
    <x v="1"/>
    <x v="19"/>
    <x v="33"/>
    <x v="1"/>
  </r>
  <r>
    <x v="705"/>
    <x v="1"/>
    <x v="351"/>
    <x v="169"/>
    <x v="3"/>
    <x v="9"/>
    <x v="33"/>
    <x v="45"/>
    <x v="31"/>
    <x v="28"/>
    <x v="0"/>
    <x v="356"/>
    <x v="87"/>
    <x v="68"/>
    <x v="395"/>
    <x v="683"/>
    <x v="0"/>
    <x v="108"/>
    <x v="22"/>
    <x v="1125"/>
    <x v="500"/>
    <x v="1"/>
    <x v="19"/>
    <x v="33"/>
    <x v="1"/>
  </r>
  <r>
    <x v="708"/>
    <x v="1"/>
    <x v="352"/>
    <x v="170"/>
    <x v="3"/>
    <x v="23"/>
    <x v="61"/>
    <x v="45"/>
    <x v="31"/>
    <x v="28"/>
    <x v="0"/>
    <x v="430"/>
    <x v="141"/>
    <x v="65"/>
    <x v="406"/>
    <x v="836"/>
    <x v="0"/>
    <x v="108"/>
    <x v="22"/>
    <x v="1105"/>
    <x v="479"/>
    <x v="1"/>
    <x v="19"/>
    <x v="33"/>
    <x v="1"/>
  </r>
  <r>
    <x v="711"/>
    <x v="1"/>
    <x v="354"/>
    <x v="171"/>
    <x v="3"/>
    <x v="20"/>
    <x v="51"/>
    <x v="45"/>
    <x v="31"/>
    <x v="28"/>
    <x v="0"/>
    <x v="445"/>
    <x v="188"/>
    <x v="68"/>
    <x v="387"/>
    <x v="651"/>
    <x v="0"/>
    <x v="108"/>
    <x v="22"/>
    <x v="1120"/>
    <x v="500"/>
    <x v="1"/>
    <x v="19"/>
    <x v="33"/>
    <x v="1"/>
  </r>
  <r>
    <x v="716"/>
    <x v="1"/>
    <x v="355"/>
    <x v="172"/>
    <x v="3"/>
    <x v="9"/>
    <x v="33"/>
    <x v="45"/>
    <x v="31"/>
    <x v="13"/>
    <x v="0"/>
    <x v="328"/>
    <x v="92"/>
    <x v="65"/>
    <x v="374"/>
    <x v="640"/>
    <x v="0"/>
    <x v="108"/>
    <x v="23"/>
    <x v="1070"/>
    <x v="481"/>
    <x v="1"/>
    <x v="20"/>
    <x v="34"/>
    <x v="1"/>
  </r>
  <r>
    <x v="721"/>
    <x v="1"/>
    <x v="357"/>
    <x v="173"/>
    <x v="3"/>
    <x v="23"/>
    <x v="61"/>
    <x v="47"/>
    <x v="33"/>
    <x v="13"/>
    <x v="0"/>
    <x v="351"/>
    <x v="147"/>
    <x v="68"/>
    <x v="342"/>
    <x v="518"/>
    <x v="0"/>
    <x v="108"/>
    <x v="23"/>
    <x v="1096"/>
    <x v="508"/>
    <x v="1"/>
    <x v="20"/>
    <x v="34"/>
    <x v="1"/>
  </r>
  <r>
    <x v="724"/>
    <x v="1"/>
    <x v="358"/>
    <x v="174"/>
    <x v="3"/>
    <x v="20"/>
    <x v="51"/>
    <x v="47"/>
    <x v="33"/>
    <x v="13"/>
    <x v="0"/>
    <x v="389"/>
    <x v="185"/>
    <x v="68"/>
    <x v="341"/>
    <x v="516"/>
    <x v="0"/>
    <x v="108"/>
    <x v="23"/>
    <x v="1093"/>
    <x v="500"/>
    <x v="1"/>
    <x v="20"/>
    <x v="34"/>
    <x v="1"/>
  </r>
  <r>
    <x v="727"/>
    <x v="1"/>
    <x v="359"/>
    <x v="175"/>
    <x v="3"/>
    <x v="9"/>
    <x v="33"/>
    <x v="47"/>
    <x v="33"/>
    <x v="13"/>
    <x v="0"/>
    <x v="300"/>
    <x v="92"/>
    <x v="51"/>
    <x v="346"/>
    <x v="721"/>
    <x v="0"/>
    <x v="108"/>
    <x v="23"/>
    <x v="896"/>
    <x v="398"/>
    <x v="1"/>
    <x v="20"/>
    <x v="34"/>
    <x v="1"/>
  </r>
  <r>
    <x v="730"/>
    <x v="1"/>
    <x v="360"/>
    <x v="176"/>
    <x v="3"/>
    <x v="59"/>
    <x v="75"/>
    <x v="47"/>
    <x v="33"/>
    <x v="13"/>
    <x v="0"/>
    <x v="357"/>
    <x v="136"/>
    <x v="65"/>
    <x v="359"/>
    <x v="599"/>
    <x v="0"/>
    <x v="108"/>
    <x v="23"/>
    <x v="1055"/>
    <x v="479"/>
    <x v="1"/>
    <x v="20"/>
    <x v="34"/>
    <x v="1"/>
  </r>
  <r>
    <x v="733"/>
    <x v="1"/>
    <x v="361"/>
    <x v="177"/>
    <x v="3"/>
    <x v="49"/>
    <x v="41"/>
    <x v="47"/>
    <x v="33"/>
    <x v="13"/>
    <x v="0"/>
    <x v="657"/>
    <x v="314"/>
    <x v="51"/>
    <x v="510"/>
    <x v="1188"/>
    <x v="0"/>
    <x v="108"/>
    <x v="23"/>
    <x v="1045"/>
    <x v="394"/>
    <x v="1"/>
    <x v="20"/>
    <x v="34"/>
    <x v="1"/>
  </r>
  <r>
    <x v="736"/>
    <x v="1"/>
    <x v="363"/>
    <x v="178"/>
    <x v="3"/>
    <x v="18"/>
    <x v="18"/>
    <x v="47"/>
    <x v="33"/>
    <x v="13"/>
    <x v="0"/>
    <x v="336"/>
    <x v="113"/>
    <x v="73"/>
    <x v="361"/>
    <x v="481"/>
    <x v="0"/>
    <x v="108"/>
    <x v="23"/>
    <x v="1169"/>
    <x v="537"/>
    <x v="1"/>
    <x v="20"/>
    <x v="34"/>
    <x v="1"/>
  </r>
  <r>
    <x v="739"/>
    <x v="1"/>
    <x v="364"/>
    <x v="179"/>
    <x v="3"/>
    <x v="59"/>
    <x v="75"/>
    <x v="47"/>
    <x v="33"/>
    <x v="13"/>
    <x v="0"/>
    <x v="420"/>
    <x v="135"/>
    <x v="62"/>
    <x v="403"/>
    <x v="884"/>
    <x v="0"/>
    <x v="108"/>
    <x v="23"/>
    <x v="1049"/>
    <x v="448"/>
    <x v="1"/>
    <x v="20"/>
    <x v="34"/>
    <x v="1"/>
  </r>
  <r>
    <x v="742"/>
    <x v="1"/>
    <x v="365"/>
    <x v="180"/>
    <x v="3"/>
    <x v="49"/>
    <x v="41"/>
    <x v="47"/>
    <x v="33"/>
    <x v="13"/>
    <x v="0"/>
    <x v="654"/>
    <x v="313"/>
    <x v="62"/>
    <x v="506"/>
    <x v="1156"/>
    <x v="0"/>
    <x v="108"/>
    <x v="23"/>
    <x v="1133"/>
    <x v="449"/>
    <x v="1"/>
    <x v="20"/>
    <x v="34"/>
    <x v="1"/>
  </r>
  <r>
    <x v="745"/>
    <x v="1"/>
    <x v="366"/>
    <x v="181"/>
    <x v="3"/>
    <x v="18"/>
    <x v="18"/>
    <x v="47"/>
    <x v="33"/>
    <x v="13"/>
    <x v="0"/>
    <x v="169"/>
    <x v="102"/>
    <x v="68"/>
    <x v="185"/>
    <x v="241"/>
    <x v="0"/>
    <x v="108"/>
    <x v="23"/>
    <x v="752"/>
    <x v="500"/>
    <x v="1"/>
    <x v="20"/>
    <x v="34"/>
    <x v="1"/>
  </r>
  <r>
    <x v="750"/>
    <x v="1"/>
    <x v="367"/>
    <x v="182"/>
    <x v="3"/>
    <x v="59"/>
    <x v="75"/>
    <x v="47"/>
    <x v="33"/>
    <x v="13"/>
    <x v="0"/>
    <x v="350"/>
    <x v="134"/>
    <x v="68"/>
    <x v="354"/>
    <x v="544"/>
    <x v="0"/>
    <x v="108"/>
    <x v="23"/>
    <x v="1103"/>
    <x v="506"/>
    <x v="1"/>
    <x v="20"/>
    <x v="34"/>
    <x v="1"/>
  </r>
  <r>
    <x v="753"/>
    <x v="1"/>
    <x v="368"/>
    <x v="183"/>
    <x v="3"/>
    <x v="49"/>
    <x v="41"/>
    <x v="47"/>
    <x v="33"/>
    <x v="13"/>
    <x v="0"/>
    <x v="650"/>
    <x v="311"/>
    <x v="57"/>
    <x v="502"/>
    <x v="1163"/>
    <x v="0"/>
    <x v="108"/>
    <x v="23"/>
    <x v="1090"/>
    <x v="422"/>
    <x v="1"/>
    <x v="20"/>
    <x v="34"/>
    <x v="1"/>
  </r>
  <r>
    <x v="756"/>
    <x v="1"/>
    <x v="369"/>
    <x v="184"/>
    <x v="3"/>
    <x v="18"/>
    <x v="18"/>
    <x v="45"/>
    <x v="31"/>
    <x v="13"/>
    <x v="0"/>
    <x v="312"/>
    <x v="111"/>
    <x v="42"/>
    <x v="339"/>
    <x v="824"/>
    <x v="0"/>
    <x v="108"/>
    <x v="23"/>
    <x v="738"/>
    <x v="319"/>
    <x v="1"/>
    <x v="20"/>
    <x v="34"/>
    <x v="1"/>
  </r>
  <r>
    <x v="759"/>
    <x v="1"/>
    <x v="370"/>
    <x v="185"/>
    <x v="3"/>
    <x v="59"/>
    <x v="75"/>
    <x v="45"/>
    <x v="31"/>
    <x v="13"/>
    <x v="0"/>
    <x v="338"/>
    <x v="142"/>
    <x v="47"/>
    <x v="334"/>
    <x v="745"/>
    <x v="0"/>
    <x v="108"/>
    <x v="23"/>
    <x v="816"/>
    <x v="368"/>
    <x v="1"/>
    <x v="20"/>
    <x v="34"/>
    <x v="1"/>
  </r>
  <r>
    <x v="762"/>
    <x v="1"/>
    <x v="371"/>
    <x v="186"/>
    <x v="3"/>
    <x v="49"/>
    <x v="41"/>
    <x v="45"/>
    <x v="31"/>
    <x v="13"/>
    <x v="0"/>
    <x v="638"/>
    <x v="311"/>
    <x v="57"/>
    <x v="487"/>
    <x v="1149"/>
    <x v="0"/>
    <x v="108"/>
    <x v="24"/>
    <x v="1079"/>
    <x v="424"/>
    <x v="1"/>
    <x v="21"/>
    <x v="35"/>
    <x v="1"/>
  </r>
  <r>
    <x v="765"/>
    <x v="1"/>
    <x v="372"/>
    <x v="187"/>
    <x v="3"/>
    <x v="18"/>
    <x v="18"/>
    <x v="45"/>
    <x v="31"/>
    <x v="13"/>
    <x v="0"/>
    <x v="298"/>
    <x v="104"/>
    <x v="47"/>
    <x v="332"/>
    <x v="737"/>
    <x v="0"/>
    <x v="108"/>
    <x v="24"/>
    <x v="813"/>
    <x v="369"/>
    <x v="1"/>
    <x v="21"/>
    <x v="35"/>
    <x v="1"/>
  </r>
  <r>
    <x v="770"/>
    <x v="1"/>
    <x v="374"/>
    <x v="188"/>
    <x v="3"/>
    <x v="59"/>
    <x v="75"/>
    <x v="46"/>
    <x v="32"/>
    <x v="28"/>
    <x v="0"/>
    <x v="377"/>
    <x v="142"/>
    <x v="57"/>
    <x v="373"/>
    <x v="763"/>
    <x v="0"/>
    <x v="108"/>
    <x v="24"/>
    <x v="976"/>
    <x v="422"/>
    <x v="1"/>
    <x v="21"/>
    <x v="35"/>
    <x v="1"/>
  </r>
  <r>
    <x v="775"/>
    <x v="1"/>
    <x v="377"/>
    <x v="189"/>
    <x v="3"/>
    <x v="49"/>
    <x v="41"/>
    <x v="44"/>
    <x v="30"/>
    <x v="28"/>
    <x v="0"/>
    <x v="670"/>
    <x v="300"/>
    <x v="51"/>
    <x v="530"/>
    <x v="1233"/>
    <x v="0"/>
    <x v="108"/>
    <x v="24"/>
    <x v="1076"/>
    <x v="390"/>
    <x v="1"/>
    <x v="21"/>
    <x v="35"/>
    <x v="1"/>
  </r>
  <r>
    <x v="780"/>
    <x v="1"/>
    <x v="380"/>
    <x v="190"/>
    <x v="3"/>
    <x v="23"/>
    <x v="61"/>
    <x v="9"/>
    <x v="30"/>
    <x v="28"/>
    <x v="0"/>
    <x v="370"/>
    <x v="143"/>
    <x v="65"/>
    <x v="365"/>
    <x v="610"/>
    <x v="0"/>
    <x v="108"/>
    <x v="24"/>
    <x v="1059"/>
    <x v="479"/>
    <x v="1"/>
    <x v="21"/>
    <x v="35"/>
    <x v="1"/>
  </r>
  <r>
    <x v="783"/>
    <x v="1"/>
    <x v="381"/>
    <x v="191"/>
    <x v="3"/>
    <x v="9"/>
    <x v="33"/>
    <x v="9"/>
    <x v="30"/>
    <x v="28"/>
    <x v="0"/>
    <x v="326"/>
    <x v="89"/>
    <x v="62"/>
    <x v="375"/>
    <x v="696"/>
    <x v="0"/>
    <x v="108"/>
    <x v="24"/>
    <x v="1026"/>
    <x v="448"/>
    <x v="1"/>
    <x v="21"/>
    <x v="35"/>
    <x v="1"/>
  </r>
  <r>
    <x v="791"/>
    <x v="1"/>
    <x v="383"/>
    <x v="192"/>
    <x v="3"/>
    <x v="106"/>
    <x v="20"/>
    <x v="9"/>
    <x v="30"/>
    <x v="28"/>
    <x v="0"/>
    <x v="386"/>
    <x v="127"/>
    <x v="57"/>
    <x v="388"/>
    <x v="861"/>
    <x v="0"/>
    <x v="108"/>
    <x v="24"/>
    <x v="989"/>
    <x v="422"/>
    <x v="1"/>
    <x v="21"/>
    <x v="35"/>
    <x v="1"/>
  </r>
  <r>
    <x v="794"/>
    <x v="1"/>
    <x v="385"/>
    <x v="191"/>
    <x v="3"/>
    <x v="9"/>
    <x v="33"/>
    <x v="9"/>
    <x v="30"/>
    <x v="28"/>
    <x v="0"/>
    <x v="332"/>
    <x v="87"/>
    <x v="42"/>
    <x v="381"/>
    <x v="984"/>
    <x v="0"/>
    <x v="108"/>
    <x v="24"/>
    <x v="769"/>
    <x v="319"/>
    <x v="1"/>
    <x v="21"/>
    <x v="35"/>
    <x v="1"/>
  </r>
  <r>
    <x v="799"/>
    <x v="1"/>
    <x v="387"/>
    <x v="193"/>
    <x v="3"/>
    <x v="106"/>
    <x v="20"/>
    <x v="9"/>
    <x v="30"/>
    <x v="28"/>
    <x v="0"/>
    <x v="357"/>
    <x v="126"/>
    <x v="49"/>
    <x v="369"/>
    <x v="850"/>
    <x v="0"/>
    <x v="108"/>
    <x v="24"/>
    <x v="879"/>
    <x v="387"/>
    <x v="1"/>
    <x v="21"/>
    <x v="35"/>
    <x v="1"/>
  </r>
  <r>
    <x v="802"/>
    <x v="1"/>
    <x v="388"/>
    <x v="194"/>
    <x v="3"/>
    <x v="9"/>
    <x v="33"/>
    <x v="9"/>
    <x v="30"/>
    <x v="28"/>
    <x v="0"/>
    <x v="327"/>
    <x v="85"/>
    <x v="44"/>
    <x v="379"/>
    <x v="946"/>
    <x v="0"/>
    <x v="108"/>
    <x v="24"/>
    <x v="817"/>
    <x v="350"/>
    <x v="1"/>
    <x v="21"/>
    <x v="35"/>
    <x v="1"/>
  </r>
  <r>
    <x v="807"/>
    <x v="1"/>
    <x v="390"/>
    <x v="195"/>
    <x v="3"/>
    <x v="106"/>
    <x v="20"/>
    <x v="9"/>
    <x v="30"/>
    <x v="28"/>
    <x v="0"/>
    <x v="296"/>
    <x v="125"/>
    <x v="47"/>
    <x v="309"/>
    <x v="648"/>
    <x v="0"/>
    <x v="108"/>
    <x v="24"/>
    <x v="787"/>
    <x v="358"/>
    <x v="1"/>
    <x v="21"/>
    <x v="35"/>
    <x v="1"/>
  </r>
  <r>
    <x v="810"/>
    <x v="1"/>
    <x v="391"/>
    <x v="196"/>
    <x v="3"/>
    <x v="9"/>
    <x v="33"/>
    <x v="9"/>
    <x v="30"/>
    <x v="28"/>
    <x v="0"/>
    <x v="453"/>
    <x v="91"/>
    <x v="47"/>
    <x v="444"/>
    <x v="1141"/>
    <x v="0"/>
    <x v="108"/>
    <x v="25"/>
    <x v="938"/>
    <x v="363"/>
    <x v="1"/>
    <x v="22"/>
    <x v="36"/>
    <x v="1"/>
  </r>
  <r>
    <x v="813"/>
    <x v="1"/>
    <x v="392"/>
    <x v="197"/>
    <x v="3"/>
    <x v="106"/>
    <x v="20"/>
    <x v="9"/>
    <x v="30"/>
    <x v="28"/>
    <x v="0"/>
    <x v="336"/>
    <x v="124"/>
    <x v="47"/>
    <x v="350"/>
    <x v="803"/>
    <x v="0"/>
    <x v="108"/>
    <x v="25"/>
    <x v="827"/>
    <x v="366"/>
    <x v="1"/>
    <x v="22"/>
    <x v="36"/>
    <x v="1"/>
  </r>
  <r>
    <x v="818"/>
    <x v="1"/>
    <x v="393"/>
    <x v="198"/>
    <x v="3"/>
    <x v="9"/>
    <x v="33"/>
    <x v="9"/>
    <x v="30"/>
    <x v="28"/>
    <x v="0"/>
    <x v="291"/>
    <x v="90"/>
    <x v="57"/>
    <x v="339"/>
    <x v="639"/>
    <x v="0"/>
    <x v="108"/>
    <x v="25"/>
    <x v="951"/>
    <x v="422"/>
    <x v="1"/>
    <x v="22"/>
    <x v="36"/>
    <x v="1"/>
  </r>
  <r>
    <x v="821"/>
    <x v="1"/>
    <x v="395"/>
    <x v="199"/>
    <x v="3"/>
    <x v="106"/>
    <x v="20"/>
    <x v="9"/>
    <x v="30"/>
    <x v="28"/>
    <x v="0"/>
    <x v="266"/>
    <x v="123"/>
    <x v="51"/>
    <x v="281"/>
    <x v="531"/>
    <x v="0"/>
    <x v="108"/>
    <x v="25"/>
    <x v="841"/>
    <x v="390"/>
    <x v="1"/>
    <x v="22"/>
    <x v="36"/>
    <x v="1"/>
  </r>
  <r>
    <x v="824"/>
    <x v="1"/>
    <x v="402"/>
    <x v="200"/>
    <x v="3"/>
    <x v="18"/>
    <x v="18"/>
    <x v="44"/>
    <x v="30"/>
    <x v="28"/>
    <x v="0"/>
    <x v="434"/>
    <x v="116"/>
    <x v="47"/>
    <x v="417"/>
    <x v="1100"/>
    <x v="0"/>
    <x v="108"/>
    <x v="25"/>
    <x v="907"/>
    <x v="364"/>
    <x v="1"/>
    <x v="22"/>
    <x v="36"/>
    <x v="1"/>
  </r>
  <r>
    <x v="827"/>
    <x v="1"/>
    <x v="403"/>
    <x v="201"/>
    <x v="3"/>
    <x v="106"/>
    <x v="20"/>
    <x v="44"/>
    <x v="30"/>
    <x v="28"/>
    <x v="0"/>
    <x v="202"/>
    <x v="132"/>
    <x v="62"/>
    <x v="211"/>
    <x v="308"/>
    <x v="0"/>
    <x v="108"/>
    <x v="25"/>
    <x v="837"/>
    <x v="466"/>
    <x v="1"/>
    <x v="22"/>
    <x v="36"/>
    <x v="1"/>
  </r>
  <r>
    <x v="830"/>
    <x v="1"/>
    <x v="405"/>
    <x v="202"/>
    <x v="3"/>
    <x v="18"/>
    <x v="18"/>
    <x v="44"/>
    <x v="30"/>
    <x v="28"/>
    <x v="0"/>
    <x v="125"/>
    <x v="103"/>
    <x v="51"/>
    <x v="133"/>
    <x v="203"/>
    <x v="0"/>
    <x v="108"/>
    <x v="25"/>
    <x v="399"/>
    <x v="410"/>
    <x v="1"/>
    <x v="22"/>
    <x v="36"/>
    <x v="1"/>
  </r>
  <r>
    <x v="833"/>
    <x v="1"/>
    <x v="406"/>
    <x v="0"/>
    <x v="10"/>
    <x v="6"/>
    <x v="66"/>
    <x v="39"/>
    <x v="26"/>
    <x v="13"/>
    <x v="0"/>
    <x v="360"/>
    <x v="186"/>
    <x v="32"/>
    <x v="311"/>
    <x v="842"/>
    <x v="0"/>
    <x v="108"/>
    <x v="26"/>
    <x v="583"/>
    <x v="245"/>
    <x v="1"/>
    <x v="23"/>
    <x v="37"/>
    <x v="1"/>
  </r>
  <r>
    <x v="836"/>
    <x v="1"/>
    <x v="407"/>
    <x v="1"/>
    <x v="10"/>
    <x v="61"/>
    <x v="86"/>
    <x v="39"/>
    <x v="26"/>
    <x v="13"/>
    <x v="0"/>
    <x v="765"/>
    <x v="385"/>
    <x v="51"/>
    <x v="552"/>
    <x v="1281"/>
    <x v="0"/>
    <x v="108"/>
    <x v="26"/>
    <x v="1113"/>
    <x v="392"/>
    <x v="1"/>
    <x v="23"/>
    <x v="37"/>
    <x v="1"/>
  </r>
  <r>
    <x v="839"/>
    <x v="1"/>
    <x v="408"/>
    <x v="2"/>
    <x v="10"/>
    <x v="9"/>
    <x v="33"/>
    <x v="39"/>
    <x v="26"/>
    <x v="13"/>
    <x v="0"/>
    <x v="226"/>
    <x v="80"/>
    <x v="47"/>
    <x v="273"/>
    <x v="548"/>
    <x v="0"/>
    <x v="108"/>
    <x v="26"/>
    <x v="756"/>
    <x v="358"/>
    <x v="1"/>
    <x v="23"/>
    <x v="37"/>
    <x v="1"/>
  </r>
  <r>
    <x v="842"/>
    <x v="1"/>
    <x v="409"/>
    <x v="3"/>
    <x v="10"/>
    <x v="94"/>
    <x v="25"/>
    <x v="39"/>
    <x v="26"/>
    <x v="13"/>
    <x v="0"/>
    <x v="641"/>
    <x v="342"/>
    <x v="37"/>
    <x v="444"/>
    <x v="1166"/>
    <x v="0"/>
    <x v="108"/>
    <x v="26"/>
    <x v="781"/>
    <x v="289"/>
    <x v="1"/>
    <x v="23"/>
    <x v="37"/>
    <x v="1"/>
  </r>
  <r>
    <x v="845"/>
    <x v="1"/>
    <x v="410"/>
    <x v="4"/>
    <x v="10"/>
    <x v="92"/>
    <x v="50"/>
    <x v="39"/>
    <x v="26"/>
    <x v="13"/>
    <x v="0"/>
    <x v="507"/>
    <x v="289"/>
    <x v="37"/>
    <x v="297"/>
    <x v="717"/>
    <x v="0"/>
    <x v="108"/>
    <x v="26"/>
    <x v="633"/>
    <x v="285"/>
    <x v="1"/>
    <x v="23"/>
    <x v="37"/>
    <x v="1"/>
  </r>
  <r>
    <x v="851"/>
    <x v="1"/>
    <x v="411"/>
    <x v="5"/>
    <x v="10"/>
    <x v="55"/>
    <x v="40"/>
    <x v="39"/>
    <x v="26"/>
    <x v="13"/>
    <x v="0"/>
    <x v="365"/>
    <x v="218"/>
    <x v="57"/>
    <x v="279"/>
    <x v="487"/>
    <x v="0"/>
    <x v="108"/>
    <x v="26"/>
    <x v="903"/>
    <x v="422"/>
    <x v="1"/>
    <x v="23"/>
    <x v="37"/>
    <x v="1"/>
  </r>
  <r>
    <x v="848"/>
    <x v="1"/>
    <x v="412"/>
    <x v="7"/>
    <x v="6"/>
    <x v="2"/>
    <x v="17"/>
    <x v="39"/>
    <x v="26"/>
    <x v="13"/>
    <x v="0"/>
    <x v="341"/>
    <x v="180"/>
    <x v="47"/>
    <x v="298"/>
    <x v="609"/>
    <x v="0"/>
    <x v="108"/>
    <x v="26"/>
    <x v="772"/>
    <x v="378"/>
    <x v="1"/>
    <x v="23"/>
    <x v="37"/>
    <x v="1"/>
  </r>
  <r>
    <x v="854"/>
    <x v="1"/>
    <x v="413"/>
    <x v="6"/>
    <x v="10"/>
    <x v="40"/>
    <x v="53"/>
    <x v="39"/>
    <x v="26"/>
    <x v="13"/>
    <x v="0"/>
    <x v="398"/>
    <x v="205"/>
    <x v="47"/>
    <x v="329"/>
    <x v="719"/>
    <x v="0"/>
    <x v="108"/>
    <x v="26"/>
    <x v="807"/>
    <x v="358"/>
    <x v="1"/>
    <x v="23"/>
    <x v="37"/>
    <x v="1"/>
  </r>
  <r>
    <x v="860"/>
    <x v="1"/>
    <x v="414"/>
    <x v="8"/>
    <x v="10"/>
    <x v="29"/>
    <x v="67"/>
    <x v="39"/>
    <x v="26"/>
    <x v="13"/>
    <x v="0"/>
    <x v="324"/>
    <x v="117"/>
    <x v="32"/>
    <x v="345"/>
    <x v="967"/>
    <x v="0"/>
    <x v="108"/>
    <x v="26"/>
    <x v="601"/>
    <x v="245"/>
    <x v="1"/>
    <x v="23"/>
    <x v="37"/>
    <x v="1"/>
  </r>
  <r>
    <x v="857"/>
    <x v="1"/>
    <x v="415"/>
    <x v="9"/>
    <x v="10"/>
    <x v="14"/>
    <x v="26"/>
    <x v="39"/>
    <x v="26"/>
    <x v="13"/>
    <x v="0"/>
    <x v="239"/>
    <x v="48"/>
    <x v="40"/>
    <x v="363"/>
    <x v="942"/>
    <x v="0"/>
    <x v="108"/>
    <x v="26"/>
    <x v="719"/>
    <x v="317"/>
    <x v="1"/>
    <x v="23"/>
    <x v="37"/>
    <x v="1"/>
  </r>
  <r>
    <x v="863"/>
    <x v="1"/>
    <x v="416"/>
    <x v="10"/>
    <x v="10"/>
    <x v="76"/>
    <x v="47"/>
    <x v="39"/>
    <x v="26"/>
    <x v="13"/>
    <x v="0"/>
    <x v="660"/>
    <x v="323"/>
    <x v="32"/>
    <x v="508"/>
    <x v="1247"/>
    <x v="0"/>
    <x v="108"/>
    <x v="26"/>
    <x v="753"/>
    <x v="249"/>
    <x v="1"/>
    <x v="23"/>
    <x v="37"/>
    <x v="1"/>
  </r>
  <r>
    <x v="866"/>
    <x v="1"/>
    <x v="417"/>
    <x v="11"/>
    <x v="10"/>
    <x v="6"/>
    <x v="66"/>
    <x v="39"/>
    <x v="26"/>
    <x v="13"/>
    <x v="0"/>
    <x v="426"/>
    <x v="201"/>
    <x v="25"/>
    <x v="362"/>
    <x v="1054"/>
    <x v="0"/>
    <x v="108"/>
    <x v="26"/>
    <x v="532"/>
    <x v="206"/>
    <x v="1"/>
    <x v="23"/>
    <x v="37"/>
    <x v="1"/>
  </r>
  <r>
    <x v="869"/>
    <x v="1"/>
    <x v="418"/>
    <x v="12"/>
    <x v="6"/>
    <x v="23"/>
    <x v="61"/>
    <x v="39"/>
    <x v="26"/>
    <x v="13"/>
    <x v="0"/>
    <x v="357"/>
    <x v="139"/>
    <x v="20"/>
    <x v="356"/>
    <x v="1078"/>
    <x v="0"/>
    <x v="108"/>
    <x v="26"/>
    <x v="452"/>
    <x v="167"/>
    <x v="1"/>
    <x v="23"/>
    <x v="37"/>
    <x v="1"/>
  </r>
  <r>
    <x v="872"/>
    <x v="1"/>
    <x v="419"/>
    <x v="13"/>
    <x v="6"/>
    <x v="59"/>
    <x v="75"/>
    <x v="39"/>
    <x v="26"/>
    <x v="13"/>
    <x v="0"/>
    <x v="356"/>
    <x v="126"/>
    <x v="16"/>
    <x v="368"/>
    <x v="1112"/>
    <x v="0"/>
    <x v="108"/>
    <x v="26"/>
    <x v="378"/>
    <x v="130"/>
    <x v="1"/>
    <x v="23"/>
    <x v="37"/>
    <x v="1"/>
  </r>
  <r>
    <x v="875"/>
    <x v="1"/>
    <x v="420"/>
    <x v="14"/>
    <x v="10"/>
    <x v="94"/>
    <x v="25"/>
    <x v="39"/>
    <x v="26"/>
    <x v="13"/>
    <x v="0"/>
    <x v="679"/>
    <x v="337"/>
    <x v="16"/>
    <x v="520"/>
    <x v="1297"/>
    <x v="0"/>
    <x v="108"/>
    <x v="26"/>
    <x v="510"/>
    <x v="121"/>
    <x v="1"/>
    <x v="23"/>
    <x v="37"/>
    <x v="1"/>
  </r>
  <r>
    <x v="878"/>
    <x v="1"/>
    <x v="421"/>
    <x v="15"/>
    <x v="10"/>
    <x v="92"/>
    <x v="50"/>
    <x v="39"/>
    <x v="26"/>
    <x v="13"/>
    <x v="0"/>
    <x v="619"/>
    <x v="285"/>
    <x v="20"/>
    <x v="484"/>
    <x v="1244"/>
    <x v="0"/>
    <x v="108"/>
    <x v="27"/>
    <x v="568"/>
    <x v="163"/>
    <x v="1"/>
    <x v="24"/>
    <x v="38"/>
    <x v="1"/>
  </r>
  <r>
    <x v="881"/>
    <x v="1"/>
    <x v="422"/>
    <x v="16"/>
    <x v="10"/>
    <x v="9"/>
    <x v="33"/>
    <x v="39"/>
    <x v="26"/>
    <x v="13"/>
    <x v="0"/>
    <x v="465"/>
    <x v="80"/>
    <x v="13"/>
    <x v="475"/>
    <x v="1266"/>
    <x v="0"/>
    <x v="108"/>
    <x v="27"/>
    <x v="379"/>
    <x v="83"/>
    <x v="1"/>
    <x v="24"/>
    <x v="38"/>
    <x v="1"/>
  </r>
  <r>
    <x v="884"/>
    <x v="1"/>
    <x v="424"/>
    <x v="17"/>
    <x v="10"/>
    <x v="61"/>
    <x v="86"/>
    <x v="39"/>
    <x v="26"/>
    <x v="13"/>
    <x v="0"/>
    <x v="782"/>
    <x v="375"/>
    <x v="37"/>
    <x v="591"/>
    <x v="1328"/>
    <x v="0"/>
    <x v="108"/>
    <x v="27"/>
    <x v="969"/>
    <x v="286"/>
    <x v="1"/>
    <x v="24"/>
    <x v="38"/>
    <x v="1"/>
  </r>
  <r>
    <x v="887"/>
    <x v="1"/>
    <x v="425"/>
    <x v="18"/>
    <x v="10"/>
    <x v="55"/>
    <x v="40"/>
    <x v="39"/>
    <x v="26"/>
    <x v="13"/>
    <x v="0"/>
    <x v="538"/>
    <x v="213"/>
    <x v="32"/>
    <x v="471"/>
    <x v="1203"/>
    <x v="0"/>
    <x v="108"/>
    <x v="27"/>
    <x v="721"/>
    <x v="252"/>
    <x v="1"/>
    <x v="24"/>
    <x v="38"/>
    <x v="1"/>
  </r>
  <r>
    <x v="890"/>
    <x v="1"/>
    <x v="426"/>
    <x v="19"/>
    <x v="10"/>
    <x v="14"/>
    <x v="26"/>
    <x v="37"/>
    <x v="24"/>
    <x v="13"/>
    <x v="0"/>
    <x v="212"/>
    <x v="61"/>
    <x v="13"/>
    <x v="279"/>
    <x v="945"/>
    <x v="0"/>
    <x v="108"/>
    <x v="27"/>
    <x v="269"/>
    <x v="83"/>
    <x v="1"/>
    <x v="24"/>
    <x v="38"/>
    <x v="1"/>
  </r>
  <r>
    <x v="895"/>
    <x v="1"/>
    <x v="427"/>
    <x v="20"/>
    <x v="10"/>
    <x v="40"/>
    <x v="53"/>
    <x v="37"/>
    <x v="24"/>
    <x v="13"/>
    <x v="0"/>
    <x v="534"/>
    <x v="205"/>
    <x v="20"/>
    <x v="473"/>
    <x v="1235"/>
    <x v="0"/>
    <x v="108"/>
    <x v="27"/>
    <x v="554"/>
    <x v="158"/>
    <x v="1"/>
    <x v="24"/>
    <x v="38"/>
    <x v="1"/>
  </r>
  <r>
    <x v="893"/>
    <x v="1"/>
    <x v="428"/>
    <x v="21"/>
    <x v="10"/>
    <x v="76"/>
    <x v="47"/>
    <x v="37"/>
    <x v="24"/>
    <x v="13"/>
    <x v="0"/>
    <x v="707"/>
    <x v="313"/>
    <x v="20"/>
    <x v="586"/>
    <x v="1341"/>
    <x v="0"/>
    <x v="108"/>
    <x v="27"/>
    <x v="678"/>
    <x v="158"/>
    <x v="1"/>
    <x v="24"/>
    <x v="38"/>
    <x v="1"/>
  </r>
  <r>
    <x v="897"/>
    <x v="1"/>
    <x v="430"/>
    <x v="22"/>
    <x v="10"/>
    <x v="29"/>
    <x v="67"/>
    <x v="37"/>
    <x v="24"/>
    <x v="13"/>
    <x v="0"/>
    <x v="491"/>
    <x v="116"/>
    <x v="16"/>
    <x v="479"/>
    <x v="1259"/>
    <x v="0"/>
    <x v="108"/>
    <x v="27"/>
    <x v="471"/>
    <x v="119"/>
    <x v="1"/>
    <x v="24"/>
    <x v="38"/>
    <x v="1"/>
  </r>
  <r>
    <x v="899"/>
    <x v="1"/>
    <x v="431"/>
    <x v="24"/>
    <x v="6"/>
    <x v="53"/>
    <x v="78"/>
    <x v="37"/>
    <x v="24"/>
    <x v="13"/>
    <x v="0"/>
    <x v="513"/>
    <x v="123"/>
    <x v="16"/>
    <x v="504"/>
    <x v="1279"/>
    <x v="0"/>
    <x v="108"/>
    <x v="27"/>
    <x v="492"/>
    <x v="119"/>
    <x v="1"/>
    <x v="24"/>
    <x v="38"/>
    <x v="1"/>
  </r>
  <r>
    <x v="901"/>
    <x v="1"/>
    <x v="432"/>
    <x v="23"/>
    <x v="10"/>
    <x v="91"/>
    <x v="37"/>
    <x v="37"/>
    <x v="24"/>
    <x v="13"/>
    <x v="0"/>
    <x v="526"/>
    <x v="140"/>
    <x v="16"/>
    <x v="514"/>
    <x v="1290"/>
    <x v="0"/>
    <x v="108"/>
    <x v="27"/>
    <x v="503"/>
    <x v="122"/>
    <x v="1"/>
    <x v="24"/>
    <x v="38"/>
    <x v="1"/>
  </r>
  <r>
    <x v="903"/>
    <x v="1"/>
    <x v="433"/>
    <x v="26"/>
    <x v="10"/>
    <x v="61"/>
    <x v="46"/>
    <x v="37"/>
    <x v="24"/>
    <x v="13"/>
    <x v="0"/>
    <x v="786"/>
    <x v="384"/>
    <x v="20"/>
    <x v="599"/>
    <x v="1359"/>
    <x v="0"/>
    <x v="108"/>
    <x v="27"/>
    <x v="704"/>
    <x v="159"/>
    <x v="1"/>
    <x v="24"/>
    <x v="38"/>
    <x v="1"/>
  </r>
  <r>
    <x v="905"/>
    <x v="1"/>
    <x v="434"/>
    <x v="27"/>
    <x v="10"/>
    <x v="59"/>
    <x v="75"/>
    <x v="37"/>
    <x v="24"/>
    <x v="13"/>
    <x v="0"/>
    <x v="501"/>
    <x v="135"/>
    <x v="25"/>
    <x v="478"/>
    <x v="1222"/>
    <x v="0"/>
    <x v="108"/>
    <x v="28"/>
    <x v="638"/>
    <x v="201"/>
    <x v="1"/>
    <x v="25"/>
    <x v="39"/>
    <x v="1"/>
  </r>
  <r>
    <x v="908"/>
    <x v="1"/>
    <x v="435"/>
    <x v="28"/>
    <x v="10"/>
    <x v="6"/>
    <x v="66"/>
    <x v="37"/>
    <x v="24"/>
    <x v="13"/>
    <x v="0"/>
    <x v="536"/>
    <x v="191"/>
    <x v="20"/>
    <x v="492"/>
    <x v="1256"/>
    <x v="0"/>
    <x v="108"/>
    <x v="28"/>
    <x v="576"/>
    <x v="158"/>
    <x v="1"/>
    <x v="25"/>
    <x v="39"/>
    <x v="1"/>
  </r>
  <r>
    <x v="921"/>
    <x v="1"/>
    <x v="436"/>
    <x v="528"/>
    <x v="10"/>
    <x v="94"/>
    <x v="25"/>
    <x v="37"/>
    <x v="24"/>
    <x v="13"/>
    <x v="0"/>
    <x v="716"/>
    <x v="370"/>
    <x v="127"/>
    <x v="523"/>
    <x v="1394"/>
    <x v="0"/>
    <x v="108"/>
    <x v="28"/>
    <x v="1361"/>
    <x v="673"/>
    <x v="1"/>
    <x v="25"/>
    <x v="39"/>
    <x v="1"/>
  </r>
  <r>
    <x v="911"/>
    <x v="1"/>
    <x v="437"/>
    <x v="29"/>
    <x v="10"/>
    <x v="9"/>
    <x v="33"/>
    <x v="37"/>
    <x v="24"/>
    <x v="13"/>
    <x v="0"/>
    <x v="473"/>
    <x v="84"/>
    <x v="20"/>
    <x v="482"/>
    <x v="1242"/>
    <x v="0"/>
    <x v="108"/>
    <x v="28"/>
    <x v="566"/>
    <x v="164"/>
    <x v="1"/>
    <x v="25"/>
    <x v="39"/>
    <x v="1"/>
  </r>
  <r>
    <x v="914"/>
    <x v="1"/>
    <x v="438"/>
    <x v="30"/>
    <x v="10"/>
    <x v="55"/>
    <x v="40"/>
    <x v="37"/>
    <x v="24"/>
    <x v="13"/>
    <x v="0"/>
    <x v="540"/>
    <x v="220"/>
    <x v="32"/>
    <x v="466"/>
    <x v="1196"/>
    <x v="0"/>
    <x v="108"/>
    <x v="28"/>
    <x v="716"/>
    <x v="245"/>
    <x v="1"/>
    <x v="25"/>
    <x v="39"/>
    <x v="1"/>
  </r>
  <r>
    <x v="916"/>
    <x v="2"/>
    <x v="439"/>
    <x v="31"/>
    <x v="10"/>
    <x v="14"/>
    <x v="26"/>
    <x v="37"/>
    <x v="24"/>
    <x v="13"/>
    <x v="0"/>
    <x v="402"/>
    <x v="55"/>
    <x v="16"/>
    <x v="458"/>
    <x v="1236"/>
    <x v="0"/>
    <x v="108"/>
    <x v="28"/>
    <x v="457"/>
    <x v="125"/>
    <x v="1"/>
    <x v="25"/>
    <x v="39"/>
    <x v="1"/>
  </r>
  <r>
    <x v="918"/>
    <x v="1"/>
    <x v="440"/>
    <x v="32"/>
    <x v="10"/>
    <x v="23"/>
    <x v="61"/>
    <x v="37"/>
    <x v="24"/>
    <x v="13"/>
    <x v="0"/>
    <x v="493"/>
    <x v="142"/>
    <x v="25"/>
    <x v="461"/>
    <x v="1209"/>
    <x v="0"/>
    <x v="108"/>
    <x v="28"/>
    <x v="629"/>
    <x v="202"/>
    <x v="1"/>
    <x v="25"/>
    <x v="39"/>
    <x v="1"/>
  </r>
  <r>
    <x v="923"/>
    <x v="1"/>
    <x v="441"/>
    <x v="33"/>
    <x v="10"/>
    <x v="92"/>
    <x v="50"/>
    <x v="37"/>
    <x v="24"/>
    <x v="13"/>
    <x v="0"/>
    <x v="626"/>
    <x v="289"/>
    <x v="13"/>
    <x v="486"/>
    <x v="1271"/>
    <x v="0"/>
    <x v="108"/>
    <x v="28"/>
    <x v="387"/>
    <x v="83"/>
    <x v="1"/>
    <x v="25"/>
    <x v="39"/>
    <x v="1"/>
  </r>
  <r>
    <x v="925"/>
    <x v="1"/>
    <x v="442"/>
    <x v="34"/>
    <x v="10"/>
    <x v="76"/>
    <x v="47"/>
    <x v="37"/>
    <x v="24"/>
    <x v="13"/>
    <x v="0"/>
    <x v="712"/>
    <x v="330"/>
    <x v="13"/>
    <x v="592"/>
    <x v="1363"/>
    <x v="0"/>
    <x v="108"/>
    <x v="28"/>
    <x v="501"/>
    <x v="83"/>
    <x v="1"/>
    <x v="25"/>
    <x v="39"/>
    <x v="1"/>
  </r>
  <r>
    <x v="928"/>
    <x v="1"/>
    <x v="443"/>
    <x v="35"/>
    <x v="10"/>
    <x v="53"/>
    <x v="78"/>
    <x v="37"/>
    <x v="24"/>
    <x v="13"/>
    <x v="0"/>
    <x v="521"/>
    <x v="122"/>
    <x v="13"/>
    <x v="516"/>
    <x v="1302"/>
    <x v="0"/>
    <x v="108"/>
    <x v="28"/>
    <x v="416"/>
    <x v="85"/>
    <x v="1"/>
    <x v="25"/>
    <x v="39"/>
    <x v="1"/>
  </r>
  <r>
    <x v="931"/>
    <x v="1"/>
    <x v="444"/>
    <x v="36"/>
    <x v="10"/>
    <x v="55"/>
    <x v="40"/>
    <x v="37"/>
    <x v="24"/>
    <x v="13"/>
    <x v="0"/>
    <x v="412"/>
    <x v="210"/>
    <x v="25"/>
    <x v="335"/>
    <x v="985"/>
    <x v="0"/>
    <x v="108"/>
    <x v="28"/>
    <x v="515"/>
    <x v="198"/>
    <x v="1"/>
    <x v="25"/>
    <x v="39"/>
    <x v="1"/>
  </r>
  <r>
    <x v="934"/>
    <x v="2"/>
    <x v="446"/>
    <x v="20"/>
    <x v="10"/>
    <x v="40"/>
    <x v="53"/>
    <x v="37"/>
    <x v="24"/>
    <x v="13"/>
    <x v="0"/>
    <x v="561"/>
    <x v="206"/>
    <x v="12"/>
    <x v="522"/>
    <x v="1306"/>
    <x v="0"/>
    <x v="108"/>
    <x v="28"/>
    <x v="363"/>
    <x v="82"/>
    <x v="1"/>
    <x v="25"/>
    <x v="39"/>
    <x v="1"/>
  </r>
  <r>
    <x v="937"/>
    <x v="1"/>
    <x v="447"/>
    <x v="38"/>
    <x v="10"/>
    <x v="91"/>
    <x v="37"/>
    <x v="37"/>
    <x v="24"/>
    <x v="13"/>
    <x v="0"/>
    <x v="529"/>
    <x v="142"/>
    <x v="16"/>
    <x v="515"/>
    <x v="1291"/>
    <x v="0"/>
    <x v="108"/>
    <x v="28"/>
    <x v="504"/>
    <x v="119"/>
    <x v="1"/>
    <x v="25"/>
    <x v="39"/>
    <x v="1"/>
  </r>
  <r>
    <x v="940"/>
    <x v="2"/>
    <x v="448"/>
    <x v="39"/>
    <x v="10"/>
    <x v="14"/>
    <x v="26"/>
    <x v="37"/>
    <x v="24"/>
    <x v="13"/>
    <x v="0"/>
    <x v="495"/>
    <x v="49"/>
    <x v="13"/>
    <x v="533"/>
    <x v="1314"/>
    <x v="0"/>
    <x v="108"/>
    <x v="28"/>
    <x v="437"/>
    <x v="83"/>
    <x v="1"/>
    <x v="25"/>
    <x v="39"/>
    <x v="1"/>
  </r>
  <r>
    <x v="943"/>
    <x v="1"/>
    <x v="449"/>
    <x v="40"/>
    <x v="6"/>
    <x v="23"/>
    <x v="61"/>
    <x v="37"/>
    <x v="24"/>
    <x v="13"/>
    <x v="0"/>
    <x v="639"/>
    <x v="170"/>
    <x v="16"/>
    <x v="598"/>
    <x v="1365"/>
    <x v="0"/>
    <x v="108"/>
    <x v="29"/>
    <x v="610"/>
    <x v="119"/>
    <x v="1"/>
    <x v="26"/>
    <x v="40"/>
    <x v="1"/>
  </r>
  <r>
    <x v="958"/>
    <x v="2"/>
    <x v="450"/>
    <x v="41"/>
    <x v="10"/>
    <x v="29"/>
    <x v="67"/>
    <x v="36"/>
    <x v="23"/>
    <x v="13"/>
    <x v="0"/>
    <x v="490"/>
    <x v="131"/>
    <x v="10"/>
    <x v="463"/>
    <x v="1269"/>
    <x v="0"/>
    <x v="108"/>
    <x v="29"/>
    <x v="302"/>
    <x v="57"/>
    <x v="1"/>
    <x v="26"/>
    <x v="40"/>
    <x v="1"/>
  </r>
  <r>
    <x v="961"/>
    <x v="2"/>
    <x v="451"/>
    <x v="42"/>
    <x v="10"/>
    <x v="9"/>
    <x v="33"/>
    <x v="37"/>
    <x v="24"/>
    <x v="13"/>
    <x v="0"/>
    <x v="472"/>
    <x v="97"/>
    <x v="13"/>
    <x v="469"/>
    <x v="1264"/>
    <x v="0"/>
    <x v="108"/>
    <x v="29"/>
    <x v="375"/>
    <x v="89"/>
    <x v="1"/>
    <x v="26"/>
    <x v="40"/>
    <x v="1"/>
  </r>
  <r>
    <x v="964"/>
    <x v="2"/>
    <x v="452"/>
    <x v="43"/>
    <x v="10"/>
    <x v="49"/>
    <x v="41"/>
    <x v="37"/>
    <x v="24"/>
    <x v="13"/>
    <x v="0"/>
    <x v="705"/>
    <x v="328"/>
    <x v="13"/>
    <x v="572"/>
    <x v="1347"/>
    <x v="0"/>
    <x v="108"/>
    <x v="29"/>
    <x v="478"/>
    <x v="83"/>
    <x v="1"/>
    <x v="26"/>
    <x v="40"/>
    <x v="1"/>
  </r>
  <r>
    <x v="967"/>
    <x v="2"/>
    <x v="453"/>
    <x v="44"/>
    <x v="10"/>
    <x v="6"/>
    <x v="66"/>
    <x v="37"/>
    <x v="24"/>
    <x v="13"/>
    <x v="0"/>
    <x v="528"/>
    <x v="208"/>
    <x v="8"/>
    <x v="464"/>
    <x v="1278"/>
    <x v="0"/>
    <x v="108"/>
    <x v="29"/>
    <x v="230"/>
    <x v="28"/>
    <x v="1"/>
    <x v="26"/>
    <x v="40"/>
    <x v="1"/>
  </r>
  <r>
    <x v="970"/>
    <x v="2"/>
    <x v="454"/>
    <x v="45"/>
    <x v="10"/>
    <x v="23"/>
    <x v="61"/>
    <x v="37"/>
    <x v="24"/>
    <x v="13"/>
    <x v="0"/>
    <x v="597"/>
    <x v="173"/>
    <x v="16"/>
    <x v="553"/>
    <x v="1333"/>
    <x v="0"/>
    <x v="108"/>
    <x v="30"/>
    <x v="571"/>
    <x v="119"/>
    <x v="1"/>
    <x v="27"/>
    <x v="41"/>
    <x v="1"/>
  </r>
  <r>
    <x v="973"/>
    <x v="2"/>
    <x v="455"/>
    <x v="46"/>
    <x v="10"/>
    <x v="59"/>
    <x v="75"/>
    <x v="37"/>
    <x v="24"/>
    <x v="13"/>
    <x v="0"/>
    <x v="636"/>
    <x v="133"/>
    <x v="10"/>
    <x v="603"/>
    <x v="1377"/>
    <x v="0"/>
    <x v="108"/>
    <x v="30"/>
    <x v="422"/>
    <x v="53"/>
    <x v="1"/>
    <x v="27"/>
    <x v="41"/>
    <x v="1"/>
  </r>
  <r>
    <x v="976"/>
    <x v="1"/>
    <x v="456"/>
    <x v="47"/>
    <x v="10"/>
    <x v="14"/>
    <x v="26"/>
    <x v="38"/>
    <x v="25"/>
    <x v="23"/>
    <x v="0"/>
    <x v="416"/>
    <x v="51"/>
    <x v="47"/>
    <x v="476"/>
    <x v="1165"/>
    <x v="0"/>
    <x v="108"/>
    <x v="30"/>
    <x v="964"/>
    <x v="360"/>
    <x v="1"/>
    <x v="27"/>
    <x v="41"/>
    <x v="1"/>
  </r>
  <r>
    <x v="979"/>
    <x v="1"/>
    <x v="457"/>
    <x v="48"/>
    <x v="10"/>
    <x v="40"/>
    <x v="53"/>
    <x v="38"/>
    <x v="25"/>
    <x v="32"/>
    <x v="0"/>
    <x v="539"/>
    <x v="216"/>
    <x v="83"/>
    <x v="470"/>
    <x v="748"/>
    <x v="0"/>
    <x v="108"/>
    <x v="30"/>
    <x v="1273"/>
    <x v="582"/>
    <x v="1"/>
    <x v="27"/>
    <x v="41"/>
    <x v="1"/>
  </r>
  <r>
    <x v="982"/>
    <x v="1"/>
    <x v="460"/>
    <x v="49"/>
    <x v="10"/>
    <x v="61"/>
    <x v="86"/>
    <x v="38"/>
    <x v="25"/>
    <x v="23"/>
    <x v="0"/>
    <x v="787"/>
    <x v="377"/>
    <x v="51"/>
    <x v="602"/>
    <x v="1322"/>
    <x v="0"/>
    <x v="108"/>
    <x v="30"/>
    <x v="1151"/>
    <x v="390"/>
    <x v="1"/>
    <x v="27"/>
    <x v="41"/>
    <x v="1"/>
  </r>
  <r>
    <x v="985"/>
    <x v="0"/>
    <x v="461"/>
    <x v="50"/>
    <x v="10"/>
    <x v="92"/>
    <x v="50"/>
    <x v="36"/>
    <x v="23"/>
    <x v="13"/>
    <x v="0"/>
    <x v="589"/>
    <x v="286"/>
    <x v="8"/>
    <x v="439"/>
    <x v="1263"/>
    <x v="0"/>
    <x v="108"/>
    <x v="30"/>
    <x v="215"/>
    <x v="32"/>
    <x v="1"/>
    <x v="27"/>
    <x v="41"/>
    <x v="1"/>
  </r>
  <r>
    <x v="988"/>
    <x v="0"/>
    <x v="462"/>
    <x v="51"/>
    <x v="10"/>
    <x v="55"/>
    <x v="40"/>
    <x v="36"/>
    <x v="23"/>
    <x v="13"/>
    <x v="0"/>
    <x v="530"/>
    <x v="224"/>
    <x v="5"/>
    <x v="449"/>
    <x v="1277"/>
    <x v="0"/>
    <x v="108"/>
    <x v="30"/>
    <x v="124"/>
    <x v="13"/>
    <x v="1"/>
    <x v="27"/>
    <x v="41"/>
    <x v="1"/>
  </r>
  <r>
    <x v="990"/>
    <x v="2"/>
    <x v="463"/>
    <x v="52"/>
    <x v="10"/>
    <x v="74"/>
    <x v="57"/>
    <x v="36"/>
    <x v="23"/>
    <x v="13"/>
    <x v="0"/>
    <x v="722"/>
    <x v="355"/>
    <x v="5"/>
    <x v="564"/>
    <x v="1368"/>
    <x v="0"/>
    <x v="108"/>
    <x v="30"/>
    <x v="193"/>
    <x v="13"/>
    <x v="1"/>
    <x v="27"/>
    <x v="41"/>
    <x v="1"/>
  </r>
  <r>
    <x v="992"/>
    <x v="0"/>
    <x v="465"/>
    <x v="53"/>
    <x v="10"/>
    <x v="94"/>
    <x v="25"/>
    <x v="36"/>
    <x v="23"/>
    <x v="13"/>
    <x v="0"/>
    <x v="709"/>
    <x v="344"/>
    <x v="10"/>
    <x v="559"/>
    <x v="1346"/>
    <x v="0"/>
    <x v="108"/>
    <x v="30"/>
    <x v="368"/>
    <x v="52"/>
    <x v="1"/>
    <x v="27"/>
    <x v="41"/>
    <x v="1"/>
  </r>
  <r>
    <x v="995"/>
    <x v="0"/>
    <x v="466"/>
    <x v="54"/>
    <x v="10"/>
    <x v="6"/>
    <x v="66"/>
    <x v="36"/>
    <x v="23"/>
    <x v="13"/>
    <x v="0"/>
    <x v="612"/>
    <x v="194"/>
    <x v="3"/>
    <x v="554"/>
    <x v="1369"/>
    <x v="0"/>
    <x v="108"/>
    <x v="30"/>
    <x v="97"/>
    <x v="7"/>
    <x v="1"/>
    <x v="27"/>
    <x v="41"/>
    <x v="1"/>
  </r>
  <r>
    <x v="997"/>
    <x v="0"/>
    <x v="467"/>
    <x v="56"/>
    <x v="10"/>
    <x v="49"/>
    <x v="41"/>
    <x v="36"/>
    <x v="23"/>
    <x v="13"/>
    <x v="0"/>
    <x v="729"/>
    <x v="313"/>
    <x v="5"/>
    <x v="605"/>
    <x v="1391"/>
    <x v="0"/>
    <x v="108"/>
    <x v="31"/>
    <x v="253"/>
    <x v="14"/>
    <x v="1"/>
    <x v="28"/>
    <x v="42"/>
    <x v="1"/>
  </r>
  <r>
    <x v="999"/>
    <x v="0"/>
    <x v="468"/>
    <x v="55"/>
    <x v="10"/>
    <x v="91"/>
    <x v="37"/>
    <x v="36"/>
    <x v="23"/>
    <x v="13"/>
    <x v="0"/>
    <x v="575"/>
    <x v="148"/>
    <x v="3"/>
    <x v="544"/>
    <x v="1361"/>
    <x v="0"/>
    <x v="108"/>
    <x v="31"/>
    <x v="91"/>
    <x v="9"/>
    <x v="1"/>
    <x v="28"/>
    <x v="42"/>
    <x v="1"/>
  </r>
  <r>
    <x v="1001"/>
    <x v="0"/>
    <x v="469"/>
    <x v="57"/>
    <x v="10"/>
    <x v="9"/>
    <x v="33"/>
    <x v="36"/>
    <x v="23"/>
    <x v="13"/>
    <x v="0"/>
    <x v="562"/>
    <x v="103"/>
    <x v="3"/>
    <x v="552"/>
    <x v="1367"/>
    <x v="0"/>
    <x v="108"/>
    <x v="31"/>
    <x v="96"/>
    <x v="8"/>
    <x v="1"/>
    <x v="28"/>
    <x v="42"/>
    <x v="1"/>
  </r>
  <r>
    <x v="1003"/>
    <x v="0"/>
    <x v="470"/>
    <x v="58"/>
    <x v="10"/>
    <x v="29"/>
    <x v="67"/>
    <x v="36"/>
    <x v="23"/>
    <x v="13"/>
    <x v="0"/>
    <x v="565"/>
    <x v="125"/>
    <x v="5"/>
    <x v="546"/>
    <x v="1356"/>
    <x v="0"/>
    <x v="108"/>
    <x v="31"/>
    <x v="181"/>
    <x v="13"/>
    <x v="1"/>
    <x v="28"/>
    <x v="42"/>
    <x v="1"/>
  </r>
  <r>
    <x v="1005"/>
    <x v="0"/>
    <x v="471"/>
    <x v="59"/>
    <x v="10"/>
    <x v="59"/>
    <x v="75"/>
    <x v="36"/>
    <x v="23"/>
    <x v="13"/>
    <x v="0"/>
    <x v="569"/>
    <x v="121"/>
    <x v="3"/>
    <x v="551"/>
    <x v="1366"/>
    <x v="0"/>
    <x v="108"/>
    <x v="31"/>
    <x v="94"/>
    <x v="4"/>
    <x v="1"/>
    <x v="28"/>
    <x v="42"/>
    <x v="1"/>
  </r>
  <r>
    <x v="1007"/>
    <x v="0"/>
    <x v="472"/>
    <x v="60"/>
    <x v="10"/>
    <x v="55"/>
    <x v="40"/>
    <x v="36"/>
    <x v="23"/>
    <x v="13"/>
    <x v="0"/>
    <x v="620"/>
    <x v="217"/>
    <x v="5"/>
    <x v="547"/>
    <x v="1357"/>
    <x v="0"/>
    <x v="108"/>
    <x v="31"/>
    <x v="183"/>
    <x v="13"/>
    <x v="1"/>
    <x v="28"/>
    <x v="42"/>
    <x v="1"/>
  </r>
  <r>
    <x v="1010"/>
    <x v="0"/>
    <x v="475"/>
    <x v="61"/>
    <x v="10"/>
    <x v="61"/>
    <x v="86"/>
    <x v="36"/>
    <x v="23"/>
    <x v="13"/>
    <x v="0"/>
    <x v="773"/>
    <x v="396"/>
    <x v="8"/>
    <x v="558"/>
    <x v="1355"/>
    <x v="0"/>
    <x v="108"/>
    <x v="31"/>
    <x v="284"/>
    <x v="28"/>
    <x v="1"/>
    <x v="28"/>
    <x v="42"/>
    <x v="1"/>
  </r>
  <r>
    <x v="1012"/>
    <x v="0"/>
    <x v="478"/>
    <x v="62"/>
    <x v="10"/>
    <x v="92"/>
    <x v="50"/>
    <x v="36"/>
    <x v="23"/>
    <x v="13"/>
    <x v="0"/>
    <x v="687"/>
    <x v="281"/>
    <x v="8"/>
    <x v="555"/>
    <x v="1351"/>
    <x v="0"/>
    <x v="108"/>
    <x v="31"/>
    <x v="282"/>
    <x v="28"/>
    <x v="1"/>
    <x v="28"/>
    <x v="42"/>
    <x v="1"/>
  </r>
  <r>
    <x v="1014"/>
    <x v="0"/>
    <x v="479"/>
    <x v="63"/>
    <x v="10"/>
    <x v="94"/>
    <x v="25"/>
    <x v="36"/>
    <x v="23"/>
    <x v="13"/>
    <x v="0"/>
    <x v="750"/>
    <x v="338"/>
    <x v="13"/>
    <x v="606"/>
    <x v="1387"/>
    <x v="0"/>
    <x v="108"/>
    <x v="31"/>
    <x v="584"/>
    <x v="84"/>
    <x v="1"/>
    <x v="28"/>
    <x v="42"/>
    <x v="1"/>
  </r>
  <r>
    <x v="1040"/>
    <x v="0"/>
    <x v="480"/>
    <x v="64"/>
    <x v="10"/>
    <x v="74"/>
    <x v="57"/>
    <x v="36"/>
    <x v="23"/>
    <x v="13"/>
    <x v="0"/>
    <x v="764"/>
    <x v="460"/>
    <x v="5"/>
    <x v="209"/>
    <x v="524"/>
    <x v="0"/>
    <x v="108"/>
    <x v="32"/>
    <x v="47"/>
    <x v="25"/>
    <x v="1"/>
    <x v="29"/>
    <x v="43"/>
    <x v="1"/>
  </r>
  <r>
    <x v="1017"/>
    <x v="0"/>
    <x v="481"/>
    <x v="65"/>
    <x v="10"/>
    <x v="23"/>
    <x v="61"/>
    <x v="36"/>
    <x v="23"/>
    <x v="13"/>
    <x v="0"/>
    <x v="590"/>
    <x v="153"/>
    <x v="3"/>
    <x v="560"/>
    <x v="1370"/>
    <x v="0"/>
    <x v="108"/>
    <x v="31"/>
    <x v="99"/>
    <x v="6"/>
    <x v="1"/>
    <x v="28"/>
    <x v="42"/>
    <x v="1"/>
  </r>
  <r>
    <x v="1019"/>
    <x v="0"/>
    <x v="482"/>
    <x v="66"/>
    <x v="10"/>
    <x v="54"/>
    <x v="74"/>
    <x v="36"/>
    <x v="23"/>
    <x v="13"/>
    <x v="0"/>
    <x v="644"/>
    <x v="233"/>
    <x v="8"/>
    <x v="570"/>
    <x v="1364"/>
    <x v="0"/>
    <x v="108"/>
    <x v="31"/>
    <x v="295"/>
    <x v="28"/>
    <x v="1"/>
    <x v="28"/>
    <x v="42"/>
    <x v="1"/>
  </r>
  <r>
    <x v="1021"/>
    <x v="0"/>
    <x v="484"/>
    <x v="67"/>
    <x v="10"/>
    <x v="95"/>
    <x v="10"/>
    <x v="36"/>
    <x v="23"/>
    <x v="4"/>
    <x v="0"/>
    <x v="572"/>
    <x v="125"/>
    <x v="3"/>
    <x v="552"/>
    <x v="1367"/>
    <x v="0"/>
    <x v="108"/>
    <x v="31"/>
    <x v="96"/>
    <x v="8"/>
    <x v="1"/>
    <x v="28"/>
    <x v="42"/>
    <x v="1"/>
  </r>
  <r>
    <x v="1023"/>
    <x v="0"/>
    <x v="485"/>
    <x v="68"/>
    <x v="10"/>
    <x v="76"/>
    <x v="47"/>
    <x v="36"/>
    <x v="23"/>
    <x v="13"/>
    <x v="0"/>
    <x v="745"/>
    <x v="325"/>
    <x v="8"/>
    <x v="608"/>
    <x v="1392"/>
    <x v="0"/>
    <x v="108"/>
    <x v="31"/>
    <x v="361"/>
    <x v="28"/>
    <x v="1"/>
    <x v="28"/>
    <x v="42"/>
    <x v="1"/>
  </r>
  <r>
    <x v="1025"/>
    <x v="0"/>
    <x v="486"/>
    <x v="69"/>
    <x v="10"/>
    <x v="6"/>
    <x v="66"/>
    <x v="36"/>
    <x v="23"/>
    <x v="13"/>
    <x v="0"/>
    <x v="625"/>
    <x v="190"/>
    <x v="5"/>
    <x v="575"/>
    <x v="1371"/>
    <x v="0"/>
    <x v="108"/>
    <x v="31"/>
    <x v="202"/>
    <x v="15"/>
    <x v="1"/>
    <x v="28"/>
    <x v="42"/>
    <x v="1"/>
  </r>
  <r>
    <x v="1027"/>
    <x v="1"/>
    <x v="487"/>
    <x v="70"/>
    <x v="10"/>
    <x v="49"/>
    <x v="41"/>
    <x v="38"/>
    <x v="25"/>
    <x v="23"/>
    <x v="0"/>
    <x v="629"/>
    <x v="311"/>
    <x v="20"/>
    <x v="466"/>
    <x v="1229"/>
    <x v="0"/>
    <x v="108"/>
    <x v="32"/>
    <x v="545"/>
    <x v="158"/>
    <x v="1"/>
    <x v="29"/>
    <x v="43"/>
    <x v="1"/>
  </r>
  <r>
    <x v="1029"/>
    <x v="1"/>
    <x v="488"/>
    <x v="71"/>
    <x v="10"/>
    <x v="9"/>
    <x v="33"/>
    <x v="38"/>
    <x v="25"/>
    <x v="23"/>
    <x v="0"/>
    <x v="250"/>
    <x v="104"/>
    <x v="25"/>
    <x v="284"/>
    <x v="791"/>
    <x v="0"/>
    <x v="108"/>
    <x v="32"/>
    <x v="480"/>
    <x v="218"/>
    <x v="1"/>
    <x v="29"/>
    <x v="43"/>
    <x v="1"/>
  </r>
  <r>
    <x v="1031"/>
    <x v="1"/>
    <x v="489"/>
    <x v="72"/>
    <x v="10"/>
    <x v="61"/>
    <x v="86"/>
    <x v="38"/>
    <x v="25"/>
    <x v="23"/>
    <x v="0"/>
    <x v="767"/>
    <x v="380"/>
    <x v="32"/>
    <x v="561"/>
    <x v="1315"/>
    <x v="0"/>
    <x v="108"/>
    <x v="32"/>
    <x v="856"/>
    <x v="248"/>
    <x v="1"/>
    <x v="29"/>
    <x v="43"/>
    <x v="1"/>
  </r>
  <r>
    <x v="1033"/>
    <x v="1"/>
    <x v="490"/>
    <x v="73"/>
    <x v="10"/>
    <x v="91"/>
    <x v="37"/>
    <x v="38"/>
    <x v="25"/>
    <x v="23"/>
    <x v="0"/>
    <x v="330"/>
    <x v="148"/>
    <x v="16"/>
    <x v="320"/>
    <x v="1027"/>
    <x v="0"/>
    <x v="108"/>
    <x v="32"/>
    <x v="354"/>
    <x v="133"/>
    <x v="1"/>
    <x v="29"/>
    <x v="43"/>
    <x v="1"/>
  </r>
  <r>
    <x v="1035"/>
    <x v="1"/>
    <x v="492"/>
    <x v="74"/>
    <x v="10"/>
    <x v="80"/>
    <x v="35"/>
    <x v="38"/>
    <x v="25"/>
    <x v="23"/>
    <x v="0"/>
    <x v="505"/>
    <x v="158"/>
    <x v="20"/>
    <x v="464"/>
    <x v="1225"/>
    <x v="0"/>
    <x v="108"/>
    <x v="32"/>
    <x v="543"/>
    <x v="158"/>
    <x v="1"/>
    <x v="29"/>
    <x v="43"/>
    <x v="1"/>
  </r>
  <r>
    <x v="1037"/>
    <x v="1"/>
    <x v="493"/>
    <x v="75"/>
    <x v="10"/>
    <x v="94"/>
    <x v="25"/>
    <x v="38"/>
    <x v="25"/>
    <x v="13"/>
    <x v="0"/>
    <x v="717"/>
    <x v="343"/>
    <x v="20"/>
    <x v="587"/>
    <x v="1342"/>
    <x v="0"/>
    <x v="108"/>
    <x v="32"/>
    <x v="680"/>
    <x v="158"/>
    <x v="1"/>
    <x v="29"/>
    <x v="43"/>
    <x v="1"/>
  </r>
  <r>
    <x v="1105"/>
    <x v="0"/>
    <x v="495"/>
    <x v="553"/>
    <x v="10"/>
    <x v="74"/>
    <x v="57"/>
    <x v="36"/>
    <x v="23"/>
    <x v="13"/>
    <x v="0"/>
    <x v="85"/>
    <x v="43"/>
    <x v="129"/>
    <x v="128"/>
    <x v="246"/>
    <x v="0"/>
    <x v="108"/>
    <x v="32"/>
    <x v="0"/>
    <x v="0"/>
    <x v="1"/>
    <x v="29"/>
    <x v="43"/>
    <x v="1"/>
  </r>
  <r>
    <x v="1045"/>
    <x v="1"/>
    <x v="496"/>
    <x v="76"/>
    <x v="10"/>
    <x v="92"/>
    <x v="50"/>
    <x v="38"/>
    <x v="25"/>
    <x v="23"/>
    <x v="0"/>
    <x v="633"/>
    <x v="289"/>
    <x v="25"/>
    <x v="497"/>
    <x v="1248"/>
    <x v="0"/>
    <x v="108"/>
    <x v="32"/>
    <x v="651"/>
    <x v="200"/>
    <x v="1"/>
    <x v="29"/>
    <x v="43"/>
    <x v="1"/>
  </r>
  <r>
    <x v="1048"/>
    <x v="1"/>
    <x v="498"/>
    <x v="77"/>
    <x v="10"/>
    <x v="76"/>
    <x v="47"/>
    <x v="38"/>
    <x v="25"/>
    <x v="23"/>
    <x v="0"/>
    <x v="711"/>
    <x v="329"/>
    <x v="20"/>
    <x v="590"/>
    <x v="1344"/>
    <x v="0"/>
    <x v="108"/>
    <x v="32"/>
    <x v="684"/>
    <x v="158"/>
    <x v="1"/>
    <x v="29"/>
    <x v="43"/>
    <x v="1"/>
  </r>
  <r>
    <x v="1051"/>
    <x v="2"/>
    <x v="499"/>
    <x v="78"/>
    <x v="10"/>
    <x v="14"/>
    <x v="26"/>
    <x v="38"/>
    <x v="25"/>
    <x v="23"/>
    <x v="0"/>
    <x v="417"/>
    <x v="47"/>
    <x v="13"/>
    <x v="487"/>
    <x v="1272"/>
    <x v="0"/>
    <x v="108"/>
    <x v="32"/>
    <x v="389"/>
    <x v="87"/>
    <x v="1"/>
    <x v="29"/>
    <x v="43"/>
    <x v="1"/>
  </r>
  <r>
    <x v="1054"/>
    <x v="2"/>
    <x v="500"/>
    <x v="79"/>
    <x v="10"/>
    <x v="55"/>
    <x v="40"/>
    <x v="38"/>
    <x v="25"/>
    <x v="23"/>
    <x v="0"/>
    <x v="545"/>
    <x v="221"/>
    <x v="16"/>
    <x v="476"/>
    <x v="1254"/>
    <x v="0"/>
    <x v="108"/>
    <x v="32"/>
    <x v="470"/>
    <x v="123"/>
    <x v="1"/>
    <x v="29"/>
    <x v="43"/>
    <x v="1"/>
  </r>
  <r>
    <x v="1057"/>
    <x v="2"/>
    <x v="501"/>
    <x v="80"/>
    <x v="10"/>
    <x v="61"/>
    <x v="85"/>
    <x v="38"/>
    <x v="25"/>
    <x v="23"/>
    <x v="0"/>
    <x v="778"/>
    <x v="393"/>
    <x v="10"/>
    <x v="569"/>
    <x v="1353"/>
    <x v="0"/>
    <x v="108"/>
    <x v="32"/>
    <x v="377"/>
    <x v="52"/>
    <x v="1"/>
    <x v="29"/>
    <x v="43"/>
    <x v="1"/>
  </r>
  <r>
    <x v="1058"/>
    <x v="2"/>
    <x v="503"/>
    <x v="81"/>
    <x v="10"/>
    <x v="6"/>
    <x v="66"/>
    <x v="38"/>
    <x v="25"/>
    <x v="23"/>
    <x v="0"/>
    <x v="514"/>
    <x v="187"/>
    <x v="16"/>
    <x v="458"/>
    <x v="1236"/>
    <x v="0"/>
    <x v="108"/>
    <x v="33"/>
    <x v="457"/>
    <x v="125"/>
    <x v="2"/>
    <x v="0"/>
    <x v="44"/>
    <x v="1"/>
  </r>
  <r>
    <x v="1061"/>
    <x v="2"/>
    <x v="504"/>
    <x v="82"/>
    <x v="10"/>
    <x v="94"/>
    <x v="25"/>
    <x v="38"/>
    <x v="25"/>
    <x v="23"/>
    <x v="0"/>
    <x v="710"/>
    <x v="336"/>
    <x v="20"/>
    <x v="573"/>
    <x v="1335"/>
    <x v="0"/>
    <x v="108"/>
    <x v="33"/>
    <x v="663"/>
    <x v="162"/>
    <x v="2"/>
    <x v="0"/>
    <x v="44"/>
    <x v="1"/>
  </r>
  <r>
    <x v="1064"/>
    <x v="2"/>
    <x v="505"/>
    <x v="83"/>
    <x v="10"/>
    <x v="23"/>
    <x v="61"/>
    <x v="38"/>
    <x v="25"/>
    <x v="23"/>
    <x v="0"/>
    <x v="600"/>
    <x v="152"/>
    <x v="13"/>
    <x v="572"/>
    <x v="1347"/>
    <x v="0"/>
    <x v="108"/>
    <x v="33"/>
    <x v="478"/>
    <x v="83"/>
    <x v="2"/>
    <x v="0"/>
    <x v="44"/>
    <x v="1"/>
  </r>
  <r>
    <x v="1067"/>
    <x v="2"/>
    <x v="506"/>
    <x v="84"/>
    <x v="10"/>
    <x v="95"/>
    <x v="10"/>
    <x v="38"/>
    <x v="25"/>
    <x v="23"/>
    <x v="0"/>
    <x v="592"/>
    <x v="146"/>
    <x v="13"/>
    <x v="567"/>
    <x v="1343"/>
    <x v="0"/>
    <x v="108"/>
    <x v="33"/>
    <x v="476"/>
    <x v="83"/>
    <x v="2"/>
    <x v="0"/>
    <x v="44"/>
    <x v="1"/>
  </r>
  <r>
    <x v="1070"/>
    <x v="2"/>
    <x v="507"/>
    <x v="85"/>
    <x v="10"/>
    <x v="92"/>
    <x v="50"/>
    <x v="38"/>
    <x v="25"/>
    <x v="23"/>
    <x v="0"/>
    <x v="532"/>
    <x v="284"/>
    <x v="13"/>
    <x v="358"/>
    <x v="1122"/>
    <x v="0"/>
    <x v="108"/>
    <x v="33"/>
    <x v="308"/>
    <x v="92"/>
    <x v="2"/>
    <x v="0"/>
    <x v="44"/>
    <x v="1"/>
  </r>
  <r>
    <x v="1073"/>
    <x v="0"/>
    <x v="508"/>
    <x v="86"/>
    <x v="10"/>
    <x v="74"/>
    <x v="57"/>
    <x v="30"/>
    <x v="18"/>
    <x v="23"/>
    <x v="0"/>
    <x v="723"/>
    <x v="352"/>
    <x v="4"/>
    <x v="578"/>
    <x v="1375"/>
    <x v="0"/>
    <x v="108"/>
    <x v="33"/>
    <x v="154"/>
    <x v="12"/>
    <x v="2"/>
    <x v="0"/>
    <x v="44"/>
    <x v="1"/>
  </r>
  <r>
    <x v="1075"/>
    <x v="0"/>
    <x v="509"/>
    <x v="87"/>
    <x v="10"/>
    <x v="49"/>
    <x v="41"/>
    <x v="30"/>
    <x v="18"/>
    <x v="23"/>
    <x v="0"/>
    <x v="696"/>
    <x v="320"/>
    <x v="9"/>
    <x v="559"/>
    <x v="1350"/>
    <x v="0"/>
    <x v="108"/>
    <x v="33"/>
    <x v="330"/>
    <x v="51"/>
    <x v="2"/>
    <x v="0"/>
    <x v="44"/>
    <x v="1"/>
  </r>
  <r>
    <x v="1079"/>
    <x v="0"/>
    <x v="510"/>
    <x v="89"/>
    <x v="10"/>
    <x v="6"/>
    <x v="66"/>
    <x v="30"/>
    <x v="18"/>
    <x v="23"/>
    <x v="0"/>
    <x v="519"/>
    <x v="188"/>
    <x v="7"/>
    <x v="469"/>
    <x v="1289"/>
    <x v="0"/>
    <x v="108"/>
    <x v="33"/>
    <x v="171"/>
    <x v="27"/>
    <x v="2"/>
    <x v="0"/>
    <x v="44"/>
    <x v="1"/>
  </r>
  <r>
    <x v="1077"/>
    <x v="2"/>
    <x v="511"/>
    <x v="88"/>
    <x v="10"/>
    <x v="14"/>
    <x v="26"/>
    <x v="30"/>
    <x v="18"/>
    <x v="23"/>
    <x v="0"/>
    <x v="392"/>
    <x v="45"/>
    <x v="9"/>
    <x v="470"/>
    <x v="1276"/>
    <x v="0"/>
    <x v="108"/>
    <x v="33"/>
    <x v="259"/>
    <x v="51"/>
    <x v="2"/>
    <x v="0"/>
    <x v="44"/>
    <x v="1"/>
  </r>
  <r>
    <x v="1081"/>
    <x v="2"/>
    <x v="512"/>
    <x v="90"/>
    <x v="10"/>
    <x v="76"/>
    <x v="47"/>
    <x v="30"/>
    <x v="18"/>
    <x v="23"/>
    <x v="0"/>
    <x v="702"/>
    <x v="324"/>
    <x v="12"/>
    <x v="562"/>
    <x v="1345"/>
    <x v="0"/>
    <x v="108"/>
    <x v="33"/>
    <x v="430"/>
    <x v="82"/>
    <x v="2"/>
    <x v="0"/>
    <x v="44"/>
    <x v="1"/>
  </r>
  <r>
    <x v="1096"/>
    <x v="0"/>
    <x v="514"/>
    <x v="545"/>
    <x v="10"/>
    <x v="9"/>
    <x v="33"/>
    <x v="30"/>
    <x v="18"/>
    <x v="23"/>
    <x v="0"/>
    <x v="136"/>
    <x v="82"/>
    <x v="0"/>
    <x v="155"/>
    <x v="274"/>
    <x v="0"/>
    <x v="108"/>
    <x v="33"/>
    <x v="1"/>
    <x v="1"/>
    <x v="2"/>
    <x v="0"/>
    <x v="44"/>
    <x v="1"/>
  </r>
  <r>
    <x v="1098"/>
    <x v="0"/>
    <x v="515"/>
    <x v="524"/>
    <x v="10"/>
    <x v="61"/>
    <x v="86"/>
    <x v="30"/>
    <x v="18"/>
    <x v="23"/>
    <x v="0"/>
    <x v="776"/>
    <x v="376"/>
    <x v="129"/>
    <x v="581"/>
    <x v="1383"/>
    <x v="0"/>
    <x v="108"/>
    <x v="34"/>
    <x v="0"/>
    <x v="0"/>
    <x v="2"/>
    <x v="1"/>
    <x v="45"/>
    <x v="1"/>
  </r>
  <r>
    <x v="1102"/>
    <x v="0"/>
    <x v="516"/>
    <x v="560"/>
    <x v="6"/>
    <x v="35"/>
    <x v="12"/>
    <x v="30"/>
    <x v="18"/>
    <x v="23"/>
    <x v="0"/>
    <x v="497"/>
    <x v="141"/>
    <x v="1"/>
    <x v="467"/>
    <x v="1307"/>
    <x v="0"/>
    <x v="108"/>
    <x v="34"/>
    <x v="22"/>
    <x v="2"/>
    <x v="2"/>
    <x v="1"/>
    <x v="45"/>
    <x v="1"/>
  </r>
  <r>
    <x v="1083"/>
    <x v="0"/>
    <x v="518"/>
    <x v="98"/>
    <x v="10"/>
    <x v="94"/>
    <x v="25"/>
    <x v="30"/>
    <x v="18"/>
    <x v="23"/>
    <x v="0"/>
    <x v="710"/>
    <x v="341"/>
    <x v="3"/>
    <x v="565"/>
    <x v="1374"/>
    <x v="0"/>
    <x v="108"/>
    <x v="34"/>
    <x v="101"/>
    <x v="5"/>
    <x v="2"/>
    <x v="1"/>
    <x v="45"/>
    <x v="1"/>
  </r>
  <r>
    <x v="1084"/>
    <x v="0"/>
    <x v="519"/>
    <x v="99"/>
    <x v="10"/>
    <x v="92"/>
    <x v="50"/>
    <x v="30"/>
    <x v="18"/>
    <x v="23"/>
    <x v="0"/>
    <x v="610"/>
    <x v="288"/>
    <x v="3"/>
    <x v="459"/>
    <x v="1296"/>
    <x v="0"/>
    <x v="108"/>
    <x v="34"/>
    <x v="62"/>
    <x v="4"/>
    <x v="2"/>
    <x v="1"/>
    <x v="45"/>
    <x v="1"/>
  </r>
  <r>
    <x v="1087"/>
    <x v="0"/>
    <x v="520"/>
    <x v="79"/>
    <x v="10"/>
    <x v="55"/>
    <x v="40"/>
    <x v="30"/>
    <x v="18"/>
    <x v="23"/>
    <x v="0"/>
    <x v="542"/>
    <x v="221"/>
    <x v="3"/>
    <x v="469"/>
    <x v="1301"/>
    <x v="0"/>
    <x v="108"/>
    <x v="34"/>
    <x v="67"/>
    <x v="10"/>
    <x v="2"/>
    <x v="1"/>
    <x v="45"/>
    <x v="1"/>
  </r>
  <r>
    <x v="1090"/>
    <x v="0"/>
    <x v="521"/>
    <x v="105"/>
    <x v="10"/>
    <x v="23"/>
    <x v="61"/>
    <x v="30"/>
    <x v="18"/>
    <x v="23"/>
    <x v="0"/>
    <x v="498"/>
    <x v="154"/>
    <x v="3"/>
    <x v="456"/>
    <x v="1294"/>
    <x v="0"/>
    <x v="108"/>
    <x v="34"/>
    <x v="61"/>
    <x v="11"/>
    <x v="2"/>
    <x v="1"/>
    <x v="45"/>
    <x v="1"/>
  </r>
  <r>
    <x v="1092"/>
    <x v="0"/>
    <x v="522"/>
    <x v="104"/>
    <x v="10"/>
    <x v="54"/>
    <x v="74"/>
    <x v="30"/>
    <x v="18"/>
    <x v="23"/>
    <x v="0"/>
    <x v="548"/>
    <x v="233"/>
    <x v="8"/>
    <x v="469"/>
    <x v="1282"/>
    <x v="0"/>
    <x v="108"/>
    <x v="35"/>
    <x v="232"/>
    <x v="30"/>
    <x v="2"/>
    <x v="2"/>
    <x v="46"/>
    <x v="1"/>
  </r>
  <r>
    <x v="1094"/>
    <x v="0"/>
    <x v="523"/>
    <x v="106"/>
    <x v="10"/>
    <x v="95"/>
    <x v="10"/>
    <x v="30"/>
    <x v="18"/>
    <x v="23"/>
    <x v="0"/>
    <x v="595"/>
    <x v="137"/>
    <x v="5"/>
    <x v="576"/>
    <x v="1372"/>
    <x v="0"/>
    <x v="108"/>
    <x v="35"/>
    <x v="203"/>
    <x v="13"/>
    <x v="2"/>
    <x v="2"/>
    <x v="46"/>
    <x v="1"/>
  </r>
  <r>
    <x v="1100"/>
    <x v="1"/>
    <x v="524"/>
    <x v="103"/>
    <x v="10"/>
    <x v="29"/>
    <x v="67"/>
    <x v="16"/>
    <x v="12"/>
    <x v="25"/>
    <x v="0"/>
    <x v="573"/>
    <x v="124"/>
    <x v="20"/>
    <x v="556"/>
    <x v="1329"/>
    <x v="0"/>
    <x v="108"/>
    <x v="35"/>
    <x v="653"/>
    <x v="158"/>
    <x v="2"/>
    <x v="2"/>
    <x v="46"/>
    <x v="1"/>
  </r>
  <r>
    <x v="1108"/>
    <x v="1"/>
    <x v="525"/>
    <x v="59"/>
    <x v="10"/>
    <x v="59"/>
    <x v="75"/>
    <x v="16"/>
    <x v="12"/>
    <x v="25"/>
    <x v="0"/>
    <x v="580"/>
    <x v="124"/>
    <x v="20"/>
    <x v="563"/>
    <x v="1332"/>
    <x v="0"/>
    <x v="108"/>
    <x v="35"/>
    <x v="657"/>
    <x v="158"/>
    <x v="2"/>
    <x v="2"/>
    <x v="46"/>
    <x v="1"/>
  </r>
  <r>
    <x v="1110"/>
    <x v="1"/>
    <x v="527"/>
    <x v="111"/>
    <x v="10"/>
    <x v="94"/>
    <x v="25"/>
    <x v="16"/>
    <x v="12"/>
    <x v="25"/>
    <x v="0"/>
    <x v="704"/>
    <x v="335"/>
    <x v="20"/>
    <x v="553"/>
    <x v="1326"/>
    <x v="0"/>
    <x v="108"/>
    <x v="35"/>
    <x v="650"/>
    <x v="158"/>
    <x v="2"/>
    <x v="2"/>
    <x v="46"/>
    <x v="1"/>
  </r>
  <r>
    <x v="1112"/>
    <x v="1"/>
    <x v="528"/>
    <x v="109"/>
    <x v="10"/>
    <x v="92"/>
    <x v="50"/>
    <x v="16"/>
    <x v="12"/>
    <x v="25"/>
    <x v="0"/>
    <x v="490"/>
    <x v="284"/>
    <x v="32"/>
    <x v="273"/>
    <x v="679"/>
    <x v="0"/>
    <x v="108"/>
    <x v="35"/>
    <x v="542"/>
    <x v="245"/>
    <x v="2"/>
    <x v="2"/>
    <x v="46"/>
    <x v="1"/>
  </r>
  <r>
    <x v="1114"/>
    <x v="0"/>
    <x v="529"/>
    <x v="110"/>
    <x v="10"/>
    <x v="55"/>
    <x v="40"/>
    <x v="16"/>
    <x v="12"/>
    <x v="25"/>
    <x v="0"/>
    <x v="518"/>
    <x v="210"/>
    <x v="16"/>
    <x v="442"/>
    <x v="1220"/>
    <x v="0"/>
    <x v="108"/>
    <x v="35"/>
    <x v="450"/>
    <x v="127"/>
    <x v="2"/>
    <x v="2"/>
    <x v="46"/>
    <x v="1"/>
  </r>
  <r>
    <x v="1116"/>
    <x v="2"/>
    <x v="530"/>
    <x v="112"/>
    <x v="10"/>
    <x v="49"/>
    <x v="41"/>
    <x v="30"/>
    <x v="18"/>
    <x v="25"/>
    <x v="0"/>
    <x v="616"/>
    <x v="309"/>
    <x v="10"/>
    <x v="448"/>
    <x v="1258"/>
    <x v="0"/>
    <x v="108"/>
    <x v="35"/>
    <x v="294"/>
    <x v="58"/>
    <x v="2"/>
    <x v="2"/>
    <x v="46"/>
    <x v="1"/>
  </r>
  <r>
    <x v="1119"/>
    <x v="0"/>
    <x v="531"/>
    <x v="113"/>
    <x v="10"/>
    <x v="74"/>
    <x v="57"/>
    <x v="30"/>
    <x v="18"/>
    <x v="8"/>
    <x v="0"/>
    <x v="685"/>
    <x v="356"/>
    <x v="5"/>
    <x v="476"/>
    <x v="1298"/>
    <x v="0"/>
    <x v="108"/>
    <x v="35"/>
    <x v="140"/>
    <x v="16"/>
    <x v="2"/>
    <x v="2"/>
    <x v="46"/>
    <x v="1"/>
  </r>
  <r>
    <x v="1121"/>
    <x v="0"/>
    <x v="532"/>
    <x v="114"/>
    <x v="10"/>
    <x v="76"/>
    <x v="47"/>
    <x v="16"/>
    <x v="12"/>
    <x v="25"/>
    <x v="0"/>
    <x v="618"/>
    <x v="314"/>
    <x v="10"/>
    <x v="446"/>
    <x v="1255"/>
    <x v="0"/>
    <x v="108"/>
    <x v="35"/>
    <x v="292"/>
    <x v="59"/>
    <x v="2"/>
    <x v="2"/>
    <x v="46"/>
    <x v="1"/>
  </r>
  <r>
    <x v="1123"/>
    <x v="0"/>
    <x v="533"/>
    <x v="115"/>
    <x v="6"/>
    <x v="35"/>
    <x v="12"/>
    <x v="30"/>
    <x v="18"/>
    <x v="8"/>
    <x v="0"/>
    <x v="494"/>
    <x v="147"/>
    <x v="8"/>
    <x v="458"/>
    <x v="1273"/>
    <x v="0"/>
    <x v="108"/>
    <x v="35"/>
    <x v="226"/>
    <x v="31"/>
    <x v="2"/>
    <x v="2"/>
    <x v="46"/>
    <x v="1"/>
  </r>
  <r>
    <x v="1126"/>
    <x v="0"/>
    <x v="534"/>
    <x v="116"/>
    <x v="10"/>
    <x v="9"/>
    <x v="33"/>
    <x v="30"/>
    <x v="18"/>
    <x v="8"/>
    <x v="0"/>
    <x v="452"/>
    <x v="87"/>
    <x v="3"/>
    <x v="447"/>
    <x v="1288"/>
    <x v="0"/>
    <x v="108"/>
    <x v="36"/>
    <x v="56"/>
    <x v="4"/>
    <x v="2"/>
    <x v="3"/>
    <x v="47"/>
    <x v="1"/>
  </r>
  <r>
    <x v="1128"/>
    <x v="0"/>
    <x v="535"/>
    <x v="117"/>
    <x v="10"/>
    <x v="20"/>
    <x v="51"/>
    <x v="30"/>
    <x v="18"/>
    <x v="8"/>
    <x v="0"/>
    <x v="506"/>
    <x v="183"/>
    <x v="5"/>
    <x v="445"/>
    <x v="1274"/>
    <x v="0"/>
    <x v="108"/>
    <x v="36"/>
    <x v="120"/>
    <x v="13"/>
    <x v="2"/>
    <x v="3"/>
    <x v="47"/>
    <x v="1"/>
  </r>
  <r>
    <x v="1130"/>
    <x v="0"/>
    <x v="536"/>
    <x v="118"/>
    <x v="10"/>
    <x v="23"/>
    <x v="61"/>
    <x v="30"/>
    <x v="18"/>
    <x v="8"/>
    <x v="0"/>
    <x v="499"/>
    <x v="154"/>
    <x v="5"/>
    <x v="458"/>
    <x v="1285"/>
    <x v="0"/>
    <x v="108"/>
    <x v="36"/>
    <x v="130"/>
    <x v="17"/>
    <x v="2"/>
    <x v="3"/>
    <x v="47"/>
    <x v="1"/>
  </r>
  <r>
    <x v="1133"/>
    <x v="0"/>
    <x v="537"/>
    <x v="119"/>
    <x v="10"/>
    <x v="54"/>
    <x v="74"/>
    <x v="30"/>
    <x v="18"/>
    <x v="8"/>
    <x v="0"/>
    <x v="549"/>
    <x v="242"/>
    <x v="4"/>
    <x v="466"/>
    <x v="1295"/>
    <x v="0"/>
    <x v="108"/>
    <x v="36"/>
    <x v="90"/>
    <x v="12"/>
    <x v="2"/>
    <x v="3"/>
    <x v="47"/>
    <x v="1"/>
  </r>
  <r>
    <x v="1135"/>
    <x v="0"/>
    <x v="538"/>
    <x v="120"/>
    <x v="10"/>
    <x v="95"/>
    <x v="10"/>
    <x v="16"/>
    <x v="12"/>
    <x v="25"/>
    <x v="0"/>
    <x v="489"/>
    <x v="136"/>
    <x v="16"/>
    <x v="458"/>
    <x v="1236"/>
    <x v="0"/>
    <x v="108"/>
    <x v="36"/>
    <x v="457"/>
    <x v="125"/>
    <x v="2"/>
    <x v="3"/>
    <x v="47"/>
    <x v="1"/>
  </r>
  <r>
    <x v="1137"/>
    <x v="0"/>
    <x v="539"/>
    <x v="121"/>
    <x v="10"/>
    <x v="29"/>
    <x v="67"/>
    <x v="16"/>
    <x v="12"/>
    <x v="25"/>
    <x v="0"/>
    <x v="472"/>
    <x v="416"/>
    <x v="9"/>
    <x v="126"/>
    <x v="205"/>
    <x v="0"/>
    <x v="108"/>
    <x v="36"/>
    <x v="29"/>
    <x v="51"/>
    <x v="2"/>
    <x v="3"/>
    <x v="47"/>
    <x v="1"/>
  </r>
  <r>
    <x v="1139"/>
    <x v="0"/>
    <x v="540"/>
    <x v="122"/>
    <x v="10"/>
    <x v="61"/>
    <x v="86"/>
    <x v="16"/>
    <x v="12"/>
    <x v="25"/>
    <x v="0"/>
    <x v="775"/>
    <x v="385"/>
    <x v="32"/>
    <x v="568"/>
    <x v="1321"/>
    <x v="0"/>
    <x v="108"/>
    <x v="36"/>
    <x v="863"/>
    <x v="247"/>
    <x v="2"/>
    <x v="3"/>
    <x v="47"/>
    <x v="1"/>
  </r>
  <r>
    <x v="1149"/>
    <x v="0"/>
    <x v="541"/>
    <x v="496"/>
    <x v="10"/>
    <x v="29"/>
    <x v="67"/>
    <x v="16"/>
    <x v="12"/>
    <x v="25"/>
    <x v="0"/>
    <x v="119"/>
    <x v="123"/>
    <x v="129"/>
    <x v="127"/>
    <x v="237"/>
    <x v="0"/>
    <x v="108"/>
    <x v="36"/>
    <x v="0"/>
    <x v="0"/>
    <x v="2"/>
    <x v="3"/>
    <x v="47"/>
    <x v="1"/>
  </r>
  <r>
    <x v="1142"/>
    <x v="2"/>
    <x v="543"/>
    <x v="111"/>
    <x v="10"/>
    <x v="94"/>
    <x v="25"/>
    <x v="17"/>
    <x v="13"/>
    <x v="25"/>
    <x v="0"/>
    <x v="714"/>
    <x v="340"/>
    <x v="10"/>
    <x v="583"/>
    <x v="1362"/>
    <x v="0"/>
    <x v="108"/>
    <x v="36"/>
    <x v="388"/>
    <x v="54"/>
    <x v="2"/>
    <x v="3"/>
    <x v="47"/>
    <x v="1"/>
  </r>
  <r>
    <x v="1141"/>
    <x v="0"/>
    <x v="544"/>
    <x v="123"/>
    <x v="10"/>
    <x v="55"/>
    <x v="40"/>
    <x v="16"/>
    <x v="12"/>
    <x v="25"/>
    <x v="0"/>
    <x v="546"/>
    <x v="221"/>
    <x v="10"/>
    <x v="477"/>
    <x v="1275"/>
    <x v="0"/>
    <x v="108"/>
    <x v="36"/>
    <x v="306"/>
    <x v="52"/>
    <x v="2"/>
    <x v="3"/>
    <x v="47"/>
    <x v="1"/>
  </r>
  <r>
    <x v="1143"/>
    <x v="1"/>
    <x v="545"/>
    <x v="125"/>
    <x v="10"/>
    <x v="92"/>
    <x v="50"/>
    <x v="17"/>
    <x v="13"/>
    <x v="25"/>
    <x v="0"/>
    <x v="622"/>
    <x v="280"/>
    <x v="13"/>
    <x v="495"/>
    <x v="1280"/>
    <x v="0"/>
    <x v="108"/>
    <x v="36"/>
    <x v="396"/>
    <x v="86"/>
    <x v="2"/>
    <x v="3"/>
    <x v="47"/>
    <x v="1"/>
  </r>
  <r>
    <x v="1144"/>
    <x v="2"/>
    <x v="549"/>
    <x v="126"/>
    <x v="10"/>
    <x v="76"/>
    <x v="47"/>
    <x v="17"/>
    <x v="13"/>
    <x v="25"/>
    <x v="0"/>
    <x v="713"/>
    <x v="329"/>
    <x v="20"/>
    <x v="595"/>
    <x v="1349"/>
    <x v="0"/>
    <x v="108"/>
    <x v="36"/>
    <x v="691"/>
    <x v="160"/>
    <x v="2"/>
    <x v="3"/>
    <x v="47"/>
    <x v="1"/>
  </r>
  <r>
    <x v="1145"/>
    <x v="1"/>
    <x v="550"/>
    <x v="127"/>
    <x v="10"/>
    <x v="74"/>
    <x v="57"/>
    <x v="17"/>
    <x v="13"/>
    <x v="25"/>
    <x v="0"/>
    <x v="727"/>
    <x v="360"/>
    <x v="25"/>
    <x v="592"/>
    <x v="1338"/>
    <x v="0"/>
    <x v="108"/>
    <x v="36"/>
    <x v="790"/>
    <x v="198"/>
    <x v="2"/>
    <x v="3"/>
    <x v="47"/>
    <x v="1"/>
  </r>
  <r>
    <x v="1147"/>
    <x v="1"/>
    <x v="551"/>
    <x v="128"/>
    <x v="10"/>
    <x v="49"/>
    <x v="41"/>
    <x v="17"/>
    <x v="13"/>
    <x v="25"/>
    <x v="0"/>
    <x v="706"/>
    <x v="322"/>
    <x v="32"/>
    <x v="582"/>
    <x v="1327"/>
    <x v="0"/>
    <x v="108"/>
    <x v="37"/>
    <x v="877"/>
    <x v="245"/>
    <x v="2"/>
    <x v="4"/>
    <x v="48"/>
    <x v="1"/>
  </r>
  <r>
    <x v="1148"/>
    <x v="1"/>
    <x v="552"/>
    <x v="129"/>
    <x v="10"/>
    <x v="6"/>
    <x v="66"/>
    <x v="17"/>
    <x v="13"/>
    <x v="25"/>
    <x v="0"/>
    <x v="531"/>
    <x v="188"/>
    <x v="37"/>
    <x v="487"/>
    <x v="1202"/>
    <x v="0"/>
    <x v="108"/>
    <x v="37"/>
    <x v="825"/>
    <x v="288"/>
    <x v="2"/>
    <x v="4"/>
    <x v="48"/>
    <x v="1"/>
  </r>
  <r>
    <x v="1165"/>
    <x v="1"/>
    <x v="553"/>
    <x v="130"/>
    <x v="10"/>
    <x v="9"/>
    <x v="33"/>
    <x v="17"/>
    <x v="13"/>
    <x v="25"/>
    <x v="0"/>
    <x v="479"/>
    <x v="86"/>
    <x v="32"/>
    <x v="489"/>
    <x v="1218"/>
    <x v="0"/>
    <x v="108"/>
    <x v="37"/>
    <x v="732"/>
    <x v="250"/>
    <x v="2"/>
    <x v="4"/>
    <x v="48"/>
    <x v="1"/>
  </r>
  <r>
    <x v="1167"/>
    <x v="1"/>
    <x v="554"/>
    <x v="131"/>
    <x v="10"/>
    <x v="20"/>
    <x v="51"/>
    <x v="17"/>
    <x v="13"/>
    <x v="25"/>
    <x v="0"/>
    <x v="523"/>
    <x v="185"/>
    <x v="32"/>
    <x v="477"/>
    <x v="1208"/>
    <x v="0"/>
    <x v="108"/>
    <x v="37"/>
    <x v="725"/>
    <x v="245"/>
    <x v="2"/>
    <x v="4"/>
    <x v="48"/>
    <x v="1"/>
  </r>
  <r>
    <x v="1172"/>
    <x v="1"/>
    <x v="555"/>
    <x v="132"/>
    <x v="10"/>
    <x v="23"/>
    <x v="61"/>
    <x v="17"/>
    <x v="13"/>
    <x v="25"/>
    <x v="0"/>
    <x v="516"/>
    <x v="154"/>
    <x v="51"/>
    <x v="493"/>
    <x v="1169"/>
    <x v="0"/>
    <x v="108"/>
    <x v="37"/>
    <x v="1032"/>
    <x v="390"/>
    <x v="2"/>
    <x v="4"/>
    <x v="48"/>
    <x v="1"/>
  </r>
  <r>
    <x v="1183"/>
    <x v="1"/>
    <x v="556"/>
    <x v="503"/>
    <x v="10"/>
    <x v="55"/>
    <x v="40"/>
    <x v="17"/>
    <x v="13"/>
    <x v="25"/>
    <x v="0"/>
    <x v="547"/>
    <x v="213"/>
    <x v="57"/>
    <x v="486"/>
    <x v="1147"/>
    <x v="0"/>
    <x v="108"/>
    <x v="37"/>
    <x v="1077"/>
    <x v="422"/>
    <x v="2"/>
    <x v="4"/>
    <x v="48"/>
    <x v="1"/>
  </r>
  <r>
    <x v="1181"/>
    <x v="1"/>
    <x v="558"/>
    <x v="504"/>
    <x v="10"/>
    <x v="94"/>
    <x v="25"/>
    <x v="17"/>
    <x v="13"/>
    <x v="25"/>
    <x v="0"/>
    <x v="662"/>
    <x v="335"/>
    <x v="20"/>
    <x v="490"/>
    <x v="1250"/>
    <x v="0"/>
    <x v="108"/>
    <x v="37"/>
    <x v="572"/>
    <x v="158"/>
    <x v="2"/>
    <x v="4"/>
    <x v="48"/>
    <x v="1"/>
  </r>
  <r>
    <x v="1179"/>
    <x v="1"/>
    <x v="559"/>
    <x v="505"/>
    <x v="10"/>
    <x v="92"/>
    <x v="50"/>
    <x v="17"/>
    <x v="13"/>
    <x v="23"/>
    <x v="0"/>
    <x v="637"/>
    <x v="288"/>
    <x v="37"/>
    <x v="503"/>
    <x v="1223"/>
    <x v="0"/>
    <x v="108"/>
    <x v="37"/>
    <x v="843"/>
    <x v="285"/>
    <x v="2"/>
    <x v="4"/>
    <x v="48"/>
    <x v="1"/>
  </r>
  <r>
    <x v="1177"/>
    <x v="1"/>
    <x v="560"/>
    <x v="506"/>
    <x v="10"/>
    <x v="61"/>
    <x v="86"/>
    <x v="17"/>
    <x v="13"/>
    <x v="23"/>
    <x v="0"/>
    <x v="783"/>
    <x v="377"/>
    <x v="128"/>
    <x v="588"/>
    <x v="1386"/>
    <x v="0"/>
    <x v="108"/>
    <x v="37"/>
    <x v="0"/>
    <x v="0"/>
    <x v="2"/>
    <x v="4"/>
    <x v="48"/>
    <x v="1"/>
  </r>
  <r>
    <x v="1188"/>
    <x v="1"/>
    <x v="560"/>
    <x v="508"/>
    <x v="10"/>
    <x v="8"/>
    <x v="2"/>
    <x v="31"/>
    <x v="19"/>
    <x v="10"/>
    <x v="0"/>
    <x v="581"/>
    <x v="64"/>
    <x v="129"/>
    <x v="597"/>
    <x v="1389"/>
    <x v="0"/>
    <x v="108"/>
    <x v="38"/>
    <x v="0"/>
    <x v="0"/>
    <x v="2"/>
    <x v="5"/>
    <x v="49"/>
    <x v="1"/>
  </r>
  <r>
    <x v="1190"/>
    <x v="1"/>
    <x v="560"/>
    <x v="510"/>
    <x v="10"/>
    <x v="90"/>
    <x v="3"/>
    <x v="31"/>
    <x v="19"/>
    <x v="10"/>
    <x v="0"/>
    <x v="568"/>
    <x v="79"/>
    <x v="129"/>
    <x v="581"/>
    <x v="1383"/>
    <x v="0"/>
    <x v="108"/>
    <x v="38"/>
    <x v="0"/>
    <x v="0"/>
    <x v="2"/>
    <x v="5"/>
    <x v="49"/>
    <x v="1"/>
  </r>
  <r>
    <x v="1208"/>
    <x v="1"/>
    <x v="560"/>
    <x v="511"/>
    <x v="10"/>
    <x v="96"/>
    <x v="88"/>
    <x v="31"/>
    <x v="19"/>
    <x v="10"/>
    <x v="0"/>
    <x v="563"/>
    <x v="70"/>
    <x v="129"/>
    <x v="580"/>
    <x v="1382"/>
    <x v="0"/>
    <x v="108"/>
    <x v="38"/>
    <x v="0"/>
    <x v="0"/>
    <x v="2"/>
    <x v="5"/>
    <x v="49"/>
    <x v="1"/>
  </r>
  <r>
    <x v="207"/>
    <x v="1"/>
    <x v="703"/>
    <x v="484"/>
    <x v="11"/>
    <x v="6"/>
    <x v="89"/>
    <x v="15"/>
    <x v="11"/>
    <x v="20"/>
    <x v="0"/>
    <x v="624"/>
    <x v="200"/>
    <x v="14"/>
    <x v="563"/>
    <x v="1339"/>
    <x v="0"/>
    <x v="108"/>
    <x v="5"/>
    <x v="524"/>
    <x v="114"/>
    <x v="1"/>
    <x v="1"/>
    <x v="15"/>
    <x v="1"/>
  </r>
  <r>
    <x v="209"/>
    <x v="1"/>
    <x v="703"/>
    <x v="485"/>
    <x v="11"/>
    <x v="43"/>
    <x v="89"/>
    <x v="15"/>
    <x v="11"/>
    <x v="20"/>
    <x v="0"/>
    <x v="642"/>
    <x v="237"/>
    <x v="15"/>
    <x v="564"/>
    <x v="1340"/>
    <x v="0"/>
    <x v="108"/>
    <x v="5"/>
    <x v="535"/>
    <x v="116"/>
    <x v="1"/>
    <x v="1"/>
    <x v="15"/>
    <x v="1"/>
  </r>
  <r>
    <x v="277"/>
    <x v="2"/>
    <x v="703"/>
    <x v="489"/>
    <x v="11"/>
    <x v="64"/>
    <x v="29"/>
    <x v="15"/>
    <x v="11"/>
    <x v="2"/>
    <x v="0"/>
    <x v="720"/>
    <x v="265"/>
    <x v="17"/>
    <x v="607"/>
    <x v="1385"/>
    <x v="0"/>
    <x v="108"/>
    <x v="8"/>
    <x v="692"/>
    <x v="152"/>
    <x v="1"/>
    <x v="4"/>
    <x v="18"/>
    <x v="1"/>
  </r>
  <r>
    <x v="279"/>
    <x v="2"/>
    <x v="703"/>
    <x v="488"/>
    <x v="11"/>
    <x v="84"/>
    <x v="52"/>
    <x v="15"/>
    <x v="11"/>
    <x v="2"/>
    <x v="0"/>
    <x v="653"/>
    <x v="261"/>
    <x v="19"/>
    <x v="546"/>
    <x v="1325"/>
    <x v="0"/>
    <x v="108"/>
    <x v="8"/>
    <x v="617"/>
    <x v="155"/>
    <x v="1"/>
    <x v="4"/>
    <x v="18"/>
    <x v="1"/>
  </r>
  <r>
    <x v="283"/>
    <x v="2"/>
    <x v="703"/>
    <x v="486"/>
    <x v="11"/>
    <x v="64"/>
    <x v="5"/>
    <x v="15"/>
    <x v="11"/>
    <x v="2"/>
    <x v="0"/>
    <x v="666"/>
    <x v="266"/>
    <x v="15"/>
    <x v="549"/>
    <x v="1334"/>
    <x v="0"/>
    <x v="108"/>
    <x v="8"/>
    <x v="523"/>
    <x v="115"/>
    <x v="1"/>
    <x v="4"/>
    <x v="18"/>
    <x v="1"/>
  </r>
  <r>
    <x v="284"/>
    <x v="2"/>
    <x v="703"/>
    <x v="487"/>
    <x v="11"/>
    <x v="31"/>
    <x v="5"/>
    <x v="15"/>
    <x v="11"/>
    <x v="2"/>
    <x v="0"/>
    <x v="715"/>
    <x v="345"/>
    <x v="33"/>
    <x v="558"/>
    <x v="1312"/>
    <x v="0"/>
    <x v="108"/>
    <x v="7"/>
    <x v="870"/>
    <x v="277"/>
    <x v="1"/>
    <x v="3"/>
    <x v="17"/>
    <x v="1"/>
  </r>
  <r>
    <x v="1243"/>
    <x v="1"/>
    <x v="703"/>
    <x v="532"/>
    <x v="9"/>
    <x v="77"/>
    <x v="68"/>
    <x v="0"/>
    <x v="0"/>
    <x v="10"/>
    <x v="0"/>
    <x v="774"/>
    <x v="256"/>
    <x v="129"/>
    <x v="610"/>
    <x v="1393"/>
    <x v="0"/>
    <x v="108"/>
    <x v="41"/>
    <x v="0"/>
    <x v="0"/>
    <x v="2"/>
    <x v="8"/>
    <x v="52"/>
    <x v="1"/>
  </r>
  <r>
    <x v="1245"/>
    <x v="1"/>
    <x v="703"/>
    <x v="539"/>
    <x v="9"/>
    <x v="83"/>
    <x v="34"/>
    <x v="0"/>
    <x v="0"/>
    <x v="10"/>
    <x v="0"/>
    <x v="299"/>
    <x v="201"/>
    <x v="129"/>
    <x v="236"/>
    <x v="1114"/>
    <x v="0"/>
    <x v="108"/>
    <x v="42"/>
    <x v="0"/>
    <x v="0"/>
    <x v="2"/>
    <x v="9"/>
    <x v="53"/>
    <x v="1"/>
  </r>
  <r>
    <x v="1216"/>
    <x v="1"/>
    <x v="703"/>
    <x v="518"/>
    <x v="10"/>
    <x v="57"/>
    <x v="31"/>
    <x v="23"/>
    <x v="16"/>
    <x v="10"/>
    <x v="0"/>
    <x v="631"/>
    <x v="204"/>
    <x v="129"/>
    <x v="572"/>
    <x v="1380"/>
    <x v="0"/>
    <x v="108"/>
    <x v="40"/>
    <x v="0"/>
    <x v="0"/>
    <x v="2"/>
    <x v="7"/>
    <x v="51"/>
    <x v="1"/>
  </r>
  <r>
    <x v="1218"/>
    <x v="1"/>
    <x v="703"/>
    <x v="519"/>
    <x v="10"/>
    <x v="37"/>
    <x v="22"/>
    <x v="23"/>
    <x v="16"/>
    <x v="10"/>
    <x v="0"/>
    <x v="674"/>
    <x v="266"/>
    <x v="129"/>
    <x v="572"/>
    <x v="1380"/>
    <x v="0"/>
    <x v="108"/>
    <x v="40"/>
    <x v="0"/>
    <x v="0"/>
    <x v="2"/>
    <x v="7"/>
    <x v="51"/>
    <x v="1"/>
  </r>
  <r>
    <x v="1220"/>
    <x v="1"/>
    <x v="703"/>
    <x v="517"/>
    <x v="10"/>
    <x v="78"/>
    <x v="7"/>
    <x v="23"/>
    <x v="16"/>
    <x v="10"/>
    <x v="0"/>
    <x v="655"/>
    <x v="229"/>
    <x v="129"/>
    <x v="585"/>
    <x v="1384"/>
    <x v="0"/>
    <x v="108"/>
    <x v="40"/>
    <x v="0"/>
    <x v="0"/>
    <x v="2"/>
    <x v="7"/>
    <x v="51"/>
    <x v="1"/>
  </r>
  <r>
    <x v="1222"/>
    <x v="1"/>
    <x v="703"/>
    <x v="520"/>
    <x v="10"/>
    <x v="78"/>
    <x v="7"/>
    <x v="23"/>
    <x v="16"/>
    <x v="10"/>
    <x v="0"/>
    <x v="636"/>
    <x v="214"/>
    <x v="129"/>
    <x v="570"/>
    <x v="1379"/>
    <x v="0"/>
    <x v="108"/>
    <x v="41"/>
    <x v="0"/>
    <x v="0"/>
    <x v="2"/>
    <x v="8"/>
    <x v="52"/>
    <x v="1"/>
  </r>
  <r>
    <x v="1224"/>
    <x v="1"/>
    <x v="703"/>
    <x v="521"/>
    <x v="10"/>
    <x v="57"/>
    <x v="31"/>
    <x v="23"/>
    <x v="16"/>
    <x v="10"/>
    <x v="0"/>
    <x v="618"/>
    <x v="185"/>
    <x v="129"/>
    <x v="567"/>
    <x v="1378"/>
    <x v="0"/>
    <x v="108"/>
    <x v="41"/>
    <x v="0"/>
    <x v="0"/>
    <x v="2"/>
    <x v="8"/>
    <x v="52"/>
    <x v="1"/>
  </r>
  <r>
    <x v="1241"/>
    <x v="1"/>
    <x v="703"/>
    <x v="522"/>
    <x v="9"/>
    <x v="37"/>
    <x v="22"/>
    <x v="0"/>
    <x v="0"/>
    <x v="10"/>
    <x v="0"/>
    <x v="556"/>
    <x v="264"/>
    <x v="129"/>
    <x v="447"/>
    <x v="1313"/>
    <x v="0"/>
    <x v="108"/>
    <x v="41"/>
    <x v="0"/>
    <x v="0"/>
    <x v="2"/>
    <x v="8"/>
    <x v="52"/>
    <x v="1"/>
  </r>
  <r>
    <x v="1195"/>
    <x v="1"/>
    <x v="703"/>
    <x v="509"/>
    <x v="10"/>
    <x v="6"/>
    <x v="1"/>
    <x v="31"/>
    <x v="19"/>
    <x v="10"/>
    <x v="0"/>
    <x v="541"/>
    <x v="201"/>
    <x v="27"/>
    <x v="490"/>
    <x v="1234"/>
    <x v="0"/>
    <x v="108"/>
    <x v="38"/>
    <x v="654"/>
    <x v="236"/>
    <x v="2"/>
    <x v="5"/>
    <x v="49"/>
    <x v="1"/>
  </r>
  <r>
    <x v="1197"/>
    <x v="1"/>
    <x v="703"/>
    <x v="513"/>
    <x v="10"/>
    <x v="20"/>
    <x v="0"/>
    <x v="31"/>
    <x v="19"/>
    <x v="10"/>
    <x v="0"/>
    <x v="520"/>
    <x v="179"/>
    <x v="37"/>
    <x v="479"/>
    <x v="1193"/>
    <x v="0"/>
    <x v="108"/>
    <x v="38"/>
    <x v="818"/>
    <x v="284"/>
    <x v="2"/>
    <x v="5"/>
    <x v="49"/>
    <x v="1"/>
  </r>
  <r>
    <x v="1199"/>
    <x v="1"/>
    <x v="703"/>
    <x v="514"/>
    <x v="10"/>
    <x v="55"/>
    <x v="0"/>
    <x v="31"/>
    <x v="19"/>
    <x v="10"/>
    <x v="0"/>
    <x v="551"/>
    <x v="225"/>
    <x v="35"/>
    <x v="488"/>
    <x v="1206"/>
    <x v="0"/>
    <x v="108"/>
    <x v="38"/>
    <x v="797"/>
    <x v="280"/>
    <x v="2"/>
    <x v="5"/>
    <x v="49"/>
    <x v="1"/>
  </r>
  <r>
    <x v="1210"/>
    <x v="1"/>
    <x v="703"/>
    <x v="512"/>
    <x v="10"/>
    <x v="97"/>
    <x v="55"/>
    <x v="31"/>
    <x v="19"/>
    <x v="10"/>
    <x v="0"/>
    <x v="525"/>
    <x v="77"/>
    <x v="129"/>
    <x v="534"/>
    <x v="1373"/>
    <x v="0"/>
    <x v="108"/>
    <x v="38"/>
    <x v="0"/>
    <x v="0"/>
    <x v="2"/>
    <x v="5"/>
    <x v="49"/>
    <x v="1"/>
  </r>
  <r>
    <x v="1212"/>
    <x v="1"/>
    <x v="703"/>
    <x v="515"/>
    <x v="10"/>
    <x v="76"/>
    <x v="4"/>
    <x v="31"/>
    <x v="19"/>
    <x v="22"/>
    <x v="0"/>
    <x v="644"/>
    <x v="326"/>
    <x v="30"/>
    <x v="485"/>
    <x v="1217"/>
    <x v="0"/>
    <x v="108"/>
    <x v="39"/>
    <x v="706"/>
    <x v="241"/>
    <x v="2"/>
    <x v="6"/>
    <x v="50"/>
    <x v="1"/>
  </r>
  <r>
    <x v="1214"/>
    <x v="1"/>
    <x v="703"/>
    <x v="516"/>
    <x v="10"/>
    <x v="94"/>
    <x v="24"/>
    <x v="31"/>
    <x v="19"/>
    <x v="22"/>
    <x v="0"/>
    <x v="677"/>
    <x v="332"/>
    <x v="6"/>
    <x v="524"/>
    <x v="1318"/>
    <x v="0"/>
    <x v="108"/>
    <x v="39"/>
    <x v="190"/>
    <x v="26"/>
    <x v="2"/>
    <x v="6"/>
    <x v="50"/>
    <x v="1"/>
  </r>
  <r>
    <x v="1155"/>
    <x v="0"/>
    <x v="703"/>
    <x v="566"/>
    <x v="10"/>
    <x v="57"/>
    <x v="39"/>
    <x v="30"/>
    <x v="18"/>
    <x v="23"/>
    <x v="0"/>
    <x v="525"/>
    <x v="191"/>
    <x v="129"/>
    <x v="479"/>
    <x v="1330"/>
    <x v="0"/>
    <x v="108"/>
    <x v="34"/>
    <x v="0"/>
    <x v="0"/>
    <x v="2"/>
    <x v="1"/>
    <x v="45"/>
    <x v="1"/>
  </r>
  <r>
    <x v="1157"/>
    <x v="0"/>
    <x v="703"/>
    <x v="567"/>
    <x v="10"/>
    <x v="37"/>
    <x v="39"/>
    <x v="30"/>
    <x v="18"/>
    <x v="23"/>
    <x v="0"/>
    <x v="592"/>
    <x v="279"/>
    <x v="129"/>
    <x v="462"/>
    <x v="1323"/>
    <x v="0"/>
    <x v="108"/>
    <x v="34"/>
    <x v="0"/>
    <x v="0"/>
    <x v="2"/>
    <x v="1"/>
    <x v="45"/>
    <x v="1"/>
  </r>
  <r>
    <x v="1159"/>
    <x v="0"/>
    <x v="703"/>
    <x v="492"/>
    <x v="10"/>
    <x v="99"/>
    <x v="32"/>
    <x v="30"/>
    <x v="18"/>
    <x v="23"/>
    <x v="0"/>
    <x v="518"/>
    <x v="187"/>
    <x v="129"/>
    <x v="466"/>
    <x v="1324"/>
    <x v="0"/>
    <x v="108"/>
    <x v="34"/>
    <x v="0"/>
    <x v="0"/>
    <x v="2"/>
    <x v="1"/>
    <x v="45"/>
    <x v="1"/>
  </r>
  <r>
    <x v="1161"/>
    <x v="0"/>
    <x v="703"/>
    <x v="493"/>
    <x v="10"/>
    <x v="19"/>
    <x v="6"/>
    <x v="30"/>
    <x v="18"/>
    <x v="23"/>
    <x v="0"/>
    <x v="538"/>
    <x v="227"/>
    <x v="129"/>
    <x v="457"/>
    <x v="1319"/>
    <x v="0"/>
    <x v="108"/>
    <x v="34"/>
    <x v="0"/>
    <x v="0"/>
    <x v="2"/>
    <x v="1"/>
    <x v="45"/>
    <x v="1"/>
  </r>
  <r>
    <x v="1163"/>
    <x v="0"/>
    <x v="703"/>
    <x v="494"/>
    <x v="10"/>
    <x v="47"/>
    <x v="39"/>
    <x v="30"/>
    <x v="18"/>
    <x v="23"/>
    <x v="0"/>
    <x v="509"/>
    <x v="179"/>
    <x v="129"/>
    <x v="454"/>
    <x v="1317"/>
    <x v="0"/>
    <x v="108"/>
    <x v="34"/>
    <x v="0"/>
    <x v="0"/>
    <x v="2"/>
    <x v="1"/>
    <x v="45"/>
    <x v="1"/>
  </r>
  <r>
    <x v="1193"/>
    <x v="1"/>
    <x v="703"/>
    <x v="507"/>
    <x v="10"/>
    <x v="35"/>
    <x v="4"/>
    <x v="17"/>
    <x v="13"/>
    <x v="25"/>
    <x v="0"/>
    <x v="527"/>
    <x v="152"/>
    <x v="28"/>
    <x v="507"/>
    <x v="1253"/>
    <x v="0"/>
    <x v="108"/>
    <x v="37"/>
    <x v="710"/>
    <x v="239"/>
    <x v="2"/>
    <x v="4"/>
    <x v="48"/>
    <x v="1"/>
  </r>
  <r>
    <x v="425"/>
    <x v="1"/>
    <x v="703"/>
    <x v="534"/>
    <x v="3"/>
    <x v="12"/>
    <x v="27"/>
    <x v="43"/>
    <x v="29"/>
    <x v="20"/>
    <x v="0"/>
    <x v="164"/>
    <x v="132"/>
    <x v="129"/>
    <x v="175"/>
    <x v="296"/>
    <x v="0"/>
    <x v="108"/>
    <x v="12"/>
    <x v="0"/>
    <x v="0"/>
    <x v="1"/>
    <x v="8"/>
    <x v="22"/>
    <x v="1"/>
  </r>
  <r>
    <x v="428"/>
    <x v="1"/>
    <x v="703"/>
    <x v="555"/>
    <x v="3"/>
    <x v="52"/>
    <x v="60"/>
    <x v="55"/>
    <x v="37"/>
    <x v="28"/>
    <x v="0"/>
    <x v="694"/>
    <x v="292"/>
    <x v="129"/>
    <x v="574"/>
    <x v="1381"/>
    <x v="0"/>
    <x v="108"/>
    <x v="14"/>
    <x v="0"/>
    <x v="0"/>
    <x v="1"/>
    <x v="10"/>
    <x v="24"/>
    <x v="1"/>
  </r>
  <r>
    <x v="431"/>
    <x v="1"/>
    <x v="703"/>
    <x v="554"/>
    <x v="3"/>
    <x v="68"/>
    <x v="59"/>
    <x v="55"/>
    <x v="37"/>
    <x v="28"/>
    <x v="0"/>
    <x v="701"/>
    <x v="282"/>
    <x v="129"/>
    <x v="593"/>
    <x v="1388"/>
    <x v="0"/>
    <x v="108"/>
    <x v="14"/>
    <x v="0"/>
    <x v="0"/>
    <x v="1"/>
    <x v="10"/>
    <x v="24"/>
    <x v="1"/>
  </r>
  <r>
    <x v="787"/>
    <x v="2"/>
    <x v="703"/>
    <x v="538"/>
    <x v="3"/>
    <x v="35"/>
    <x v="12"/>
    <x v="55"/>
    <x v="37"/>
    <x v="20"/>
    <x v="0"/>
    <x v="292"/>
    <x v="148"/>
    <x v="129"/>
    <x v="282"/>
    <x v="1157"/>
    <x v="0"/>
    <x v="108"/>
    <x v="12"/>
    <x v="0"/>
    <x v="0"/>
    <x v="1"/>
    <x v="8"/>
    <x v="22"/>
    <x v="1"/>
  </r>
  <r>
    <x v="1151"/>
    <x v="0"/>
    <x v="703"/>
    <x v="564"/>
    <x v="10"/>
    <x v="79"/>
    <x v="7"/>
    <x v="30"/>
    <x v="18"/>
    <x v="23"/>
    <x v="0"/>
    <x v="533"/>
    <x v="212"/>
    <x v="129"/>
    <x v="462"/>
    <x v="1323"/>
    <x v="0"/>
    <x v="108"/>
    <x v="34"/>
    <x v="0"/>
    <x v="0"/>
    <x v="2"/>
    <x v="1"/>
    <x v="45"/>
    <x v="1"/>
  </r>
  <r>
    <x v="1153"/>
    <x v="0"/>
    <x v="703"/>
    <x v="565"/>
    <x v="10"/>
    <x v="38"/>
    <x v="22"/>
    <x v="30"/>
    <x v="18"/>
    <x v="23"/>
    <x v="0"/>
    <x v="519"/>
    <x v="199"/>
    <x v="129"/>
    <x v="459"/>
    <x v="1320"/>
    <x v="0"/>
    <x v="108"/>
    <x v="34"/>
    <x v="0"/>
    <x v="0"/>
    <x v="2"/>
    <x v="1"/>
    <x v="45"/>
    <x v="1"/>
  </r>
  <r>
    <x v="315"/>
    <x v="1"/>
    <x v="22"/>
    <x v="375"/>
    <x v="7"/>
    <x v="105"/>
    <x v="20"/>
    <x v="18"/>
    <x v="55"/>
    <x v="20"/>
    <x v="0"/>
    <x v="118"/>
    <x v="327"/>
    <x v="91"/>
    <x v="40"/>
    <x v="24"/>
    <x v="1"/>
    <x v="108"/>
    <x v="43"/>
    <x v="385"/>
    <x v="602"/>
    <x v="0"/>
    <x v="16"/>
    <x v="0"/>
    <x v="1"/>
  </r>
  <r>
    <x v="318"/>
    <x v="1"/>
    <x v="23"/>
    <x v="375"/>
    <x v="7"/>
    <x v="105"/>
    <x v="20"/>
    <x v="18"/>
    <x v="55"/>
    <x v="2"/>
    <x v="0"/>
    <x v="77"/>
    <x v="104"/>
    <x v="123"/>
    <x v="8"/>
    <x v="1"/>
    <x v="1"/>
    <x v="108"/>
    <x v="43"/>
    <x v="636"/>
    <x v="669"/>
    <x v="0"/>
    <x v="16"/>
    <x v="0"/>
    <x v="1"/>
  </r>
  <r>
    <x v="321"/>
    <x v="1"/>
    <x v="24"/>
    <x v="376"/>
    <x v="7"/>
    <x v="103"/>
    <x v="8"/>
    <x v="18"/>
    <x v="55"/>
    <x v="20"/>
    <x v="0"/>
    <x v="265"/>
    <x v="129"/>
    <x v="119"/>
    <x v="274"/>
    <x v="189"/>
    <x v="1"/>
    <x v="108"/>
    <x v="43"/>
    <x v="1353"/>
    <x v="665"/>
    <x v="0"/>
    <x v="16"/>
    <x v="0"/>
    <x v="1"/>
  </r>
  <r>
    <x v="324"/>
    <x v="1"/>
    <x v="25"/>
    <x v="377"/>
    <x v="7"/>
    <x v="40"/>
    <x v="53"/>
    <x v="18"/>
    <x v="55"/>
    <x v="20"/>
    <x v="0"/>
    <x v="348"/>
    <x v="200"/>
    <x v="116"/>
    <x v="285"/>
    <x v="220"/>
    <x v="1"/>
    <x v="108"/>
    <x v="44"/>
    <x v="1346"/>
    <x v="660"/>
    <x v="0"/>
    <x v="17"/>
    <x v="1"/>
    <x v="1"/>
  </r>
  <r>
    <x v="327"/>
    <x v="1"/>
    <x v="26"/>
    <x v="378"/>
    <x v="7"/>
    <x v="61"/>
    <x v="86"/>
    <x v="18"/>
    <x v="55"/>
    <x v="20"/>
    <x v="0"/>
    <x v="762"/>
    <x v="383"/>
    <x v="118"/>
    <x v="543"/>
    <x v="287"/>
    <x v="1"/>
    <x v="108"/>
    <x v="44"/>
    <x v="1360"/>
    <x v="664"/>
    <x v="0"/>
    <x v="17"/>
    <x v="1"/>
    <x v="1"/>
  </r>
  <r>
    <x v="330"/>
    <x v="1"/>
    <x v="27"/>
    <x v="380"/>
    <x v="7"/>
    <x v="54"/>
    <x v="74"/>
    <x v="18"/>
    <x v="55"/>
    <x v="20"/>
    <x v="0"/>
    <x v="380"/>
    <x v="239"/>
    <x v="116"/>
    <x v="272"/>
    <x v="217"/>
    <x v="1"/>
    <x v="108"/>
    <x v="44"/>
    <x v="1344"/>
    <x v="662"/>
    <x v="0"/>
    <x v="17"/>
    <x v="1"/>
    <x v="1"/>
  </r>
  <r>
    <x v="333"/>
    <x v="1"/>
    <x v="28"/>
    <x v="379"/>
    <x v="7"/>
    <x v="95"/>
    <x v="10"/>
    <x v="18"/>
    <x v="55"/>
    <x v="20"/>
    <x v="0"/>
    <x v="288"/>
    <x v="144"/>
    <x v="114"/>
    <x v="282"/>
    <x v="232"/>
    <x v="1"/>
    <x v="108"/>
    <x v="44"/>
    <x v="1342"/>
    <x v="658"/>
    <x v="0"/>
    <x v="17"/>
    <x v="1"/>
    <x v="1"/>
  </r>
  <r>
    <x v="336"/>
    <x v="1"/>
    <x v="29"/>
    <x v="381"/>
    <x v="7"/>
    <x v="59"/>
    <x v="75"/>
    <x v="18"/>
    <x v="55"/>
    <x v="20"/>
    <x v="0"/>
    <x v="291"/>
    <x v="120"/>
    <x v="106"/>
    <x v="309"/>
    <x v="264"/>
    <x v="1"/>
    <x v="108"/>
    <x v="44"/>
    <x v="1330"/>
    <x v="646"/>
    <x v="0"/>
    <x v="17"/>
    <x v="1"/>
    <x v="1"/>
  </r>
  <r>
    <x v="339"/>
    <x v="1"/>
    <x v="30"/>
    <x v="382"/>
    <x v="7"/>
    <x v="105"/>
    <x v="20"/>
    <x v="18"/>
    <x v="55"/>
    <x v="2"/>
    <x v="0"/>
    <x v="134"/>
    <x v="353"/>
    <x v="125"/>
    <x v="20"/>
    <x v="5"/>
    <x v="1"/>
    <x v="108"/>
    <x v="44"/>
    <x v="950"/>
    <x v="671"/>
    <x v="0"/>
    <x v="17"/>
    <x v="1"/>
    <x v="1"/>
  </r>
  <r>
    <x v="342"/>
    <x v="1"/>
    <x v="31"/>
    <x v="382"/>
    <x v="7"/>
    <x v="105"/>
    <x v="20"/>
    <x v="13"/>
    <x v="55"/>
    <x v="2"/>
    <x v="0"/>
    <x v="84"/>
    <x v="103"/>
    <x v="124"/>
    <x v="29"/>
    <x v="8"/>
    <x v="1"/>
    <x v="108"/>
    <x v="44"/>
    <x v="957"/>
    <x v="670"/>
    <x v="0"/>
    <x v="17"/>
    <x v="1"/>
    <x v="1"/>
  </r>
  <r>
    <x v="345"/>
    <x v="1"/>
    <x v="33"/>
    <x v="384"/>
    <x v="7"/>
    <x v="67"/>
    <x v="63"/>
    <x v="13"/>
    <x v="55"/>
    <x v="2"/>
    <x v="0"/>
    <x v="425"/>
    <x v="411"/>
    <x v="106"/>
    <x v="124"/>
    <x v="99"/>
    <x v="1"/>
    <x v="108"/>
    <x v="45"/>
    <x v="1060"/>
    <x v="646"/>
    <x v="0"/>
    <x v="19"/>
    <x v="2"/>
    <x v="1"/>
  </r>
  <r>
    <x v="348"/>
    <x v="1"/>
    <x v="34"/>
    <x v="384"/>
    <x v="7"/>
    <x v="67"/>
    <x v="63"/>
    <x v="18"/>
    <x v="55"/>
    <x v="2"/>
    <x v="0"/>
    <x v="112"/>
    <x v="141"/>
    <x v="105"/>
    <x v="116"/>
    <x v="92"/>
    <x v="1"/>
    <x v="108"/>
    <x v="45"/>
    <x v="1002"/>
    <x v="645"/>
    <x v="0"/>
    <x v="19"/>
    <x v="2"/>
    <x v="1"/>
  </r>
  <r>
    <x v="351"/>
    <x v="1"/>
    <x v="35"/>
    <x v="383"/>
    <x v="7"/>
    <x v="0"/>
    <x v="69"/>
    <x v="13"/>
    <x v="55"/>
    <x v="2"/>
    <x v="0"/>
    <x v="410"/>
    <x v="183"/>
    <x v="120"/>
    <x v="364"/>
    <x v="198"/>
    <x v="1"/>
    <x v="108"/>
    <x v="45"/>
    <x v="1358"/>
    <x v="666"/>
    <x v="0"/>
    <x v="19"/>
    <x v="2"/>
    <x v="1"/>
  </r>
  <r>
    <x v="353"/>
    <x v="1"/>
    <x v="36"/>
    <x v="385"/>
    <x v="7"/>
    <x v="50"/>
    <x v="70"/>
    <x v="13"/>
    <x v="55"/>
    <x v="2"/>
    <x v="0"/>
    <x v="414"/>
    <x v="174"/>
    <x v="116"/>
    <x v="377"/>
    <x v="251"/>
    <x v="1"/>
    <x v="108"/>
    <x v="45"/>
    <x v="1350"/>
    <x v="660"/>
    <x v="0"/>
    <x v="19"/>
    <x v="2"/>
    <x v="1"/>
  </r>
  <r>
    <x v="355"/>
    <x v="1"/>
    <x v="37"/>
    <x v="387"/>
    <x v="7"/>
    <x v="104"/>
    <x v="64"/>
    <x v="13"/>
    <x v="55"/>
    <x v="2"/>
    <x v="0"/>
    <x v="451"/>
    <x v="172"/>
    <x v="112"/>
    <x v="401"/>
    <x v="267"/>
    <x v="1"/>
    <x v="108"/>
    <x v="46"/>
    <x v="1347"/>
    <x v="655"/>
    <x v="0"/>
    <x v="20"/>
    <x v="3"/>
    <x v="1"/>
  </r>
  <r>
    <x v="357"/>
    <x v="1"/>
    <x v="38"/>
    <x v="388"/>
    <x v="7"/>
    <x v="9"/>
    <x v="33"/>
    <x v="18"/>
    <x v="55"/>
    <x v="2"/>
    <x v="0"/>
    <x v="290"/>
    <x v="380"/>
    <x v="102"/>
    <x v="105"/>
    <x v="93"/>
    <x v="1"/>
    <x v="108"/>
    <x v="46"/>
    <x v="941"/>
    <x v="640"/>
    <x v="0"/>
    <x v="20"/>
    <x v="3"/>
    <x v="1"/>
  </r>
  <r>
    <x v="359"/>
    <x v="1"/>
    <x v="39"/>
    <x v="388"/>
    <x v="7"/>
    <x v="9"/>
    <x v="33"/>
    <x v="13"/>
    <x v="55"/>
    <x v="2"/>
    <x v="0"/>
    <x v="100"/>
    <x v="79"/>
    <x v="107"/>
    <x v="106"/>
    <x v="88"/>
    <x v="1"/>
    <x v="108"/>
    <x v="46"/>
    <x v="1022"/>
    <x v="648"/>
    <x v="0"/>
    <x v="20"/>
    <x v="3"/>
    <x v="1"/>
  </r>
  <r>
    <x v="361"/>
    <x v="1"/>
    <x v="40"/>
    <x v="389"/>
    <x v="7"/>
    <x v="103"/>
    <x v="8"/>
    <x v="18"/>
    <x v="55"/>
    <x v="2"/>
    <x v="0"/>
    <x v="460"/>
    <x v="125"/>
    <x v="116"/>
    <x v="428"/>
    <x v="265"/>
    <x v="1"/>
    <x v="108"/>
    <x v="46"/>
    <x v="1354"/>
    <x v="660"/>
    <x v="0"/>
    <x v="20"/>
    <x v="3"/>
    <x v="1"/>
  </r>
  <r>
    <x v="376"/>
    <x v="1"/>
    <x v="41"/>
    <x v="390"/>
    <x v="7"/>
    <x v="42"/>
    <x v="21"/>
    <x v="18"/>
    <x v="55"/>
    <x v="2"/>
    <x v="0"/>
    <x v="664"/>
    <x v="310"/>
    <x v="91"/>
    <x v="518"/>
    <x v="730"/>
    <x v="1"/>
    <x v="108"/>
    <x v="46"/>
    <x v="1327"/>
    <x v="602"/>
    <x v="0"/>
    <x v="20"/>
    <x v="3"/>
    <x v="1"/>
  </r>
  <r>
    <x v="379"/>
    <x v="1"/>
    <x v="42"/>
    <x v="391"/>
    <x v="7"/>
    <x v="59"/>
    <x v="75"/>
    <x v="18"/>
    <x v="55"/>
    <x v="2"/>
    <x v="0"/>
    <x v="321"/>
    <x v="109"/>
    <x v="104"/>
    <x v="350"/>
    <x v="276"/>
    <x v="1"/>
    <x v="108"/>
    <x v="46"/>
    <x v="1331"/>
    <x v="643"/>
    <x v="0"/>
    <x v="20"/>
    <x v="3"/>
    <x v="1"/>
  </r>
  <r>
    <x v="382"/>
    <x v="1"/>
    <x v="43"/>
    <x v="0"/>
    <x v="3"/>
    <x v="105"/>
    <x v="20"/>
    <x v="50"/>
    <x v="55"/>
    <x v="20"/>
    <x v="0"/>
    <x v="45"/>
    <x v="32"/>
    <x v="112"/>
    <x v="31"/>
    <x v="13"/>
    <x v="1"/>
    <x v="108"/>
    <x v="46"/>
    <x v="637"/>
    <x v="654"/>
    <x v="0"/>
    <x v="20"/>
    <x v="3"/>
    <x v="1"/>
  </r>
  <r>
    <x v="385"/>
    <x v="1"/>
    <x v="44"/>
    <x v="392"/>
    <x v="7"/>
    <x v="40"/>
    <x v="53"/>
    <x v="24"/>
    <x v="55"/>
    <x v="28"/>
    <x v="0"/>
    <x v="405"/>
    <x v="421"/>
    <x v="109"/>
    <x v="82"/>
    <x v="81"/>
    <x v="1"/>
    <x v="108"/>
    <x v="46"/>
    <x v="1000"/>
    <x v="651"/>
    <x v="0"/>
    <x v="20"/>
    <x v="3"/>
    <x v="1"/>
  </r>
  <r>
    <x v="388"/>
    <x v="1"/>
    <x v="45"/>
    <x v="392"/>
    <x v="7"/>
    <x v="40"/>
    <x v="53"/>
    <x v="18"/>
    <x v="55"/>
    <x v="2"/>
    <x v="0"/>
    <x v="123"/>
    <x v="199"/>
    <x v="115"/>
    <x v="119"/>
    <x v="83"/>
    <x v="1"/>
    <x v="108"/>
    <x v="46"/>
    <x v="1157"/>
    <x v="659"/>
    <x v="0"/>
    <x v="20"/>
    <x v="3"/>
    <x v="1"/>
  </r>
  <r>
    <x v="394"/>
    <x v="1"/>
    <x v="46"/>
    <x v="393"/>
    <x v="7"/>
    <x v="0"/>
    <x v="69"/>
    <x v="18"/>
    <x v="55"/>
    <x v="2"/>
    <x v="0"/>
    <x v="392"/>
    <x v="176"/>
    <x v="99"/>
    <x v="353"/>
    <x v="293"/>
    <x v="1"/>
    <x v="108"/>
    <x v="46"/>
    <x v="1312"/>
    <x v="631"/>
    <x v="0"/>
    <x v="20"/>
    <x v="3"/>
    <x v="1"/>
  </r>
  <r>
    <x v="391"/>
    <x v="1"/>
    <x v="47"/>
    <x v="1"/>
    <x v="3"/>
    <x v="105"/>
    <x v="20"/>
    <x v="50"/>
    <x v="55"/>
    <x v="20"/>
    <x v="0"/>
    <x v="42"/>
    <x v="30"/>
    <x v="80"/>
    <x v="25"/>
    <x v="27"/>
    <x v="1"/>
    <x v="108"/>
    <x v="46"/>
    <x v="257"/>
    <x v="574"/>
    <x v="0"/>
    <x v="20"/>
    <x v="3"/>
    <x v="1"/>
  </r>
  <r>
    <x v="400"/>
    <x v="1"/>
    <x v="48"/>
    <x v="394"/>
    <x v="7"/>
    <x v="67"/>
    <x v="63"/>
    <x v="18"/>
    <x v="55"/>
    <x v="2"/>
    <x v="0"/>
    <x v="343"/>
    <x v="141"/>
    <x v="113"/>
    <x v="340"/>
    <x v="253"/>
    <x v="1"/>
    <x v="108"/>
    <x v="47"/>
    <x v="1345"/>
    <x v="657"/>
    <x v="0"/>
    <x v="21"/>
    <x v="4"/>
    <x v="1"/>
  </r>
  <r>
    <x v="403"/>
    <x v="1"/>
    <x v="49"/>
    <x v="395"/>
    <x v="7"/>
    <x v="104"/>
    <x v="64"/>
    <x v="18"/>
    <x v="55"/>
    <x v="2"/>
    <x v="0"/>
    <x v="355"/>
    <x v="159"/>
    <x v="108"/>
    <x v="334"/>
    <x v="261"/>
    <x v="1"/>
    <x v="108"/>
    <x v="47"/>
    <x v="1337"/>
    <x v="649"/>
    <x v="0"/>
    <x v="21"/>
    <x v="4"/>
    <x v="1"/>
  </r>
  <r>
    <x v="397"/>
    <x v="1"/>
    <x v="50"/>
    <x v="2"/>
    <x v="3"/>
    <x v="105"/>
    <x v="20"/>
    <x v="50"/>
    <x v="55"/>
    <x v="20"/>
    <x v="0"/>
    <x v="46"/>
    <x v="29"/>
    <x v="72"/>
    <x v="35"/>
    <x v="35"/>
    <x v="1"/>
    <x v="108"/>
    <x v="47"/>
    <x v="210"/>
    <x v="535"/>
    <x v="0"/>
    <x v="21"/>
    <x v="4"/>
    <x v="1"/>
  </r>
  <r>
    <x v="406"/>
    <x v="1"/>
    <x v="51"/>
    <x v="396"/>
    <x v="7"/>
    <x v="29"/>
    <x v="67"/>
    <x v="18"/>
    <x v="55"/>
    <x v="2"/>
    <x v="0"/>
    <x v="325"/>
    <x v="122"/>
    <x v="108"/>
    <x v="341"/>
    <x v="263"/>
    <x v="1"/>
    <x v="108"/>
    <x v="47"/>
    <x v="1339"/>
    <x v="649"/>
    <x v="0"/>
    <x v="21"/>
    <x v="4"/>
    <x v="1"/>
  </r>
  <r>
    <x v="409"/>
    <x v="1"/>
    <x v="52"/>
    <x v="397"/>
    <x v="7"/>
    <x v="54"/>
    <x v="74"/>
    <x v="24"/>
    <x v="55"/>
    <x v="28"/>
    <x v="0"/>
    <x v="433"/>
    <x v="242"/>
    <x v="98"/>
    <x v="321"/>
    <x v="285"/>
    <x v="1"/>
    <x v="108"/>
    <x v="47"/>
    <x v="1301"/>
    <x v="627"/>
    <x v="0"/>
    <x v="21"/>
    <x v="4"/>
    <x v="1"/>
  </r>
  <r>
    <x v="412"/>
    <x v="1"/>
    <x v="53"/>
    <x v="398"/>
    <x v="7"/>
    <x v="95"/>
    <x v="10"/>
    <x v="24"/>
    <x v="55"/>
    <x v="28"/>
    <x v="0"/>
    <x v="319"/>
    <x v="149"/>
    <x v="104"/>
    <x v="308"/>
    <x v="268"/>
    <x v="1"/>
    <x v="108"/>
    <x v="47"/>
    <x v="1322"/>
    <x v="644"/>
    <x v="0"/>
    <x v="21"/>
    <x v="4"/>
    <x v="1"/>
  </r>
  <r>
    <x v="415"/>
    <x v="1"/>
    <x v="55"/>
    <x v="399"/>
    <x v="7"/>
    <x v="9"/>
    <x v="33"/>
    <x v="24"/>
    <x v="55"/>
    <x v="28"/>
    <x v="0"/>
    <x v="284"/>
    <x v="79"/>
    <x v="95"/>
    <x v="344"/>
    <x v="303"/>
    <x v="1"/>
    <x v="108"/>
    <x v="47"/>
    <x v="1297"/>
    <x v="623"/>
    <x v="0"/>
    <x v="21"/>
    <x v="4"/>
    <x v="1"/>
  </r>
  <r>
    <x v="421"/>
    <x v="1"/>
    <x v="57"/>
    <x v="400"/>
    <x v="7"/>
    <x v="61"/>
    <x v="86"/>
    <x v="24"/>
    <x v="55"/>
    <x v="28"/>
    <x v="0"/>
    <x v="789"/>
    <x v="464"/>
    <x v="94"/>
    <x v="208"/>
    <x v="249"/>
    <x v="1"/>
    <x v="108"/>
    <x v="47"/>
    <x v="1224"/>
    <x v="620"/>
    <x v="0"/>
    <x v="21"/>
    <x v="4"/>
    <x v="1"/>
  </r>
  <r>
    <x v="418"/>
    <x v="1"/>
    <x v="58"/>
    <x v="3"/>
    <x v="3"/>
    <x v="105"/>
    <x v="20"/>
    <x v="50"/>
    <x v="55"/>
    <x v="20"/>
    <x v="0"/>
    <x v="87"/>
    <x v="29"/>
    <x v="79"/>
    <x v="158"/>
    <x v="197"/>
    <x v="1"/>
    <x v="108"/>
    <x v="47"/>
    <x v="862"/>
    <x v="568"/>
    <x v="0"/>
    <x v="21"/>
    <x v="4"/>
    <x v="1"/>
  </r>
  <r>
    <x v="423"/>
    <x v="1"/>
    <x v="59"/>
    <x v="401"/>
    <x v="7"/>
    <x v="42"/>
    <x v="21"/>
    <x v="24"/>
    <x v="55"/>
    <x v="28"/>
    <x v="0"/>
    <x v="686"/>
    <x v="309"/>
    <x v="89"/>
    <x v="538"/>
    <x v="1016"/>
    <x v="1"/>
    <x v="108"/>
    <x v="47"/>
    <x v="1329"/>
    <x v="596"/>
    <x v="0"/>
    <x v="21"/>
    <x v="4"/>
    <x v="1"/>
  </r>
  <r>
    <x v="426"/>
    <x v="1"/>
    <x v="60"/>
    <x v="4"/>
    <x v="3"/>
    <x v="59"/>
    <x v="75"/>
    <x v="50"/>
    <x v="55"/>
    <x v="20"/>
    <x v="0"/>
    <x v="477"/>
    <x v="109"/>
    <x v="73"/>
    <x v="465"/>
    <x v="972"/>
    <x v="1"/>
    <x v="108"/>
    <x v="47"/>
    <x v="1217"/>
    <x v="539"/>
    <x v="0"/>
    <x v="21"/>
    <x v="4"/>
    <x v="1"/>
  </r>
  <r>
    <x v="429"/>
    <x v="1"/>
    <x v="61"/>
    <x v="402"/>
    <x v="7"/>
    <x v="49"/>
    <x v="41"/>
    <x v="24"/>
    <x v="55"/>
    <x v="28"/>
    <x v="0"/>
    <x v="669"/>
    <x v="459"/>
    <x v="91"/>
    <x v="121"/>
    <x v="109"/>
    <x v="1"/>
    <x v="108"/>
    <x v="47"/>
    <x v="824"/>
    <x v="608"/>
    <x v="0"/>
    <x v="21"/>
    <x v="4"/>
    <x v="1"/>
  </r>
  <r>
    <x v="432"/>
    <x v="1"/>
    <x v="62"/>
    <x v="402"/>
    <x v="7"/>
    <x v="49"/>
    <x v="41"/>
    <x v="13"/>
    <x v="55"/>
    <x v="28"/>
    <x v="0"/>
    <x v="213"/>
    <x v="297"/>
    <x v="111"/>
    <x v="178"/>
    <x v="128"/>
    <x v="1"/>
    <x v="108"/>
    <x v="47"/>
    <x v="1247"/>
    <x v="653"/>
    <x v="0"/>
    <x v="21"/>
    <x v="4"/>
    <x v="1"/>
  </r>
  <r>
    <x v="444"/>
    <x v="1"/>
    <x v="64"/>
    <x v="403"/>
    <x v="7"/>
    <x v="75"/>
    <x v="57"/>
    <x v="13"/>
    <x v="55"/>
    <x v="28"/>
    <x v="0"/>
    <x v="700"/>
    <x v="349"/>
    <x v="113"/>
    <x v="527"/>
    <x v="325"/>
    <x v="1"/>
    <x v="108"/>
    <x v="48"/>
    <x v="1356"/>
    <x v="656"/>
    <x v="0"/>
    <x v="22"/>
    <x v="5"/>
    <x v="1"/>
  </r>
  <r>
    <x v="447"/>
    <x v="1"/>
    <x v="65"/>
    <x v="6"/>
    <x v="3"/>
    <x v="59"/>
    <x v="75"/>
    <x v="50"/>
    <x v="55"/>
    <x v="20"/>
    <x v="0"/>
    <x v="146"/>
    <x v="107"/>
    <x v="89"/>
    <x v="158"/>
    <x v="184"/>
    <x v="1"/>
    <x v="108"/>
    <x v="48"/>
    <x v="1012"/>
    <x v="595"/>
    <x v="0"/>
    <x v="22"/>
    <x v="5"/>
    <x v="1"/>
  </r>
  <r>
    <x v="435"/>
    <x v="1"/>
    <x v="66"/>
    <x v="204"/>
    <x v="7"/>
    <x v="91"/>
    <x v="37"/>
    <x v="13"/>
    <x v="55"/>
    <x v="28"/>
    <x v="0"/>
    <x v="388"/>
    <x v="135"/>
    <x v="91"/>
    <x v="385"/>
    <x v="360"/>
    <x v="1"/>
    <x v="108"/>
    <x v="48"/>
    <x v="1290"/>
    <x v="602"/>
    <x v="0"/>
    <x v="22"/>
    <x v="5"/>
    <x v="1"/>
  </r>
  <r>
    <x v="438"/>
    <x v="1"/>
    <x v="67"/>
    <x v="203"/>
    <x v="7"/>
    <x v="80"/>
    <x v="35"/>
    <x v="13"/>
    <x v="55"/>
    <x v="28"/>
    <x v="0"/>
    <x v="395"/>
    <x v="158"/>
    <x v="100"/>
    <x v="375"/>
    <x v="297"/>
    <x v="1"/>
    <x v="108"/>
    <x v="48"/>
    <x v="1320"/>
    <x v="632"/>
    <x v="0"/>
    <x v="22"/>
    <x v="5"/>
    <x v="1"/>
  </r>
  <r>
    <x v="441"/>
    <x v="1"/>
    <x v="68"/>
    <x v="3"/>
    <x v="3"/>
    <x v="105"/>
    <x v="20"/>
    <x v="50"/>
    <x v="55"/>
    <x v="20"/>
    <x v="0"/>
    <x v="141"/>
    <x v="102"/>
    <x v="82"/>
    <x v="156"/>
    <x v="194"/>
    <x v="1"/>
    <x v="108"/>
    <x v="48"/>
    <x v="900"/>
    <x v="576"/>
    <x v="0"/>
    <x v="22"/>
    <x v="5"/>
    <x v="1"/>
  </r>
  <r>
    <x v="564"/>
    <x v="3"/>
    <x v="69"/>
    <x v="495"/>
    <x v="7"/>
    <x v="61"/>
    <x v="86"/>
    <x v="24"/>
    <x v="55"/>
    <x v="28"/>
    <x v="0"/>
    <x v="89"/>
    <x v="44"/>
    <x v="127"/>
    <x v="78"/>
    <x v="1394"/>
    <x v="1"/>
    <x v="108"/>
    <x v="47"/>
    <x v="1352"/>
    <x v="673"/>
    <x v="0"/>
    <x v="21"/>
    <x v="4"/>
    <x v="1"/>
  </r>
  <r>
    <x v="450"/>
    <x v="1"/>
    <x v="71"/>
    <x v="7"/>
    <x v="3"/>
    <x v="9"/>
    <x v="33"/>
    <x v="50"/>
    <x v="55"/>
    <x v="20"/>
    <x v="0"/>
    <x v="160"/>
    <x v="75"/>
    <x v="77"/>
    <x v="184"/>
    <x v="218"/>
    <x v="1"/>
    <x v="108"/>
    <x v="48"/>
    <x v="916"/>
    <x v="565"/>
    <x v="0"/>
    <x v="22"/>
    <x v="5"/>
    <x v="1"/>
  </r>
  <r>
    <x v="453"/>
    <x v="1"/>
    <x v="72"/>
    <x v="404"/>
    <x v="7"/>
    <x v="102"/>
    <x v="8"/>
    <x v="13"/>
    <x v="55"/>
    <x v="28"/>
    <x v="0"/>
    <x v="343"/>
    <x v="124"/>
    <x v="95"/>
    <x v="357"/>
    <x v="312"/>
    <x v="1"/>
    <x v="108"/>
    <x v="48"/>
    <x v="1299"/>
    <x v="621"/>
    <x v="0"/>
    <x v="22"/>
    <x v="5"/>
    <x v="1"/>
  </r>
  <r>
    <x v="456"/>
    <x v="1"/>
    <x v="74"/>
    <x v="8"/>
    <x v="3"/>
    <x v="9"/>
    <x v="33"/>
    <x v="50"/>
    <x v="55"/>
    <x v="20"/>
    <x v="0"/>
    <x v="147"/>
    <x v="66"/>
    <x v="91"/>
    <x v="179"/>
    <x v="193"/>
    <x v="1"/>
    <x v="108"/>
    <x v="48"/>
    <x v="1083"/>
    <x v="606"/>
    <x v="0"/>
    <x v="22"/>
    <x v="5"/>
    <x v="1"/>
  </r>
  <r>
    <x v="459"/>
    <x v="1"/>
    <x v="75"/>
    <x v="405"/>
    <x v="7"/>
    <x v="29"/>
    <x v="67"/>
    <x v="13"/>
    <x v="55"/>
    <x v="28"/>
    <x v="0"/>
    <x v="378"/>
    <x v="123"/>
    <x v="98"/>
    <x v="386"/>
    <x v="321"/>
    <x v="1"/>
    <x v="108"/>
    <x v="48"/>
    <x v="1316"/>
    <x v="627"/>
    <x v="0"/>
    <x v="22"/>
    <x v="5"/>
    <x v="1"/>
  </r>
  <r>
    <x v="462"/>
    <x v="1"/>
    <x v="76"/>
    <x v="9"/>
    <x v="3"/>
    <x v="103"/>
    <x v="8"/>
    <x v="50"/>
    <x v="55"/>
    <x v="20"/>
    <x v="0"/>
    <x v="170"/>
    <x v="131"/>
    <x v="89"/>
    <x v="183"/>
    <x v="202"/>
    <x v="1"/>
    <x v="108"/>
    <x v="48"/>
    <x v="1067"/>
    <x v="595"/>
    <x v="0"/>
    <x v="22"/>
    <x v="5"/>
    <x v="1"/>
  </r>
  <r>
    <x v="465"/>
    <x v="1"/>
    <x v="77"/>
    <x v="401"/>
    <x v="7"/>
    <x v="42"/>
    <x v="21"/>
    <x v="13"/>
    <x v="55"/>
    <x v="28"/>
    <x v="0"/>
    <x v="672"/>
    <x v="296"/>
    <x v="89"/>
    <x v="533"/>
    <x v="958"/>
    <x v="1"/>
    <x v="108"/>
    <x v="48"/>
    <x v="1325"/>
    <x v="595"/>
    <x v="0"/>
    <x v="22"/>
    <x v="5"/>
    <x v="1"/>
  </r>
  <r>
    <x v="468"/>
    <x v="1"/>
    <x v="78"/>
    <x v="406"/>
    <x v="7"/>
    <x v="40"/>
    <x v="53"/>
    <x v="13"/>
    <x v="55"/>
    <x v="28"/>
    <x v="0"/>
    <x v="575"/>
    <x v="201"/>
    <x v="114"/>
    <x v="532"/>
    <x v="334"/>
    <x v="1"/>
    <x v="108"/>
    <x v="48"/>
    <x v="1357"/>
    <x v="658"/>
    <x v="0"/>
    <x v="22"/>
    <x v="5"/>
    <x v="1"/>
  </r>
  <r>
    <x v="471"/>
    <x v="1"/>
    <x v="79"/>
    <x v="10"/>
    <x v="3"/>
    <x v="9"/>
    <x v="33"/>
    <x v="50"/>
    <x v="55"/>
    <x v="2"/>
    <x v="0"/>
    <x v="184"/>
    <x v="372"/>
    <x v="110"/>
    <x v="59"/>
    <x v="18"/>
    <x v="1"/>
    <x v="108"/>
    <x v="48"/>
    <x v="724"/>
    <x v="652"/>
    <x v="0"/>
    <x v="22"/>
    <x v="5"/>
    <x v="1"/>
  </r>
  <r>
    <x v="474"/>
    <x v="1"/>
    <x v="80"/>
    <x v="10"/>
    <x v="3"/>
    <x v="9"/>
    <x v="33"/>
    <x v="50"/>
    <x v="55"/>
    <x v="20"/>
    <x v="0"/>
    <x v="95"/>
    <x v="65"/>
    <x v="99"/>
    <x v="75"/>
    <x v="87"/>
    <x v="1"/>
    <x v="108"/>
    <x v="48"/>
    <x v="809"/>
    <x v="631"/>
    <x v="0"/>
    <x v="22"/>
    <x v="5"/>
    <x v="1"/>
  </r>
  <r>
    <x v="477"/>
    <x v="1"/>
    <x v="81"/>
    <x v="11"/>
    <x v="3"/>
    <x v="103"/>
    <x v="8"/>
    <x v="49"/>
    <x v="55"/>
    <x v="20"/>
    <x v="0"/>
    <x v="163"/>
    <x v="130"/>
    <x v="84"/>
    <x v="174"/>
    <x v="201"/>
    <x v="1"/>
    <x v="108"/>
    <x v="49"/>
    <x v="979"/>
    <x v="583"/>
    <x v="0"/>
    <x v="23"/>
    <x v="6"/>
    <x v="1"/>
  </r>
  <r>
    <x v="480"/>
    <x v="1"/>
    <x v="82"/>
    <x v="12"/>
    <x v="3"/>
    <x v="9"/>
    <x v="33"/>
    <x v="49"/>
    <x v="55"/>
    <x v="20"/>
    <x v="0"/>
    <x v="140"/>
    <x v="72"/>
    <x v="94"/>
    <x v="171"/>
    <x v="180"/>
    <x v="1"/>
    <x v="108"/>
    <x v="49"/>
    <x v="1110"/>
    <x v="620"/>
    <x v="0"/>
    <x v="23"/>
    <x v="6"/>
    <x v="1"/>
  </r>
  <r>
    <x v="483"/>
    <x v="1"/>
    <x v="83"/>
    <x v="407"/>
    <x v="7"/>
    <x v="91"/>
    <x v="37"/>
    <x v="13"/>
    <x v="55"/>
    <x v="28"/>
    <x v="0"/>
    <x v="205"/>
    <x v="129"/>
    <x v="88"/>
    <x v="212"/>
    <x v="262"/>
    <x v="1"/>
    <x v="108"/>
    <x v="49"/>
    <x v="1191"/>
    <x v="594"/>
    <x v="0"/>
    <x v="23"/>
    <x v="6"/>
    <x v="1"/>
  </r>
  <r>
    <x v="486"/>
    <x v="2"/>
    <x v="84"/>
    <x v="13"/>
    <x v="3"/>
    <x v="103"/>
    <x v="8"/>
    <x v="49"/>
    <x v="55"/>
    <x v="20"/>
    <x v="0"/>
    <x v="159"/>
    <x v="132"/>
    <x v="91"/>
    <x v="164"/>
    <x v="183"/>
    <x v="1"/>
    <x v="108"/>
    <x v="49"/>
    <x v="1050"/>
    <x v="607"/>
    <x v="0"/>
    <x v="23"/>
    <x v="6"/>
    <x v="1"/>
  </r>
  <r>
    <x v="489"/>
    <x v="1"/>
    <x v="85"/>
    <x v="14"/>
    <x v="3"/>
    <x v="9"/>
    <x v="33"/>
    <x v="49"/>
    <x v="55"/>
    <x v="20"/>
    <x v="0"/>
    <x v="132"/>
    <x v="70"/>
    <x v="84"/>
    <x v="155"/>
    <x v="191"/>
    <x v="1"/>
    <x v="108"/>
    <x v="49"/>
    <x v="937"/>
    <x v="585"/>
    <x v="0"/>
    <x v="23"/>
    <x v="6"/>
    <x v="1"/>
  </r>
  <r>
    <x v="492"/>
    <x v="1"/>
    <x v="86"/>
    <x v="15"/>
    <x v="3"/>
    <x v="80"/>
    <x v="35"/>
    <x v="49"/>
    <x v="55"/>
    <x v="20"/>
    <x v="0"/>
    <x v="193"/>
    <x v="155"/>
    <x v="93"/>
    <x v="197"/>
    <x v="226"/>
    <x v="1"/>
    <x v="108"/>
    <x v="49"/>
    <x v="1193"/>
    <x v="612"/>
    <x v="0"/>
    <x v="23"/>
    <x v="6"/>
    <x v="1"/>
  </r>
  <r>
    <x v="495"/>
    <x v="1"/>
    <x v="87"/>
    <x v="16"/>
    <x v="3"/>
    <x v="105"/>
    <x v="20"/>
    <x v="49"/>
    <x v="55"/>
    <x v="20"/>
    <x v="0"/>
    <x v="379"/>
    <x v="101"/>
    <x v="68"/>
    <x v="400"/>
    <x v="725"/>
    <x v="1"/>
    <x v="108"/>
    <x v="49"/>
    <x v="1128"/>
    <x v="505"/>
    <x v="0"/>
    <x v="23"/>
    <x v="6"/>
    <x v="1"/>
  </r>
  <r>
    <x v="498"/>
    <x v="1"/>
    <x v="88"/>
    <x v="17"/>
    <x v="3"/>
    <x v="91"/>
    <x v="37"/>
    <x v="49"/>
    <x v="55"/>
    <x v="20"/>
    <x v="0"/>
    <x v="415"/>
    <x v="127"/>
    <x v="79"/>
    <x v="405"/>
    <x v="541"/>
    <x v="1"/>
    <x v="108"/>
    <x v="49"/>
    <x v="1226"/>
    <x v="571"/>
    <x v="0"/>
    <x v="23"/>
    <x v="6"/>
    <x v="1"/>
  </r>
  <r>
    <x v="501"/>
    <x v="1"/>
    <x v="89"/>
    <x v="18"/>
    <x v="3"/>
    <x v="80"/>
    <x v="35"/>
    <x v="49"/>
    <x v="55"/>
    <x v="20"/>
    <x v="0"/>
    <x v="447"/>
    <x v="153"/>
    <x v="82"/>
    <x v="410"/>
    <x v="517"/>
    <x v="1"/>
    <x v="108"/>
    <x v="49"/>
    <x v="1248"/>
    <x v="577"/>
    <x v="0"/>
    <x v="23"/>
    <x v="6"/>
    <x v="1"/>
  </r>
  <r>
    <x v="504"/>
    <x v="1"/>
    <x v="90"/>
    <x v="19"/>
    <x v="3"/>
    <x v="105"/>
    <x v="20"/>
    <x v="49"/>
    <x v="55"/>
    <x v="20"/>
    <x v="0"/>
    <x v="211"/>
    <x v="369"/>
    <x v="71"/>
    <x v="121"/>
    <x v="125"/>
    <x v="1"/>
    <x v="108"/>
    <x v="49"/>
    <x v="508"/>
    <x v="533"/>
    <x v="0"/>
    <x v="23"/>
    <x v="6"/>
    <x v="1"/>
  </r>
  <r>
    <x v="510"/>
    <x v="1"/>
    <x v="91"/>
    <x v="20"/>
    <x v="3"/>
    <x v="91"/>
    <x v="37"/>
    <x v="49"/>
    <x v="55"/>
    <x v="20"/>
    <x v="0"/>
    <x v="406"/>
    <x v="125"/>
    <x v="75"/>
    <x v="402"/>
    <x v="563"/>
    <x v="1"/>
    <x v="108"/>
    <x v="49"/>
    <x v="1204"/>
    <x v="552"/>
    <x v="0"/>
    <x v="23"/>
    <x v="6"/>
    <x v="1"/>
  </r>
  <r>
    <x v="507"/>
    <x v="1"/>
    <x v="92"/>
    <x v="19"/>
    <x v="3"/>
    <x v="105"/>
    <x v="20"/>
    <x v="49"/>
    <x v="55"/>
    <x v="14"/>
    <x v="0"/>
    <x v="91"/>
    <x v="99"/>
    <x v="93"/>
    <x v="60"/>
    <x v="43"/>
    <x v="1"/>
    <x v="108"/>
    <x v="49"/>
    <x v="518"/>
    <x v="612"/>
    <x v="0"/>
    <x v="23"/>
    <x v="6"/>
    <x v="1"/>
  </r>
  <r>
    <x v="513"/>
    <x v="1"/>
    <x v="93"/>
    <x v="21"/>
    <x v="3"/>
    <x v="80"/>
    <x v="35"/>
    <x v="49"/>
    <x v="55"/>
    <x v="20"/>
    <x v="0"/>
    <x v="432"/>
    <x v="152"/>
    <x v="88"/>
    <x v="401"/>
    <x v="402"/>
    <x v="1"/>
    <x v="108"/>
    <x v="49"/>
    <x v="1271"/>
    <x v="594"/>
    <x v="0"/>
    <x v="23"/>
    <x v="6"/>
    <x v="1"/>
  </r>
  <r>
    <x v="516"/>
    <x v="1"/>
    <x v="94"/>
    <x v="22"/>
    <x v="3"/>
    <x v="91"/>
    <x v="37"/>
    <x v="49"/>
    <x v="55"/>
    <x v="20"/>
    <x v="0"/>
    <x v="548"/>
    <x v="132"/>
    <x v="79"/>
    <x v="529"/>
    <x v="1104"/>
    <x v="1"/>
    <x v="108"/>
    <x v="49"/>
    <x v="1275"/>
    <x v="570"/>
    <x v="0"/>
    <x v="23"/>
    <x v="6"/>
    <x v="1"/>
  </r>
  <r>
    <x v="519"/>
    <x v="1"/>
    <x v="95"/>
    <x v="23"/>
    <x v="3"/>
    <x v="80"/>
    <x v="35"/>
    <x v="49"/>
    <x v="55"/>
    <x v="20"/>
    <x v="0"/>
    <x v="424"/>
    <x v="160"/>
    <x v="82"/>
    <x v="391"/>
    <x v="461"/>
    <x v="1"/>
    <x v="108"/>
    <x v="49"/>
    <x v="1238"/>
    <x v="578"/>
    <x v="0"/>
    <x v="23"/>
    <x v="6"/>
    <x v="1"/>
  </r>
  <r>
    <x v="522"/>
    <x v="1"/>
    <x v="96"/>
    <x v="24"/>
    <x v="3"/>
    <x v="91"/>
    <x v="37"/>
    <x v="49"/>
    <x v="55"/>
    <x v="20"/>
    <x v="0"/>
    <x v="452"/>
    <x v="131"/>
    <x v="75"/>
    <x v="419"/>
    <x v="677"/>
    <x v="1"/>
    <x v="108"/>
    <x v="50"/>
    <x v="1219"/>
    <x v="552"/>
    <x v="0"/>
    <x v="24"/>
    <x v="7"/>
    <x v="1"/>
  </r>
  <r>
    <x v="525"/>
    <x v="1"/>
    <x v="97"/>
    <x v="25"/>
    <x v="3"/>
    <x v="80"/>
    <x v="35"/>
    <x v="49"/>
    <x v="55"/>
    <x v="20"/>
    <x v="0"/>
    <x v="396"/>
    <x v="159"/>
    <x v="91"/>
    <x v="375"/>
    <x v="350"/>
    <x v="1"/>
    <x v="108"/>
    <x v="50"/>
    <x v="1283"/>
    <x v="602"/>
    <x v="0"/>
    <x v="24"/>
    <x v="7"/>
    <x v="1"/>
  </r>
  <r>
    <x v="528"/>
    <x v="1"/>
    <x v="98"/>
    <x v="26"/>
    <x v="3"/>
    <x v="91"/>
    <x v="37"/>
    <x v="49"/>
    <x v="55"/>
    <x v="20"/>
    <x v="0"/>
    <x v="535"/>
    <x v="129"/>
    <x v="78"/>
    <x v="525"/>
    <x v="1087"/>
    <x v="1"/>
    <x v="108"/>
    <x v="50"/>
    <x v="1262"/>
    <x v="566"/>
    <x v="0"/>
    <x v="24"/>
    <x v="7"/>
    <x v="1"/>
  </r>
  <r>
    <x v="531"/>
    <x v="1"/>
    <x v="99"/>
    <x v="27"/>
    <x v="3"/>
    <x v="6"/>
    <x v="66"/>
    <x v="49"/>
    <x v="55"/>
    <x v="20"/>
    <x v="0"/>
    <x v="172"/>
    <x v="175"/>
    <x v="73"/>
    <x v="177"/>
    <x v="213"/>
    <x v="1"/>
    <x v="108"/>
    <x v="50"/>
    <x v="821"/>
    <x v="537"/>
    <x v="0"/>
    <x v="24"/>
    <x v="7"/>
    <x v="1"/>
  </r>
  <r>
    <x v="534"/>
    <x v="1"/>
    <x v="100"/>
    <x v="28"/>
    <x v="3"/>
    <x v="105"/>
    <x v="20"/>
    <x v="49"/>
    <x v="55"/>
    <x v="20"/>
    <x v="0"/>
    <x v="52"/>
    <x v="30"/>
    <x v="68"/>
    <x v="49"/>
    <x v="56"/>
    <x v="1"/>
    <x v="108"/>
    <x v="50"/>
    <x v="197"/>
    <x v="515"/>
    <x v="0"/>
    <x v="24"/>
    <x v="7"/>
    <x v="1"/>
  </r>
  <r>
    <x v="537"/>
    <x v="1"/>
    <x v="101"/>
    <x v="29"/>
    <x v="3"/>
    <x v="42"/>
    <x v="21"/>
    <x v="48"/>
    <x v="55"/>
    <x v="20"/>
    <x v="0"/>
    <x v="628"/>
    <x v="427"/>
    <x v="79"/>
    <x v="186"/>
    <x v="222"/>
    <x v="1"/>
    <x v="108"/>
    <x v="50"/>
    <x v="960"/>
    <x v="568"/>
    <x v="0"/>
    <x v="24"/>
    <x v="7"/>
    <x v="1"/>
  </r>
  <r>
    <x v="540"/>
    <x v="1"/>
    <x v="102"/>
    <x v="29"/>
    <x v="3"/>
    <x v="42"/>
    <x v="21"/>
    <x v="49"/>
    <x v="55"/>
    <x v="20"/>
    <x v="0"/>
    <x v="137"/>
    <x v="319"/>
    <x v="71"/>
    <x v="63"/>
    <x v="91"/>
    <x v="1"/>
    <x v="108"/>
    <x v="50"/>
    <x v="316"/>
    <x v="524"/>
    <x v="0"/>
    <x v="24"/>
    <x v="7"/>
    <x v="1"/>
  </r>
  <r>
    <x v="543"/>
    <x v="1"/>
    <x v="103"/>
    <x v="30"/>
    <x v="3"/>
    <x v="29"/>
    <x v="67"/>
    <x v="48"/>
    <x v="55"/>
    <x v="20"/>
    <x v="0"/>
    <x v="393"/>
    <x v="133"/>
    <x v="102"/>
    <x v="389"/>
    <x v="298"/>
    <x v="1"/>
    <x v="108"/>
    <x v="50"/>
    <x v="1332"/>
    <x v="638"/>
    <x v="0"/>
    <x v="24"/>
    <x v="7"/>
    <x v="1"/>
  </r>
  <r>
    <x v="546"/>
    <x v="1"/>
    <x v="104"/>
    <x v="31"/>
    <x v="3"/>
    <x v="6"/>
    <x v="66"/>
    <x v="48"/>
    <x v="55"/>
    <x v="20"/>
    <x v="0"/>
    <x v="446"/>
    <x v="182"/>
    <x v="84"/>
    <x v="392"/>
    <x v="423"/>
    <x v="1"/>
    <x v="108"/>
    <x v="50"/>
    <x v="1253"/>
    <x v="583"/>
    <x v="0"/>
    <x v="24"/>
    <x v="7"/>
    <x v="1"/>
  </r>
  <r>
    <x v="549"/>
    <x v="1"/>
    <x v="105"/>
    <x v="32"/>
    <x v="3"/>
    <x v="105"/>
    <x v="45"/>
    <x v="48"/>
    <x v="55"/>
    <x v="20"/>
    <x v="0"/>
    <x v="328"/>
    <x v="106"/>
    <x v="102"/>
    <x v="360"/>
    <x v="284"/>
    <x v="1"/>
    <x v="108"/>
    <x v="50"/>
    <x v="1326"/>
    <x v="639"/>
    <x v="0"/>
    <x v="24"/>
    <x v="7"/>
    <x v="1"/>
  </r>
  <r>
    <x v="552"/>
    <x v="1"/>
    <x v="106"/>
    <x v="33"/>
    <x v="3"/>
    <x v="42"/>
    <x v="21"/>
    <x v="48"/>
    <x v="55"/>
    <x v="20"/>
    <x v="0"/>
    <x v="656"/>
    <x v="321"/>
    <x v="98"/>
    <x v="503"/>
    <x v="498"/>
    <x v="1"/>
    <x v="108"/>
    <x v="50"/>
    <x v="1340"/>
    <x v="627"/>
    <x v="0"/>
    <x v="24"/>
    <x v="7"/>
    <x v="1"/>
  </r>
  <r>
    <x v="555"/>
    <x v="1"/>
    <x v="107"/>
    <x v="34"/>
    <x v="3"/>
    <x v="29"/>
    <x v="67"/>
    <x v="48"/>
    <x v="55"/>
    <x v="20"/>
    <x v="0"/>
    <x v="413"/>
    <x v="133"/>
    <x v="73"/>
    <x v="401"/>
    <x v="606"/>
    <x v="1"/>
    <x v="108"/>
    <x v="50"/>
    <x v="1187"/>
    <x v="543"/>
    <x v="0"/>
    <x v="24"/>
    <x v="7"/>
    <x v="1"/>
  </r>
  <r>
    <x v="558"/>
    <x v="1"/>
    <x v="108"/>
    <x v="35"/>
    <x v="3"/>
    <x v="6"/>
    <x v="66"/>
    <x v="48"/>
    <x v="55"/>
    <x v="20"/>
    <x v="0"/>
    <x v="436"/>
    <x v="182"/>
    <x v="99"/>
    <x v="385"/>
    <x v="316"/>
    <x v="1"/>
    <x v="108"/>
    <x v="50"/>
    <x v="1319"/>
    <x v="631"/>
    <x v="0"/>
    <x v="24"/>
    <x v="7"/>
    <x v="1"/>
  </r>
  <r>
    <x v="561"/>
    <x v="1"/>
    <x v="109"/>
    <x v="36"/>
    <x v="3"/>
    <x v="42"/>
    <x v="21"/>
    <x v="48"/>
    <x v="55"/>
    <x v="20"/>
    <x v="0"/>
    <x v="702"/>
    <x v="318"/>
    <x v="103"/>
    <x v="567"/>
    <x v="724"/>
    <x v="1"/>
    <x v="108"/>
    <x v="50"/>
    <x v="1351"/>
    <x v="641"/>
    <x v="0"/>
    <x v="24"/>
    <x v="7"/>
    <x v="1"/>
  </r>
  <r>
    <x v="567"/>
    <x v="1"/>
    <x v="110"/>
    <x v="37"/>
    <x v="3"/>
    <x v="9"/>
    <x v="33"/>
    <x v="49"/>
    <x v="55"/>
    <x v="28"/>
    <x v="0"/>
    <x v="274"/>
    <x v="77"/>
    <x v="79"/>
    <x v="336"/>
    <x v="386"/>
    <x v="1"/>
    <x v="108"/>
    <x v="51"/>
    <x v="1194"/>
    <x v="573"/>
    <x v="0"/>
    <x v="27"/>
    <x v="10"/>
    <x v="1"/>
  </r>
  <r>
    <x v="570"/>
    <x v="1"/>
    <x v="112"/>
    <x v="38"/>
    <x v="3"/>
    <x v="49"/>
    <x v="41"/>
    <x v="49"/>
    <x v="55"/>
    <x v="28"/>
    <x v="0"/>
    <x v="627"/>
    <x v="312"/>
    <x v="86"/>
    <x v="461"/>
    <x v="650"/>
    <x v="1"/>
    <x v="108"/>
    <x v="51"/>
    <x v="1289"/>
    <x v="587"/>
    <x v="0"/>
    <x v="27"/>
    <x v="10"/>
    <x v="1"/>
  </r>
  <r>
    <x v="573"/>
    <x v="1"/>
    <x v="113"/>
    <x v="39"/>
    <x v="3"/>
    <x v="59"/>
    <x v="75"/>
    <x v="49"/>
    <x v="55"/>
    <x v="28"/>
    <x v="0"/>
    <x v="325"/>
    <x v="124"/>
    <x v="86"/>
    <x v="339"/>
    <x v="359"/>
    <x v="1"/>
    <x v="108"/>
    <x v="51"/>
    <x v="1243"/>
    <x v="587"/>
    <x v="0"/>
    <x v="27"/>
    <x v="10"/>
    <x v="1"/>
  </r>
  <r>
    <x v="576"/>
    <x v="1"/>
    <x v="114"/>
    <x v="40"/>
    <x v="3"/>
    <x v="9"/>
    <x v="33"/>
    <x v="49"/>
    <x v="55"/>
    <x v="28"/>
    <x v="0"/>
    <x v="490"/>
    <x v="90"/>
    <x v="83"/>
    <x v="496"/>
    <x v="865"/>
    <x v="1"/>
    <x v="108"/>
    <x v="52"/>
    <x v="1282"/>
    <x v="582"/>
    <x v="0"/>
    <x v="28"/>
    <x v="11"/>
    <x v="1"/>
  </r>
  <r>
    <x v="579"/>
    <x v="1"/>
    <x v="115"/>
    <x v="41"/>
    <x v="3"/>
    <x v="49"/>
    <x v="41"/>
    <x v="49"/>
    <x v="55"/>
    <x v="28"/>
    <x v="0"/>
    <x v="667"/>
    <x v="313"/>
    <x v="90"/>
    <x v="524"/>
    <x v="799"/>
    <x v="1"/>
    <x v="108"/>
    <x v="52"/>
    <x v="1323"/>
    <x v="599"/>
    <x v="0"/>
    <x v="28"/>
    <x v="11"/>
    <x v="1"/>
  </r>
  <r>
    <x v="582"/>
    <x v="1"/>
    <x v="116"/>
    <x v="42"/>
    <x v="3"/>
    <x v="59"/>
    <x v="75"/>
    <x v="49"/>
    <x v="55"/>
    <x v="28"/>
    <x v="0"/>
    <x v="623"/>
    <x v="123"/>
    <x v="80"/>
    <x v="599"/>
    <x v="1211"/>
    <x v="1"/>
    <x v="108"/>
    <x v="52"/>
    <x v="1315"/>
    <x v="574"/>
    <x v="0"/>
    <x v="28"/>
    <x v="11"/>
    <x v="1"/>
  </r>
  <r>
    <x v="585"/>
    <x v="1"/>
    <x v="117"/>
    <x v="43"/>
    <x v="3"/>
    <x v="9"/>
    <x v="33"/>
    <x v="49"/>
    <x v="55"/>
    <x v="28"/>
    <x v="0"/>
    <x v="319"/>
    <x v="87"/>
    <x v="84"/>
    <x v="370"/>
    <x v="385"/>
    <x v="1"/>
    <x v="108"/>
    <x v="52"/>
    <x v="1244"/>
    <x v="584"/>
    <x v="0"/>
    <x v="28"/>
    <x v="11"/>
    <x v="1"/>
  </r>
  <r>
    <x v="588"/>
    <x v="1"/>
    <x v="118"/>
    <x v="44"/>
    <x v="3"/>
    <x v="103"/>
    <x v="8"/>
    <x v="49"/>
    <x v="55"/>
    <x v="28"/>
    <x v="0"/>
    <x v="346"/>
    <x v="138"/>
    <x v="75"/>
    <x v="346"/>
    <x v="421"/>
    <x v="1"/>
    <x v="108"/>
    <x v="52"/>
    <x v="1186"/>
    <x v="556"/>
    <x v="0"/>
    <x v="28"/>
    <x v="11"/>
    <x v="1"/>
  </r>
  <r>
    <x v="591"/>
    <x v="1"/>
    <x v="119"/>
    <x v="45"/>
    <x v="3"/>
    <x v="105"/>
    <x v="20"/>
    <x v="49"/>
    <x v="55"/>
    <x v="28"/>
    <x v="0"/>
    <x v="299"/>
    <x v="107"/>
    <x v="73"/>
    <x v="330"/>
    <x v="425"/>
    <x v="1"/>
    <x v="108"/>
    <x v="52"/>
    <x v="1150"/>
    <x v="546"/>
    <x v="0"/>
    <x v="28"/>
    <x v="11"/>
    <x v="1"/>
  </r>
  <r>
    <x v="594"/>
    <x v="1"/>
    <x v="120"/>
    <x v="46"/>
    <x v="3"/>
    <x v="6"/>
    <x v="66"/>
    <x v="49"/>
    <x v="55"/>
    <x v="28"/>
    <x v="0"/>
    <x v="365"/>
    <x v="178"/>
    <x v="75"/>
    <x v="324"/>
    <x v="392"/>
    <x v="1"/>
    <x v="108"/>
    <x v="52"/>
    <x v="1175"/>
    <x v="558"/>
    <x v="0"/>
    <x v="28"/>
    <x v="11"/>
    <x v="1"/>
  </r>
  <r>
    <x v="597"/>
    <x v="1"/>
    <x v="122"/>
    <x v="47"/>
    <x v="3"/>
    <x v="103"/>
    <x v="8"/>
    <x v="49"/>
    <x v="55"/>
    <x v="28"/>
    <x v="0"/>
    <x v="291"/>
    <x v="136"/>
    <x v="73"/>
    <x v="293"/>
    <x v="381"/>
    <x v="1"/>
    <x v="108"/>
    <x v="52"/>
    <x v="1132"/>
    <x v="537"/>
    <x v="0"/>
    <x v="28"/>
    <x v="11"/>
    <x v="1"/>
  </r>
  <r>
    <x v="600"/>
    <x v="1"/>
    <x v="123"/>
    <x v="48"/>
    <x v="3"/>
    <x v="105"/>
    <x v="20"/>
    <x v="49"/>
    <x v="55"/>
    <x v="28"/>
    <x v="0"/>
    <x v="271"/>
    <x v="106"/>
    <x v="84"/>
    <x v="303"/>
    <x v="342"/>
    <x v="1"/>
    <x v="108"/>
    <x v="52"/>
    <x v="1223"/>
    <x v="583"/>
    <x v="0"/>
    <x v="28"/>
    <x v="11"/>
    <x v="1"/>
  </r>
  <r>
    <x v="603"/>
    <x v="1"/>
    <x v="124"/>
    <x v="49"/>
    <x v="3"/>
    <x v="6"/>
    <x v="66"/>
    <x v="49"/>
    <x v="55"/>
    <x v="28"/>
    <x v="0"/>
    <x v="314"/>
    <x v="178"/>
    <x v="79"/>
    <x v="273"/>
    <x v="345"/>
    <x v="1"/>
    <x v="108"/>
    <x v="52"/>
    <x v="1179"/>
    <x v="568"/>
    <x v="0"/>
    <x v="28"/>
    <x v="11"/>
    <x v="1"/>
  </r>
  <r>
    <x v="606"/>
    <x v="1"/>
    <x v="125"/>
    <x v="50"/>
    <x v="3"/>
    <x v="103"/>
    <x v="8"/>
    <x v="49"/>
    <x v="55"/>
    <x v="28"/>
    <x v="0"/>
    <x v="348"/>
    <x v="148"/>
    <x v="79"/>
    <x v="338"/>
    <x v="389"/>
    <x v="1"/>
    <x v="108"/>
    <x v="53"/>
    <x v="1195"/>
    <x v="572"/>
    <x v="0"/>
    <x v="29"/>
    <x v="12"/>
    <x v="1"/>
  </r>
  <r>
    <x v="609"/>
    <x v="1"/>
    <x v="126"/>
    <x v="51"/>
    <x v="3"/>
    <x v="105"/>
    <x v="20"/>
    <x v="48"/>
    <x v="55"/>
    <x v="28"/>
    <x v="0"/>
    <x v="92"/>
    <x v="104"/>
    <x v="91"/>
    <x v="61"/>
    <x v="54"/>
    <x v="1"/>
    <x v="108"/>
    <x v="53"/>
    <x v="513"/>
    <x v="602"/>
    <x v="0"/>
    <x v="29"/>
    <x v="12"/>
    <x v="1"/>
  </r>
  <r>
    <x v="610"/>
    <x v="1"/>
    <x v="131"/>
    <x v="52"/>
    <x v="3"/>
    <x v="91"/>
    <x v="37"/>
    <x v="56"/>
    <x v="55"/>
    <x v="3"/>
    <x v="0"/>
    <x v="500"/>
    <x v="404"/>
    <x v="16"/>
    <x v="157"/>
    <x v="256"/>
    <x v="1"/>
    <x v="108"/>
    <x v="54"/>
    <x v="131"/>
    <x v="149"/>
    <x v="1"/>
    <x v="2"/>
    <x v="16"/>
    <x v="1"/>
  </r>
  <r>
    <x v="613"/>
    <x v="1"/>
    <x v="132"/>
    <x v="52"/>
    <x v="3"/>
    <x v="91"/>
    <x v="37"/>
    <x v="56"/>
    <x v="55"/>
    <x v="28"/>
    <x v="0"/>
    <x v="104"/>
    <x v="150"/>
    <x v="32"/>
    <x v="80"/>
    <x v="130"/>
    <x v="1"/>
    <x v="108"/>
    <x v="54"/>
    <x v="105"/>
    <x v="275"/>
    <x v="1"/>
    <x v="2"/>
    <x v="16"/>
    <x v="1"/>
  </r>
  <r>
    <x v="616"/>
    <x v="1"/>
    <x v="133"/>
    <x v="53"/>
    <x v="3"/>
    <x v="80"/>
    <x v="35"/>
    <x v="56"/>
    <x v="55"/>
    <x v="28"/>
    <x v="0"/>
    <x v="365"/>
    <x v="154"/>
    <x v="32"/>
    <x v="349"/>
    <x v="977"/>
    <x v="1"/>
    <x v="108"/>
    <x v="54"/>
    <x v="605"/>
    <x v="245"/>
    <x v="1"/>
    <x v="2"/>
    <x v="16"/>
    <x v="1"/>
  </r>
  <r>
    <x v="619"/>
    <x v="1"/>
    <x v="134"/>
    <x v="54"/>
    <x v="3"/>
    <x v="49"/>
    <x v="41"/>
    <x v="56"/>
    <x v="55"/>
    <x v="28"/>
    <x v="0"/>
    <x v="635"/>
    <x v="310"/>
    <x v="20"/>
    <x v="480"/>
    <x v="1240"/>
    <x v="1"/>
    <x v="108"/>
    <x v="54"/>
    <x v="562"/>
    <x v="165"/>
    <x v="1"/>
    <x v="2"/>
    <x v="16"/>
    <x v="1"/>
  </r>
  <r>
    <x v="622"/>
    <x v="1"/>
    <x v="135"/>
    <x v="55"/>
    <x v="3"/>
    <x v="105"/>
    <x v="20"/>
    <x v="56"/>
    <x v="55"/>
    <x v="28"/>
    <x v="0"/>
    <x v="303"/>
    <x v="102"/>
    <x v="10"/>
    <x v="339"/>
    <x v="1116"/>
    <x v="1"/>
    <x v="108"/>
    <x v="54"/>
    <x v="240"/>
    <x v="52"/>
    <x v="1"/>
    <x v="2"/>
    <x v="16"/>
    <x v="1"/>
  </r>
  <r>
    <x v="625"/>
    <x v="1"/>
    <x v="136"/>
    <x v="56"/>
    <x v="3"/>
    <x v="91"/>
    <x v="37"/>
    <x v="56"/>
    <x v="55"/>
    <x v="28"/>
    <x v="0"/>
    <x v="377"/>
    <x v="148"/>
    <x v="37"/>
    <x v="367"/>
    <x v="986"/>
    <x v="1"/>
    <x v="108"/>
    <x v="54"/>
    <x v="677"/>
    <x v="285"/>
    <x v="1"/>
    <x v="2"/>
    <x v="16"/>
    <x v="1"/>
  </r>
  <r>
    <x v="628"/>
    <x v="1"/>
    <x v="137"/>
    <x v="57"/>
    <x v="3"/>
    <x v="80"/>
    <x v="35"/>
    <x v="56"/>
    <x v="55"/>
    <x v="28"/>
    <x v="0"/>
    <x v="349"/>
    <x v="152"/>
    <x v="25"/>
    <x v="335"/>
    <x v="985"/>
    <x v="1"/>
    <x v="108"/>
    <x v="54"/>
    <x v="515"/>
    <x v="198"/>
    <x v="1"/>
    <x v="2"/>
    <x v="16"/>
    <x v="1"/>
  </r>
  <r>
    <x v="631"/>
    <x v="1"/>
    <x v="138"/>
    <x v="58"/>
    <x v="3"/>
    <x v="49"/>
    <x v="41"/>
    <x v="56"/>
    <x v="55"/>
    <x v="28"/>
    <x v="0"/>
    <x v="642"/>
    <x v="307"/>
    <x v="32"/>
    <x v="496"/>
    <x v="1232"/>
    <x v="1"/>
    <x v="108"/>
    <x v="54"/>
    <x v="744"/>
    <x v="245"/>
    <x v="1"/>
    <x v="2"/>
    <x v="16"/>
    <x v="1"/>
  </r>
  <r>
    <x v="634"/>
    <x v="1"/>
    <x v="139"/>
    <x v="59"/>
    <x v="3"/>
    <x v="91"/>
    <x v="37"/>
    <x v="56"/>
    <x v="55"/>
    <x v="28"/>
    <x v="0"/>
    <x v="331"/>
    <x v="146"/>
    <x v="13"/>
    <x v="323"/>
    <x v="1070"/>
    <x v="1"/>
    <x v="108"/>
    <x v="54"/>
    <x v="293"/>
    <x v="83"/>
    <x v="1"/>
    <x v="2"/>
    <x v="16"/>
    <x v="1"/>
  </r>
  <r>
    <x v="637"/>
    <x v="1"/>
    <x v="140"/>
    <x v="60"/>
    <x v="3"/>
    <x v="80"/>
    <x v="35"/>
    <x v="56"/>
    <x v="55"/>
    <x v="28"/>
    <x v="0"/>
    <x v="548"/>
    <x v="159"/>
    <x v="32"/>
    <x v="523"/>
    <x v="1267"/>
    <x v="1"/>
    <x v="108"/>
    <x v="54"/>
    <x v="770"/>
    <x v="245"/>
    <x v="1"/>
    <x v="2"/>
    <x v="16"/>
    <x v="1"/>
  </r>
  <r>
    <x v="640"/>
    <x v="1"/>
    <x v="141"/>
    <x v="61"/>
    <x v="3"/>
    <x v="49"/>
    <x v="41"/>
    <x v="56"/>
    <x v="55"/>
    <x v="28"/>
    <x v="0"/>
    <x v="608"/>
    <x v="306"/>
    <x v="25"/>
    <x v="436"/>
    <x v="1185"/>
    <x v="1"/>
    <x v="108"/>
    <x v="54"/>
    <x v="616"/>
    <x v="198"/>
    <x v="1"/>
    <x v="2"/>
    <x v="16"/>
    <x v="1"/>
  </r>
  <r>
    <x v="643"/>
    <x v="1"/>
    <x v="142"/>
    <x v="62"/>
    <x v="3"/>
    <x v="91"/>
    <x v="37"/>
    <x v="56"/>
    <x v="55"/>
    <x v="28"/>
    <x v="0"/>
    <x v="479"/>
    <x v="145"/>
    <x v="32"/>
    <x v="436"/>
    <x v="1173"/>
    <x v="1"/>
    <x v="108"/>
    <x v="55"/>
    <x v="687"/>
    <x v="245"/>
    <x v="1"/>
    <x v="3"/>
    <x v="17"/>
    <x v="1"/>
  </r>
  <r>
    <x v="646"/>
    <x v="1"/>
    <x v="143"/>
    <x v="63"/>
    <x v="3"/>
    <x v="80"/>
    <x v="35"/>
    <x v="56"/>
    <x v="55"/>
    <x v="28"/>
    <x v="0"/>
    <x v="485"/>
    <x v="159"/>
    <x v="20"/>
    <x v="435"/>
    <x v="1195"/>
    <x v="1"/>
    <x v="108"/>
    <x v="55"/>
    <x v="528"/>
    <x v="158"/>
    <x v="1"/>
    <x v="3"/>
    <x v="17"/>
    <x v="1"/>
  </r>
  <r>
    <x v="649"/>
    <x v="1"/>
    <x v="144"/>
    <x v="64"/>
    <x v="3"/>
    <x v="49"/>
    <x v="41"/>
    <x v="56"/>
    <x v="55"/>
    <x v="28"/>
    <x v="0"/>
    <x v="631"/>
    <x v="304"/>
    <x v="13"/>
    <x v="478"/>
    <x v="1268"/>
    <x v="1"/>
    <x v="108"/>
    <x v="55"/>
    <x v="381"/>
    <x v="88"/>
    <x v="1"/>
    <x v="3"/>
    <x v="17"/>
    <x v="1"/>
  </r>
  <r>
    <x v="652"/>
    <x v="1"/>
    <x v="147"/>
    <x v="65"/>
    <x v="3"/>
    <x v="9"/>
    <x v="33"/>
    <x v="56"/>
    <x v="55"/>
    <x v="28"/>
    <x v="0"/>
    <x v="277"/>
    <x v="92"/>
    <x v="20"/>
    <x v="323"/>
    <x v="998"/>
    <x v="1"/>
    <x v="108"/>
    <x v="55"/>
    <x v="434"/>
    <x v="158"/>
    <x v="1"/>
    <x v="3"/>
    <x v="17"/>
    <x v="1"/>
  </r>
  <r>
    <x v="654"/>
    <x v="1"/>
    <x v="148"/>
    <x v="66"/>
    <x v="3"/>
    <x v="42"/>
    <x v="21"/>
    <x v="56"/>
    <x v="55"/>
    <x v="28"/>
    <x v="0"/>
    <x v="632"/>
    <x v="314"/>
    <x v="32"/>
    <x v="472"/>
    <x v="1205"/>
    <x v="1"/>
    <x v="108"/>
    <x v="55"/>
    <x v="722"/>
    <x v="251"/>
    <x v="1"/>
    <x v="3"/>
    <x v="17"/>
    <x v="1"/>
  </r>
  <r>
    <x v="657"/>
    <x v="1"/>
    <x v="150"/>
    <x v="67"/>
    <x v="3"/>
    <x v="29"/>
    <x v="67"/>
    <x v="56"/>
    <x v="55"/>
    <x v="28"/>
    <x v="0"/>
    <x v="312"/>
    <x v="134"/>
    <x v="25"/>
    <x v="316"/>
    <x v="917"/>
    <x v="1"/>
    <x v="108"/>
    <x v="55"/>
    <x v="506"/>
    <x v="212"/>
    <x v="1"/>
    <x v="3"/>
    <x v="17"/>
    <x v="1"/>
  </r>
  <r>
    <x v="660"/>
    <x v="1"/>
    <x v="151"/>
    <x v="68"/>
    <x v="3"/>
    <x v="105"/>
    <x v="20"/>
    <x v="56"/>
    <x v="55"/>
    <x v="28"/>
    <x v="0"/>
    <x v="270"/>
    <x v="101"/>
    <x v="25"/>
    <x v="307"/>
    <x v="883"/>
    <x v="1"/>
    <x v="108"/>
    <x v="55"/>
    <x v="500"/>
    <x v="198"/>
    <x v="1"/>
    <x v="3"/>
    <x v="17"/>
    <x v="1"/>
  </r>
  <r>
    <x v="663"/>
    <x v="1"/>
    <x v="152"/>
    <x v="69"/>
    <x v="3"/>
    <x v="9"/>
    <x v="33"/>
    <x v="56"/>
    <x v="55"/>
    <x v="28"/>
    <x v="0"/>
    <x v="457"/>
    <x v="90"/>
    <x v="32"/>
    <x v="452"/>
    <x v="1187"/>
    <x v="1"/>
    <x v="108"/>
    <x v="55"/>
    <x v="702"/>
    <x v="245"/>
    <x v="1"/>
    <x v="3"/>
    <x v="17"/>
    <x v="1"/>
  </r>
  <r>
    <x v="666"/>
    <x v="1"/>
    <x v="153"/>
    <x v="70"/>
    <x v="3"/>
    <x v="42"/>
    <x v="21"/>
    <x v="56"/>
    <x v="55"/>
    <x v="13"/>
    <x v="0"/>
    <x v="315"/>
    <x v="419"/>
    <x v="28"/>
    <x v="65"/>
    <x v="108"/>
    <x v="1"/>
    <x v="108"/>
    <x v="55"/>
    <x v="59"/>
    <x v="238"/>
    <x v="1"/>
    <x v="3"/>
    <x v="17"/>
    <x v="1"/>
  </r>
  <r>
    <x v="669"/>
    <x v="1"/>
    <x v="154"/>
    <x v="70"/>
    <x v="3"/>
    <x v="42"/>
    <x v="21"/>
    <x v="56"/>
    <x v="55"/>
    <x v="13"/>
    <x v="0"/>
    <x v="121"/>
    <x v="311"/>
    <x v="68"/>
    <x v="54"/>
    <x v="68"/>
    <x v="1"/>
    <x v="108"/>
    <x v="55"/>
    <x v="223"/>
    <x v="514"/>
    <x v="1"/>
    <x v="3"/>
    <x v="17"/>
    <x v="1"/>
  </r>
  <r>
    <x v="672"/>
    <x v="1"/>
    <x v="155"/>
    <x v="71"/>
    <x v="3"/>
    <x v="29"/>
    <x v="67"/>
    <x v="56"/>
    <x v="55"/>
    <x v="13"/>
    <x v="0"/>
    <x v="168"/>
    <x v="132"/>
    <x v="74"/>
    <x v="181"/>
    <x v="214"/>
    <x v="1"/>
    <x v="108"/>
    <x v="55"/>
    <x v="850"/>
    <x v="550"/>
    <x v="1"/>
    <x v="3"/>
    <x v="17"/>
    <x v="1"/>
  </r>
  <r>
    <x v="675"/>
    <x v="1"/>
    <x v="157"/>
    <x v="72"/>
    <x v="3"/>
    <x v="9"/>
    <x v="33"/>
    <x v="56"/>
    <x v="55"/>
    <x v="13"/>
    <x v="0"/>
    <x v="367"/>
    <x v="89"/>
    <x v="71"/>
    <x v="400"/>
    <x v="659"/>
    <x v="1"/>
    <x v="108"/>
    <x v="56"/>
    <x v="1164"/>
    <x v="526"/>
    <x v="1"/>
    <x v="4"/>
    <x v="18"/>
    <x v="1"/>
  </r>
  <r>
    <x v="678"/>
    <x v="1"/>
    <x v="158"/>
    <x v="73"/>
    <x v="3"/>
    <x v="42"/>
    <x v="21"/>
    <x v="56"/>
    <x v="55"/>
    <x v="13"/>
    <x v="0"/>
    <x v="663"/>
    <x v="310"/>
    <x v="79"/>
    <x v="517"/>
    <x v="1049"/>
    <x v="1"/>
    <x v="108"/>
    <x v="56"/>
    <x v="1264"/>
    <x v="568"/>
    <x v="1"/>
    <x v="4"/>
    <x v="18"/>
    <x v="1"/>
  </r>
  <r>
    <x v="681"/>
    <x v="1"/>
    <x v="159"/>
    <x v="74"/>
    <x v="3"/>
    <x v="29"/>
    <x v="67"/>
    <x v="56"/>
    <x v="55"/>
    <x v="13"/>
    <x v="0"/>
    <x v="347"/>
    <x v="132"/>
    <x v="84"/>
    <x v="353"/>
    <x v="369"/>
    <x v="1"/>
    <x v="108"/>
    <x v="56"/>
    <x v="1241"/>
    <x v="583"/>
    <x v="1"/>
    <x v="4"/>
    <x v="18"/>
    <x v="1"/>
  </r>
  <r>
    <x v="684"/>
    <x v="1"/>
    <x v="160"/>
    <x v="75"/>
    <x v="3"/>
    <x v="9"/>
    <x v="33"/>
    <x v="58"/>
    <x v="55"/>
    <x v="13"/>
    <x v="0"/>
    <x v="459"/>
    <x v="420"/>
    <x v="93"/>
    <x v="122"/>
    <x v="107"/>
    <x v="1"/>
    <x v="108"/>
    <x v="56"/>
    <x v="860"/>
    <x v="619"/>
    <x v="1"/>
    <x v="4"/>
    <x v="18"/>
    <x v="1"/>
  </r>
  <r>
    <x v="687"/>
    <x v="1"/>
    <x v="161"/>
    <x v="75"/>
    <x v="3"/>
    <x v="9"/>
    <x v="33"/>
    <x v="56"/>
    <x v="55"/>
    <x v="13"/>
    <x v="0"/>
    <x v="122"/>
    <x v="87"/>
    <x v="75"/>
    <x v="134"/>
    <x v="173"/>
    <x v="1"/>
    <x v="108"/>
    <x v="56"/>
    <x v="711"/>
    <x v="562"/>
    <x v="1"/>
    <x v="4"/>
    <x v="18"/>
    <x v="1"/>
  </r>
  <r>
    <x v="689"/>
    <x v="1"/>
    <x v="162"/>
    <x v="76"/>
    <x v="3"/>
    <x v="42"/>
    <x v="21"/>
    <x v="58"/>
    <x v="55"/>
    <x v="13"/>
    <x v="0"/>
    <x v="656"/>
    <x v="308"/>
    <x v="87"/>
    <x v="512"/>
    <x v="839"/>
    <x v="1"/>
    <x v="108"/>
    <x v="56"/>
    <x v="1306"/>
    <x v="589"/>
    <x v="1"/>
    <x v="4"/>
    <x v="18"/>
    <x v="1"/>
  </r>
  <r>
    <x v="691"/>
    <x v="1"/>
    <x v="163"/>
    <x v="77"/>
    <x v="3"/>
    <x v="29"/>
    <x v="67"/>
    <x v="58"/>
    <x v="55"/>
    <x v="13"/>
    <x v="0"/>
    <x v="330"/>
    <x v="129"/>
    <x v="79"/>
    <x v="339"/>
    <x v="391"/>
    <x v="1"/>
    <x v="108"/>
    <x v="56"/>
    <x v="1197"/>
    <x v="568"/>
    <x v="1"/>
    <x v="4"/>
    <x v="18"/>
    <x v="1"/>
  </r>
  <r>
    <x v="694"/>
    <x v="1"/>
    <x v="164"/>
    <x v="78"/>
    <x v="3"/>
    <x v="9"/>
    <x v="33"/>
    <x v="58"/>
    <x v="55"/>
    <x v="13"/>
    <x v="0"/>
    <x v="486"/>
    <x v="84"/>
    <x v="75"/>
    <x v="498"/>
    <x v="1020"/>
    <x v="1"/>
    <x v="108"/>
    <x v="56"/>
    <x v="1250"/>
    <x v="552"/>
    <x v="1"/>
    <x v="4"/>
    <x v="18"/>
    <x v="1"/>
  </r>
  <r>
    <x v="697"/>
    <x v="1"/>
    <x v="165"/>
    <x v="79"/>
    <x v="3"/>
    <x v="42"/>
    <x v="21"/>
    <x v="58"/>
    <x v="55"/>
    <x v="13"/>
    <x v="0"/>
    <x v="654"/>
    <x v="306"/>
    <x v="87"/>
    <x v="511"/>
    <x v="837"/>
    <x v="1"/>
    <x v="108"/>
    <x v="56"/>
    <x v="1305"/>
    <x v="588"/>
    <x v="1"/>
    <x v="4"/>
    <x v="18"/>
    <x v="1"/>
  </r>
  <r>
    <x v="700"/>
    <x v="1"/>
    <x v="166"/>
    <x v="80"/>
    <x v="3"/>
    <x v="29"/>
    <x v="67"/>
    <x v="58"/>
    <x v="55"/>
    <x v="13"/>
    <x v="0"/>
    <x v="358"/>
    <x v="129"/>
    <x v="68"/>
    <x v="367"/>
    <x v="573"/>
    <x v="1"/>
    <x v="108"/>
    <x v="57"/>
    <x v="1111"/>
    <x v="500"/>
    <x v="1"/>
    <x v="5"/>
    <x v="19"/>
    <x v="1"/>
  </r>
  <r>
    <x v="703"/>
    <x v="1"/>
    <x v="167"/>
    <x v="81"/>
    <x v="3"/>
    <x v="9"/>
    <x v="33"/>
    <x v="58"/>
    <x v="55"/>
    <x v="13"/>
    <x v="0"/>
    <x v="324"/>
    <x v="93"/>
    <x v="65"/>
    <x v="369"/>
    <x v="623"/>
    <x v="1"/>
    <x v="108"/>
    <x v="57"/>
    <x v="1066"/>
    <x v="479"/>
    <x v="1"/>
    <x v="5"/>
    <x v="19"/>
    <x v="1"/>
  </r>
  <r>
    <x v="706"/>
    <x v="1"/>
    <x v="168"/>
    <x v="82"/>
    <x v="3"/>
    <x v="42"/>
    <x v="21"/>
    <x v="58"/>
    <x v="55"/>
    <x v="13"/>
    <x v="0"/>
    <x v="664"/>
    <x v="305"/>
    <x v="68"/>
    <x v="522"/>
    <x v="1146"/>
    <x v="1"/>
    <x v="108"/>
    <x v="57"/>
    <x v="1196"/>
    <x v="501"/>
    <x v="1"/>
    <x v="5"/>
    <x v="19"/>
    <x v="1"/>
  </r>
  <r>
    <x v="709"/>
    <x v="1"/>
    <x v="169"/>
    <x v="83"/>
    <x v="3"/>
    <x v="29"/>
    <x v="67"/>
    <x v="58"/>
    <x v="55"/>
    <x v="13"/>
    <x v="0"/>
    <x v="377"/>
    <x v="129"/>
    <x v="73"/>
    <x v="382"/>
    <x v="536"/>
    <x v="1"/>
    <x v="108"/>
    <x v="57"/>
    <x v="1176"/>
    <x v="544"/>
    <x v="1"/>
    <x v="5"/>
    <x v="19"/>
    <x v="1"/>
  </r>
  <r>
    <x v="712"/>
    <x v="1"/>
    <x v="170"/>
    <x v="84"/>
    <x v="3"/>
    <x v="9"/>
    <x v="33"/>
    <x v="58"/>
    <x v="55"/>
    <x v="13"/>
    <x v="0"/>
    <x v="328"/>
    <x v="92"/>
    <x v="62"/>
    <x v="374"/>
    <x v="694"/>
    <x v="1"/>
    <x v="108"/>
    <x v="57"/>
    <x v="1025"/>
    <x v="452"/>
    <x v="1"/>
    <x v="5"/>
    <x v="19"/>
    <x v="1"/>
  </r>
  <r>
    <x v="714"/>
    <x v="1"/>
    <x v="172"/>
    <x v="85"/>
    <x v="3"/>
    <x v="59"/>
    <x v="75"/>
    <x v="58"/>
    <x v="55"/>
    <x v="13"/>
    <x v="0"/>
    <x v="281"/>
    <x v="121"/>
    <x v="51"/>
    <x v="298"/>
    <x v="569"/>
    <x v="1"/>
    <x v="108"/>
    <x v="57"/>
    <x v="854"/>
    <x v="405"/>
    <x v="1"/>
    <x v="5"/>
    <x v="19"/>
    <x v="1"/>
  </r>
  <r>
    <x v="717"/>
    <x v="1"/>
    <x v="174"/>
    <x v="86"/>
    <x v="3"/>
    <x v="6"/>
    <x v="66"/>
    <x v="58"/>
    <x v="55"/>
    <x v="13"/>
    <x v="0"/>
    <x v="412"/>
    <x v="181"/>
    <x v="62"/>
    <x v="368"/>
    <x v="674"/>
    <x v="1"/>
    <x v="108"/>
    <x v="57"/>
    <x v="1021"/>
    <x v="453"/>
    <x v="1"/>
    <x v="5"/>
    <x v="19"/>
    <x v="1"/>
  </r>
  <r>
    <x v="719"/>
    <x v="1"/>
    <x v="175"/>
    <x v="87"/>
    <x v="3"/>
    <x v="49"/>
    <x v="41"/>
    <x v="58"/>
    <x v="55"/>
    <x v="13"/>
    <x v="0"/>
    <x v="647"/>
    <x v="301"/>
    <x v="37"/>
    <x v="505"/>
    <x v="1228"/>
    <x v="1"/>
    <x v="108"/>
    <x v="57"/>
    <x v="844"/>
    <x v="285"/>
    <x v="1"/>
    <x v="5"/>
    <x v="19"/>
    <x v="1"/>
  </r>
  <r>
    <x v="722"/>
    <x v="1"/>
    <x v="177"/>
    <x v="88"/>
    <x v="3"/>
    <x v="59"/>
    <x v="75"/>
    <x v="58"/>
    <x v="55"/>
    <x v="13"/>
    <x v="0"/>
    <x v="352"/>
    <x v="118"/>
    <x v="57"/>
    <x v="372"/>
    <x v="757"/>
    <x v="1"/>
    <x v="108"/>
    <x v="57"/>
    <x v="974"/>
    <x v="425"/>
    <x v="1"/>
    <x v="5"/>
    <x v="19"/>
    <x v="1"/>
  </r>
  <r>
    <x v="725"/>
    <x v="1"/>
    <x v="178"/>
    <x v="89"/>
    <x v="3"/>
    <x v="6"/>
    <x v="66"/>
    <x v="58"/>
    <x v="55"/>
    <x v="13"/>
    <x v="0"/>
    <x v="395"/>
    <x v="179"/>
    <x v="47"/>
    <x v="353"/>
    <x v="814"/>
    <x v="1"/>
    <x v="108"/>
    <x v="57"/>
    <x v="829"/>
    <x v="358"/>
    <x v="1"/>
    <x v="5"/>
    <x v="19"/>
    <x v="1"/>
  </r>
  <r>
    <x v="728"/>
    <x v="1"/>
    <x v="180"/>
    <x v="90"/>
    <x v="3"/>
    <x v="49"/>
    <x v="41"/>
    <x v="58"/>
    <x v="55"/>
    <x v="13"/>
    <x v="0"/>
    <x v="640"/>
    <x v="299"/>
    <x v="37"/>
    <x v="500"/>
    <x v="1216"/>
    <x v="1"/>
    <x v="108"/>
    <x v="57"/>
    <x v="839"/>
    <x v="285"/>
    <x v="1"/>
    <x v="5"/>
    <x v="19"/>
    <x v="1"/>
  </r>
  <r>
    <x v="731"/>
    <x v="1"/>
    <x v="181"/>
    <x v="91"/>
    <x v="3"/>
    <x v="103"/>
    <x v="8"/>
    <x v="58"/>
    <x v="55"/>
    <x v="13"/>
    <x v="0"/>
    <x v="337"/>
    <x v="134"/>
    <x v="42"/>
    <x v="341"/>
    <x v="835"/>
    <x v="1"/>
    <x v="108"/>
    <x v="57"/>
    <x v="740"/>
    <x v="319"/>
    <x v="1"/>
    <x v="5"/>
    <x v="19"/>
    <x v="1"/>
  </r>
  <r>
    <x v="734"/>
    <x v="1"/>
    <x v="182"/>
    <x v="92"/>
    <x v="3"/>
    <x v="6"/>
    <x v="66"/>
    <x v="58"/>
    <x v="55"/>
    <x v="13"/>
    <x v="0"/>
    <x v="384"/>
    <x v="178"/>
    <x v="37"/>
    <x v="343"/>
    <x v="900"/>
    <x v="1"/>
    <x v="108"/>
    <x v="57"/>
    <x v="659"/>
    <x v="285"/>
    <x v="1"/>
    <x v="5"/>
    <x v="19"/>
    <x v="1"/>
  </r>
  <r>
    <x v="737"/>
    <x v="1"/>
    <x v="183"/>
    <x v="93"/>
    <x v="3"/>
    <x v="59"/>
    <x v="75"/>
    <x v="58"/>
    <x v="55"/>
    <x v="13"/>
    <x v="0"/>
    <x v="345"/>
    <x v="120"/>
    <x v="37"/>
    <x v="363"/>
    <x v="973"/>
    <x v="1"/>
    <x v="108"/>
    <x v="57"/>
    <x v="675"/>
    <x v="285"/>
    <x v="1"/>
    <x v="5"/>
    <x v="19"/>
    <x v="1"/>
  </r>
  <r>
    <x v="740"/>
    <x v="1"/>
    <x v="184"/>
    <x v="94"/>
    <x v="3"/>
    <x v="49"/>
    <x v="41"/>
    <x v="56"/>
    <x v="55"/>
    <x v="16"/>
    <x v="0"/>
    <x v="399"/>
    <x v="298"/>
    <x v="42"/>
    <x v="210"/>
    <x v="353"/>
    <x v="1"/>
    <x v="108"/>
    <x v="57"/>
    <x v="586"/>
    <x v="340"/>
    <x v="1"/>
    <x v="5"/>
    <x v="19"/>
    <x v="1"/>
  </r>
  <r>
    <x v="743"/>
    <x v="1"/>
    <x v="185"/>
    <x v="95"/>
    <x v="3"/>
    <x v="6"/>
    <x v="66"/>
    <x v="58"/>
    <x v="55"/>
    <x v="13"/>
    <x v="0"/>
    <x v="365"/>
    <x v="180"/>
    <x v="47"/>
    <x v="322"/>
    <x v="688"/>
    <x v="1"/>
    <x v="108"/>
    <x v="57"/>
    <x v="799"/>
    <x v="373"/>
    <x v="1"/>
    <x v="5"/>
    <x v="19"/>
    <x v="1"/>
  </r>
  <r>
    <x v="746"/>
    <x v="1"/>
    <x v="186"/>
    <x v="96"/>
    <x v="3"/>
    <x v="59"/>
    <x v="75"/>
    <x v="58"/>
    <x v="55"/>
    <x v="13"/>
    <x v="0"/>
    <x v="331"/>
    <x v="134"/>
    <x v="32"/>
    <x v="335"/>
    <x v="930"/>
    <x v="1"/>
    <x v="108"/>
    <x v="58"/>
    <x v="594"/>
    <x v="245"/>
    <x v="1"/>
    <x v="6"/>
    <x v="20"/>
    <x v="1"/>
  </r>
  <r>
    <x v="748"/>
    <x v="1"/>
    <x v="187"/>
    <x v="97"/>
    <x v="3"/>
    <x v="49"/>
    <x v="41"/>
    <x v="58"/>
    <x v="55"/>
    <x v="13"/>
    <x v="0"/>
    <x v="621"/>
    <x v="297"/>
    <x v="51"/>
    <x v="466"/>
    <x v="1143"/>
    <x v="1"/>
    <x v="108"/>
    <x v="58"/>
    <x v="1011"/>
    <x v="390"/>
    <x v="1"/>
    <x v="6"/>
    <x v="20"/>
    <x v="1"/>
  </r>
  <r>
    <x v="751"/>
    <x v="1"/>
    <x v="188"/>
    <x v="98"/>
    <x v="3"/>
    <x v="6"/>
    <x v="66"/>
    <x v="58"/>
    <x v="55"/>
    <x v="13"/>
    <x v="0"/>
    <x v="364"/>
    <x v="179"/>
    <x v="32"/>
    <x v="322"/>
    <x v="881"/>
    <x v="1"/>
    <x v="108"/>
    <x v="58"/>
    <x v="590"/>
    <x v="259"/>
    <x v="1"/>
    <x v="6"/>
    <x v="20"/>
    <x v="1"/>
  </r>
  <r>
    <x v="755"/>
    <x v="1"/>
    <x v="189"/>
    <x v="99"/>
    <x v="3"/>
    <x v="59"/>
    <x v="75"/>
    <x v="58"/>
    <x v="55"/>
    <x v="13"/>
    <x v="0"/>
    <x v="183"/>
    <x v="133"/>
    <x v="32"/>
    <x v="194"/>
    <x v="290"/>
    <x v="1"/>
    <x v="108"/>
    <x v="58"/>
    <x v="369"/>
    <x v="245"/>
    <x v="1"/>
    <x v="6"/>
    <x v="20"/>
    <x v="1"/>
  </r>
  <r>
    <x v="758"/>
    <x v="1"/>
    <x v="190"/>
    <x v="100"/>
    <x v="3"/>
    <x v="91"/>
    <x v="37"/>
    <x v="66"/>
    <x v="55"/>
    <x v="1"/>
    <x v="0"/>
    <x v="423"/>
    <x v="143"/>
    <x v="62"/>
    <x v="401"/>
    <x v="868"/>
    <x v="1"/>
    <x v="108"/>
    <x v="58"/>
    <x v="1047"/>
    <x v="451"/>
    <x v="1"/>
    <x v="6"/>
    <x v="20"/>
    <x v="1"/>
  </r>
  <r>
    <x v="760"/>
    <x v="1"/>
    <x v="191"/>
    <x v="101"/>
    <x v="3"/>
    <x v="80"/>
    <x v="35"/>
    <x v="66"/>
    <x v="55"/>
    <x v="1"/>
    <x v="0"/>
    <x v="382"/>
    <x v="155"/>
    <x v="68"/>
    <x v="365"/>
    <x v="567"/>
    <x v="1"/>
    <x v="108"/>
    <x v="58"/>
    <x v="1108"/>
    <x v="500"/>
    <x v="1"/>
    <x v="6"/>
    <x v="20"/>
    <x v="1"/>
  </r>
  <r>
    <x v="763"/>
    <x v="1"/>
    <x v="192"/>
    <x v="102"/>
    <x v="3"/>
    <x v="103"/>
    <x v="8"/>
    <x v="66"/>
    <x v="55"/>
    <x v="1"/>
    <x v="0"/>
    <x v="335"/>
    <x v="132"/>
    <x v="68"/>
    <x v="341"/>
    <x v="516"/>
    <x v="1"/>
    <x v="108"/>
    <x v="58"/>
    <x v="1093"/>
    <x v="500"/>
    <x v="1"/>
    <x v="6"/>
    <x v="20"/>
    <x v="1"/>
  </r>
  <r>
    <x v="766"/>
    <x v="1"/>
    <x v="193"/>
    <x v="103"/>
    <x v="3"/>
    <x v="91"/>
    <x v="37"/>
    <x v="66"/>
    <x v="55"/>
    <x v="1"/>
    <x v="0"/>
    <x v="354"/>
    <x v="140"/>
    <x v="62"/>
    <x v="352"/>
    <x v="624"/>
    <x v="1"/>
    <x v="108"/>
    <x v="58"/>
    <x v="1007"/>
    <x v="454"/>
    <x v="1"/>
    <x v="6"/>
    <x v="20"/>
    <x v="1"/>
  </r>
  <r>
    <x v="768"/>
    <x v="1"/>
    <x v="194"/>
    <x v="104"/>
    <x v="3"/>
    <x v="80"/>
    <x v="35"/>
    <x v="66"/>
    <x v="55"/>
    <x v="1"/>
    <x v="0"/>
    <x v="387"/>
    <x v="153"/>
    <x v="65"/>
    <x v="372"/>
    <x v="634"/>
    <x v="1"/>
    <x v="108"/>
    <x v="58"/>
    <x v="1069"/>
    <x v="482"/>
    <x v="1"/>
    <x v="6"/>
    <x v="20"/>
    <x v="1"/>
  </r>
  <r>
    <x v="771"/>
    <x v="1"/>
    <x v="195"/>
    <x v="105"/>
    <x v="3"/>
    <x v="103"/>
    <x v="8"/>
    <x v="66"/>
    <x v="55"/>
    <x v="1"/>
    <x v="0"/>
    <x v="417"/>
    <x v="130"/>
    <x v="62"/>
    <x v="404"/>
    <x v="889"/>
    <x v="1"/>
    <x v="108"/>
    <x v="58"/>
    <x v="1051"/>
    <x v="448"/>
    <x v="1"/>
    <x v="6"/>
    <x v="20"/>
    <x v="1"/>
  </r>
  <r>
    <x v="773"/>
    <x v="1"/>
    <x v="196"/>
    <x v="106"/>
    <x v="3"/>
    <x v="91"/>
    <x v="37"/>
    <x v="66"/>
    <x v="55"/>
    <x v="1"/>
    <x v="0"/>
    <x v="452"/>
    <x v="139"/>
    <x v="57"/>
    <x v="416"/>
    <x v="1031"/>
    <x v="1"/>
    <x v="108"/>
    <x v="58"/>
    <x v="1024"/>
    <x v="422"/>
    <x v="1"/>
    <x v="6"/>
    <x v="20"/>
    <x v="1"/>
  </r>
  <r>
    <x v="776"/>
    <x v="1"/>
    <x v="197"/>
    <x v="107"/>
    <x v="3"/>
    <x v="80"/>
    <x v="35"/>
    <x v="66"/>
    <x v="55"/>
    <x v="1"/>
    <x v="0"/>
    <x v="458"/>
    <x v="152"/>
    <x v="42"/>
    <x v="415"/>
    <x v="1117"/>
    <x v="1"/>
    <x v="108"/>
    <x v="58"/>
    <x v="832"/>
    <x v="325"/>
    <x v="1"/>
    <x v="6"/>
    <x v="20"/>
    <x v="1"/>
  </r>
  <r>
    <x v="778"/>
    <x v="1"/>
    <x v="198"/>
    <x v="108"/>
    <x v="3"/>
    <x v="103"/>
    <x v="8"/>
    <x v="66"/>
    <x v="55"/>
    <x v="1"/>
    <x v="0"/>
    <x v="358"/>
    <x v="129"/>
    <x v="32"/>
    <x v="367"/>
    <x v="1028"/>
    <x v="1"/>
    <x v="108"/>
    <x v="58"/>
    <x v="615"/>
    <x v="245"/>
    <x v="1"/>
    <x v="6"/>
    <x v="20"/>
    <x v="1"/>
  </r>
  <r>
    <x v="784"/>
    <x v="1"/>
    <x v="199"/>
    <x v="109"/>
    <x v="3"/>
    <x v="91"/>
    <x v="37"/>
    <x v="66"/>
    <x v="55"/>
    <x v="13"/>
    <x v="0"/>
    <x v="374"/>
    <x v="409"/>
    <x v="47"/>
    <x v="113"/>
    <x v="147"/>
    <x v="1"/>
    <x v="108"/>
    <x v="59"/>
    <x v="256"/>
    <x v="358"/>
    <x v="1"/>
    <x v="7"/>
    <x v="21"/>
    <x v="1"/>
  </r>
  <r>
    <x v="781"/>
    <x v="1"/>
    <x v="200"/>
    <x v="109"/>
    <x v="3"/>
    <x v="91"/>
    <x v="37"/>
    <x v="66"/>
    <x v="55"/>
    <x v="1"/>
    <x v="0"/>
    <x v="109"/>
    <x v="139"/>
    <x v="37"/>
    <x v="112"/>
    <x v="157"/>
    <x v="1"/>
    <x v="108"/>
    <x v="59"/>
    <x v="175"/>
    <x v="285"/>
    <x v="1"/>
    <x v="7"/>
    <x v="21"/>
    <x v="1"/>
  </r>
  <r>
    <x v="786"/>
    <x v="1"/>
    <x v="201"/>
    <x v="110"/>
    <x v="3"/>
    <x v="80"/>
    <x v="35"/>
    <x v="66"/>
    <x v="55"/>
    <x v="13"/>
    <x v="0"/>
    <x v="375"/>
    <x v="158"/>
    <x v="93"/>
    <x v="355"/>
    <x v="322"/>
    <x v="1"/>
    <x v="108"/>
    <x v="59"/>
    <x v="1291"/>
    <x v="612"/>
    <x v="1"/>
    <x v="7"/>
    <x v="21"/>
    <x v="1"/>
  </r>
  <r>
    <x v="789"/>
    <x v="1"/>
    <x v="202"/>
    <x v="111"/>
    <x v="3"/>
    <x v="103"/>
    <x v="8"/>
    <x v="66"/>
    <x v="55"/>
    <x v="13"/>
    <x v="0"/>
    <x v="333"/>
    <x v="131"/>
    <x v="75"/>
    <x v="340"/>
    <x v="414"/>
    <x v="1"/>
    <x v="108"/>
    <x v="59"/>
    <x v="1183"/>
    <x v="557"/>
    <x v="1"/>
    <x v="7"/>
    <x v="21"/>
    <x v="1"/>
  </r>
  <r>
    <x v="792"/>
    <x v="1"/>
    <x v="203"/>
    <x v="112"/>
    <x v="3"/>
    <x v="91"/>
    <x v="37"/>
    <x v="66"/>
    <x v="55"/>
    <x v="13"/>
    <x v="0"/>
    <x v="340"/>
    <x v="140"/>
    <x v="93"/>
    <x v="338"/>
    <x v="313"/>
    <x v="1"/>
    <x v="108"/>
    <x v="59"/>
    <x v="1285"/>
    <x v="617"/>
    <x v="1"/>
    <x v="7"/>
    <x v="21"/>
    <x v="1"/>
  </r>
  <r>
    <x v="795"/>
    <x v="1"/>
    <x v="204"/>
    <x v="113"/>
    <x v="3"/>
    <x v="80"/>
    <x v="35"/>
    <x v="66"/>
    <x v="55"/>
    <x v="13"/>
    <x v="0"/>
    <x v="143"/>
    <x v="155"/>
    <x v="89"/>
    <x v="140"/>
    <x v="158"/>
    <x v="1"/>
    <x v="108"/>
    <x v="59"/>
    <x v="961"/>
    <x v="598"/>
    <x v="1"/>
    <x v="7"/>
    <x v="21"/>
    <x v="1"/>
  </r>
  <r>
    <x v="797"/>
    <x v="1"/>
    <x v="205"/>
    <x v="114"/>
    <x v="3"/>
    <x v="42"/>
    <x v="21"/>
    <x v="66"/>
    <x v="55"/>
    <x v="13"/>
    <x v="0"/>
    <x v="632"/>
    <x v="303"/>
    <x v="65"/>
    <x v="483"/>
    <x v="1119"/>
    <x v="1"/>
    <x v="108"/>
    <x v="59"/>
    <x v="1155"/>
    <x v="479"/>
    <x v="1"/>
    <x v="7"/>
    <x v="21"/>
    <x v="1"/>
  </r>
  <r>
    <x v="800"/>
    <x v="1"/>
    <x v="206"/>
    <x v="115"/>
    <x v="3"/>
    <x v="29"/>
    <x v="67"/>
    <x v="66"/>
    <x v="55"/>
    <x v="13"/>
    <x v="0"/>
    <x v="326"/>
    <x v="127"/>
    <x v="82"/>
    <x v="337"/>
    <x v="373"/>
    <x v="1"/>
    <x v="108"/>
    <x v="59"/>
    <x v="1214"/>
    <x v="576"/>
    <x v="1"/>
    <x v="7"/>
    <x v="21"/>
    <x v="1"/>
  </r>
  <r>
    <x v="803"/>
    <x v="1"/>
    <x v="207"/>
    <x v="116"/>
    <x v="3"/>
    <x v="9"/>
    <x v="33"/>
    <x v="66"/>
    <x v="55"/>
    <x v="13"/>
    <x v="0"/>
    <x v="280"/>
    <x v="81"/>
    <x v="89"/>
    <x v="338"/>
    <x v="339"/>
    <x v="1"/>
    <x v="108"/>
    <x v="59"/>
    <x v="1257"/>
    <x v="597"/>
    <x v="1"/>
    <x v="7"/>
    <x v="21"/>
    <x v="1"/>
  </r>
  <r>
    <x v="805"/>
    <x v="1"/>
    <x v="208"/>
    <x v="117"/>
    <x v="3"/>
    <x v="42"/>
    <x v="21"/>
    <x v="66"/>
    <x v="55"/>
    <x v="1"/>
    <x v="0"/>
    <x v="668"/>
    <x v="457"/>
    <x v="51"/>
    <x v="173"/>
    <x v="238"/>
    <x v="1"/>
    <x v="108"/>
    <x v="59"/>
    <x v="496"/>
    <x v="409"/>
    <x v="1"/>
    <x v="7"/>
    <x v="21"/>
    <x v="1"/>
  </r>
  <r>
    <x v="808"/>
    <x v="1"/>
    <x v="209"/>
    <x v="117"/>
    <x v="3"/>
    <x v="42"/>
    <x v="21"/>
    <x v="66"/>
    <x v="55"/>
    <x v="13"/>
    <x v="0"/>
    <x v="178"/>
    <x v="300"/>
    <x v="75"/>
    <x v="123"/>
    <x v="122"/>
    <x v="1"/>
    <x v="108"/>
    <x v="59"/>
    <x v="604"/>
    <x v="563"/>
    <x v="1"/>
    <x v="7"/>
    <x v="21"/>
    <x v="1"/>
  </r>
  <r>
    <x v="811"/>
    <x v="1"/>
    <x v="210"/>
    <x v="118"/>
    <x v="3"/>
    <x v="29"/>
    <x v="67"/>
    <x v="66"/>
    <x v="55"/>
    <x v="1"/>
    <x v="0"/>
    <x v="317"/>
    <x v="125"/>
    <x v="62"/>
    <x v="330"/>
    <x v="565"/>
    <x v="1"/>
    <x v="108"/>
    <x v="59"/>
    <x v="995"/>
    <x v="456"/>
    <x v="1"/>
    <x v="7"/>
    <x v="21"/>
    <x v="1"/>
  </r>
  <r>
    <x v="814"/>
    <x v="1"/>
    <x v="211"/>
    <x v="119"/>
    <x v="3"/>
    <x v="9"/>
    <x v="33"/>
    <x v="66"/>
    <x v="55"/>
    <x v="1"/>
    <x v="0"/>
    <x v="194"/>
    <x v="79"/>
    <x v="74"/>
    <x v="211"/>
    <x v="278"/>
    <x v="1"/>
    <x v="108"/>
    <x v="59"/>
    <x v="1046"/>
    <x v="550"/>
    <x v="1"/>
    <x v="7"/>
    <x v="21"/>
    <x v="1"/>
  </r>
  <r>
    <x v="816"/>
    <x v="1"/>
    <x v="212"/>
    <x v="0"/>
    <x v="5"/>
    <x v="9"/>
    <x v="33"/>
    <x v="28"/>
    <x v="55"/>
    <x v="23"/>
    <x v="0"/>
    <x v="222"/>
    <x v="81"/>
    <x v="93"/>
    <x v="263"/>
    <x v="279"/>
    <x v="1"/>
    <x v="108"/>
    <x v="60"/>
    <x v="1261"/>
    <x v="612"/>
    <x v="1"/>
    <x v="8"/>
    <x v="22"/>
    <x v="1"/>
  </r>
  <r>
    <x v="819"/>
    <x v="1"/>
    <x v="214"/>
    <x v="1"/>
    <x v="5"/>
    <x v="6"/>
    <x v="66"/>
    <x v="28"/>
    <x v="55"/>
    <x v="23"/>
    <x v="0"/>
    <x v="382"/>
    <x v="193"/>
    <x v="91"/>
    <x v="326"/>
    <x v="318"/>
    <x v="1"/>
    <x v="108"/>
    <x v="60"/>
    <x v="1266"/>
    <x v="605"/>
    <x v="1"/>
    <x v="8"/>
    <x v="22"/>
    <x v="1"/>
  </r>
  <r>
    <x v="822"/>
    <x v="1"/>
    <x v="216"/>
    <x v="3"/>
    <x v="5"/>
    <x v="104"/>
    <x v="64"/>
    <x v="28"/>
    <x v="55"/>
    <x v="23"/>
    <x v="0"/>
    <x v="327"/>
    <x v="187"/>
    <x v="87"/>
    <x v="277"/>
    <x v="307"/>
    <x v="1"/>
    <x v="108"/>
    <x v="60"/>
    <x v="1229"/>
    <x v="588"/>
    <x v="1"/>
    <x v="8"/>
    <x v="22"/>
    <x v="1"/>
  </r>
  <r>
    <x v="825"/>
    <x v="1"/>
    <x v="217"/>
    <x v="4"/>
    <x v="5"/>
    <x v="67"/>
    <x v="63"/>
    <x v="28"/>
    <x v="55"/>
    <x v="23"/>
    <x v="0"/>
    <x v="326"/>
    <x v="145"/>
    <x v="93"/>
    <x v="319"/>
    <x v="300"/>
    <x v="1"/>
    <x v="108"/>
    <x v="60"/>
    <x v="1279"/>
    <x v="612"/>
    <x v="1"/>
    <x v="8"/>
    <x v="22"/>
    <x v="1"/>
  </r>
  <r>
    <x v="828"/>
    <x v="1"/>
    <x v="218"/>
    <x v="2"/>
    <x v="5"/>
    <x v="42"/>
    <x v="21"/>
    <x v="28"/>
    <x v="55"/>
    <x v="23"/>
    <x v="0"/>
    <x v="634"/>
    <x v="293"/>
    <x v="93"/>
    <x v="494"/>
    <x v="557"/>
    <x v="1"/>
    <x v="108"/>
    <x v="60"/>
    <x v="1328"/>
    <x v="612"/>
    <x v="1"/>
    <x v="8"/>
    <x v="22"/>
    <x v="1"/>
  </r>
  <r>
    <x v="831"/>
    <x v="1"/>
    <x v="219"/>
    <x v="5"/>
    <x v="5"/>
    <x v="0"/>
    <x v="69"/>
    <x v="29"/>
    <x v="55"/>
    <x v="23"/>
    <x v="0"/>
    <x v="396"/>
    <x v="178"/>
    <x v="79"/>
    <x v="355"/>
    <x v="411"/>
    <x v="1"/>
    <x v="108"/>
    <x v="60"/>
    <x v="1201"/>
    <x v="568"/>
    <x v="1"/>
    <x v="8"/>
    <x v="22"/>
    <x v="1"/>
  </r>
  <r>
    <x v="834"/>
    <x v="1"/>
    <x v="220"/>
    <x v="6"/>
    <x v="5"/>
    <x v="13"/>
    <x v="11"/>
    <x v="29"/>
    <x v="55"/>
    <x v="23"/>
    <x v="0"/>
    <x v="589"/>
    <x v="274"/>
    <x v="93"/>
    <x v="472"/>
    <x v="506"/>
    <x v="1"/>
    <x v="108"/>
    <x v="60"/>
    <x v="1324"/>
    <x v="614"/>
    <x v="1"/>
    <x v="8"/>
    <x v="22"/>
    <x v="1"/>
  </r>
  <r>
    <x v="837"/>
    <x v="1"/>
    <x v="221"/>
    <x v="7"/>
    <x v="5"/>
    <x v="1"/>
    <x v="72"/>
    <x v="29"/>
    <x v="55"/>
    <x v="23"/>
    <x v="0"/>
    <x v="785"/>
    <x v="402"/>
    <x v="82"/>
    <x v="570"/>
    <x v="1160"/>
    <x v="1"/>
    <x v="108"/>
    <x v="61"/>
    <x v="1309"/>
    <x v="576"/>
    <x v="1"/>
    <x v="9"/>
    <x v="23"/>
    <x v="1"/>
  </r>
  <r>
    <x v="840"/>
    <x v="1"/>
    <x v="222"/>
    <x v="8"/>
    <x v="5"/>
    <x v="50"/>
    <x v="70"/>
    <x v="29"/>
    <x v="55"/>
    <x v="23"/>
    <x v="0"/>
    <x v="346"/>
    <x v="179"/>
    <x v="86"/>
    <x v="304"/>
    <x v="336"/>
    <x v="1"/>
    <x v="108"/>
    <x v="61"/>
    <x v="1232"/>
    <x v="587"/>
    <x v="1"/>
    <x v="9"/>
    <x v="23"/>
    <x v="1"/>
  </r>
  <r>
    <x v="843"/>
    <x v="1"/>
    <x v="224"/>
    <x v="9"/>
    <x v="5"/>
    <x v="65"/>
    <x v="44"/>
    <x v="29"/>
    <x v="55"/>
    <x v="23"/>
    <x v="0"/>
    <x v="394"/>
    <x v="194"/>
    <x v="83"/>
    <x v="337"/>
    <x v="367"/>
    <x v="1"/>
    <x v="108"/>
    <x v="61"/>
    <x v="1225"/>
    <x v="582"/>
    <x v="1"/>
    <x v="9"/>
    <x v="23"/>
    <x v="1"/>
  </r>
  <r>
    <x v="846"/>
    <x v="1"/>
    <x v="225"/>
    <x v="10"/>
    <x v="5"/>
    <x v="81"/>
    <x v="58"/>
    <x v="29"/>
    <x v="55"/>
    <x v="23"/>
    <x v="0"/>
    <x v="441"/>
    <x v="244"/>
    <x v="88"/>
    <x v="328"/>
    <x v="338"/>
    <x v="1"/>
    <x v="108"/>
    <x v="61"/>
    <x v="1254"/>
    <x v="594"/>
    <x v="1"/>
    <x v="9"/>
    <x v="23"/>
    <x v="1"/>
  </r>
  <r>
    <x v="849"/>
    <x v="1"/>
    <x v="226"/>
    <x v="11"/>
    <x v="5"/>
    <x v="80"/>
    <x v="35"/>
    <x v="29"/>
    <x v="55"/>
    <x v="23"/>
    <x v="0"/>
    <x v="351"/>
    <x v="155"/>
    <x v="40"/>
    <x v="334"/>
    <x v="840"/>
    <x v="1"/>
    <x v="108"/>
    <x v="61"/>
    <x v="694"/>
    <x v="317"/>
    <x v="1"/>
    <x v="9"/>
    <x v="23"/>
    <x v="1"/>
  </r>
  <r>
    <x v="852"/>
    <x v="1"/>
    <x v="227"/>
    <x v="12"/>
    <x v="5"/>
    <x v="91"/>
    <x v="37"/>
    <x v="29"/>
    <x v="55"/>
    <x v="23"/>
    <x v="0"/>
    <x v="300"/>
    <x v="135"/>
    <x v="79"/>
    <x v="303"/>
    <x v="363"/>
    <x v="1"/>
    <x v="108"/>
    <x v="61"/>
    <x v="1189"/>
    <x v="568"/>
    <x v="1"/>
    <x v="9"/>
    <x v="23"/>
    <x v="1"/>
  </r>
  <r>
    <x v="855"/>
    <x v="1"/>
    <x v="228"/>
    <x v="13"/>
    <x v="5"/>
    <x v="75"/>
    <x v="57"/>
    <x v="29"/>
    <x v="55"/>
    <x v="23"/>
    <x v="0"/>
    <x v="669"/>
    <x v="356"/>
    <x v="73"/>
    <x v="434"/>
    <x v="857"/>
    <x v="1"/>
    <x v="108"/>
    <x v="61"/>
    <x v="1207"/>
    <x v="537"/>
    <x v="1"/>
    <x v="9"/>
    <x v="23"/>
    <x v="1"/>
  </r>
  <r>
    <x v="858"/>
    <x v="1"/>
    <x v="229"/>
    <x v="14"/>
    <x v="5"/>
    <x v="104"/>
    <x v="64"/>
    <x v="29"/>
    <x v="55"/>
    <x v="23"/>
    <x v="0"/>
    <x v="337"/>
    <x v="173"/>
    <x v="84"/>
    <x v="301"/>
    <x v="340"/>
    <x v="1"/>
    <x v="108"/>
    <x v="61"/>
    <x v="1221"/>
    <x v="583"/>
    <x v="1"/>
    <x v="9"/>
    <x v="23"/>
    <x v="1"/>
  </r>
  <r>
    <x v="861"/>
    <x v="1"/>
    <x v="230"/>
    <x v="15"/>
    <x v="5"/>
    <x v="49"/>
    <x v="41"/>
    <x v="29"/>
    <x v="55"/>
    <x v="23"/>
    <x v="0"/>
    <x v="609"/>
    <x v="306"/>
    <x v="73"/>
    <x v="438"/>
    <x v="872"/>
    <x v="1"/>
    <x v="108"/>
    <x v="61"/>
    <x v="1208"/>
    <x v="537"/>
    <x v="1"/>
    <x v="9"/>
    <x v="23"/>
    <x v="1"/>
  </r>
  <r>
    <x v="864"/>
    <x v="1"/>
    <x v="231"/>
    <x v="16"/>
    <x v="5"/>
    <x v="29"/>
    <x v="67"/>
    <x v="29"/>
    <x v="55"/>
    <x v="23"/>
    <x v="0"/>
    <x v="284"/>
    <x v="125"/>
    <x v="51"/>
    <x v="297"/>
    <x v="564"/>
    <x v="1"/>
    <x v="108"/>
    <x v="61"/>
    <x v="853"/>
    <x v="390"/>
    <x v="1"/>
    <x v="9"/>
    <x v="23"/>
    <x v="1"/>
  </r>
  <r>
    <x v="867"/>
    <x v="1"/>
    <x v="232"/>
    <x v="17"/>
    <x v="5"/>
    <x v="67"/>
    <x v="63"/>
    <x v="29"/>
    <x v="55"/>
    <x v="23"/>
    <x v="0"/>
    <x v="290"/>
    <x v="136"/>
    <x v="75"/>
    <x v="292"/>
    <x v="368"/>
    <x v="1"/>
    <x v="108"/>
    <x v="61"/>
    <x v="1164"/>
    <x v="559"/>
    <x v="1"/>
    <x v="9"/>
    <x v="23"/>
    <x v="1"/>
  </r>
  <r>
    <x v="870"/>
    <x v="1"/>
    <x v="233"/>
    <x v="18"/>
    <x v="5"/>
    <x v="0"/>
    <x v="69"/>
    <x v="29"/>
    <x v="55"/>
    <x v="23"/>
    <x v="0"/>
    <x v="342"/>
    <x v="175"/>
    <x v="82"/>
    <x v="304"/>
    <x v="354"/>
    <x v="1"/>
    <x v="108"/>
    <x v="61"/>
    <x v="1203"/>
    <x v="580"/>
    <x v="1"/>
    <x v="9"/>
    <x v="23"/>
    <x v="1"/>
  </r>
  <r>
    <x v="873"/>
    <x v="1"/>
    <x v="234"/>
    <x v="19"/>
    <x v="5"/>
    <x v="103"/>
    <x v="8"/>
    <x v="28"/>
    <x v="55"/>
    <x v="12"/>
    <x v="0"/>
    <x v="442"/>
    <x v="426"/>
    <x v="95"/>
    <x v="84"/>
    <x v="94"/>
    <x v="1"/>
    <x v="108"/>
    <x v="61"/>
    <x v="791"/>
    <x v="621"/>
    <x v="1"/>
    <x v="9"/>
    <x v="23"/>
    <x v="1"/>
  </r>
  <r>
    <x v="876"/>
    <x v="1"/>
    <x v="235"/>
    <x v="19"/>
    <x v="5"/>
    <x v="103"/>
    <x v="8"/>
    <x v="29"/>
    <x v="55"/>
    <x v="23"/>
    <x v="0"/>
    <x v="131"/>
    <x v="138"/>
    <x v="75"/>
    <x v="132"/>
    <x v="169"/>
    <x v="1"/>
    <x v="108"/>
    <x v="61"/>
    <x v="690"/>
    <x v="552"/>
    <x v="1"/>
    <x v="9"/>
    <x v="23"/>
    <x v="1"/>
  </r>
  <r>
    <x v="879"/>
    <x v="1"/>
    <x v="236"/>
    <x v="20"/>
    <x v="5"/>
    <x v="13"/>
    <x v="11"/>
    <x v="28"/>
    <x v="55"/>
    <x v="12"/>
    <x v="0"/>
    <x v="586"/>
    <x v="278"/>
    <x v="100"/>
    <x v="458"/>
    <x v="384"/>
    <x v="1"/>
    <x v="108"/>
    <x v="61"/>
    <x v="1336"/>
    <x v="633"/>
    <x v="1"/>
    <x v="9"/>
    <x v="23"/>
    <x v="1"/>
  </r>
  <r>
    <x v="882"/>
    <x v="1"/>
    <x v="237"/>
    <x v="21"/>
    <x v="5"/>
    <x v="50"/>
    <x v="70"/>
    <x v="28"/>
    <x v="55"/>
    <x v="12"/>
    <x v="0"/>
    <x v="334"/>
    <x v="175"/>
    <x v="98"/>
    <x v="296"/>
    <x v="277"/>
    <x v="1"/>
    <x v="108"/>
    <x v="62"/>
    <x v="1296"/>
    <x v="630"/>
    <x v="1"/>
    <x v="10"/>
    <x v="24"/>
    <x v="1"/>
  </r>
  <r>
    <x v="885"/>
    <x v="1"/>
    <x v="238"/>
    <x v="22"/>
    <x v="5"/>
    <x v="1"/>
    <x v="72"/>
    <x v="28"/>
    <x v="55"/>
    <x v="12"/>
    <x v="0"/>
    <x v="779"/>
    <x v="405"/>
    <x v="91"/>
    <x v="550"/>
    <x v="1047"/>
    <x v="1"/>
    <x v="108"/>
    <x v="62"/>
    <x v="1334"/>
    <x v="603"/>
    <x v="1"/>
    <x v="10"/>
    <x v="24"/>
    <x v="1"/>
  </r>
  <r>
    <x v="888"/>
    <x v="1"/>
    <x v="239"/>
    <x v="23"/>
    <x v="5"/>
    <x v="65"/>
    <x v="44"/>
    <x v="28"/>
    <x v="55"/>
    <x v="12"/>
    <x v="0"/>
    <x v="347"/>
    <x v="189"/>
    <x v="95"/>
    <x v="295"/>
    <x v="282"/>
    <x v="1"/>
    <x v="108"/>
    <x v="62"/>
    <x v="1286"/>
    <x v="621"/>
    <x v="1"/>
    <x v="10"/>
    <x v="24"/>
    <x v="1"/>
  </r>
  <r>
    <x v="891"/>
    <x v="1"/>
    <x v="240"/>
    <x v="24"/>
    <x v="5"/>
    <x v="35"/>
    <x v="12"/>
    <x v="28"/>
    <x v="55"/>
    <x v="12"/>
    <x v="0"/>
    <x v="318"/>
    <x v="159"/>
    <x v="100"/>
    <x v="297"/>
    <x v="273"/>
    <x v="1"/>
    <x v="108"/>
    <x v="62"/>
    <x v="1304"/>
    <x v="632"/>
    <x v="1"/>
    <x v="10"/>
    <x v="24"/>
    <x v="1"/>
  </r>
  <r>
    <x v="906"/>
    <x v="1"/>
    <x v="241"/>
    <x v="25"/>
    <x v="5"/>
    <x v="81"/>
    <x v="58"/>
    <x v="28"/>
    <x v="55"/>
    <x v="12"/>
    <x v="0"/>
    <x v="407"/>
    <x v="238"/>
    <x v="93"/>
    <x v="300"/>
    <x v="291"/>
    <x v="1"/>
    <x v="108"/>
    <x v="62"/>
    <x v="1274"/>
    <x v="618"/>
    <x v="1"/>
    <x v="10"/>
    <x v="24"/>
    <x v="1"/>
  </r>
  <r>
    <x v="909"/>
    <x v="1"/>
    <x v="242"/>
    <x v="27"/>
    <x v="5"/>
    <x v="6"/>
    <x v="66"/>
    <x v="28"/>
    <x v="55"/>
    <x v="12"/>
    <x v="0"/>
    <x v="346"/>
    <x v="196"/>
    <x v="73"/>
    <x v="287"/>
    <x v="378"/>
    <x v="1"/>
    <x v="108"/>
    <x v="62"/>
    <x v="1129"/>
    <x v="537"/>
    <x v="1"/>
    <x v="10"/>
    <x v="24"/>
    <x v="1"/>
  </r>
  <r>
    <x v="912"/>
    <x v="1"/>
    <x v="243"/>
    <x v="26"/>
    <x v="5"/>
    <x v="9"/>
    <x v="33"/>
    <x v="28"/>
    <x v="55"/>
    <x v="12"/>
    <x v="0"/>
    <x v="235"/>
    <x v="95"/>
    <x v="62"/>
    <x v="275"/>
    <x v="453"/>
    <x v="1"/>
    <x v="108"/>
    <x v="62"/>
    <x v="959"/>
    <x v="448"/>
    <x v="1"/>
    <x v="10"/>
    <x v="24"/>
    <x v="1"/>
  </r>
  <r>
    <x v="926"/>
    <x v="1"/>
    <x v="244"/>
    <x v="29"/>
    <x v="5"/>
    <x v="42"/>
    <x v="21"/>
    <x v="29"/>
    <x v="55"/>
    <x v="13"/>
    <x v="0"/>
    <x v="652"/>
    <x v="317"/>
    <x v="62"/>
    <x v="501"/>
    <x v="1151"/>
    <x v="1"/>
    <x v="108"/>
    <x v="62"/>
    <x v="1127"/>
    <x v="448"/>
    <x v="1"/>
    <x v="10"/>
    <x v="24"/>
    <x v="1"/>
  </r>
  <r>
    <x v="929"/>
    <x v="1"/>
    <x v="245"/>
    <x v="28"/>
    <x v="5"/>
    <x v="104"/>
    <x v="64"/>
    <x v="29"/>
    <x v="55"/>
    <x v="13"/>
    <x v="0"/>
    <x v="501"/>
    <x v="166"/>
    <x v="47"/>
    <x v="450"/>
    <x v="1144"/>
    <x v="1"/>
    <x v="108"/>
    <x v="62"/>
    <x v="943"/>
    <x v="358"/>
    <x v="1"/>
    <x v="10"/>
    <x v="24"/>
    <x v="1"/>
  </r>
  <r>
    <x v="932"/>
    <x v="1"/>
    <x v="246"/>
    <x v="30"/>
    <x v="5"/>
    <x v="61"/>
    <x v="86"/>
    <x v="29"/>
    <x v="55"/>
    <x v="13"/>
    <x v="0"/>
    <x v="784"/>
    <x v="396"/>
    <x v="73"/>
    <x v="577"/>
    <x v="1213"/>
    <x v="1"/>
    <x v="108"/>
    <x v="63"/>
    <x v="1267"/>
    <x v="538"/>
    <x v="1"/>
    <x v="11"/>
    <x v="25"/>
    <x v="1"/>
  </r>
  <r>
    <x v="935"/>
    <x v="1"/>
    <x v="247"/>
    <x v="31"/>
    <x v="5"/>
    <x v="67"/>
    <x v="63"/>
    <x v="29"/>
    <x v="55"/>
    <x v="13"/>
    <x v="0"/>
    <x v="314"/>
    <x v="128"/>
    <x v="75"/>
    <x v="324"/>
    <x v="392"/>
    <x v="1"/>
    <x v="108"/>
    <x v="63"/>
    <x v="1175"/>
    <x v="558"/>
    <x v="1"/>
    <x v="11"/>
    <x v="25"/>
    <x v="1"/>
  </r>
  <r>
    <x v="938"/>
    <x v="1"/>
    <x v="248"/>
    <x v="32"/>
    <x v="5"/>
    <x v="0"/>
    <x v="69"/>
    <x v="29"/>
    <x v="55"/>
    <x v="13"/>
    <x v="0"/>
    <x v="321"/>
    <x v="164"/>
    <x v="93"/>
    <x v="295"/>
    <x v="289"/>
    <x v="1"/>
    <x v="108"/>
    <x v="63"/>
    <x v="1270"/>
    <x v="612"/>
    <x v="1"/>
    <x v="11"/>
    <x v="25"/>
    <x v="1"/>
  </r>
  <r>
    <x v="941"/>
    <x v="1"/>
    <x v="249"/>
    <x v="33"/>
    <x v="5"/>
    <x v="13"/>
    <x v="11"/>
    <x v="29"/>
    <x v="55"/>
    <x v="13"/>
    <x v="0"/>
    <x v="604"/>
    <x v="276"/>
    <x v="84"/>
    <x v="488"/>
    <x v="783"/>
    <x v="1"/>
    <x v="108"/>
    <x v="63"/>
    <x v="1288"/>
    <x v="583"/>
    <x v="1"/>
    <x v="11"/>
    <x v="25"/>
    <x v="1"/>
  </r>
  <r>
    <x v="944"/>
    <x v="1"/>
    <x v="250"/>
    <x v="34"/>
    <x v="5"/>
    <x v="50"/>
    <x v="70"/>
    <x v="29"/>
    <x v="55"/>
    <x v="13"/>
    <x v="0"/>
    <x v="542"/>
    <x v="186"/>
    <x v="79"/>
    <x v="501"/>
    <x v="981"/>
    <x v="1"/>
    <x v="108"/>
    <x v="63"/>
    <x v="1259"/>
    <x v="568"/>
    <x v="1"/>
    <x v="11"/>
    <x v="25"/>
    <x v="1"/>
  </r>
  <r>
    <x v="946"/>
    <x v="1"/>
    <x v="251"/>
    <x v="35"/>
    <x v="5"/>
    <x v="49"/>
    <x v="41"/>
    <x v="29"/>
    <x v="55"/>
    <x v="13"/>
    <x v="0"/>
    <x v="448"/>
    <x v="295"/>
    <x v="75"/>
    <x v="219"/>
    <x v="295"/>
    <x v="1"/>
    <x v="108"/>
    <x v="63"/>
    <x v="1107"/>
    <x v="561"/>
    <x v="1"/>
    <x v="11"/>
    <x v="25"/>
    <x v="1"/>
  </r>
  <r>
    <x v="948"/>
    <x v="1"/>
    <x v="252"/>
    <x v="37"/>
    <x v="5"/>
    <x v="65"/>
    <x v="44"/>
    <x v="28"/>
    <x v="55"/>
    <x v="4"/>
    <x v="0"/>
    <x v="325"/>
    <x v="175"/>
    <x v="47"/>
    <x v="287"/>
    <x v="580"/>
    <x v="1"/>
    <x v="108"/>
    <x v="63"/>
    <x v="764"/>
    <x v="358"/>
    <x v="1"/>
    <x v="11"/>
    <x v="25"/>
    <x v="1"/>
  </r>
  <r>
    <x v="950"/>
    <x v="1"/>
    <x v="253"/>
    <x v="120"/>
    <x v="3"/>
    <x v="103"/>
    <x v="8"/>
    <x v="66"/>
    <x v="55"/>
    <x v="19"/>
    <x v="0"/>
    <x v="162"/>
    <x v="134"/>
    <x v="57"/>
    <x v="166"/>
    <x v="228"/>
    <x v="1"/>
    <x v="108"/>
    <x v="63"/>
    <x v="531"/>
    <x v="436"/>
    <x v="1"/>
    <x v="11"/>
    <x v="25"/>
    <x v="1"/>
  </r>
  <r>
    <x v="952"/>
    <x v="1"/>
    <x v="254"/>
    <x v="38"/>
    <x v="5"/>
    <x v="81"/>
    <x v="58"/>
    <x v="28"/>
    <x v="55"/>
    <x v="4"/>
    <x v="0"/>
    <x v="558"/>
    <x v="246"/>
    <x v="42"/>
    <x v="490"/>
    <x v="1189"/>
    <x v="1"/>
    <x v="108"/>
    <x v="63"/>
    <x v="904"/>
    <x v="319"/>
    <x v="1"/>
    <x v="11"/>
    <x v="25"/>
    <x v="1"/>
  </r>
  <r>
    <x v="954"/>
    <x v="1"/>
    <x v="255"/>
    <x v="39"/>
    <x v="5"/>
    <x v="80"/>
    <x v="35"/>
    <x v="28"/>
    <x v="55"/>
    <x v="4"/>
    <x v="0"/>
    <x v="515"/>
    <x v="152"/>
    <x v="34"/>
    <x v="493"/>
    <x v="1215"/>
    <x v="1"/>
    <x v="108"/>
    <x v="63"/>
    <x v="777"/>
    <x v="279"/>
    <x v="1"/>
    <x v="11"/>
    <x v="25"/>
    <x v="1"/>
  </r>
  <r>
    <x v="956"/>
    <x v="1"/>
    <x v="256"/>
    <x v="40"/>
    <x v="5"/>
    <x v="91"/>
    <x v="37"/>
    <x v="28"/>
    <x v="55"/>
    <x v="4"/>
    <x v="0"/>
    <x v="512"/>
    <x v="142"/>
    <x v="42"/>
    <x v="492"/>
    <x v="1191"/>
    <x v="1"/>
    <x v="108"/>
    <x v="63"/>
    <x v="906"/>
    <x v="319"/>
    <x v="1"/>
    <x v="11"/>
    <x v="25"/>
    <x v="1"/>
  </r>
  <r>
    <x v="959"/>
    <x v="1"/>
    <x v="257"/>
    <x v="41"/>
    <x v="5"/>
    <x v="59"/>
    <x v="75"/>
    <x v="28"/>
    <x v="55"/>
    <x v="4"/>
    <x v="0"/>
    <x v="512"/>
    <x v="122"/>
    <x v="57"/>
    <x v="503"/>
    <x v="1167"/>
    <x v="1"/>
    <x v="108"/>
    <x v="63"/>
    <x v="1092"/>
    <x v="422"/>
    <x v="1"/>
    <x v="11"/>
    <x v="25"/>
    <x v="1"/>
  </r>
  <r>
    <x v="962"/>
    <x v="2"/>
    <x v="258"/>
    <x v="42"/>
    <x v="5"/>
    <x v="13"/>
    <x v="11"/>
    <x v="28"/>
    <x v="55"/>
    <x v="4"/>
    <x v="0"/>
    <x v="692"/>
    <x v="271"/>
    <x v="51"/>
    <x v="596"/>
    <x v="1309"/>
    <x v="1"/>
    <x v="108"/>
    <x v="63"/>
    <x v="1142"/>
    <x v="391"/>
    <x v="1"/>
    <x v="11"/>
    <x v="25"/>
    <x v="1"/>
  </r>
  <r>
    <x v="965"/>
    <x v="1"/>
    <x v="259"/>
    <x v="453"/>
    <x v="8"/>
    <x v="35"/>
    <x v="12"/>
    <x v="40"/>
    <x v="55"/>
    <x v="13"/>
    <x v="0"/>
    <x v="152"/>
    <x v="169"/>
    <x v="82"/>
    <x v="141"/>
    <x v="179"/>
    <x v="1"/>
    <x v="108"/>
    <x v="63"/>
    <x v="848"/>
    <x v="581"/>
    <x v="1"/>
    <x v="11"/>
    <x v="25"/>
    <x v="1"/>
  </r>
  <r>
    <x v="968"/>
    <x v="1"/>
    <x v="260"/>
    <x v="43"/>
    <x v="5"/>
    <x v="104"/>
    <x v="64"/>
    <x v="28"/>
    <x v="55"/>
    <x v="4"/>
    <x v="0"/>
    <x v="648"/>
    <x v="179"/>
    <x v="54"/>
    <x v="600"/>
    <x v="1310"/>
    <x v="1"/>
    <x v="108"/>
    <x v="63"/>
    <x v="1167"/>
    <x v="415"/>
    <x v="1"/>
    <x v="11"/>
    <x v="25"/>
    <x v="1"/>
  </r>
  <r>
    <x v="983"/>
    <x v="1"/>
    <x v="262"/>
    <x v="44"/>
    <x v="5"/>
    <x v="67"/>
    <x v="63"/>
    <x v="28"/>
    <x v="55"/>
    <x v="4"/>
    <x v="0"/>
    <x v="574"/>
    <x v="134"/>
    <x v="62"/>
    <x v="549"/>
    <x v="1257"/>
    <x v="1"/>
    <x v="108"/>
    <x v="64"/>
    <x v="1184"/>
    <x v="471"/>
    <x v="1"/>
    <x v="12"/>
    <x v="26"/>
    <x v="1"/>
  </r>
  <r>
    <x v="971"/>
    <x v="1"/>
    <x v="263"/>
    <x v="452"/>
    <x v="8"/>
    <x v="6"/>
    <x v="66"/>
    <x v="40"/>
    <x v="55"/>
    <x v="13"/>
    <x v="0"/>
    <x v="343"/>
    <x v="193"/>
    <x v="65"/>
    <x v="287"/>
    <x v="443"/>
    <x v="1"/>
    <x v="108"/>
    <x v="64"/>
    <x v="1013"/>
    <x v="479"/>
    <x v="1"/>
    <x v="12"/>
    <x v="26"/>
    <x v="1"/>
  </r>
  <r>
    <x v="974"/>
    <x v="1"/>
    <x v="264"/>
    <x v="45"/>
    <x v="5"/>
    <x v="0"/>
    <x v="69"/>
    <x v="28"/>
    <x v="55"/>
    <x v="4"/>
    <x v="0"/>
    <x v="177"/>
    <x v="166"/>
    <x v="68"/>
    <x v="184"/>
    <x v="234"/>
    <x v="1"/>
    <x v="108"/>
    <x v="64"/>
    <x v="743"/>
    <x v="500"/>
    <x v="1"/>
    <x v="12"/>
    <x v="26"/>
    <x v="1"/>
  </r>
  <r>
    <x v="977"/>
    <x v="1"/>
    <x v="265"/>
    <x v="451"/>
    <x v="8"/>
    <x v="9"/>
    <x v="33"/>
    <x v="40"/>
    <x v="55"/>
    <x v="13"/>
    <x v="0"/>
    <x v="453"/>
    <x v="90"/>
    <x v="65"/>
    <x v="445"/>
    <x v="1058"/>
    <x v="1"/>
    <x v="108"/>
    <x v="64"/>
    <x v="1134"/>
    <x v="479"/>
    <x v="1"/>
    <x v="12"/>
    <x v="26"/>
    <x v="1"/>
  </r>
  <r>
    <x v="980"/>
    <x v="1"/>
    <x v="266"/>
    <x v="454"/>
    <x v="8"/>
    <x v="42"/>
    <x v="21"/>
    <x v="40"/>
    <x v="55"/>
    <x v="13"/>
    <x v="0"/>
    <x v="651"/>
    <x v="312"/>
    <x v="71"/>
    <x v="502"/>
    <x v="1106"/>
    <x v="1"/>
    <x v="108"/>
    <x v="64"/>
    <x v="1211"/>
    <x v="524"/>
    <x v="1"/>
    <x v="12"/>
    <x v="26"/>
    <x v="1"/>
  </r>
  <r>
    <x v="986"/>
    <x v="1"/>
    <x v="267"/>
    <x v="455"/>
    <x v="8"/>
    <x v="75"/>
    <x v="57"/>
    <x v="40"/>
    <x v="55"/>
    <x v="13"/>
    <x v="0"/>
    <x v="680"/>
    <x v="351"/>
    <x v="68"/>
    <x v="469"/>
    <x v="1076"/>
    <x v="1"/>
    <x v="108"/>
    <x v="64"/>
    <x v="1180"/>
    <x v="503"/>
    <x v="1"/>
    <x v="12"/>
    <x v="26"/>
    <x v="1"/>
  </r>
  <r>
    <x v="993"/>
    <x v="1"/>
    <x v="269"/>
    <x v="456"/>
    <x v="8"/>
    <x v="49"/>
    <x v="41"/>
    <x v="40"/>
    <x v="55"/>
    <x v="13"/>
    <x v="0"/>
    <x v="625"/>
    <x v="313"/>
    <x v="109"/>
    <x v="459"/>
    <x v="315"/>
    <x v="1"/>
    <x v="108"/>
    <x v="64"/>
    <x v="1348"/>
    <x v="650"/>
    <x v="1"/>
    <x v="12"/>
    <x v="26"/>
    <x v="1"/>
  </r>
  <r>
    <x v="1038"/>
    <x v="1"/>
    <x v="271"/>
    <x v="457"/>
    <x v="8"/>
    <x v="61"/>
    <x v="86"/>
    <x v="40"/>
    <x v="55"/>
    <x v="13"/>
    <x v="0"/>
    <x v="781"/>
    <x v="397"/>
    <x v="71"/>
    <x v="571"/>
    <x v="1227"/>
    <x v="1"/>
    <x v="108"/>
    <x v="64"/>
    <x v="1255"/>
    <x v="525"/>
    <x v="1"/>
    <x v="12"/>
    <x v="26"/>
    <x v="1"/>
  </r>
  <r>
    <x v="1041"/>
    <x v="1"/>
    <x v="272"/>
    <x v="458"/>
    <x v="8"/>
    <x v="35"/>
    <x v="12"/>
    <x v="40"/>
    <x v="55"/>
    <x v="13"/>
    <x v="0"/>
    <x v="376"/>
    <x v="164"/>
    <x v="68"/>
    <x v="350"/>
    <x v="535"/>
    <x v="1"/>
    <x v="108"/>
    <x v="64"/>
    <x v="1100"/>
    <x v="507"/>
    <x v="1"/>
    <x v="12"/>
    <x v="26"/>
    <x v="1"/>
  </r>
  <r>
    <x v="1043"/>
    <x v="1"/>
    <x v="273"/>
    <x v="459"/>
    <x v="8"/>
    <x v="103"/>
    <x v="8"/>
    <x v="40"/>
    <x v="55"/>
    <x v="13"/>
    <x v="0"/>
    <x v="303"/>
    <x v="152"/>
    <x v="65"/>
    <x v="289"/>
    <x v="448"/>
    <x v="1"/>
    <x v="108"/>
    <x v="64"/>
    <x v="1014"/>
    <x v="479"/>
    <x v="1"/>
    <x v="12"/>
    <x v="26"/>
    <x v="1"/>
  </r>
  <r>
    <x v="1046"/>
    <x v="1"/>
    <x v="274"/>
    <x v="460"/>
    <x v="8"/>
    <x v="13"/>
    <x v="11"/>
    <x v="40"/>
    <x v="55"/>
    <x v="13"/>
    <x v="0"/>
    <x v="593"/>
    <x v="269"/>
    <x v="47"/>
    <x v="491"/>
    <x v="1178"/>
    <x v="1"/>
    <x v="108"/>
    <x v="64"/>
    <x v="975"/>
    <x v="358"/>
    <x v="1"/>
    <x v="12"/>
    <x v="26"/>
    <x v="1"/>
  </r>
  <r>
    <x v="1049"/>
    <x v="1"/>
    <x v="275"/>
    <x v="461"/>
    <x v="8"/>
    <x v="6"/>
    <x v="66"/>
    <x v="40"/>
    <x v="55"/>
    <x v="13"/>
    <x v="0"/>
    <x v="376"/>
    <x v="197"/>
    <x v="47"/>
    <x v="316"/>
    <x v="666"/>
    <x v="1"/>
    <x v="108"/>
    <x v="64"/>
    <x v="793"/>
    <x v="375"/>
    <x v="1"/>
    <x v="12"/>
    <x v="26"/>
    <x v="1"/>
  </r>
  <r>
    <x v="1052"/>
    <x v="1"/>
    <x v="276"/>
    <x v="462"/>
    <x v="8"/>
    <x v="9"/>
    <x v="33"/>
    <x v="40"/>
    <x v="55"/>
    <x v="13"/>
    <x v="0"/>
    <x v="224"/>
    <x v="84"/>
    <x v="62"/>
    <x v="262"/>
    <x v="424"/>
    <x v="1"/>
    <x v="108"/>
    <x v="64"/>
    <x v="948"/>
    <x v="462"/>
    <x v="1"/>
    <x v="12"/>
    <x v="26"/>
    <x v="1"/>
  </r>
  <r>
    <x v="1055"/>
    <x v="1"/>
    <x v="277"/>
    <x v="463"/>
    <x v="8"/>
    <x v="42"/>
    <x v="21"/>
    <x v="40"/>
    <x v="55"/>
    <x v="13"/>
    <x v="0"/>
    <x v="594"/>
    <x v="308"/>
    <x v="68"/>
    <x v="423"/>
    <x v="925"/>
    <x v="1"/>
    <x v="108"/>
    <x v="64"/>
    <x v="1158"/>
    <x v="504"/>
    <x v="1"/>
    <x v="12"/>
    <x v="26"/>
    <x v="1"/>
  </r>
  <r>
    <x v="1059"/>
    <x v="1"/>
    <x v="278"/>
    <x v="464"/>
    <x v="8"/>
    <x v="91"/>
    <x v="37"/>
    <x v="40"/>
    <x v="55"/>
    <x v="13"/>
    <x v="0"/>
    <x v="478"/>
    <x v="137"/>
    <x v="42"/>
    <x v="441"/>
    <x v="1152"/>
    <x v="1"/>
    <x v="108"/>
    <x v="65"/>
    <x v="865"/>
    <x v="319"/>
    <x v="1"/>
    <x v="13"/>
    <x v="27"/>
    <x v="1"/>
  </r>
  <r>
    <x v="1062"/>
    <x v="1"/>
    <x v="279"/>
    <x v="465"/>
    <x v="8"/>
    <x v="49"/>
    <x v="41"/>
    <x v="40"/>
    <x v="55"/>
    <x v="13"/>
    <x v="0"/>
    <x v="613"/>
    <x v="309"/>
    <x v="42"/>
    <x v="442"/>
    <x v="1154"/>
    <x v="1"/>
    <x v="108"/>
    <x v="65"/>
    <x v="866"/>
    <x v="324"/>
    <x v="1"/>
    <x v="13"/>
    <x v="27"/>
    <x v="1"/>
  </r>
  <r>
    <x v="1065"/>
    <x v="1"/>
    <x v="280"/>
    <x v="466"/>
    <x v="8"/>
    <x v="80"/>
    <x v="35"/>
    <x v="40"/>
    <x v="55"/>
    <x v="13"/>
    <x v="0"/>
    <x v="525"/>
    <x v="148"/>
    <x v="51"/>
    <x v="509"/>
    <x v="1186"/>
    <x v="1"/>
    <x v="108"/>
    <x v="65"/>
    <x v="1044"/>
    <x v="390"/>
    <x v="1"/>
    <x v="13"/>
    <x v="27"/>
    <x v="1"/>
  </r>
  <r>
    <x v="1068"/>
    <x v="1"/>
    <x v="281"/>
    <x v="467"/>
    <x v="8"/>
    <x v="61"/>
    <x v="86"/>
    <x v="20"/>
    <x v="55"/>
    <x v="13"/>
    <x v="0"/>
    <x v="742"/>
    <x v="394"/>
    <x v="102"/>
    <x v="521"/>
    <x v="467"/>
    <x v="1"/>
    <x v="108"/>
    <x v="65"/>
    <x v="1343"/>
    <x v="636"/>
    <x v="1"/>
    <x v="13"/>
    <x v="27"/>
    <x v="1"/>
  </r>
  <r>
    <x v="1071"/>
    <x v="1"/>
    <x v="282"/>
    <x v="468"/>
    <x v="8"/>
    <x v="35"/>
    <x v="12"/>
    <x v="20"/>
    <x v="55"/>
    <x v="13"/>
    <x v="0"/>
    <x v="293"/>
    <x v="162"/>
    <x v="51"/>
    <x v="269"/>
    <x v="504"/>
    <x v="1"/>
    <x v="108"/>
    <x v="65"/>
    <x v="830"/>
    <x v="390"/>
    <x v="1"/>
    <x v="13"/>
    <x v="27"/>
    <x v="1"/>
  </r>
  <r>
    <x v="1085"/>
    <x v="1"/>
    <x v="283"/>
    <x v="469"/>
    <x v="8"/>
    <x v="103"/>
    <x v="8"/>
    <x v="20"/>
    <x v="55"/>
    <x v="13"/>
    <x v="0"/>
    <x v="470"/>
    <x v="148"/>
    <x v="73"/>
    <x v="425"/>
    <x v="798"/>
    <x v="1"/>
    <x v="108"/>
    <x v="65"/>
    <x v="1198"/>
    <x v="542"/>
    <x v="1"/>
    <x v="13"/>
    <x v="27"/>
    <x v="1"/>
  </r>
  <r>
    <x v="1088"/>
    <x v="1"/>
    <x v="284"/>
    <x v="470"/>
    <x v="8"/>
    <x v="13"/>
    <x v="11"/>
    <x v="20"/>
    <x v="55"/>
    <x v="13"/>
    <x v="0"/>
    <x v="578"/>
    <x v="268"/>
    <x v="75"/>
    <x v="468"/>
    <x v="918"/>
    <x v="1"/>
    <x v="108"/>
    <x v="65"/>
    <x v="1240"/>
    <x v="552"/>
    <x v="1"/>
    <x v="13"/>
    <x v="27"/>
    <x v="1"/>
  </r>
  <r>
    <x v="1146"/>
    <x v="1"/>
    <x v="286"/>
    <x v="471"/>
    <x v="8"/>
    <x v="80"/>
    <x v="35"/>
    <x v="20"/>
    <x v="55"/>
    <x v="13"/>
    <x v="0"/>
    <x v="469"/>
    <x v="143"/>
    <x v="73"/>
    <x v="426"/>
    <x v="811"/>
    <x v="1"/>
    <x v="108"/>
    <x v="65"/>
    <x v="1200"/>
    <x v="541"/>
    <x v="1"/>
    <x v="13"/>
    <x v="27"/>
    <x v="1"/>
  </r>
  <r>
    <x v="1150"/>
    <x v="1"/>
    <x v="288"/>
    <x v="472"/>
    <x v="8"/>
    <x v="42"/>
    <x v="21"/>
    <x v="20"/>
    <x v="55"/>
    <x v="13"/>
    <x v="0"/>
    <x v="604"/>
    <x v="302"/>
    <x v="84"/>
    <x v="436"/>
    <x v="600"/>
    <x v="1"/>
    <x v="108"/>
    <x v="65"/>
    <x v="1269"/>
    <x v="583"/>
    <x v="1"/>
    <x v="13"/>
    <x v="27"/>
    <x v="1"/>
  </r>
  <r>
    <x v="1152"/>
    <x v="1"/>
    <x v="289"/>
    <x v="473"/>
    <x v="8"/>
    <x v="35"/>
    <x v="12"/>
    <x v="20"/>
    <x v="55"/>
    <x v="13"/>
    <x v="0"/>
    <x v="496"/>
    <x v="156"/>
    <x v="91"/>
    <x v="453"/>
    <x v="507"/>
    <x v="1"/>
    <x v="108"/>
    <x v="65"/>
    <x v="1311"/>
    <x v="604"/>
    <x v="1"/>
    <x v="13"/>
    <x v="27"/>
    <x v="1"/>
  </r>
  <r>
    <x v="1154"/>
    <x v="2"/>
    <x v="290"/>
    <x v="474"/>
    <x v="8"/>
    <x v="49"/>
    <x v="41"/>
    <x v="20"/>
    <x v="55"/>
    <x v="13"/>
    <x v="0"/>
    <x v="621"/>
    <x v="304"/>
    <x v="75"/>
    <x v="460"/>
    <x v="887"/>
    <x v="1"/>
    <x v="108"/>
    <x v="65"/>
    <x v="1236"/>
    <x v="554"/>
    <x v="1"/>
    <x v="13"/>
    <x v="27"/>
    <x v="1"/>
  </r>
  <r>
    <x v="1156"/>
    <x v="2"/>
    <x v="291"/>
    <x v="476"/>
    <x v="8"/>
    <x v="54"/>
    <x v="74"/>
    <x v="20"/>
    <x v="55"/>
    <x v="13"/>
    <x v="0"/>
    <x v="535"/>
    <x v="235"/>
    <x v="84"/>
    <x v="443"/>
    <x v="618"/>
    <x v="1"/>
    <x v="108"/>
    <x v="65"/>
    <x v="1272"/>
    <x v="583"/>
    <x v="1"/>
    <x v="13"/>
    <x v="27"/>
    <x v="1"/>
  </r>
  <r>
    <x v="1158"/>
    <x v="2"/>
    <x v="292"/>
    <x v="475"/>
    <x v="8"/>
    <x v="95"/>
    <x v="10"/>
    <x v="20"/>
    <x v="55"/>
    <x v="13"/>
    <x v="0"/>
    <x v="290"/>
    <x v="155"/>
    <x v="87"/>
    <x v="273"/>
    <x v="305"/>
    <x v="1"/>
    <x v="108"/>
    <x v="65"/>
    <x v="1228"/>
    <x v="588"/>
    <x v="1"/>
    <x v="13"/>
    <x v="27"/>
    <x v="1"/>
  </r>
  <r>
    <x v="1160"/>
    <x v="2"/>
    <x v="293"/>
    <x v="477"/>
    <x v="8"/>
    <x v="61"/>
    <x v="86"/>
    <x v="20"/>
    <x v="55"/>
    <x v="13"/>
    <x v="0"/>
    <x v="761"/>
    <x v="389"/>
    <x v="79"/>
    <x v="539"/>
    <x v="1139"/>
    <x v="1"/>
    <x v="108"/>
    <x v="66"/>
    <x v="1287"/>
    <x v="568"/>
    <x v="1"/>
    <x v="14"/>
    <x v="28"/>
    <x v="1"/>
  </r>
  <r>
    <x v="1162"/>
    <x v="2"/>
    <x v="294"/>
    <x v="478"/>
    <x v="8"/>
    <x v="13"/>
    <x v="11"/>
    <x v="20"/>
    <x v="55"/>
    <x v="13"/>
    <x v="0"/>
    <x v="665"/>
    <x v="267"/>
    <x v="84"/>
    <x v="545"/>
    <x v="1127"/>
    <x v="1"/>
    <x v="108"/>
    <x v="66"/>
    <x v="1314"/>
    <x v="583"/>
    <x v="1"/>
    <x v="14"/>
    <x v="28"/>
    <x v="1"/>
  </r>
  <r>
    <x v="1164"/>
    <x v="2"/>
    <x v="295"/>
    <x v="479"/>
    <x v="8"/>
    <x v="9"/>
    <x v="33"/>
    <x v="20"/>
    <x v="55"/>
    <x v="13"/>
    <x v="0"/>
    <x v="543"/>
    <x v="81"/>
    <x v="82"/>
    <x v="539"/>
    <x v="1124"/>
    <x v="1"/>
    <x v="108"/>
    <x v="66"/>
    <x v="1298"/>
    <x v="576"/>
    <x v="1"/>
    <x v="14"/>
    <x v="28"/>
    <x v="1"/>
  </r>
  <r>
    <x v="1166"/>
    <x v="2"/>
    <x v="296"/>
    <x v="480"/>
    <x v="8"/>
    <x v="80"/>
    <x v="35"/>
    <x v="20"/>
    <x v="55"/>
    <x v="13"/>
    <x v="0"/>
    <x v="478"/>
    <x v="148"/>
    <x v="73"/>
    <x v="433"/>
    <x v="852"/>
    <x v="1"/>
    <x v="108"/>
    <x v="66"/>
    <x v="1206"/>
    <x v="540"/>
    <x v="1"/>
    <x v="14"/>
    <x v="28"/>
    <x v="1"/>
  </r>
  <r>
    <x v="1168"/>
    <x v="2"/>
    <x v="297"/>
    <x v="481"/>
    <x v="8"/>
    <x v="103"/>
    <x v="8"/>
    <x v="20"/>
    <x v="55"/>
    <x v="13"/>
    <x v="0"/>
    <x v="446"/>
    <x v="145"/>
    <x v="79"/>
    <x v="413"/>
    <x v="571"/>
    <x v="1"/>
    <x v="108"/>
    <x v="66"/>
    <x v="1231"/>
    <x v="568"/>
    <x v="1"/>
    <x v="14"/>
    <x v="28"/>
    <x v="1"/>
  </r>
  <r>
    <x v="1169"/>
    <x v="2"/>
    <x v="298"/>
    <x v="482"/>
    <x v="8"/>
    <x v="49"/>
    <x v="41"/>
    <x v="20"/>
    <x v="55"/>
    <x v="13"/>
    <x v="0"/>
    <x v="585"/>
    <x v="300"/>
    <x v="87"/>
    <x v="421"/>
    <x v="500"/>
    <x v="1"/>
    <x v="108"/>
    <x v="66"/>
    <x v="1278"/>
    <x v="590"/>
    <x v="1"/>
    <x v="14"/>
    <x v="28"/>
    <x v="1"/>
  </r>
  <r>
    <x v="1170"/>
    <x v="0"/>
    <x v="300"/>
    <x v="483"/>
    <x v="8"/>
    <x v="54"/>
    <x v="74"/>
    <x v="20"/>
    <x v="55"/>
    <x v="13"/>
    <x v="0"/>
    <x v="330"/>
    <x v="232"/>
    <x v="91"/>
    <x v="232"/>
    <x v="275"/>
    <x v="1"/>
    <x v="108"/>
    <x v="66"/>
    <x v="1245"/>
    <x v="602"/>
    <x v="1"/>
    <x v="14"/>
    <x v="28"/>
    <x v="1"/>
  </r>
  <r>
    <x v="1171"/>
    <x v="1"/>
    <x v="301"/>
    <x v="0"/>
    <x v="5"/>
    <x v="95"/>
    <x v="10"/>
    <x v="34"/>
    <x v="55"/>
    <x v="12"/>
    <x v="0"/>
    <x v="294"/>
    <x v="406"/>
    <x v="98"/>
    <x v="76"/>
    <x v="89"/>
    <x v="1"/>
    <x v="108"/>
    <x v="67"/>
    <x v="795"/>
    <x v="627"/>
    <x v="1"/>
    <x v="15"/>
    <x v="29"/>
    <x v="1"/>
  </r>
  <r>
    <x v="1173"/>
    <x v="1"/>
    <x v="302"/>
    <x v="0"/>
    <x v="5"/>
    <x v="95"/>
    <x v="10"/>
    <x v="34"/>
    <x v="55"/>
    <x v="30"/>
    <x v="0"/>
    <x v="106"/>
    <x v="143"/>
    <x v="122"/>
    <x v="96"/>
    <x v="21"/>
    <x v="1"/>
    <x v="108"/>
    <x v="67"/>
    <x v="1235"/>
    <x v="668"/>
    <x v="1"/>
    <x v="15"/>
    <x v="29"/>
    <x v="1"/>
  </r>
  <r>
    <x v="1174"/>
    <x v="1"/>
    <x v="303"/>
    <x v="121"/>
    <x v="3"/>
    <x v="9"/>
    <x v="33"/>
    <x v="66"/>
    <x v="55"/>
    <x v="15"/>
    <x v="0"/>
    <x v="138"/>
    <x v="85"/>
    <x v="51"/>
    <x v="158"/>
    <x v="225"/>
    <x v="1"/>
    <x v="108"/>
    <x v="67"/>
    <x v="467"/>
    <x v="390"/>
    <x v="1"/>
    <x v="15"/>
    <x v="29"/>
    <x v="1"/>
  </r>
  <r>
    <x v="1175"/>
    <x v="2"/>
    <x v="304"/>
    <x v="5"/>
    <x v="5"/>
    <x v="61"/>
    <x v="86"/>
    <x v="34"/>
    <x v="55"/>
    <x v="12"/>
    <x v="0"/>
    <x v="738"/>
    <x v="378"/>
    <x v="79"/>
    <x v="523"/>
    <x v="1067"/>
    <x v="1"/>
    <x v="108"/>
    <x v="67"/>
    <x v="1268"/>
    <x v="568"/>
    <x v="1"/>
    <x v="15"/>
    <x v="29"/>
    <x v="1"/>
  </r>
  <r>
    <x v="1176"/>
    <x v="2"/>
    <x v="305"/>
    <x v="4"/>
    <x v="5"/>
    <x v="13"/>
    <x v="11"/>
    <x v="34"/>
    <x v="55"/>
    <x v="12"/>
    <x v="0"/>
    <x v="553"/>
    <x v="276"/>
    <x v="75"/>
    <x v="411"/>
    <x v="604"/>
    <x v="1"/>
    <x v="108"/>
    <x v="67"/>
    <x v="1210"/>
    <x v="555"/>
    <x v="1"/>
    <x v="15"/>
    <x v="29"/>
    <x v="1"/>
  </r>
  <r>
    <x v="1178"/>
    <x v="2"/>
    <x v="306"/>
    <x v="1"/>
    <x v="5"/>
    <x v="91"/>
    <x v="37"/>
    <x v="34"/>
    <x v="55"/>
    <x v="30"/>
    <x v="0"/>
    <x v="214"/>
    <x v="126"/>
    <x v="100"/>
    <x v="224"/>
    <x v="258"/>
    <x v="1"/>
    <x v="108"/>
    <x v="67"/>
    <x v="1281"/>
    <x v="634"/>
    <x v="1"/>
    <x v="15"/>
    <x v="29"/>
    <x v="1"/>
  </r>
  <r>
    <x v="1180"/>
    <x v="1"/>
    <x v="307"/>
    <x v="2"/>
    <x v="5"/>
    <x v="36"/>
    <x v="12"/>
    <x v="27"/>
    <x v="55"/>
    <x v="30"/>
    <x v="0"/>
    <x v="340"/>
    <x v="157"/>
    <x v="93"/>
    <x v="321"/>
    <x v="301"/>
    <x v="1"/>
    <x v="108"/>
    <x v="68"/>
    <x v="1280"/>
    <x v="612"/>
    <x v="1"/>
    <x v="16"/>
    <x v="30"/>
    <x v="1"/>
  </r>
  <r>
    <x v="1182"/>
    <x v="1"/>
    <x v="308"/>
    <x v="3"/>
    <x v="5"/>
    <x v="42"/>
    <x v="21"/>
    <x v="27"/>
    <x v="55"/>
    <x v="11"/>
    <x v="0"/>
    <x v="643"/>
    <x v="321"/>
    <x v="89"/>
    <x v="490"/>
    <x v="643"/>
    <x v="1"/>
    <x v="108"/>
    <x v="68"/>
    <x v="1308"/>
    <x v="595"/>
    <x v="1"/>
    <x v="16"/>
    <x v="30"/>
    <x v="1"/>
  </r>
  <r>
    <x v="1184"/>
    <x v="1"/>
    <x v="309"/>
    <x v="6"/>
    <x v="5"/>
    <x v="50"/>
    <x v="70"/>
    <x v="27"/>
    <x v="55"/>
    <x v="11"/>
    <x v="0"/>
    <x v="361"/>
    <x v="175"/>
    <x v="87"/>
    <x v="323"/>
    <x v="344"/>
    <x v="1"/>
    <x v="108"/>
    <x v="68"/>
    <x v="1246"/>
    <x v="588"/>
    <x v="1"/>
    <x v="16"/>
    <x v="30"/>
    <x v="1"/>
  </r>
  <r>
    <x v="1185"/>
    <x v="1"/>
    <x v="311"/>
    <x v="7"/>
    <x v="5"/>
    <x v="13"/>
    <x v="11"/>
    <x v="27"/>
    <x v="55"/>
    <x v="11"/>
    <x v="0"/>
    <x v="161"/>
    <x v="273"/>
    <x v="93"/>
    <x v="117"/>
    <x v="103"/>
    <x v="1"/>
    <x v="108"/>
    <x v="68"/>
    <x v="838"/>
    <x v="612"/>
    <x v="1"/>
    <x v="16"/>
    <x v="30"/>
    <x v="1"/>
  </r>
  <r>
    <x v="1186"/>
    <x v="1"/>
    <x v="314"/>
    <x v="56"/>
    <x v="5"/>
    <x v="65"/>
    <x v="44"/>
    <x v="27"/>
    <x v="55"/>
    <x v="11"/>
    <x v="0"/>
    <x v="353"/>
    <x v="199"/>
    <x v="73"/>
    <x v="291"/>
    <x v="379"/>
    <x v="1"/>
    <x v="108"/>
    <x v="69"/>
    <x v="1130"/>
    <x v="537"/>
    <x v="1"/>
    <x v="17"/>
    <x v="31"/>
    <x v="1"/>
  </r>
  <r>
    <x v="1187"/>
    <x v="1"/>
    <x v="315"/>
    <x v="57"/>
    <x v="5"/>
    <x v="81"/>
    <x v="58"/>
    <x v="27"/>
    <x v="55"/>
    <x v="11"/>
    <x v="0"/>
    <x v="544"/>
    <x v="234"/>
    <x v="75"/>
    <x v="463"/>
    <x v="901"/>
    <x v="1"/>
    <x v="108"/>
    <x v="69"/>
    <x v="1237"/>
    <x v="553"/>
    <x v="1"/>
    <x v="17"/>
    <x v="31"/>
    <x v="1"/>
  </r>
  <r>
    <x v="1189"/>
    <x v="1"/>
    <x v="316"/>
    <x v="59"/>
    <x v="5"/>
    <x v="50"/>
    <x v="70"/>
    <x v="27"/>
    <x v="55"/>
    <x v="11"/>
    <x v="0"/>
    <x v="307"/>
    <x v="178"/>
    <x v="87"/>
    <x v="266"/>
    <x v="302"/>
    <x v="1"/>
    <x v="108"/>
    <x v="69"/>
    <x v="1227"/>
    <x v="592"/>
    <x v="1"/>
    <x v="17"/>
    <x v="31"/>
    <x v="1"/>
  </r>
  <r>
    <x v="1191"/>
    <x v="1"/>
    <x v="317"/>
    <x v="58"/>
    <x v="5"/>
    <x v="9"/>
    <x v="33"/>
    <x v="27"/>
    <x v="55"/>
    <x v="11"/>
    <x v="0"/>
    <x v="239"/>
    <x v="93"/>
    <x v="84"/>
    <x v="281"/>
    <x v="324"/>
    <x v="1"/>
    <x v="108"/>
    <x v="70"/>
    <x v="1213"/>
    <x v="583"/>
    <x v="1"/>
    <x v="18"/>
    <x v="32"/>
    <x v="1"/>
  </r>
  <r>
    <x v="1192"/>
    <x v="1"/>
    <x v="318"/>
    <x v="60"/>
    <x v="5"/>
    <x v="42"/>
    <x v="21"/>
    <x v="21"/>
    <x v="55"/>
    <x v="6"/>
    <x v="0"/>
    <x v="599"/>
    <x v="433"/>
    <x v="87"/>
    <x v="141"/>
    <x v="168"/>
    <x v="1"/>
    <x v="108"/>
    <x v="70"/>
    <x v="928"/>
    <x v="593"/>
    <x v="1"/>
    <x v="18"/>
    <x v="32"/>
    <x v="1"/>
  </r>
  <r>
    <x v="1194"/>
    <x v="1"/>
    <x v="319"/>
    <x v="60"/>
    <x v="5"/>
    <x v="42"/>
    <x v="21"/>
    <x v="27"/>
    <x v="55"/>
    <x v="11"/>
    <x v="0"/>
    <x v="165"/>
    <x v="308"/>
    <x v="71"/>
    <x v="79"/>
    <x v="111"/>
    <x v="1"/>
    <x v="108"/>
    <x v="70"/>
    <x v="428"/>
    <x v="534"/>
    <x v="1"/>
    <x v="18"/>
    <x v="32"/>
    <x v="1"/>
  </r>
  <r>
    <x v="1196"/>
    <x v="1"/>
    <x v="321"/>
    <x v="61"/>
    <x v="5"/>
    <x v="29"/>
    <x v="67"/>
    <x v="21"/>
    <x v="55"/>
    <x v="6"/>
    <x v="0"/>
    <x v="365"/>
    <x v="126"/>
    <x v="98"/>
    <x v="377"/>
    <x v="310"/>
    <x v="1"/>
    <x v="108"/>
    <x v="70"/>
    <x v="1313"/>
    <x v="627"/>
    <x v="1"/>
    <x v="18"/>
    <x v="32"/>
    <x v="1"/>
  </r>
  <r>
    <x v="1198"/>
    <x v="1"/>
    <x v="323"/>
    <x v="62"/>
    <x v="5"/>
    <x v="49"/>
    <x v="41"/>
    <x v="21"/>
    <x v="55"/>
    <x v="6"/>
    <x v="0"/>
    <x v="601"/>
    <x v="307"/>
    <x v="116"/>
    <x v="429"/>
    <x v="266"/>
    <x v="1"/>
    <x v="108"/>
    <x v="70"/>
    <x v="1355"/>
    <x v="661"/>
    <x v="1"/>
    <x v="18"/>
    <x v="32"/>
    <x v="1"/>
  </r>
  <r>
    <x v="1200"/>
    <x v="1"/>
    <x v="324"/>
    <x v="63"/>
    <x v="5"/>
    <x v="61"/>
    <x v="86"/>
    <x v="21"/>
    <x v="55"/>
    <x v="6"/>
    <x v="0"/>
    <x v="788"/>
    <x v="394"/>
    <x v="111"/>
    <x v="601"/>
    <x v="605"/>
    <x v="1"/>
    <x v="108"/>
    <x v="70"/>
    <x v="1359"/>
    <x v="653"/>
    <x v="1"/>
    <x v="18"/>
    <x v="32"/>
    <x v="1"/>
  </r>
  <r>
    <x v="1201"/>
    <x v="1"/>
    <x v="325"/>
    <x v="64"/>
    <x v="5"/>
    <x v="95"/>
    <x v="10"/>
    <x v="27"/>
    <x v="55"/>
    <x v="11"/>
    <x v="0"/>
    <x v="304"/>
    <x v="141"/>
    <x v="47"/>
    <x v="301"/>
    <x v="621"/>
    <x v="1"/>
    <x v="108"/>
    <x v="70"/>
    <x v="778"/>
    <x v="358"/>
    <x v="1"/>
    <x v="18"/>
    <x v="32"/>
    <x v="1"/>
  </r>
  <r>
    <x v="1202"/>
    <x v="1"/>
    <x v="326"/>
    <x v="65"/>
    <x v="5"/>
    <x v="65"/>
    <x v="44"/>
    <x v="27"/>
    <x v="55"/>
    <x v="11"/>
    <x v="0"/>
    <x v="311"/>
    <x v="188"/>
    <x v="62"/>
    <x v="260"/>
    <x v="419"/>
    <x v="1"/>
    <x v="108"/>
    <x v="70"/>
    <x v="945"/>
    <x v="463"/>
    <x v="1"/>
    <x v="18"/>
    <x v="32"/>
    <x v="1"/>
  </r>
  <r>
    <x v="1203"/>
    <x v="1"/>
    <x v="327"/>
    <x v="66"/>
    <x v="5"/>
    <x v="81"/>
    <x v="58"/>
    <x v="27"/>
    <x v="55"/>
    <x v="11"/>
    <x v="0"/>
    <x v="517"/>
    <x v="222"/>
    <x v="57"/>
    <x v="430"/>
    <x v="1091"/>
    <x v="1"/>
    <x v="108"/>
    <x v="70"/>
    <x v="1039"/>
    <x v="422"/>
    <x v="1"/>
    <x v="18"/>
    <x v="32"/>
    <x v="1"/>
  </r>
  <r>
    <x v="1204"/>
    <x v="1"/>
    <x v="328"/>
    <x v="67"/>
    <x v="5"/>
    <x v="50"/>
    <x v="70"/>
    <x v="27"/>
    <x v="55"/>
    <x v="11"/>
    <x v="0"/>
    <x v="503"/>
    <x v="168"/>
    <x v="87"/>
    <x v="452"/>
    <x v="592"/>
    <x v="1"/>
    <x v="108"/>
    <x v="70"/>
    <x v="1292"/>
    <x v="588"/>
    <x v="1"/>
    <x v="18"/>
    <x v="32"/>
    <x v="1"/>
  </r>
  <r>
    <x v="1205"/>
    <x v="1"/>
    <x v="329"/>
    <x v="68"/>
    <x v="5"/>
    <x v="103"/>
    <x v="8"/>
    <x v="27"/>
    <x v="55"/>
    <x v="11"/>
    <x v="0"/>
    <x v="276"/>
    <x v="142"/>
    <x v="75"/>
    <x v="272"/>
    <x v="356"/>
    <x v="1"/>
    <x v="108"/>
    <x v="71"/>
    <x v="1152"/>
    <x v="560"/>
    <x v="1"/>
    <x v="19"/>
    <x v="33"/>
    <x v="1"/>
  </r>
  <r>
    <x v="1206"/>
    <x v="1"/>
    <x v="330"/>
    <x v="69"/>
    <x v="5"/>
    <x v="104"/>
    <x v="64"/>
    <x v="21"/>
    <x v="55"/>
    <x v="6"/>
    <x v="0"/>
    <x v="490"/>
    <x v="185"/>
    <x v="89"/>
    <x v="422"/>
    <x v="469"/>
    <x v="1"/>
    <x v="108"/>
    <x v="71"/>
    <x v="1294"/>
    <x v="595"/>
    <x v="1"/>
    <x v="19"/>
    <x v="33"/>
    <x v="1"/>
  </r>
  <r>
    <x v="1207"/>
    <x v="1"/>
    <x v="331"/>
    <x v="70"/>
    <x v="5"/>
    <x v="9"/>
    <x v="33"/>
    <x v="21"/>
    <x v="55"/>
    <x v="6"/>
    <x v="0"/>
    <x v="442"/>
    <x v="83"/>
    <x v="74"/>
    <x v="441"/>
    <x v="858"/>
    <x v="1"/>
    <x v="108"/>
    <x v="71"/>
    <x v="1220"/>
    <x v="550"/>
    <x v="1"/>
    <x v="19"/>
    <x v="33"/>
    <x v="1"/>
  </r>
  <r>
    <x v="1209"/>
    <x v="1"/>
    <x v="334"/>
    <x v="71"/>
    <x v="5"/>
    <x v="49"/>
    <x v="41"/>
    <x v="27"/>
    <x v="55"/>
    <x v="11"/>
    <x v="0"/>
    <x v="576"/>
    <x v="430"/>
    <x v="42"/>
    <x v="137"/>
    <x v="211"/>
    <x v="1"/>
    <x v="108"/>
    <x v="71"/>
    <x v="322"/>
    <x v="343"/>
    <x v="1"/>
    <x v="19"/>
    <x v="33"/>
    <x v="1"/>
  </r>
  <r>
    <x v="1211"/>
    <x v="1"/>
    <x v="335"/>
    <x v="71"/>
    <x v="5"/>
    <x v="49"/>
    <x v="41"/>
    <x v="21"/>
    <x v="55"/>
    <x v="6"/>
    <x v="0"/>
    <x v="158"/>
    <x v="297"/>
    <x v="95"/>
    <x v="74"/>
    <x v="90"/>
    <x v="1"/>
    <x v="108"/>
    <x v="71"/>
    <x v="750"/>
    <x v="624"/>
    <x v="1"/>
    <x v="19"/>
    <x v="33"/>
    <x v="1"/>
  </r>
  <r>
    <x v="1213"/>
    <x v="1"/>
    <x v="336"/>
    <x v="72"/>
    <x v="5"/>
    <x v="29"/>
    <x v="67"/>
    <x v="27"/>
    <x v="55"/>
    <x v="11"/>
    <x v="0"/>
    <x v="288"/>
    <x v="127"/>
    <x v="25"/>
    <x v="299"/>
    <x v="860"/>
    <x v="1"/>
    <x v="108"/>
    <x v="71"/>
    <x v="495"/>
    <x v="198"/>
    <x v="1"/>
    <x v="19"/>
    <x v="33"/>
    <x v="1"/>
  </r>
  <r>
    <x v="1215"/>
    <x v="1"/>
    <x v="337"/>
    <x v="73"/>
    <x v="5"/>
    <x v="17"/>
    <x v="71"/>
    <x v="27"/>
    <x v="55"/>
    <x v="11"/>
    <x v="0"/>
    <x v="317"/>
    <x v="180"/>
    <x v="51"/>
    <x v="274"/>
    <x v="514"/>
    <x v="1"/>
    <x v="108"/>
    <x v="71"/>
    <x v="835"/>
    <x v="406"/>
    <x v="1"/>
    <x v="19"/>
    <x v="33"/>
    <x v="1"/>
  </r>
  <r>
    <x v="1217"/>
    <x v="1"/>
    <x v="338"/>
    <x v="74"/>
    <x v="5"/>
    <x v="65"/>
    <x v="44"/>
    <x v="27"/>
    <x v="55"/>
    <x v="11"/>
    <x v="0"/>
    <x v="332"/>
    <x v="177"/>
    <x v="47"/>
    <x v="292"/>
    <x v="596"/>
    <x v="1"/>
    <x v="108"/>
    <x v="71"/>
    <x v="771"/>
    <x v="379"/>
    <x v="1"/>
    <x v="19"/>
    <x v="33"/>
    <x v="1"/>
  </r>
  <r>
    <x v="1219"/>
    <x v="1"/>
    <x v="339"/>
    <x v="75"/>
    <x v="5"/>
    <x v="81"/>
    <x v="58"/>
    <x v="27"/>
    <x v="55"/>
    <x v="11"/>
    <x v="0"/>
    <x v="536"/>
    <x v="229"/>
    <x v="65"/>
    <x v="454"/>
    <x v="1081"/>
    <x v="1"/>
    <x v="108"/>
    <x v="71"/>
    <x v="1140"/>
    <x v="479"/>
    <x v="1"/>
    <x v="19"/>
    <x v="33"/>
    <x v="1"/>
  </r>
  <r>
    <x v="1221"/>
    <x v="1"/>
    <x v="340"/>
    <x v="77"/>
    <x v="5"/>
    <x v="61"/>
    <x v="86"/>
    <x v="27"/>
    <x v="55"/>
    <x v="11"/>
    <x v="0"/>
    <x v="769"/>
    <x v="380"/>
    <x v="68"/>
    <x v="564"/>
    <x v="1239"/>
    <x v="1"/>
    <x v="108"/>
    <x v="71"/>
    <x v="1234"/>
    <x v="500"/>
    <x v="1"/>
    <x v="19"/>
    <x v="33"/>
    <x v="1"/>
  </r>
  <r>
    <x v="1223"/>
    <x v="1"/>
    <x v="341"/>
    <x v="78"/>
    <x v="5"/>
    <x v="104"/>
    <x v="64"/>
    <x v="27"/>
    <x v="55"/>
    <x v="11"/>
    <x v="0"/>
    <x v="463"/>
    <x v="176"/>
    <x v="62"/>
    <x v="411"/>
    <x v="929"/>
    <x v="1"/>
    <x v="108"/>
    <x v="71"/>
    <x v="1056"/>
    <x v="450"/>
    <x v="1"/>
    <x v="19"/>
    <x v="33"/>
    <x v="1"/>
  </r>
  <r>
    <x v="1225"/>
    <x v="1"/>
    <x v="342"/>
    <x v="79"/>
    <x v="5"/>
    <x v="42"/>
    <x v="21"/>
    <x v="27"/>
    <x v="55"/>
    <x v="11"/>
    <x v="0"/>
    <x v="651"/>
    <x v="319"/>
    <x v="42"/>
    <x v="499"/>
    <x v="1201"/>
    <x v="1"/>
    <x v="108"/>
    <x v="72"/>
    <x v="912"/>
    <x v="321"/>
    <x v="1"/>
    <x v="20"/>
    <x v="34"/>
    <x v="1"/>
  </r>
  <r>
    <x v="1226"/>
    <x v="1"/>
    <x v="343"/>
    <x v="80"/>
    <x v="5"/>
    <x v="103"/>
    <x v="8"/>
    <x v="27"/>
    <x v="55"/>
    <x v="11"/>
    <x v="0"/>
    <x v="507"/>
    <x v="154"/>
    <x v="42"/>
    <x v="474"/>
    <x v="1177"/>
    <x v="1"/>
    <x v="108"/>
    <x v="72"/>
    <x v="894"/>
    <x v="322"/>
    <x v="1"/>
    <x v="20"/>
    <x v="34"/>
    <x v="1"/>
  </r>
  <r>
    <x v="1227"/>
    <x v="1"/>
    <x v="344"/>
    <x v="76"/>
    <x v="5"/>
    <x v="50"/>
    <x v="70"/>
    <x v="27"/>
    <x v="55"/>
    <x v="11"/>
    <x v="0"/>
    <x v="486"/>
    <x v="164"/>
    <x v="57"/>
    <x v="432"/>
    <x v="1092"/>
    <x v="1"/>
    <x v="108"/>
    <x v="72"/>
    <x v="1040"/>
    <x v="422"/>
    <x v="1"/>
    <x v="20"/>
    <x v="34"/>
    <x v="1"/>
  </r>
  <r>
    <x v="1228"/>
    <x v="1"/>
    <x v="346"/>
    <x v="81"/>
    <x v="5"/>
    <x v="65"/>
    <x v="44"/>
    <x v="27"/>
    <x v="55"/>
    <x v="11"/>
    <x v="0"/>
    <x v="404"/>
    <x v="182"/>
    <x v="47"/>
    <x v="359"/>
    <x v="842"/>
    <x v="1"/>
    <x v="108"/>
    <x v="72"/>
    <x v="836"/>
    <x v="358"/>
    <x v="1"/>
    <x v="20"/>
    <x v="34"/>
    <x v="1"/>
  </r>
  <r>
    <x v="1229"/>
    <x v="1"/>
    <x v="348"/>
    <x v="82"/>
    <x v="5"/>
    <x v="81"/>
    <x v="58"/>
    <x v="21"/>
    <x v="55"/>
    <x v="6"/>
    <x v="0"/>
    <x v="511"/>
    <x v="217"/>
    <x v="75"/>
    <x v="424"/>
    <x v="722"/>
    <x v="1"/>
    <x v="108"/>
    <x v="72"/>
    <x v="1222"/>
    <x v="552"/>
    <x v="1"/>
    <x v="20"/>
    <x v="34"/>
    <x v="1"/>
  </r>
  <r>
    <x v="1230"/>
    <x v="1"/>
    <x v="350"/>
    <x v="83"/>
    <x v="5"/>
    <x v="104"/>
    <x v="64"/>
    <x v="21"/>
    <x v="55"/>
    <x v="6"/>
    <x v="0"/>
    <x v="555"/>
    <x v="165"/>
    <x v="51"/>
    <x v="529"/>
    <x v="1226"/>
    <x v="1"/>
    <x v="108"/>
    <x v="72"/>
    <x v="1073"/>
    <x v="393"/>
    <x v="1"/>
    <x v="20"/>
    <x v="34"/>
    <x v="1"/>
  </r>
  <r>
    <x v="1231"/>
    <x v="1"/>
    <x v="351"/>
    <x v="84"/>
    <x v="5"/>
    <x v="50"/>
    <x v="70"/>
    <x v="21"/>
    <x v="55"/>
    <x v="6"/>
    <x v="0"/>
    <x v="555"/>
    <x v="174"/>
    <x v="65"/>
    <x v="528"/>
    <x v="1174"/>
    <x v="1"/>
    <x v="108"/>
    <x v="72"/>
    <x v="1185"/>
    <x v="480"/>
    <x v="1"/>
    <x v="20"/>
    <x v="34"/>
    <x v="1"/>
  </r>
  <r>
    <x v="1232"/>
    <x v="1"/>
    <x v="352"/>
    <x v="85"/>
    <x v="5"/>
    <x v="49"/>
    <x v="41"/>
    <x v="21"/>
    <x v="55"/>
    <x v="6"/>
    <x v="0"/>
    <x v="791"/>
    <x v="306"/>
    <x v="62"/>
    <x v="609"/>
    <x v="1390"/>
    <x v="1"/>
    <x v="108"/>
    <x v="72"/>
    <x v="1284"/>
    <x v="448"/>
    <x v="1"/>
    <x v="20"/>
    <x v="34"/>
    <x v="1"/>
  </r>
  <r>
    <x v="1233"/>
    <x v="1"/>
    <x v="353"/>
    <x v="86"/>
    <x v="5"/>
    <x v="103"/>
    <x v="8"/>
    <x v="26"/>
    <x v="55"/>
    <x v="6"/>
    <x v="0"/>
    <x v="161"/>
    <x v="131"/>
    <x v="75"/>
    <x v="167"/>
    <x v="204"/>
    <x v="1"/>
    <x v="108"/>
    <x v="73"/>
    <x v="834"/>
    <x v="552"/>
    <x v="1"/>
    <x v="21"/>
    <x v="35"/>
    <x v="1"/>
  </r>
  <r>
    <x v="1234"/>
    <x v="1"/>
    <x v="355"/>
    <x v="87"/>
    <x v="5"/>
    <x v="9"/>
    <x v="33"/>
    <x v="26"/>
    <x v="55"/>
    <x v="6"/>
    <x v="0"/>
    <x v="330"/>
    <x v="95"/>
    <x v="47"/>
    <x v="373"/>
    <x v="891"/>
    <x v="1"/>
    <x v="108"/>
    <x v="74"/>
    <x v="845"/>
    <x v="358"/>
    <x v="1"/>
    <x v="23"/>
    <x v="37"/>
    <x v="1"/>
  </r>
  <r>
    <x v="1235"/>
    <x v="1"/>
    <x v="356"/>
    <x v="88"/>
    <x v="5"/>
    <x v="103"/>
    <x v="8"/>
    <x v="26"/>
    <x v="55"/>
    <x v="6"/>
    <x v="0"/>
    <x v="566"/>
    <x v="428"/>
    <x v="37"/>
    <x v="143"/>
    <x v="221"/>
    <x v="1"/>
    <x v="108"/>
    <x v="74"/>
    <x v="300"/>
    <x v="309"/>
    <x v="1"/>
    <x v="23"/>
    <x v="37"/>
    <x v="1"/>
  </r>
  <r>
    <x v="1236"/>
    <x v="1"/>
    <x v="357"/>
    <x v="88"/>
    <x v="5"/>
    <x v="103"/>
    <x v="8"/>
    <x v="10"/>
    <x v="55"/>
    <x v="24"/>
    <x v="0"/>
    <x v="142"/>
    <x v="129"/>
    <x v="71"/>
    <x v="147"/>
    <x v="200"/>
    <x v="1"/>
    <x v="108"/>
    <x v="74"/>
    <x v="669"/>
    <x v="524"/>
    <x v="1"/>
    <x v="23"/>
    <x v="37"/>
    <x v="1"/>
  </r>
  <r>
    <x v="1237"/>
    <x v="1"/>
    <x v="358"/>
    <x v="89"/>
    <x v="5"/>
    <x v="42"/>
    <x v="21"/>
    <x v="26"/>
    <x v="55"/>
    <x v="6"/>
    <x v="0"/>
    <x v="703"/>
    <x v="307"/>
    <x v="20"/>
    <x v="579"/>
    <x v="1336"/>
    <x v="1"/>
    <x v="108"/>
    <x v="74"/>
    <x v="668"/>
    <x v="161"/>
    <x v="1"/>
    <x v="23"/>
    <x v="37"/>
    <x v="1"/>
  </r>
  <r>
    <x v="1238"/>
    <x v="1"/>
    <x v="359"/>
    <x v="90"/>
    <x v="5"/>
    <x v="61"/>
    <x v="86"/>
    <x v="26"/>
    <x v="55"/>
    <x v="6"/>
    <x v="0"/>
    <x v="764"/>
    <x v="385"/>
    <x v="16"/>
    <x v="547"/>
    <x v="1331"/>
    <x v="1"/>
    <x v="108"/>
    <x v="74"/>
    <x v="563"/>
    <x v="119"/>
    <x v="1"/>
    <x v="23"/>
    <x v="37"/>
    <x v="1"/>
  </r>
  <r>
    <x v="1239"/>
    <x v="1"/>
    <x v="360"/>
    <x v="91"/>
    <x v="5"/>
    <x v="17"/>
    <x v="71"/>
    <x v="26"/>
    <x v="55"/>
    <x v="6"/>
    <x v="0"/>
    <x v="297"/>
    <x v="171"/>
    <x v="20"/>
    <x v="263"/>
    <x v="768"/>
    <x v="1"/>
    <x v="108"/>
    <x v="74"/>
    <x v="401"/>
    <x v="158"/>
    <x v="1"/>
    <x v="23"/>
    <x v="37"/>
    <x v="1"/>
  </r>
  <r>
    <x v="1240"/>
    <x v="1"/>
    <x v="361"/>
    <x v="92"/>
    <x v="5"/>
    <x v="29"/>
    <x v="67"/>
    <x v="26"/>
    <x v="55"/>
    <x v="6"/>
    <x v="0"/>
    <x v="249"/>
    <x v="126"/>
    <x v="25"/>
    <x v="261"/>
    <x v="690"/>
    <x v="1"/>
    <x v="108"/>
    <x v="75"/>
    <x v="466"/>
    <x v="198"/>
    <x v="1"/>
    <x v="24"/>
    <x v="38"/>
    <x v="1"/>
  </r>
  <r>
    <x v="1242"/>
    <x v="1"/>
    <x v="362"/>
    <x v="93"/>
    <x v="5"/>
    <x v="9"/>
    <x v="33"/>
    <x v="10"/>
    <x v="55"/>
    <x v="24"/>
    <x v="0"/>
    <x v="259"/>
    <x v="88"/>
    <x v="73"/>
    <x v="309"/>
    <x v="394"/>
    <x v="1"/>
    <x v="108"/>
    <x v="75"/>
    <x v="1141"/>
    <x v="537"/>
    <x v="1"/>
    <x v="24"/>
    <x v="38"/>
    <x v="1"/>
  </r>
  <r>
    <x v="1244"/>
    <x v="1"/>
    <x v="363"/>
    <x v="94"/>
    <x v="5"/>
    <x v="13"/>
    <x v="11"/>
    <x v="26"/>
    <x v="55"/>
    <x v="6"/>
    <x v="0"/>
    <x v="718"/>
    <x v="360"/>
    <x v="42"/>
    <x v="541"/>
    <x v="1293"/>
    <x v="1"/>
    <x v="108"/>
    <x v="75"/>
    <x v="991"/>
    <x v="320"/>
    <x v="1"/>
    <x v="24"/>
    <x v="38"/>
    <x v="1"/>
  </r>
  <r>
    <x v="1246"/>
    <x v="1"/>
    <x v="364"/>
    <x v="95"/>
    <x v="5"/>
    <x v="42"/>
    <x v="21"/>
    <x v="10"/>
    <x v="55"/>
    <x v="24"/>
    <x v="0"/>
    <x v="689"/>
    <x v="458"/>
    <x v="117"/>
    <x v="142"/>
    <x v="97"/>
    <x v="1"/>
    <x v="108"/>
    <x v="75"/>
    <x v="1258"/>
    <x v="663"/>
    <x v="1"/>
    <x v="24"/>
    <x v="38"/>
    <x v="1"/>
  </r>
  <r>
    <x v="1247"/>
    <x v="2"/>
    <x v="365"/>
    <x v="95"/>
    <x v="5"/>
    <x v="42"/>
    <x v="21"/>
    <x v="26"/>
    <x v="55"/>
    <x v="6"/>
    <x v="0"/>
    <x v="198"/>
    <x v="319"/>
    <x v="28"/>
    <x v="138"/>
    <x v="219"/>
    <x v="1"/>
    <x v="108"/>
    <x v="75"/>
    <x v="229"/>
    <x v="238"/>
    <x v="1"/>
    <x v="24"/>
    <x v="38"/>
    <x v="1"/>
  </r>
  <r>
    <x v="1248"/>
    <x v="1"/>
    <x v="366"/>
    <x v="96"/>
    <x v="5"/>
    <x v="103"/>
    <x v="8"/>
    <x v="10"/>
    <x v="55"/>
    <x v="24"/>
    <x v="0"/>
    <x v="427"/>
    <x v="135"/>
    <x v="98"/>
    <x v="407"/>
    <x v="346"/>
    <x v="1"/>
    <x v="108"/>
    <x v="75"/>
    <x v="1321"/>
    <x v="629"/>
    <x v="1"/>
    <x v="24"/>
    <x v="38"/>
    <x v="1"/>
  </r>
  <r>
    <x v="1249"/>
    <x v="1"/>
    <x v="367"/>
    <x v="97"/>
    <x v="5"/>
    <x v="61"/>
    <x v="86"/>
    <x v="11"/>
    <x v="55"/>
    <x v="24"/>
    <x v="0"/>
    <x v="770"/>
    <x v="391"/>
    <x v="102"/>
    <x v="557"/>
    <x v="708"/>
    <x v="1"/>
    <x v="108"/>
    <x v="75"/>
    <x v="1349"/>
    <x v="637"/>
    <x v="1"/>
    <x v="24"/>
    <x v="38"/>
    <x v="1"/>
  </r>
  <r>
    <x v="1250"/>
    <x v="1"/>
    <x v="368"/>
    <x v="98"/>
    <x v="5"/>
    <x v="29"/>
    <x v="67"/>
    <x v="11"/>
    <x v="55"/>
    <x v="24"/>
    <x v="0"/>
    <x v="241"/>
    <x v="130"/>
    <x v="106"/>
    <x v="246"/>
    <x v="257"/>
    <x v="1"/>
    <x v="108"/>
    <x v="76"/>
    <x v="1317"/>
    <x v="647"/>
    <x v="1"/>
    <x v="25"/>
    <x v="39"/>
    <x v="1"/>
  </r>
  <r>
    <x v="1251"/>
    <x v="1"/>
    <x v="369"/>
    <x v="99"/>
    <x v="5"/>
    <x v="17"/>
    <x v="71"/>
    <x v="11"/>
    <x v="55"/>
    <x v="24"/>
    <x v="0"/>
    <x v="292"/>
    <x v="176"/>
    <x v="97"/>
    <x v="253"/>
    <x v="272"/>
    <x v="1"/>
    <x v="108"/>
    <x v="76"/>
    <x v="1277"/>
    <x v="626"/>
    <x v="1"/>
    <x v="25"/>
    <x v="39"/>
    <x v="1"/>
  </r>
  <r>
    <x v="1252"/>
    <x v="1"/>
    <x v="370"/>
    <x v="100"/>
    <x v="5"/>
    <x v="9"/>
    <x v="33"/>
    <x v="11"/>
    <x v="55"/>
    <x v="24"/>
    <x v="0"/>
    <x v="353"/>
    <x v="98"/>
    <x v="106"/>
    <x v="386"/>
    <x v="280"/>
    <x v="1"/>
    <x v="108"/>
    <x v="76"/>
    <x v="1338"/>
    <x v="646"/>
    <x v="1"/>
    <x v="25"/>
    <x v="39"/>
    <x v="1"/>
  </r>
  <r>
    <x v="1253"/>
    <x v="1"/>
    <x v="372"/>
    <x v="101"/>
    <x v="5"/>
    <x v="13"/>
    <x v="11"/>
    <x v="11"/>
    <x v="55"/>
    <x v="24"/>
    <x v="0"/>
    <x v="708"/>
    <x v="350"/>
    <x v="93"/>
    <x v="536"/>
    <x v="862"/>
    <x v="1"/>
    <x v="108"/>
    <x v="76"/>
    <x v="1335"/>
    <x v="613"/>
    <x v="1"/>
    <x v="25"/>
    <x v="39"/>
    <x v="1"/>
  </r>
  <r>
    <x v="1254"/>
    <x v="1"/>
    <x v="375"/>
    <x v="102"/>
    <x v="5"/>
    <x v="50"/>
    <x v="70"/>
    <x v="11"/>
    <x v="55"/>
    <x v="24"/>
    <x v="0"/>
    <x v="484"/>
    <x v="174"/>
    <x v="104"/>
    <x v="424"/>
    <x v="326"/>
    <x v="1"/>
    <x v="108"/>
    <x v="76"/>
    <x v="1341"/>
    <x v="642"/>
    <x v="1"/>
    <x v="25"/>
    <x v="39"/>
    <x v="1"/>
  </r>
  <r>
    <x v="1255"/>
    <x v="1"/>
    <x v="376"/>
    <x v="103"/>
    <x v="5"/>
    <x v="9"/>
    <x v="33"/>
    <x v="11"/>
    <x v="55"/>
    <x v="24"/>
    <x v="0"/>
    <x v="450"/>
    <x v="81"/>
    <x v="98"/>
    <x v="451"/>
    <x v="395"/>
    <x v="1"/>
    <x v="108"/>
    <x v="76"/>
    <x v="1333"/>
    <x v="628"/>
    <x v="1"/>
    <x v="25"/>
    <x v="39"/>
    <x v="1"/>
  </r>
  <r>
    <x v="1256"/>
    <x v="2"/>
    <x v="377"/>
    <x v="104"/>
    <x v="5"/>
    <x v="61"/>
    <x v="86"/>
    <x v="26"/>
    <x v="55"/>
    <x v="24"/>
    <x v="0"/>
    <x v="771"/>
    <x v="379"/>
    <x v="84"/>
    <x v="567"/>
    <x v="1145"/>
    <x v="1"/>
    <x v="108"/>
    <x v="76"/>
    <x v="1318"/>
    <x v="583"/>
    <x v="1"/>
    <x v="25"/>
    <x v="39"/>
    <x v="1"/>
  </r>
  <r>
    <x v="1257"/>
    <x v="2"/>
    <x v="378"/>
    <x v="105"/>
    <x v="5"/>
    <x v="17"/>
    <x v="71"/>
    <x v="26"/>
    <x v="55"/>
    <x v="24"/>
    <x v="0"/>
    <x v="285"/>
    <x v="173"/>
    <x v="62"/>
    <x v="249"/>
    <x v="404"/>
    <x v="1"/>
    <x v="108"/>
    <x v="77"/>
    <x v="935"/>
    <x v="448"/>
    <x v="1"/>
    <x v="26"/>
    <x v="40"/>
    <x v="1"/>
  </r>
  <r>
    <x v="1258"/>
    <x v="2"/>
    <x v="379"/>
    <x v="106"/>
    <x v="5"/>
    <x v="29"/>
    <x v="67"/>
    <x v="26"/>
    <x v="55"/>
    <x v="24"/>
    <x v="0"/>
    <x v="271"/>
    <x v="128"/>
    <x v="65"/>
    <x v="281"/>
    <x v="432"/>
    <x v="1"/>
    <x v="108"/>
    <x v="77"/>
    <x v="1008"/>
    <x v="479"/>
    <x v="1"/>
    <x v="26"/>
    <x v="40"/>
    <x v="1"/>
  </r>
  <r>
    <x v="1259"/>
    <x v="1"/>
    <x v="380"/>
    <x v="107"/>
    <x v="5"/>
    <x v="13"/>
    <x v="11"/>
    <x v="26"/>
    <x v="55"/>
    <x v="24"/>
    <x v="0"/>
    <x v="715"/>
    <x v="347"/>
    <x v="65"/>
    <x v="548"/>
    <x v="1237"/>
    <x v="1"/>
    <x v="108"/>
    <x v="77"/>
    <x v="1202"/>
    <x v="479"/>
    <x v="1"/>
    <x v="26"/>
    <x v="40"/>
    <x v="1"/>
  </r>
  <r>
    <x v="1260"/>
    <x v="1"/>
    <x v="381"/>
    <x v="108"/>
    <x v="5"/>
    <x v="50"/>
    <x v="70"/>
    <x v="26"/>
    <x v="55"/>
    <x v="24"/>
    <x v="0"/>
    <x v="490"/>
    <x v="164"/>
    <x v="62"/>
    <x v="435"/>
    <x v="1073"/>
    <x v="1"/>
    <x v="108"/>
    <x v="77"/>
    <x v="1094"/>
    <x v="448"/>
    <x v="1"/>
    <x v="26"/>
    <x v="40"/>
    <x v="1"/>
  </r>
  <r>
    <x v="1261"/>
    <x v="2"/>
    <x v="386"/>
    <x v="109"/>
    <x v="5"/>
    <x v="42"/>
    <x v="21"/>
    <x v="26"/>
    <x v="55"/>
    <x v="24"/>
    <x v="0"/>
    <x v="588"/>
    <x v="309"/>
    <x v="42"/>
    <x v="419"/>
    <x v="1128"/>
    <x v="1"/>
    <x v="108"/>
    <x v="77"/>
    <x v="840"/>
    <x v="319"/>
    <x v="1"/>
    <x v="26"/>
    <x v="40"/>
    <x v="1"/>
  </r>
  <r>
    <x v="1262"/>
    <x v="2"/>
    <x v="387"/>
    <x v="110"/>
    <x v="5"/>
    <x v="103"/>
    <x v="8"/>
    <x v="26"/>
    <x v="55"/>
    <x v="24"/>
    <x v="0"/>
    <x v="491"/>
    <x v="138"/>
    <x v="51"/>
    <x v="459"/>
    <x v="1140"/>
    <x v="1"/>
    <x v="108"/>
    <x v="77"/>
    <x v="1006"/>
    <x v="390"/>
    <x v="1"/>
    <x v="26"/>
    <x v="40"/>
    <x v="1"/>
  </r>
  <r>
    <x v="1263"/>
    <x v="2"/>
    <x v="388"/>
    <x v="111"/>
    <x v="5"/>
    <x v="61"/>
    <x v="86"/>
    <x v="26"/>
    <x v="55"/>
    <x v="24"/>
    <x v="0"/>
    <x v="780"/>
    <x v="390"/>
    <x v="37"/>
    <x v="577"/>
    <x v="1316"/>
    <x v="1"/>
    <x v="108"/>
    <x v="77"/>
    <x v="955"/>
    <x v="287"/>
    <x v="1"/>
    <x v="26"/>
    <x v="40"/>
    <x v="1"/>
  </r>
  <r>
    <x v="1264"/>
    <x v="2"/>
    <x v="389"/>
    <x v="112"/>
    <x v="5"/>
    <x v="50"/>
    <x v="70"/>
    <x v="26"/>
    <x v="55"/>
    <x v="24"/>
    <x v="0"/>
    <x v="510"/>
    <x v="168"/>
    <x v="47"/>
    <x v="465"/>
    <x v="1158"/>
    <x v="1"/>
    <x v="108"/>
    <x v="77"/>
    <x v="956"/>
    <x v="361"/>
    <x v="1"/>
    <x v="26"/>
    <x v="40"/>
    <x v="1"/>
  </r>
  <r>
    <x v="1265"/>
    <x v="2"/>
    <x v="390"/>
    <x v="113"/>
    <x v="5"/>
    <x v="13"/>
    <x v="11"/>
    <x v="26"/>
    <x v="55"/>
    <x v="24"/>
    <x v="0"/>
    <x v="726"/>
    <x v="356"/>
    <x v="79"/>
    <x v="589"/>
    <x v="1197"/>
    <x v="1"/>
    <x v="108"/>
    <x v="77"/>
    <x v="1302"/>
    <x v="569"/>
    <x v="1"/>
    <x v="26"/>
    <x v="40"/>
    <x v="1"/>
  </r>
  <r>
    <x v="1266"/>
    <x v="2"/>
    <x v="391"/>
    <x v="114"/>
    <x v="5"/>
    <x v="9"/>
    <x v="33"/>
    <x v="26"/>
    <x v="55"/>
    <x v="24"/>
    <x v="0"/>
    <x v="567"/>
    <x v="89"/>
    <x v="57"/>
    <x v="572"/>
    <x v="1286"/>
    <x v="1"/>
    <x v="108"/>
    <x v="78"/>
    <x v="1163"/>
    <x v="422"/>
    <x v="1"/>
    <x v="27"/>
    <x v="41"/>
    <x v="1"/>
  </r>
  <r>
    <x v="1267"/>
    <x v="2"/>
    <x v="392"/>
    <x v="115"/>
    <x v="5"/>
    <x v="42"/>
    <x v="21"/>
    <x v="26"/>
    <x v="55"/>
    <x v="24"/>
    <x v="0"/>
    <x v="695"/>
    <x v="299"/>
    <x v="57"/>
    <x v="566"/>
    <x v="1283"/>
    <x v="1"/>
    <x v="108"/>
    <x v="78"/>
    <x v="1162"/>
    <x v="423"/>
    <x v="1"/>
    <x v="27"/>
    <x v="41"/>
    <x v="1"/>
  </r>
  <r>
    <x v="1268"/>
    <x v="2"/>
    <x v="394"/>
    <x v="116"/>
    <x v="5"/>
    <x v="29"/>
    <x v="67"/>
    <x v="26"/>
    <x v="55"/>
    <x v="24"/>
    <x v="0"/>
    <x v="488"/>
    <x v="127"/>
    <x v="47"/>
    <x v="465"/>
    <x v="1158"/>
    <x v="1"/>
    <x v="108"/>
    <x v="78"/>
    <x v="956"/>
    <x v="361"/>
    <x v="1"/>
    <x v="27"/>
    <x v="41"/>
    <x v="1"/>
  </r>
  <r>
    <x v="1269"/>
    <x v="2"/>
    <x v="396"/>
    <x v="117"/>
    <x v="5"/>
    <x v="104"/>
    <x v="64"/>
    <x v="26"/>
    <x v="55"/>
    <x v="24"/>
    <x v="0"/>
    <x v="659"/>
    <x v="168"/>
    <x v="32"/>
    <x v="604"/>
    <x v="1354"/>
    <x v="1"/>
    <x v="108"/>
    <x v="78"/>
    <x v="923"/>
    <x v="246"/>
    <x v="1"/>
    <x v="27"/>
    <x v="41"/>
    <x v="1"/>
  </r>
  <r>
    <x v="1270"/>
    <x v="2"/>
    <x v="397"/>
    <x v="118"/>
    <x v="5"/>
    <x v="50"/>
    <x v="70"/>
    <x v="10"/>
    <x v="55"/>
    <x v="24"/>
    <x v="0"/>
    <x v="188"/>
    <x v="374"/>
    <x v="126"/>
    <x v="47"/>
    <x v="7"/>
    <x v="1"/>
    <x v="108"/>
    <x v="78"/>
    <x v="1052"/>
    <x v="672"/>
    <x v="1"/>
    <x v="27"/>
    <x v="41"/>
    <x v="1"/>
  </r>
  <r>
    <x v="1271"/>
    <x v="2"/>
    <x v="398"/>
    <x v="118"/>
    <x v="5"/>
    <x v="50"/>
    <x v="70"/>
    <x v="26"/>
    <x v="55"/>
    <x v="24"/>
    <x v="0"/>
    <x v="98"/>
    <x v="180"/>
    <x v="25"/>
    <x v="65"/>
    <x v="110"/>
    <x v="1"/>
    <x v="108"/>
    <x v="78"/>
    <x v="51"/>
    <x v="233"/>
    <x v="1"/>
    <x v="27"/>
    <x v="41"/>
    <x v="1"/>
  </r>
  <r>
    <x v="1272"/>
    <x v="2"/>
    <x v="399"/>
    <x v="119"/>
    <x v="5"/>
    <x v="103"/>
    <x v="8"/>
    <x v="10"/>
    <x v="55"/>
    <x v="24"/>
    <x v="0"/>
    <x v="93"/>
    <x v="139"/>
    <x v="121"/>
    <x v="58"/>
    <x v="11"/>
    <x v="1"/>
    <x v="108"/>
    <x v="78"/>
    <x v="1009"/>
    <x v="667"/>
    <x v="1"/>
    <x v="27"/>
    <x v="41"/>
    <x v="1"/>
  </r>
  <r>
    <x v="73"/>
    <x v="1"/>
    <x v="51"/>
    <x v="332"/>
    <x v="7"/>
    <x v="88"/>
    <x v="18"/>
    <x v="25"/>
    <x v="17"/>
    <x v="20"/>
    <x v="0"/>
    <x v="245"/>
    <x v="82"/>
    <x v="86"/>
    <x v="302"/>
    <x v="332"/>
    <x v="2"/>
    <x v="108"/>
    <x v="79"/>
    <x v="1230"/>
    <x v="587"/>
    <x v="0"/>
    <x v="26"/>
    <x v="9"/>
    <x v="1"/>
  </r>
  <r>
    <x v="76"/>
    <x v="1"/>
    <x v="52"/>
    <x v="333"/>
    <x v="7"/>
    <x v="105"/>
    <x v="20"/>
    <x v="25"/>
    <x v="17"/>
    <x v="20"/>
    <x v="0"/>
    <x v="333"/>
    <x v="115"/>
    <x v="83"/>
    <x v="356"/>
    <x v="380"/>
    <x v="2"/>
    <x v="108"/>
    <x v="79"/>
    <x v="1233"/>
    <x v="582"/>
    <x v="0"/>
    <x v="26"/>
    <x v="9"/>
    <x v="1"/>
  </r>
  <r>
    <x v="79"/>
    <x v="1"/>
    <x v="53"/>
    <x v="0"/>
    <x v="3"/>
    <x v="88"/>
    <x v="18"/>
    <x v="63"/>
    <x v="42"/>
    <x v="17"/>
    <x v="0"/>
    <x v="37"/>
    <x v="16"/>
    <x v="72"/>
    <x v="2"/>
    <x v="3"/>
    <x v="2"/>
    <x v="108"/>
    <x v="79"/>
    <x v="23"/>
    <x v="535"/>
    <x v="0"/>
    <x v="26"/>
    <x v="9"/>
    <x v="1"/>
  </r>
  <r>
    <x v="82"/>
    <x v="1"/>
    <x v="54"/>
    <x v="334"/>
    <x v="7"/>
    <x v="9"/>
    <x v="33"/>
    <x v="25"/>
    <x v="17"/>
    <x v="20"/>
    <x v="0"/>
    <x v="275"/>
    <x v="75"/>
    <x v="67"/>
    <x v="339"/>
    <x v="532"/>
    <x v="2"/>
    <x v="108"/>
    <x v="80"/>
    <x v="1071"/>
    <x v="495"/>
    <x v="0"/>
    <x v="27"/>
    <x v="10"/>
    <x v="1"/>
  </r>
  <r>
    <x v="85"/>
    <x v="1"/>
    <x v="57"/>
    <x v="335"/>
    <x v="7"/>
    <x v="62"/>
    <x v="86"/>
    <x v="25"/>
    <x v="17"/>
    <x v="20"/>
    <x v="0"/>
    <x v="693"/>
    <x v="383"/>
    <x v="69"/>
    <x v="364"/>
    <x v="547"/>
    <x v="2"/>
    <x v="108"/>
    <x v="80"/>
    <x v="1122"/>
    <x v="520"/>
    <x v="0"/>
    <x v="27"/>
    <x v="10"/>
    <x v="1"/>
  </r>
  <r>
    <x v="93"/>
    <x v="1"/>
    <x v="59"/>
    <x v="336"/>
    <x v="7"/>
    <x v="27"/>
    <x v="13"/>
    <x v="25"/>
    <x v="17"/>
    <x v="20"/>
    <x v="0"/>
    <x v="401"/>
    <x v="174"/>
    <x v="95"/>
    <x v="364"/>
    <x v="317"/>
    <x v="2"/>
    <x v="108"/>
    <x v="80"/>
    <x v="1300"/>
    <x v="622"/>
    <x v="0"/>
    <x v="27"/>
    <x v="10"/>
    <x v="1"/>
  </r>
  <r>
    <x v="96"/>
    <x v="1"/>
    <x v="60"/>
    <x v="337"/>
    <x v="7"/>
    <x v="63"/>
    <x v="65"/>
    <x v="25"/>
    <x v="17"/>
    <x v="20"/>
    <x v="0"/>
    <x v="759"/>
    <x v="445"/>
    <x v="95"/>
    <x v="377"/>
    <x v="323"/>
    <x v="2"/>
    <x v="108"/>
    <x v="80"/>
    <x v="1303"/>
    <x v="621"/>
    <x v="0"/>
    <x v="27"/>
    <x v="10"/>
    <x v="1"/>
  </r>
  <r>
    <x v="99"/>
    <x v="1"/>
    <x v="61"/>
    <x v="339"/>
    <x v="7"/>
    <x v="82"/>
    <x v="58"/>
    <x v="25"/>
    <x v="17"/>
    <x v="20"/>
    <x v="0"/>
    <x v="471"/>
    <x v="246"/>
    <x v="93"/>
    <x v="370"/>
    <x v="333"/>
    <x v="2"/>
    <x v="108"/>
    <x v="80"/>
    <x v="1295"/>
    <x v="615"/>
    <x v="0"/>
    <x v="27"/>
    <x v="10"/>
    <x v="1"/>
  </r>
  <r>
    <x v="102"/>
    <x v="1"/>
    <x v="62"/>
    <x v="338"/>
    <x v="7"/>
    <x v="66"/>
    <x v="44"/>
    <x v="25"/>
    <x v="17"/>
    <x v="20"/>
    <x v="0"/>
    <x v="457"/>
    <x v="190"/>
    <x v="87"/>
    <x v="396"/>
    <x v="407"/>
    <x v="2"/>
    <x v="108"/>
    <x v="80"/>
    <x v="1263"/>
    <x v="591"/>
    <x v="0"/>
    <x v="27"/>
    <x v="10"/>
    <x v="1"/>
  </r>
  <r>
    <x v="105"/>
    <x v="1"/>
    <x v="63"/>
    <x v="340"/>
    <x v="7"/>
    <x v="49"/>
    <x v="41"/>
    <x v="25"/>
    <x v="17"/>
    <x v="20"/>
    <x v="0"/>
    <x v="403"/>
    <x v="172"/>
    <x v="93"/>
    <x v="368"/>
    <x v="330"/>
    <x v="2"/>
    <x v="108"/>
    <x v="80"/>
    <x v="1293"/>
    <x v="616"/>
    <x v="0"/>
    <x v="27"/>
    <x v="10"/>
    <x v="1"/>
  </r>
  <r>
    <x v="108"/>
    <x v="1"/>
    <x v="64"/>
    <x v="341"/>
    <x v="7"/>
    <x v="91"/>
    <x v="37"/>
    <x v="25"/>
    <x v="17"/>
    <x v="20"/>
    <x v="0"/>
    <x v="375"/>
    <x v="144"/>
    <x v="97"/>
    <x v="369"/>
    <x v="314"/>
    <x v="2"/>
    <x v="108"/>
    <x v="81"/>
    <x v="1307"/>
    <x v="626"/>
    <x v="0"/>
    <x v="28"/>
    <x v="11"/>
    <x v="1"/>
  </r>
  <r>
    <x v="111"/>
    <x v="1"/>
    <x v="66"/>
    <x v="342"/>
    <x v="7"/>
    <x v="101"/>
    <x v="16"/>
    <x v="25"/>
    <x v="17"/>
    <x v="20"/>
    <x v="0"/>
    <x v="390"/>
    <x v="168"/>
    <x v="87"/>
    <x v="359"/>
    <x v="364"/>
    <x v="2"/>
    <x v="108"/>
    <x v="81"/>
    <x v="1256"/>
    <x v="588"/>
    <x v="0"/>
    <x v="28"/>
    <x v="11"/>
    <x v="1"/>
  </r>
  <r>
    <x v="114"/>
    <x v="1"/>
    <x v="67"/>
    <x v="343"/>
    <x v="7"/>
    <x v="39"/>
    <x v="30"/>
    <x v="25"/>
    <x v="17"/>
    <x v="20"/>
    <x v="0"/>
    <x v="418"/>
    <x v="212"/>
    <x v="92"/>
    <x v="338"/>
    <x v="320"/>
    <x v="2"/>
    <x v="108"/>
    <x v="81"/>
    <x v="1276"/>
    <x v="611"/>
    <x v="0"/>
    <x v="28"/>
    <x v="11"/>
    <x v="1"/>
  </r>
  <r>
    <x v="141"/>
    <x v="1"/>
    <x v="71"/>
    <x v="1"/>
    <x v="3"/>
    <x v="39"/>
    <x v="30"/>
    <x v="63"/>
    <x v="42"/>
    <x v="17"/>
    <x v="0"/>
    <x v="40"/>
    <x v="37"/>
    <x v="86"/>
    <x v="17"/>
    <x v="17"/>
    <x v="2"/>
    <x v="108"/>
    <x v="81"/>
    <x v="280"/>
    <x v="587"/>
    <x v="0"/>
    <x v="28"/>
    <x v="11"/>
    <x v="1"/>
  </r>
  <r>
    <x v="144"/>
    <x v="1"/>
    <x v="72"/>
    <x v="2"/>
    <x v="3"/>
    <x v="39"/>
    <x v="30"/>
    <x v="63"/>
    <x v="42"/>
    <x v="17"/>
    <x v="0"/>
    <x v="115"/>
    <x v="219"/>
    <x v="74"/>
    <x v="78"/>
    <x v="106"/>
    <x v="2"/>
    <x v="108"/>
    <x v="81"/>
    <x v="469"/>
    <x v="550"/>
    <x v="0"/>
    <x v="28"/>
    <x v="11"/>
    <x v="1"/>
  </r>
  <r>
    <x v="147"/>
    <x v="1"/>
    <x v="75"/>
    <x v="3"/>
    <x v="3"/>
    <x v="105"/>
    <x v="20"/>
    <x v="63"/>
    <x v="42"/>
    <x v="17"/>
    <x v="0"/>
    <x v="45"/>
    <x v="40"/>
    <x v="79"/>
    <x v="24"/>
    <x v="28"/>
    <x v="2"/>
    <x v="108"/>
    <x v="82"/>
    <x v="247"/>
    <x v="568"/>
    <x v="0"/>
    <x v="30"/>
    <x v="13"/>
    <x v="1"/>
  </r>
  <r>
    <x v="150"/>
    <x v="1"/>
    <x v="76"/>
    <x v="4"/>
    <x v="3"/>
    <x v="105"/>
    <x v="20"/>
    <x v="63"/>
    <x v="42"/>
    <x v="17"/>
    <x v="0"/>
    <x v="49"/>
    <x v="39"/>
    <x v="73"/>
    <x v="41"/>
    <x v="36"/>
    <x v="2"/>
    <x v="108"/>
    <x v="82"/>
    <x v="239"/>
    <x v="549"/>
    <x v="0"/>
    <x v="30"/>
    <x v="13"/>
    <x v="1"/>
  </r>
  <r>
    <x v="153"/>
    <x v="1"/>
    <x v="77"/>
    <x v="5"/>
    <x v="3"/>
    <x v="105"/>
    <x v="20"/>
    <x v="63"/>
    <x v="42"/>
    <x v="17"/>
    <x v="0"/>
    <x v="139"/>
    <x v="122"/>
    <x v="89"/>
    <x v="146"/>
    <x v="171"/>
    <x v="2"/>
    <x v="108"/>
    <x v="82"/>
    <x v="984"/>
    <x v="595"/>
    <x v="0"/>
    <x v="30"/>
    <x v="13"/>
    <x v="1"/>
  </r>
  <r>
    <x v="156"/>
    <x v="1"/>
    <x v="78"/>
    <x v="6"/>
    <x v="3"/>
    <x v="105"/>
    <x v="20"/>
    <x v="63"/>
    <x v="42"/>
    <x v="17"/>
    <x v="0"/>
    <x v="53"/>
    <x v="36"/>
    <x v="94"/>
    <x v="48"/>
    <x v="26"/>
    <x v="2"/>
    <x v="108"/>
    <x v="82"/>
    <x v="456"/>
    <x v="620"/>
    <x v="0"/>
    <x v="30"/>
    <x v="13"/>
    <x v="1"/>
  </r>
  <r>
    <x v="159"/>
    <x v="1"/>
    <x v="79"/>
    <x v="7"/>
    <x v="3"/>
    <x v="105"/>
    <x v="20"/>
    <x v="63"/>
    <x v="42"/>
    <x v="17"/>
    <x v="0"/>
    <x v="47"/>
    <x v="35"/>
    <x v="99"/>
    <x v="28"/>
    <x v="15"/>
    <x v="2"/>
    <x v="108"/>
    <x v="82"/>
    <x v="453"/>
    <x v="631"/>
    <x v="0"/>
    <x v="30"/>
    <x v="13"/>
    <x v="1"/>
  </r>
  <r>
    <x v="162"/>
    <x v="1"/>
    <x v="80"/>
    <x v="8"/>
    <x v="3"/>
    <x v="105"/>
    <x v="20"/>
    <x v="63"/>
    <x v="42"/>
    <x v="17"/>
    <x v="0"/>
    <x v="173"/>
    <x v="119"/>
    <x v="90"/>
    <x v="188"/>
    <x v="208"/>
    <x v="2"/>
    <x v="108"/>
    <x v="82"/>
    <x v="1118"/>
    <x v="599"/>
    <x v="0"/>
    <x v="30"/>
    <x v="13"/>
    <x v="1"/>
  </r>
  <r>
    <x v="165"/>
    <x v="1"/>
    <x v="81"/>
    <x v="9"/>
    <x v="3"/>
    <x v="105"/>
    <x v="20"/>
    <x v="63"/>
    <x v="42"/>
    <x v="17"/>
    <x v="0"/>
    <x v="154"/>
    <x v="118"/>
    <x v="74"/>
    <x v="168"/>
    <x v="206"/>
    <x v="2"/>
    <x v="108"/>
    <x v="82"/>
    <x v="814"/>
    <x v="550"/>
    <x v="0"/>
    <x v="30"/>
    <x v="13"/>
    <x v="1"/>
  </r>
  <r>
    <x v="166"/>
    <x v="1"/>
    <x v="82"/>
    <x v="10"/>
    <x v="3"/>
    <x v="105"/>
    <x v="20"/>
    <x v="63"/>
    <x v="42"/>
    <x v="17"/>
    <x v="0"/>
    <x v="157"/>
    <x v="118"/>
    <x v="86"/>
    <x v="170"/>
    <x v="195"/>
    <x v="2"/>
    <x v="108"/>
    <x v="83"/>
    <x v="987"/>
    <x v="587"/>
    <x v="1"/>
    <x v="0"/>
    <x v="14"/>
    <x v="1"/>
  </r>
  <r>
    <x v="169"/>
    <x v="1"/>
    <x v="83"/>
    <x v="11"/>
    <x v="3"/>
    <x v="105"/>
    <x v="20"/>
    <x v="63"/>
    <x v="42"/>
    <x v="17"/>
    <x v="0"/>
    <x v="155"/>
    <x v="117"/>
    <x v="88"/>
    <x v="169"/>
    <x v="192"/>
    <x v="2"/>
    <x v="108"/>
    <x v="83"/>
    <x v="1016"/>
    <x v="594"/>
    <x v="1"/>
    <x v="0"/>
    <x v="14"/>
    <x v="1"/>
  </r>
  <r>
    <x v="172"/>
    <x v="1"/>
    <x v="84"/>
    <x v="12"/>
    <x v="3"/>
    <x v="105"/>
    <x v="20"/>
    <x v="63"/>
    <x v="42"/>
    <x v="17"/>
    <x v="0"/>
    <x v="150"/>
    <x v="116"/>
    <x v="69"/>
    <x v="162"/>
    <x v="209"/>
    <x v="2"/>
    <x v="108"/>
    <x v="83"/>
    <x v="686"/>
    <x v="520"/>
    <x v="1"/>
    <x v="0"/>
    <x v="14"/>
    <x v="1"/>
  </r>
  <r>
    <x v="175"/>
    <x v="1"/>
    <x v="86"/>
    <x v="13"/>
    <x v="3"/>
    <x v="9"/>
    <x v="33"/>
    <x v="63"/>
    <x v="42"/>
    <x v="17"/>
    <x v="0"/>
    <x v="80"/>
    <x v="73"/>
    <x v="83"/>
    <x v="22"/>
    <x v="22"/>
    <x v="2"/>
    <x v="108"/>
    <x v="83"/>
    <x v="266"/>
    <x v="582"/>
    <x v="1"/>
    <x v="0"/>
    <x v="14"/>
    <x v="1"/>
  </r>
  <r>
    <x v="178"/>
    <x v="1"/>
    <x v="87"/>
    <x v="14"/>
    <x v="3"/>
    <x v="9"/>
    <x v="33"/>
    <x v="63"/>
    <x v="42"/>
    <x v="17"/>
    <x v="0"/>
    <x v="137"/>
    <x v="72"/>
    <x v="94"/>
    <x v="167"/>
    <x v="174"/>
    <x v="2"/>
    <x v="108"/>
    <x v="83"/>
    <x v="1102"/>
    <x v="620"/>
    <x v="1"/>
    <x v="0"/>
    <x v="14"/>
    <x v="1"/>
  </r>
  <r>
    <x v="181"/>
    <x v="1"/>
    <x v="88"/>
    <x v="344"/>
    <x v="7"/>
    <x v="98"/>
    <x v="54"/>
    <x v="25"/>
    <x v="17"/>
    <x v="20"/>
    <x v="0"/>
    <x v="359"/>
    <x v="166"/>
    <x v="57"/>
    <x v="331"/>
    <x v="611"/>
    <x v="2"/>
    <x v="108"/>
    <x v="83"/>
    <x v="942"/>
    <x v="422"/>
    <x v="1"/>
    <x v="0"/>
    <x v="14"/>
    <x v="1"/>
  </r>
  <r>
    <x v="184"/>
    <x v="1"/>
    <x v="89"/>
    <x v="15"/>
    <x v="3"/>
    <x v="9"/>
    <x v="33"/>
    <x v="63"/>
    <x v="42"/>
    <x v="17"/>
    <x v="0"/>
    <x v="302"/>
    <x v="71"/>
    <x v="88"/>
    <x v="371"/>
    <x v="365"/>
    <x v="2"/>
    <x v="108"/>
    <x v="83"/>
    <x v="1260"/>
    <x v="594"/>
    <x v="1"/>
    <x v="0"/>
    <x v="14"/>
    <x v="1"/>
  </r>
  <r>
    <x v="187"/>
    <x v="1"/>
    <x v="90"/>
    <x v="345"/>
    <x v="7"/>
    <x v="88"/>
    <x v="18"/>
    <x v="25"/>
    <x v="17"/>
    <x v="20"/>
    <x v="0"/>
    <x v="279"/>
    <x v="95"/>
    <x v="72"/>
    <x v="322"/>
    <x v="429"/>
    <x v="2"/>
    <x v="108"/>
    <x v="83"/>
    <x v="1131"/>
    <x v="535"/>
    <x v="1"/>
    <x v="0"/>
    <x v="14"/>
    <x v="1"/>
  </r>
  <r>
    <x v="190"/>
    <x v="1"/>
    <x v="91"/>
    <x v="346"/>
    <x v="7"/>
    <x v="16"/>
    <x v="42"/>
    <x v="25"/>
    <x v="17"/>
    <x v="20"/>
    <x v="0"/>
    <x v="421"/>
    <x v="242"/>
    <x v="69"/>
    <x v="309"/>
    <x v="439"/>
    <x v="2"/>
    <x v="108"/>
    <x v="83"/>
    <x v="1095"/>
    <x v="520"/>
    <x v="1"/>
    <x v="0"/>
    <x v="14"/>
    <x v="1"/>
  </r>
  <r>
    <x v="193"/>
    <x v="1"/>
    <x v="92"/>
    <x v="347"/>
    <x v="7"/>
    <x v="103"/>
    <x v="8"/>
    <x v="25"/>
    <x v="17"/>
    <x v="20"/>
    <x v="0"/>
    <x v="339"/>
    <x v="135"/>
    <x v="54"/>
    <x v="342"/>
    <x v="672"/>
    <x v="2"/>
    <x v="108"/>
    <x v="83"/>
    <x v="919"/>
    <x v="415"/>
    <x v="1"/>
    <x v="0"/>
    <x v="14"/>
    <x v="1"/>
  </r>
  <r>
    <x v="196"/>
    <x v="1"/>
    <x v="93"/>
    <x v="348"/>
    <x v="7"/>
    <x v="40"/>
    <x v="53"/>
    <x v="25"/>
    <x v="17"/>
    <x v="20"/>
    <x v="0"/>
    <x v="410"/>
    <x v="200"/>
    <x v="72"/>
    <x v="347"/>
    <x v="475"/>
    <x v="2"/>
    <x v="108"/>
    <x v="83"/>
    <x v="1144"/>
    <x v="535"/>
    <x v="1"/>
    <x v="0"/>
    <x v="14"/>
    <x v="1"/>
  </r>
  <r>
    <x v="199"/>
    <x v="1"/>
    <x v="95"/>
    <x v="349"/>
    <x v="7"/>
    <x v="28"/>
    <x v="80"/>
    <x v="25"/>
    <x v="17"/>
    <x v="20"/>
    <x v="0"/>
    <x v="438"/>
    <x v="233"/>
    <x v="86"/>
    <x v="336"/>
    <x v="357"/>
    <x v="2"/>
    <x v="108"/>
    <x v="83"/>
    <x v="1242"/>
    <x v="587"/>
    <x v="1"/>
    <x v="0"/>
    <x v="14"/>
    <x v="1"/>
  </r>
  <r>
    <x v="201"/>
    <x v="1"/>
    <x v="94"/>
    <x v="16"/>
    <x v="3"/>
    <x v="88"/>
    <x v="18"/>
    <x v="63"/>
    <x v="42"/>
    <x v="17"/>
    <x v="0"/>
    <x v="209"/>
    <x v="106"/>
    <x v="94"/>
    <x v="221"/>
    <x v="260"/>
    <x v="2"/>
    <x v="108"/>
    <x v="83"/>
    <x v="1252"/>
    <x v="620"/>
    <x v="1"/>
    <x v="0"/>
    <x v="14"/>
    <x v="1"/>
  </r>
  <r>
    <x v="204"/>
    <x v="1"/>
    <x v="96"/>
    <x v="350"/>
    <x v="7"/>
    <x v="26"/>
    <x v="82"/>
    <x v="25"/>
    <x v="17"/>
    <x v="20"/>
    <x v="0"/>
    <x v="388"/>
    <x v="199"/>
    <x v="80"/>
    <x v="326"/>
    <x v="371"/>
    <x v="2"/>
    <x v="108"/>
    <x v="83"/>
    <x v="1199"/>
    <x v="574"/>
    <x v="1"/>
    <x v="0"/>
    <x v="14"/>
    <x v="1"/>
  </r>
  <r>
    <x v="210"/>
    <x v="1"/>
    <x v="99"/>
    <x v="351"/>
    <x v="7"/>
    <x v="11"/>
    <x v="81"/>
    <x v="25"/>
    <x v="17"/>
    <x v="20"/>
    <x v="0"/>
    <x v="340"/>
    <x v="141"/>
    <x v="77"/>
    <x v="337"/>
    <x v="396"/>
    <x v="2"/>
    <x v="108"/>
    <x v="84"/>
    <x v="1190"/>
    <x v="565"/>
    <x v="1"/>
    <x v="1"/>
    <x v="15"/>
    <x v="1"/>
  </r>
  <r>
    <x v="212"/>
    <x v="1"/>
    <x v="100"/>
    <x v="352"/>
    <x v="7"/>
    <x v="67"/>
    <x v="63"/>
    <x v="25"/>
    <x v="17"/>
    <x v="20"/>
    <x v="0"/>
    <x v="344"/>
    <x v="165"/>
    <x v="69"/>
    <x v="317"/>
    <x v="455"/>
    <x v="2"/>
    <x v="108"/>
    <x v="84"/>
    <x v="1101"/>
    <x v="520"/>
    <x v="1"/>
    <x v="1"/>
    <x v="15"/>
    <x v="1"/>
  </r>
  <r>
    <x v="215"/>
    <x v="1"/>
    <x v="101"/>
    <x v="353"/>
    <x v="7"/>
    <x v="51"/>
    <x v="70"/>
    <x v="25"/>
    <x v="17"/>
    <x v="20"/>
    <x v="0"/>
    <x v="373"/>
    <x v="182"/>
    <x v="77"/>
    <x v="328"/>
    <x v="388"/>
    <x v="2"/>
    <x v="108"/>
    <x v="84"/>
    <x v="1188"/>
    <x v="565"/>
    <x v="1"/>
    <x v="1"/>
    <x v="15"/>
    <x v="1"/>
  </r>
  <r>
    <x v="218"/>
    <x v="1"/>
    <x v="98"/>
    <x v="17"/>
    <x v="3"/>
    <x v="9"/>
    <x v="33"/>
    <x v="63"/>
    <x v="42"/>
    <x v="17"/>
    <x v="0"/>
    <x v="176"/>
    <x v="70"/>
    <x v="90"/>
    <x v="196"/>
    <x v="230"/>
    <x v="2"/>
    <x v="108"/>
    <x v="84"/>
    <x v="1161"/>
    <x v="599"/>
    <x v="1"/>
    <x v="1"/>
    <x v="15"/>
    <x v="1"/>
  </r>
  <r>
    <x v="221"/>
    <x v="1"/>
    <x v="102"/>
    <x v="354"/>
    <x v="7"/>
    <x v="53"/>
    <x v="78"/>
    <x v="25"/>
    <x v="17"/>
    <x v="20"/>
    <x v="0"/>
    <x v="313"/>
    <x v="125"/>
    <x v="80"/>
    <x v="326"/>
    <x v="371"/>
    <x v="2"/>
    <x v="108"/>
    <x v="84"/>
    <x v="1199"/>
    <x v="574"/>
    <x v="1"/>
    <x v="1"/>
    <x v="15"/>
    <x v="1"/>
  </r>
  <r>
    <x v="224"/>
    <x v="1"/>
    <x v="103"/>
    <x v="355"/>
    <x v="7"/>
    <x v="85"/>
    <x v="17"/>
    <x v="25"/>
    <x v="17"/>
    <x v="20"/>
    <x v="0"/>
    <x v="381"/>
    <x v="180"/>
    <x v="82"/>
    <x v="338"/>
    <x v="374"/>
    <x v="2"/>
    <x v="108"/>
    <x v="84"/>
    <x v="1216"/>
    <x v="579"/>
    <x v="1"/>
    <x v="1"/>
    <x v="15"/>
    <x v="1"/>
  </r>
  <r>
    <x v="227"/>
    <x v="1"/>
    <x v="104"/>
    <x v="18"/>
    <x v="3"/>
    <x v="88"/>
    <x v="18"/>
    <x v="63"/>
    <x v="42"/>
    <x v="17"/>
    <x v="0"/>
    <x v="210"/>
    <x v="105"/>
    <x v="69"/>
    <x v="223"/>
    <x v="331"/>
    <x v="2"/>
    <x v="108"/>
    <x v="84"/>
    <x v="1020"/>
    <x v="520"/>
    <x v="1"/>
    <x v="1"/>
    <x v="15"/>
    <x v="1"/>
  </r>
  <r>
    <x v="230"/>
    <x v="1"/>
    <x v="105"/>
    <x v="358"/>
    <x v="7"/>
    <x v="30"/>
    <x v="67"/>
    <x v="25"/>
    <x v="17"/>
    <x v="20"/>
    <x v="0"/>
    <x v="326"/>
    <x v="124"/>
    <x v="75"/>
    <x v="340"/>
    <x v="414"/>
    <x v="2"/>
    <x v="108"/>
    <x v="84"/>
    <x v="1183"/>
    <x v="557"/>
    <x v="1"/>
    <x v="1"/>
    <x v="15"/>
    <x v="1"/>
  </r>
  <r>
    <x v="233"/>
    <x v="1"/>
    <x v="107"/>
    <x v="359"/>
    <x v="7"/>
    <x v="48"/>
    <x v="15"/>
    <x v="25"/>
    <x v="17"/>
    <x v="20"/>
    <x v="0"/>
    <x v="337"/>
    <x v="166"/>
    <x v="73"/>
    <x v="309"/>
    <x v="394"/>
    <x v="2"/>
    <x v="108"/>
    <x v="84"/>
    <x v="1141"/>
    <x v="537"/>
    <x v="1"/>
    <x v="1"/>
    <x v="15"/>
    <x v="1"/>
  </r>
  <r>
    <x v="236"/>
    <x v="1"/>
    <x v="113"/>
    <x v="360"/>
    <x v="7"/>
    <x v="6"/>
    <x v="66"/>
    <x v="25"/>
    <x v="17"/>
    <x v="14"/>
    <x v="0"/>
    <x v="347"/>
    <x v="182"/>
    <x v="71"/>
    <x v="302"/>
    <x v="413"/>
    <x v="2"/>
    <x v="108"/>
    <x v="84"/>
    <x v="1112"/>
    <x v="531"/>
    <x v="1"/>
    <x v="1"/>
    <x v="15"/>
    <x v="1"/>
  </r>
  <r>
    <x v="239"/>
    <x v="1"/>
    <x v="114"/>
    <x v="368"/>
    <x v="7"/>
    <x v="75"/>
    <x v="57"/>
    <x v="25"/>
    <x v="17"/>
    <x v="14"/>
    <x v="0"/>
    <x v="580"/>
    <x v="356"/>
    <x v="69"/>
    <x v="304"/>
    <x v="426"/>
    <x v="2"/>
    <x v="108"/>
    <x v="84"/>
    <x v="1089"/>
    <x v="520"/>
    <x v="1"/>
    <x v="1"/>
    <x v="15"/>
    <x v="1"/>
  </r>
  <r>
    <x v="242"/>
    <x v="1"/>
    <x v="115"/>
    <x v="356"/>
    <x v="7"/>
    <x v="82"/>
    <x v="58"/>
    <x v="25"/>
    <x v="17"/>
    <x v="14"/>
    <x v="0"/>
    <x v="399"/>
    <x v="240"/>
    <x v="47"/>
    <x v="290"/>
    <x v="590"/>
    <x v="2"/>
    <x v="108"/>
    <x v="84"/>
    <x v="768"/>
    <x v="380"/>
    <x v="1"/>
    <x v="1"/>
    <x v="15"/>
    <x v="1"/>
  </r>
  <r>
    <x v="245"/>
    <x v="1"/>
    <x v="116"/>
    <x v="22"/>
    <x v="3"/>
    <x v="105"/>
    <x v="20"/>
    <x v="63"/>
    <x v="42"/>
    <x v="17"/>
    <x v="0"/>
    <x v="153"/>
    <x v="125"/>
    <x v="47"/>
    <x v="162"/>
    <x v="233"/>
    <x v="2"/>
    <x v="108"/>
    <x v="84"/>
    <x v="427"/>
    <x v="383"/>
    <x v="1"/>
    <x v="1"/>
    <x v="15"/>
    <x v="1"/>
  </r>
  <r>
    <x v="248"/>
    <x v="1"/>
    <x v="117"/>
    <x v="357"/>
    <x v="7"/>
    <x v="66"/>
    <x v="44"/>
    <x v="25"/>
    <x v="17"/>
    <x v="14"/>
    <x v="0"/>
    <x v="342"/>
    <x v="186"/>
    <x v="62"/>
    <x v="293"/>
    <x v="482"/>
    <x v="2"/>
    <x v="108"/>
    <x v="84"/>
    <x v="972"/>
    <x v="448"/>
    <x v="1"/>
    <x v="1"/>
    <x v="15"/>
    <x v="1"/>
  </r>
  <r>
    <x v="251"/>
    <x v="1"/>
    <x v="119"/>
    <x v="23"/>
    <x v="3"/>
    <x v="48"/>
    <x v="15"/>
    <x v="63"/>
    <x v="42"/>
    <x v="17"/>
    <x v="0"/>
    <x v="166"/>
    <x v="165"/>
    <x v="68"/>
    <x v="163"/>
    <x v="212"/>
    <x v="2"/>
    <x v="108"/>
    <x v="85"/>
    <x v="662"/>
    <x v="500"/>
    <x v="1"/>
    <x v="2"/>
    <x v="16"/>
    <x v="1"/>
  </r>
  <r>
    <x v="254"/>
    <x v="1"/>
    <x v="121"/>
    <x v="25"/>
    <x v="3"/>
    <x v="105"/>
    <x v="20"/>
    <x v="63"/>
    <x v="42"/>
    <x v="17"/>
    <x v="0"/>
    <x v="154"/>
    <x v="124"/>
    <x v="57"/>
    <x v="165"/>
    <x v="227"/>
    <x v="2"/>
    <x v="108"/>
    <x v="85"/>
    <x v="530"/>
    <x v="422"/>
    <x v="1"/>
    <x v="2"/>
    <x v="16"/>
    <x v="1"/>
  </r>
  <r>
    <x v="257"/>
    <x v="1"/>
    <x v="109"/>
    <x v="523"/>
    <x v="3"/>
    <x v="94"/>
    <x v="25"/>
    <x v="63"/>
    <x v="42"/>
    <x v="17"/>
    <x v="0"/>
    <x v="78"/>
    <x v="42"/>
    <x v="36"/>
    <x v="112"/>
    <x v="159"/>
    <x v="2"/>
    <x v="108"/>
    <x v="84"/>
    <x v="172"/>
    <x v="281"/>
    <x v="1"/>
    <x v="1"/>
    <x v="15"/>
    <x v="1"/>
  </r>
  <r>
    <x v="260"/>
    <x v="1"/>
    <x v="111"/>
    <x v="525"/>
    <x v="3"/>
    <x v="92"/>
    <x v="50"/>
    <x v="63"/>
    <x v="42"/>
    <x v="17"/>
    <x v="0"/>
    <x v="236"/>
    <x v="290"/>
    <x v="38"/>
    <x v="189"/>
    <x v="271"/>
    <x v="2"/>
    <x v="108"/>
    <x v="84"/>
    <x v="412"/>
    <x v="314"/>
    <x v="1"/>
    <x v="1"/>
    <x v="15"/>
    <x v="1"/>
  </r>
  <r>
    <x v="263"/>
    <x v="1"/>
    <x v="112"/>
    <x v="526"/>
    <x v="3"/>
    <x v="25"/>
    <x v="47"/>
    <x v="63"/>
    <x v="42"/>
    <x v="17"/>
    <x v="0"/>
    <x v="612"/>
    <x v="334"/>
    <x v="36"/>
    <x v="414"/>
    <x v="1133"/>
    <x v="2"/>
    <x v="108"/>
    <x v="84"/>
    <x v="742"/>
    <x v="282"/>
    <x v="1"/>
    <x v="1"/>
    <x v="15"/>
    <x v="1"/>
  </r>
  <r>
    <x v="266"/>
    <x v="1"/>
    <x v="112"/>
    <x v="552"/>
    <x v="7"/>
    <x v="58"/>
    <x v="84"/>
    <x v="25"/>
    <x v="17"/>
    <x v="14"/>
    <x v="0"/>
    <x v="673"/>
    <x v="265"/>
    <x v="10"/>
    <x v="578"/>
    <x v="1360"/>
    <x v="2"/>
    <x v="108"/>
    <x v="84"/>
    <x v="384"/>
    <x v="80"/>
    <x v="1"/>
    <x v="1"/>
    <x v="15"/>
    <x v="1"/>
  </r>
  <r>
    <x v="292"/>
    <x v="1"/>
    <x v="128"/>
    <x v="29"/>
    <x v="3"/>
    <x v="88"/>
    <x v="18"/>
    <x v="65"/>
    <x v="44"/>
    <x v="17"/>
    <x v="0"/>
    <x v="430"/>
    <x v="423"/>
    <x v="90"/>
    <x v="88"/>
    <x v="98"/>
    <x v="2"/>
    <x v="108"/>
    <x v="85"/>
    <x v="705"/>
    <x v="599"/>
    <x v="1"/>
    <x v="2"/>
    <x v="16"/>
    <x v="1"/>
  </r>
  <r>
    <x v="297"/>
    <x v="1"/>
    <x v="129"/>
    <x v="29"/>
    <x v="3"/>
    <x v="88"/>
    <x v="18"/>
    <x v="63"/>
    <x v="42"/>
    <x v="17"/>
    <x v="0"/>
    <x v="126"/>
    <x v="100"/>
    <x v="77"/>
    <x v="135"/>
    <x v="175"/>
    <x v="2"/>
    <x v="108"/>
    <x v="85"/>
    <x v="746"/>
    <x v="565"/>
    <x v="1"/>
    <x v="2"/>
    <x v="16"/>
    <x v="1"/>
  </r>
  <r>
    <x v="299"/>
    <x v="1"/>
    <x v="131"/>
    <x v="29"/>
    <x v="3"/>
    <x v="88"/>
    <x v="18"/>
    <x v="65"/>
    <x v="44"/>
    <x v="17"/>
    <x v="0"/>
    <x v="44"/>
    <x v="18"/>
    <x v="94"/>
    <x v="44"/>
    <x v="23"/>
    <x v="2"/>
    <x v="108"/>
    <x v="85"/>
    <x v="444"/>
    <x v="620"/>
    <x v="1"/>
    <x v="2"/>
    <x v="16"/>
    <x v="1"/>
  </r>
  <r>
    <x v="301"/>
    <x v="1"/>
    <x v="130"/>
    <x v="362"/>
    <x v="7"/>
    <x v="62"/>
    <x v="86"/>
    <x v="25"/>
    <x v="17"/>
    <x v="20"/>
    <x v="0"/>
    <x v="682"/>
    <x v="379"/>
    <x v="62"/>
    <x v="311"/>
    <x v="525"/>
    <x v="2"/>
    <x v="108"/>
    <x v="85"/>
    <x v="985"/>
    <x v="448"/>
    <x v="1"/>
    <x v="2"/>
    <x v="16"/>
    <x v="1"/>
  </r>
  <r>
    <x v="303"/>
    <x v="1"/>
    <x v="135"/>
    <x v="363"/>
    <x v="7"/>
    <x v="27"/>
    <x v="13"/>
    <x v="25"/>
    <x v="17"/>
    <x v="20"/>
    <x v="0"/>
    <x v="353"/>
    <x v="171"/>
    <x v="51"/>
    <x v="319"/>
    <x v="626"/>
    <x v="2"/>
    <x v="108"/>
    <x v="85"/>
    <x v="871"/>
    <x v="390"/>
    <x v="1"/>
    <x v="2"/>
    <x v="16"/>
    <x v="1"/>
  </r>
  <r>
    <x v="305"/>
    <x v="1"/>
    <x v="136"/>
    <x v="364"/>
    <x v="7"/>
    <x v="63"/>
    <x v="65"/>
    <x v="25"/>
    <x v="17"/>
    <x v="20"/>
    <x v="0"/>
    <x v="741"/>
    <x v="439"/>
    <x v="37"/>
    <x v="307"/>
    <x v="758"/>
    <x v="2"/>
    <x v="108"/>
    <x v="85"/>
    <x v="640"/>
    <x v="285"/>
    <x v="1"/>
    <x v="2"/>
    <x v="16"/>
    <x v="1"/>
  </r>
  <r>
    <x v="307"/>
    <x v="1"/>
    <x v="137"/>
    <x v="30"/>
    <x v="3"/>
    <x v="88"/>
    <x v="18"/>
    <x v="65"/>
    <x v="44"/>
    <x v="17"/>
    <x v="0"/>
    <x v="39"/>
    <x v="19"/>
    <x v="65"/>
    <x v="28"/>
    <x v="37"/>
    <x v="2"/>
    <x v="108"/>
    <x v="85"/>
    <x v="139"/>
    <x v="493"/>
    <x v="1"/>
    <x v="2"/>
    <x v="16"/>
    <x v="1"/>
  </r>
  <r>
    <x v="309"/>
    <x v="1"/>
    <x v="138"/>
    <x v="365"/>
    <x v="7"/>
    <x v="101"/>
    <x v="16"/>
    <x v="25"/>
    <x v="17"/>
    <x v="20"/>
    <x v="0"/>
    <x v="359"/>
    <x v="167"/>
    <x v="49"/>
    <x v="329"/>
    <x v="681"/>
    <x v="2"/>
    <x v="108"/>
    <x v="85"/>
    <x v="846"/>
    <x v="387"/>
    <x v="1"/>
    <x v="2"/>
    <x v="16"/>
    <x v="1"/>
  </r>
  <r>
    <x v="311"/>
    <x v="1"/>
    <x v="139"/>
    <x v="366"/>
    <x v="7"/>
    <x v="40"/>
    <x v="53"/>
    <x v="25"/>
    <x v="17"/>
    <x v="20"/>
    <x v="0"/>
    <x v="382"/>
    <x v="197"/>
    <x v="67"/>
    <x v="322"/>
    <x v="492"/>
    <x v="2"/>
    <x v="108"/>
    <x v="85"/>
    <x v="1054"/>
    <x v="495"/>
    <x v="1"/>
    <x v="2"/>
    <x v="16"/>
    <x v="1"/>
  </r>
  <r>
    <x v="313"/>
    <x v="1"/>
    <x v="140"/>
    <x v="367"/>
    <x v="7"/>
    <x v="28"/>
    <x v="80"/>
    <x v="25"/>
    <x v="17"/>
    <x v="20"/>
    <x v="0"/>
    <x v="394"/>
    <x v="221"/>
    <x v="60"/>
    <x v="304"/>
    <x v="526"/>
    <x v="2"/>
    <x v="108"/>
    <x v="85"/>
    <x v="953"/>
    <x v="444"/>
    <x v="1"/>
    <x v="2"/>
    <x v="16"/>
    <x v="1"/>
  </r>
  <r>
    <x v="316"/>
    <x v="1"/>
    <x v="141"/>
    <x v="369"/>
    <x v="7"/>
    <x v="49"/>
    <x v="41"/>
    <x v="25"/>
    <x v="17"/>
    <x v="20"/>
    <x v="0"/>
    <x v="328"/>
    <x v="163"/>
    <x v="62"/>
    <x v="303"/>
    <x v="508"/>
    <x v="2"/>
    <x v="108"/>
    <x v="85"/>
    <x v="980"/>
    <x v="448"/>
    <x v="1"/>
    <x v="2"/>
    <x v="16"/>
    <x v="1"/>
  </r>
  <r>
    <x v="319"/>
    <x v="1"/>
    <x v="143"/>
    <x v="361"/>
    <x v="7"/>
    <x v="16"/>
    <x v="42"/>
    <x v="25"/>
    <x v="17"/>
    <x v="20"/>
    <x v="0"/>
    <x v="416"/>
    <x v="243"/>
    <x v="72"/>
    <x v="303"/>
    <x v="400"/>
    <x v="2"/>
    <x v="108"/>
    <x v="86"/>
    <x v="1123"/>
    <x v="535"/>
    <x v="1"/>
    <x v="3"/>
    <x v="17"/>
    <x v="1"/>
  </r>
  <r>
    <x v="322"/>
    <x v="1"/>
    <x v="144"/>
    <x v="370"/>
    <x v="7"/>
    <x v="91"/>
    <x v="37"/>
    <x v="25"/>
    <x v="17"/>
    <x v="20"/>
    <x v="0"/>
    <x v="320"/>
    <x v="155"/>
    <x v="47"/>
    <x v="303"/>
    <x v="627"/>
    <x v="2"/>
    <x v="108"/>
    <x v="86"/>
    <x v="782"/>
    <x v="358"/>
    <x v="1"/>
    <x v="3"/>
    <x v="17"/>
    <x v="1"/>
  </r>
  <r>
    <x v="325"/>
    <x v="1"/>
    <x v="145"/>
    <x v="371"/>
    <x v="7"/>
    <x v="67"/>
    <x v="63"/>
    <x v="25"/>
    <x v="17"/>
    <x v="20"/>
    <x v="0"/>
    <x v="314"/>
    <x v="154"/>
    <x v="68"/>
    <x v="298"/>
    <x v="433"/>
    <x v="2"/>
    <x v="108"/>
    <x v="86"/>
    <x v="1062"/>
    <x v="513"/>
    <x v="1"/>
    <x v="3"/>
    <x v="17"/>
    <x v="1"/>
  </r>
  <r>
    <x v="328"/>
    <x v="1"/>
    <x v="146"/>
    <x v="33"/>
    <x v="3"/>
    <x v="88"/>
    <x v="18"/>
    <x v="65"/>
    <x v="44"/>
    <x v="17"/>
    <x v="0"/>
    <x v="69"/>
    <x v="18"/>
    <x v="69"/>
    <x v="109"/>
    <x v="117"/>
    <x v="2"/>
    <x v="108"/>
    <x v="86"/>
    <x v="455"/>
    <x v="520"/>
    <x v="1"/>
    <x v="3"/>
    <x v="17"/>
    <x v="1"/>
  </r>
  <r>
    <x v="331"/>
    <x v="1"/>
    <x v="147"/>
    <x v="372"/>
    <x v="7"/>
    <x v="51"/>
    <x v="70"/>
    <x v="25"/>
    <x v="17"/>
    <x v="20"/>
    <x v="0"/>
    <x v="331"/>
    <x v="172"/>
    <x v="57"/>
    <x v="296"/>
    <x v="527"/>
    <x v="2"/>
    <x v="108"/>
    <x v="86"/>
    <x v="914"/>
    <x v="433"/>
    <x v="1"/>
    <x v="3"/>
    <x v="17"/>
    <x v="1"/>
  </r>
  <r>
    <x v="334"/>
    <x v="1"/>
    <x v="120"/>
    <x v="527"/>
    <x v="3"/>
    <x v="56"/>
    <x v="23"/>
    <x v="63"/>
    <x v="42"/>
    <x v="17"/>
    <x v="0"/>
    <x v="386"/>
    <x v="275"/>
    <x v="47"/>
    <x v="218"/>
    <x v="370"/>
    <x v="2"/>
    <x v="108"/>
    <x v="85"/>
    <x v="664"/>
    <x v="353"/>
    <x v="1"/>
    <x v="2"/>
    <x v="16"/>
    <x v="1"/>
  </r>
  <r>
    <x v="337"/>
    <x v="1"/>
    <x v="123"/>
    <x v="530"/>
    <x v="3"/>
    <x v="5"/>
    <x v="59"/>
    <x v="65"/>
    <x v="44"/>
    <x v="17"/>
    <x v="0"/>
    <x v="607"/>
    <x v="363"/>
    <x v="46"/>
    <x v="343"/>
    <x v="786"/>
    <x v="2"/>
    <x v="108"/>
    <x v="85"/>
    <x v="815"/>
    <x v="352"/>
    <x v="1"/>
    <x v="2"/>
    <x v="16"/>
    <x v="1"/>
  </r>
  <r>
    <x v="340"/>
    <x v="1"/>
    <x v="122"/>
    <x v="529"/>
    <x v="3"/>
    <x v="94"/>
    <x v="25"/>
    <x v="65"/>
    <x v="44"/>
    <x v="17"/>
    <x v="0"/>
    <x v="542"/>
    <x v="339"/>
    <x v="26"/>
    <x v="284"/>
    <x v="788"/>
    <x v="2"/>
    <x v="108"/>
    <x v="85"/>
    <x v="490"/>
    <x v="235"/>
    <x v="1"/>
    <x v="2"/>
    <x v="16"/>
    <x v="1"/>
  </r>
  <r>
    <x v="343"/>
    <x v="1"/>
    <x v="124"/>
    <x v="531"/>
    <x v="3"/>
    <x v="92"/>
    <x v="50"/>
    <x v="65"/>
    <x v="44"/>
    <x v="17"/>
    <x v="0"/>
    <x v="522"/>
    <x v="286"/>
    <x v="85"/>
    <x v="339"/>
    <x v="362"/>
    <x v="2"/>
    <x v="108"/>
    <x v="85"/>
    <x v="1239"/>
    <x v="586"/>
    <x v="1"/>
    <x v="2"/>
    <x v="16"/>
    <x v="1"/>
  </r>
  <r>
    <x v="346"/>
    <x v="1"/>
    <x v="150"/>
    <x v="374"/>
    <x v="7"/>
    <x v="11"/>
    <x v="61"/>
    <x v="25"/>
    <x v="17"/>
    <x v="20"/>
    <x v="0"/>
    <x v="286"/>
    <x v="149"/>
    <x v="32"/>
    <x v="275"/>
    <x v="685"/>
    <x v="2"/>
    <x v="108"/>
    <x v="86"/>
    <x v="544"/>
    <x v="245"/>
    <x v="1"/>
    <x v="3"/>
    <x v="17"/>
    <x v="1"/>
  </r>
  <r>
    <x v="349"/>
    <x v="1"/>
    <x v="148"/>
    <x v="373"/>
    <x v="7"/>
    <x v="103"/>
    <x v="8"/>
    <x v="25"/>
    <x v="17"/>
    <x v="20"/>
    <x v="0"/>
    <x v="287"/>
    <x v="141"/>
    <x v="32"/>
    <x v="284"/>
    <x v="732"/>
    <x v="2"/>
    <x v="108"/>
    <x v="86"/>
    <x v="557"/>
    <x v="269"/>
    <x v="1"/>
    <x v="3"/>
    <x v="17"/>
    <x v="1"/>
  </r>
  <r>
    <x v="377"/>
    <x v="1"/>
    <x v="151"/>
    <x v="431"/>
    <x v="7"/>
    <x v="26"/>
    <x v="82"/>
    <x v="25"/>
    <x v="17"/>
    <x v="20"/>
    <x v="0"/>
    <x v="340"/>
    <x v="188"/>
    <x v="23"/>
    <x v="289"/>
    <x v="832"/>
    <x v="2"/>
    <x v="108"/>
    <x v="86"/>
    <x v="461"/>
    <x v="196"/>
    <x v="1"/>
    <x v="3"/>
    <x v="17"/>
    <x v="1"/>
  </r>
  <r>
    <x v="380"/>
    <x v="1"/>
    <x v="155"/>
    <x v="432"/>
    <x v="7"/>
    <x v="82"/>
    <x v="58"/>
    <x v="25"/>
    <x v="17"/>
    <x v="20"/>
    <x v="0"/>
    <x v="427"/>
    <x v="247"/>
    <x v="42"/>
    <x v="309"/>
    <x v="698"/>
    <x v="2"/>
    <x v="108"/>
    <x v="86"/>
    <x v="714"/>
    <x v="319"/>
    <x v="1"/>
    <x v="3"/>
    <x v="17"/>
    <x v="1"/>
  </r>
  <r>
    <x v="383"/>
    <x v="1"/>
    <x v="157"/>
    <x v="433"/>
    <x v="7"/>
    <x v="66"/>
    <x v="44"/>
    <x v="25"/>
    <x v="17"/>
    <x v="20"/>
    <x v="0"/>
    <x v="335"/>
    <x v="190"/>
    <x v="32"/>
    <x v="282"/>
    <x v="718"/>
    <x v="2"/>
    <x v="108"/>
    <x v="86"/>
    <x v="553"/>
    <x v="270"/>
    <x v="1"/>
    <x v="3"/>
    <x v="17"/>
    <x v="1"/>
  </r>
  <r>
    <x v="386"/>
    <x v="1"/>
    <x v="158"/>
    <x v="434"/>
    <x v="7"/>
    <x v="6"/>
    <x v="66"/>
    <x v="25"/>
    <x v="17"/>
    <x v="14"/>
    <x v="0"/>
    <x v="320"/>
    <x v="179"/>
    <x v="37"/>
    <x v="278"/>
    <x v="649"/>
    <x v="2"/>
    <x v="108"/>
    <x v="86"/>
    <x v="625"/>
    <x v="300"/>
    <x v="1"/>
    <x v="3"/>
    <x v="17"/>
    <x v="1"/>
  </r>
  <r>
    <x v="389"/>
    <x v="1"/>
    <x v="159"/>
    <x v="435"/>
    <x v="7"/>
    <x v="75"/>
    <x v="57"/>
    <x v="25"/>
    <x v="17"/>
    <x v="20"/>
    <x v="0"/>
    <x v="683"/>
    <x v="356"/>
    <x v="32"/>
    <x v="470"/>
    <x v="1200"/>
    <x v="2"/>
    <x v="108"/>
    <x v="86"/>
    <x v="718"/>
    <x v="245"/>
    <x v="1"/>
    <x v="3"/>
    <x v="17"/>
    <x v="1"/>
  </r>
  <r>
    <x v="392"/>
    <x v="1"/>
    <x v="160"/>
    <x v="436"/>
    <x v="7"/>
    <x v="30"/>
    <x v="67"/>
    <x v="25"/>
    <x v="17"/>
    <x v="20"/>
    <x v="0"/>
    <x v="275"/>
    <x v="125"/>
    <x v="37"/>
    <x v="288"/>
    <x v="678"/>
    <x v="2"/>
    <x v="108"/>
    <x v="86"/>
    <x v="628"/>
    <x v="299"/>
    <x v="1"/>
    <x v="3"/>
    <x v="17"/>
    <x v="1"/>
  </r>
  <r>
    <x v="395"/>
    <x v="1"/>
    <x v="162"/>
    <x v="36"/>
    <x v="3"/>
    <x v="105"/>
    <x v="20"/>
    <x v="69"/>
    <x v="47"/>
    <x v="0"/>
    <x v="0"/>
    <x v="38"/>
    <x v="39"/>
    <x v="47"/>
    <x v="4"/>
    <x v="6"/>
    <x v="2"/>
    <x v="108"/>
    <x v="86"/>
    <x v="12"/>
    <x v="358"/>
    <x v="1"/>
    <x v="3"/>
    <x v="17"/>
    <x v="1"/>
  </r>
  <r>
    <x v="398"/>
    <x v="1"/>
    <x v="161"/>
    <x v="437"/>
    <x v="7"/>
    <x v="48"/>
    <x v="15"/>
    <x v="25"/>
    <x v="17"/>
    <x v="20"/>
    <x v="0"/>
    <x v="320"/>
    <x v="164"/>
    <x v="20"/>
    <x v="294"/>
    <x v="890"/>
    <x v="2"/>
    <x v="108"/>
    <x v="86"/>
    <x v="419"/>
    <x v="175"/>
    <x v="1"/>
    <x v="3"/>
    <x v="17"/>
    <x v="1"/>
  </r>
  <r>
    <x v="401"/>
    <x v="1"/>
    <x v="165"/>
    <x v="438"/>
    <x v="7"/>
    <x v="62"/>
    <x v="86"/>
    <x v="25"/>
    <x v="17"/>
    <x v="20"/>
    <x v="0"/>
    <x v="721"/>
    <x v="396"/>
    <x v="40"/>
    <x v="438"/>
    <x v="1155"/>
    <x v="2"/>
    <x v="108"/>
    <x v="86"/>
    <x v="826"/>
    <x v="317"/>
    <x v="1"/>
    <x v="3"/>
    <x v="17"/>
    <x v="1"/>
  </r>
  <r>
    <x v="404"/>
    <x v="1"/>
    <x v="166"/>
    <x v="439"/>
    <x v="7"/>
    <x v="27"/>
    <x v="13"/>
    <x v="25"/>
    <x v="17"/>
    <x v="20"/>
    <x v="0"/>
    <x v="318"/>
    <x v="173"/>
    <x v="13"/>
    <x v="282"/>
    <x v="956"/>
    <x v="2"/>
    <x v="108"/>
    <x v="86"/>
    <x v="273"/>
    <x v="101"/>
    <x v="1"/>
    <x v="3"/>
    <x v="17"/>
    <x v="1"/>
  </r>
  <r>
    <x v="407"/>
    <x v="1"/>
    <x v="167"/>
    <x v="38"/>
    <x v="3"/>
    <x v="105"/>
    <x v="20"/>
    <x v="65"/>
    <x v="44"/>
    <x v="17"/>
    <x v="0"/>
    <x v="54"/>
    <x v="38"/>
    <x v="60"/>
    <x v="51"/>
    <x v="75"/>
    <x v="2"/>
    <x v="108"/>
    <x v="86"/>
    <x v="144"/>
    <x v="444"/>
    <x v="1"/>
    <x v="3"/>
    <x v="17"/>
    <x v="1"/>
  </r>
  <r>
    <x v="410"/>
    <x v="2"/>
    <x v="169"/>
    <x v="39"/>
    <x v="3"/>
    <x v="105"/>
    <x v="20"/>
    <x v="65"/>
    <x v="44"/>
    <x v="17"/>
    <x v="0"/>
    <x v="54"/>
    <x v="37"/>
    <x v="54"/>
    <x v="52"/>
    <x v="79"/>
    <x v="2"/>
    <x v="108"/>
    <x v="87"/>
    <x v="107"/>
    <x v="415"/>
    <x v="1"/>
    <x v="4"/>
    <x v="18"/>
    <x v="1"/>
  </r>
  <r>
    <x v="413"/>
    <x v="1"/>
    <x v="170"/>
    <x v="440"/>
    <x v="7"/>
    <x v="63"/>
    <x v="65"/>
    <x v="25"/>
    <x v="17"/>
    <x v="20"/>
    <x v="0"/>
    <x v="744"/>
    <x v="438"/>
    <x v="13"/>
    <x v="312"/>
    <x v="1046"/>
    <x v="2"/>
    <x v="108"/>
    <x v="87"/>
    <x v="286"/>
    <x v="96"/>
    <x v="1"/>
    <x v="4"/>
    <x v="18"/>
    <x v="1"/>
  </r>
  <r>
    <x v="416"/>
    <x v="2"/>
    <x v="171"/>
    <x v="40"/>
    <x v="3"/>
    <x v="105"/>
    <x v="20"/>
    <x v="65"/>
    <x v="44"/>
    <x v="17"/>
    <x v="0"/>
    <x v="55"/>
    <x v="36"/>
    <x v="49"/>
    <x v="55"/>
    <x v="84"/>
    <x v="2"/>
    <x v="108"/>
    <x v="87"/>
    <x v="93"/>
    <x v="387"/>
    <x v="1"/>
    <x v="4"/>
    <x v="18"/>
    <x v="1"/>
  </r>
  <r>
    <x v="419"/>
    <x v="1"/>
    <x v="174"/>
    <x v="41"/>
    <x v="3"/>
    <x v="105"/>
    <x v="20"/>
    <x v="65"/>
    <x v="44"/>
    <x v="17"/>
    <x v="0"/>
    <x v="56"/>
    <x v="35"/>
    <x v="40"/>
    <x v="56"/>
    <x v="86"/>
    <x v="2"/>
    <x v="108"/>
    <x v="87"/>
    <x v="59"/>
    <x v="317"/>
    <x v="1"/>
    <x v="4"/>
    <x v="18"/>
    <x v="1"/>
  </r>
  <r>
    <x v="422"/>
    <x v="1"/>
    <x v="172"/>
    <x v="441"/>
    <x v="7"/>
    <x v="28"/>
    <x v="80"/>
    <x v="25"/>
    <x v="17"/>
    <x v="20"/>
    <x v="0"/>
    <x v="393"/>
    <x v="235"/>
    <x v="22"/>
    <x v="289"/>
    <x v="845"/>
    <x v="2"/>
    <x v="108"/>
    <x v="87"/>
    <x v="449"/>
    <x v="194"/>
    <x v="1"/>
    <x v="4"/>
    <x v="18"/>
    <x v="1"/>
  </r>
  <r>
    <x v="424"/>
    <x v="1"/>
    <x v="153"/>
    <x v="536"/>
    <x v="3"/>
    <x v="5"/>
    <x v="59"/>
    <x v="65"/>
    <x v="44"/>
    <x v="17"/>
    <x v="0"/>
    <x v="649"/>
    <x v="362"/>
    <x v="53"/>
    <x v="408"/>
    <x v="1003"/>
    <x v="2"/>
    <x v="108"/>
    <x v="86"/>
    <x v="981"/>
    <x v="413"/>
    <x v="1"/>
    <x v="3"/>
    <x v="17"/>
    <x v="1"/>
  </r>
  <r>
    <x v="427"/>
    <x v="1"/>
    <x v="149"/>
    <x v="535"/>
    <x v="2"/>
    <x v="25"/>
    <x v="47"/>
    <x v="65"/>
    <x v="44"/>
    <x v="17"/>
    <x v="0"/>
    <x v="577"/>
    <x v="330"/>
    <x v="76"/>
    <x v="395"/>
    <x v="533"/>
    <x v="2"/>
    <x v="108"/>
    <x v="86"/>
    <x v="1205"/>
    <x v="564"/>
    <x v="1"/>
    <x v="3"/>
    <x v="17"/>
    <x v="1"/>
  </r>
  <r>
    <x v="430"/>
    <x v="1"/>
    <x v="142"/>
    <x v="533"/>
    <x v="3"/>
    <x v="56"/>
    <x v="23"/>
    <x v="65"/>
    <x v="44"/>
    <x v="17"/>
    <x v="0"/>
    <x v="524"/>
    <x v="270"/>
    <x v="96"/>
    <x v="386"/>
    <x v="329"/>
    <x v="2"/>
    <x v="108"/>
    <x v="86"/>
    <x v="1310"/>
    <x v="625"/>
    <x v="1"/>
    <x v="3"/>
    <x v="17"/>
    <x v="1"/>
  </r>
  <r>
    <x v="433"/>
    <x v="1"/>
    <x v="163"/>
    <x v="537"/>
    <x v="2"/>
    <x v="94"/>
    <x v="25"/>
    <x v="65"/>
    <x v="44"/>
    <x v="17"/>
    <x v="0"/>
    <x v="582"/>
    <x v="333"/>
    <x v="28"/>
    <x v="393"/>
    <x v="1108"/>
    <x v="2"/>
    <x v="108"/>
    <x v="86"/>
    <x v="603"/>
    <x v="238"/>
    <x v="1"/>
    <x v="3"/>
    <x v="17"/>
    <x v="1"/>
  </r>
  <r>
    <x v="436"/>
    <x v="1"/>
    <x v="173"/>
    <x v="442"/>
    <x v="7"/>
    <x v="67"/>
    <x v="63"/>
    <x v="25"/>
    <x v="17"/>
    <x v="20"/>
    <x v="0"/>
    <x v="313"/>
    <x v="159"/>
    <x v="25"/>
    <x v="292"/>
    <x v="823"/>
    <x v="2"/>
    <x v="108"/>
    <x v="87"/>
    <x v="487"/>
    <x v="215"/>
    <x v="1"/>
    <x v="4"/>
    <x v="18"/>
    <x v="1"/>
  </r>
  <r>
    <x v="439"/>
    <x v="1"/>
    <x v="703"/>
    <x v="491"/>
    <x v="7"/>
    <x v="72"/>
    <x v="43"/>
    <x v="25"/>
    <x v="17"/>
    <x v="20"/>
    <x v="0"/>
    <x v="617"/>
    <x v="136"/>
    <x v="8"/>
    <x v="594"/>
    <x v="1376"/>
    <x v="2"/>
    <x v="108"/>
    <x v="85"/>
    <x v="309"/>
    <x v="50"/>
    <x v="1"/>
    <x v="2"/>
    <x v="16"/>
    <x v="1"/>
  </r>
  <r>
    <x v="442"/>
    <x v="1"/>
    <x v="175"/>
    <x v="443"/>
    <x v="7"/>
    <x v="51"/>
    <x v="70"/>
    <x v="19"/>
    <x v="14"/>
    <x v="20"/>
    <x v="0"/>
    <x v="410"/>
    <x v="418"/>
    <x v="129"/>
    <x v="376"/>
    <x v="1110"/>
    <x v="2"/>
    <x v="108"/>
    <x v="87"/>
    <x v="439"/>
    <x v="156"/>
    <x v="1"/>
    <x v="4"/>
    <x v="18"/>
    <x v="1"/>
  </r>
  <r>
    <x v="445"/>
    <x v="1"/>
    <x v="177"/>
    <x v="444"/>
    <x v="7"/>
    <x v="91"/>
    <x v="37"/>
    <x v="19"/>
    <x v="14"/>
    <x v="20"/>
    <x v="0"/>
    <x v="313"/>
    <x v="144"/>
    <x v="68"/>
    <x v="307"/>
    <x v="452"/>
    <x v="2"/>
    <x v="108"/>
    <x v="87"/>
    <x v="1072"/>
    <x v="500"/>
    <x v="1"/>
    <x v="4"/>
    <x v="18"/>
    <x v="1"/>
  </r>
  <r>
    <x v="448"/>
    <x v="1"/>
    <x v="179"/>
    <x v="445"/>
    <x v="7"/>
    <x v="49"/>
    <x v="41"/>
    <x v="19"/>
    <x v="14"/>
    <x v="20"/>
    <x v="0"/>
    <x v="315"/>
    <x v="170"/>
    <x v="73"/>
    <x v="282"/>
    <x v="372"/>
    <x v="2"/>
    <x v="108"/>
    <x v="87"/>
    <x v="1126"/>
    <x v="548"/>
    <x v="1"/>
    <x v="4"/>
    <x v="18"/>
    <x v="1"/>
  </r>
  <r>
    <x v="451"/>
    <x v="1"/>
    <x v="703"/>
    <x v="498"/>
    <x v="7"/>
    <x v="64"/>
    <x v="29"/>
    <x v="25"/>
    <x v="17"/>
    <x v="20"/>
    <x v="0"/>
    <x v="630"/>
    <x v="294"/>
    <x v="43"/>
    <x v="486"/>
    <x v="1183"/>
    <x v="2"/>
    <x v="108"/>
    <x v="86"/>
    <x v="917"/>
    <x v="349"/>
    <x v="1"/>
    <x v="3"/>
    <x v="17"/>
    <x v="1"/>
  </r>
  <r>
    <x v="454"/>
    <x v="1"/>
    <x v="703"/>
    <x v="500"/>
    <x v="7"/>
    <x v="31"/>
    <x v="38"/>
    <x v="25"/>
    <x v="17"/>
    <x v="20"/>
    <x v="0"/>
    <x v="674"/>
    <x v="346"/>
    <x v="37"/>
    <x v="479"/>
    <x v="1194"/>
    <x v="2"/>
    <x v="108"/>
    <x v="86"/>
    <x v="812"/>
    <x v="283"/>
    <x v="1"/>
    <x v="3"/>
    <x v="17"/>
    <x v="1"/>
  </r>
  <r>
    <x v="457"/>
    <x v="1"/>
    <x v="703"/>
    <x v="501"/>
    <x v="7"/>
    <x v="64"/>
    <x v="29"/>
    <x v="25"/>
    <x v="17"/>
    <x v="20"/>
    <x v="0"/>
    <x v="603"/>
    <x v="287"/>
    <x v="33"/>
    <x v="454"/>
    <x v="1184"/>
    <x v="2"/>
    <x v="108"/>
    <x v="86"/>
    <x v="728"/>
    <x v="278"/>
    <x v="1"/>
    <x v="3"/>
    <x v="17"/>
    <x v="1"/>
  </r>
  <r>
    <x v="460"/>
    <x v="1"/>
    <x v="703"/>
    <x v="499"/>
    <x v="7"/>
    <x v="84"/>
    <x v="52"/>
    <x v="25"/>
    <x v="17"/>
    <x v="20"/>
    <x v="0"/>
    <x v="574"/>
    <x v="262"/>
    <x v="41"/>
    <x v="488"/>
    <x v="1190"/>
    <x v="2"/>
    <x v="108"/>
    <x v="86"/>
    <x v="895"/>
    <x v="318"/>
    <x v="1"/>
    <x v="3"/>
    <x v="17"/>
    <x v="1"/>
  </r>
  <r>
    <x v="463"/>
    <x v="1"/>
    <x v="182"/>
    <x v="44"/>
    <x v="3"/>
    <x v="88"/>
    <x v="18"/>
    <x v="69"/>
    <x v="47"/>
    <x v="0"/>
    <x v="0"/>
    <x v="51"/>
    <x v="21"/>
    <x v="57"/>
    <x v="53"/>
    <x v="80"/>
    <x v="2"/>
    <x v="108"/>
    <x v="87"/>
    <x v="134"/>
    <x v="422"/>
    <x v="1"/>
    <x v="4"/>
    <x v="18"/>
    <x v="1"/>
  </r>
  <r>
    <x v="466"/>
    <x v="1"/>
    <x v="183"/>
    <x v="446"/>
    <x v="7"/>
    <x v="103"/>
    <x v="8"/>
    <x v="19"/>
    <x v="14"/>
    <x v="20"/>
    <x v="0"/>
    <x v="313"/>
    <x v="140"/>
    <x v="57"/>
    <x v="311"/>
    <x v="560"/>
    <x v="2"/>
    <x v="108"/>
    <x v="87"/>
    <x v="926"/>
    <x v="422"/>
    <x v="1"/>
    <x v="4"/>
    <x v="18"/>
    <x v="1"/>
  </r>
  <r>
    <x v="469"/>
    <x v="3"/>
    <x v="162"/>
    <x v="36"/>
    <x v="3"/>
    <x v="105"/>
    <x v="20"/>
    <x v="69"/>
    <x v="47"/>
    <x v="0"/>
    <x v="0"/>
    <x v="792"/>
    <x v="465"/>
    <x v="129"/>
    <x v="611"/>
    <x v="1394"/>
    <x v="2"/>
    <x v="108"/>
    <x v="86"/>
    <x v="0"/>
    <x v="674"/>
    <x v="1"/>
    <x v="3"/>
    <x v="17"/>
    <x v="1"/>
  </r>
  <r>
    <x v="472"/>
    <x v="1"/>
    <x v="184"/>
    <x v="447"/>
    <x v="7"/>
    <x v="26"/>
    <x v="82"/>
    <x v="19"/>
    <x v="14"/>
    <x v="20"/>
    <x v="0"/>
    <x v="375"/>
    <x v="202"/>
    <x v="65"/>
    <x v="310"/>
    <x v="485"/>
    <x v="2"/>
    <x v="108"/>
    <x v="87"/>
    <x v="1030"/>
    <x v="487"/>
    <x v="1"/>
    <x v="4"/>
    <x v="18"/>
    <x v="1"/>
  </r>
  <r>
    <x v="475"/>
    <x v="1"/>
    <x v="186"/>
    <x v="448"/>
    <x v="7"/>
    <x v="82"/>
    <x v="58"/>
    <x v="19"/>
    <x v="14"/>
    <x v="20"/>
    <x v="0"/>
    <x v="439"/>
    <x v="242"/>
    <x v="51"/>
    <x v="328"/>
    <x v="656"/>
    <x v="2"/>
    <x v="108"/>
    <x v="87"/>
    <x v="883"/>
    <x v="400"/>
    <x v="1"/>
    <x v="4"/>
    <x v="18"/>
    <x v="1"/>
  </r>
  <r>
    <x v="478"/>
    <x v="1"/>
    <x v="187"/>
    <x v="449"/>
    <x v="7"/>
    <x v="66"/>
    <x v="44"/>
    <x v="19"/>
    <x v="14"/>
    <x v="20"/>
    <x v="0"/>
    <x v="371"/>
    <x v="176"/>
    <x v="68"/>
    <x v="332"/>
    <x v="496"/>
    <x v="2"/>
    <x v="108"/>
    <x v="87"/>
    <x v="1085"/>
    <x v="510"/>
    <x v="1"/>
    <x v="4"/>
    <x v="18"/>
    <x v="1"/>
  </r>
  <r>
    <x v="481"/>
    <x v="1"/>
    <x v="188"/>
    <x v="450"/>
    <x v="7"/>
    <x v="6"/>
    <x v="66"/>
    <x v="19"/>
    <x v="14"/>
    <x v="20"/>
    <x v="0"/>
    <x v="383"/>
    <x v="179"/>
    <x v="62"/>
    <x v="341"/>
    <x v="595"/>
    <x v="2"/>
    <x v="108"/>
    <x v="87"/>
    <x v="1001"/>
    <x v="448"/>
    <x v="1"/>
    <x v="4"/>
    <x v="18"/>
    <x v="1"/>
  </r>
  <r>
    <x v="484"/>
    <x v="1"/>
    <x v="189"/>
    <x v="408"/>
    <x v="7"/>
    <x v="75"/>
    <x v="57"/>
    <x v="19"/>
    <x v="14"/>
    <x v="20"/>
    <x v="0"/>
    <x v="596"/>
    <x v="357"/>
    <x v="51"/>
    <x v="335"/>
    <x v="676"/>
    <x v="2"/>
    <x v="108"/>
    <x v="87"/>
    <x v="889"/>
    <x v="390"/>
    <x v="1"/>
    <x v="4"/>
    <x v="18"/>
    <x v="1"/>
  </r>
  <r>
    <x v="487"/>
    <x v="1"/>
    <x v="191"/>
    <x v="409"/>
    <x v="7"/>
    <x v="30"/>
    <x v="67"/>
    <x v="19"/>
    <x v="14"/>
    <x v="20"/>
    <x v="0"/>
    <x v="327"/>
    <x v="125"/>
    <x v="57"/>
    <x v="340"/>
    <x v="641"/>
    <x v="2"/>
    <x v="108"/>
    <x v="87"/>
    <x v="952"/>
    <x v="428"/>
    <x v="1"/>
    <x v="4"/>
    <x v="18"/>
    <x v="1"/>
  </r>
  <r>
    <x v="490"/>
    <x v="1"/>
    <x v="190"/>
    <x v="46"/>
    <x v="3"/>
    <x v="88"/>
    <x v="18"/>
    <x v="69"/>
    <x v="47"/>
    <x v="0"/>
    <x v="0"/>
    <x v="65"/>
    <x v="20"/>
    <x v="73"/>
    <x v="103"/>
    <x v="112"/>
    <x v="2"/>
    <x v="108"/>
    <x v="87"/>
    <x v="502"/>
    <x v="537"/>
    <x v="1"/>
    <x v="4"/>
    <x v="18"/>
    <x v="1"/>
  </r>
  <r>
    <x v="493"/>
    <x v="1"/>
    <x v="193"/>
    <x v="410"/>
    <x v="7"/>
    <x v="48"/>
    <x v="15"/>
    <x v="19"/>
    <x v="14"/>
    <x v="20"/>
    <x v="0"/>
    <x v="320"/>
    <x v="154"/>
    <x v="47"/>
    <x v="304"/>
    <x v="632"/>
    <x v="2"/>
    <x v="108"/>
    <x v="87"/>
    <x v="783"/>
    <x v="377"/>
    <x v="1"/>
    <x v="4"/>
    <x v="18"/>
    <x v="1"/>
  </r>
  <r>
    <x v="496"/>
    <x v="1"/>
    <x v="194"/>
    <x v="413"/>
    <x v="7"/>
    <x v="62"/>
    <x v="86"/>
    <x v="19"/>
    <x v="14"/>
    <x v="20"/>
    <x v="0"/>
    <x v="688"/>
    <x v="382"/>
    <x v="62"/>
    <x v="320"/>
    <x v="545"/>
    <x v="2"/>
    <x v="108"/>
    <x v="87"/>
    <x v="990"/>
    <x v="458"/>
    <x v="1"/>
    <x v="4"/>
    <x v="18"/>
    <x v="1"/>
  </r>
  <r>
    <x v="499"/>
    <x v="1"/>
    <x v="195"/>
    <x v="412"/>
    <x v="7"/>
    <x v="27"/>
    <x v="13"/>
    <x v="19"/>
    <x v="14"/>
    <x v="20"/>
    <x v="0"/>
    <x v="349"/>
    <x v="171"/>
    <x v="47"/>
    <x v="315"/>
    <x v="665"/>
    <x v="2"/>
    <x v="108"/>
    <x v="87"/>
    <x v="792"/>
    <x v="358"/>
    <x v="1"/>
    <x v="4"/>
    <x v="18"/>
    <x v="1"/>
  </r>
  <r>
    <x v="502"/>
    <x v="1"/>
    <x v="197"/>
    <x v="411"/>
    <x v="7"/>
    <x v="63"/>
    <x v="65"/>
    <x v="19"/>
    <x v="14"/>
    <x v="20"/>
    <x v="0"/>
    <x v="745"/>
    <x v="437"/>
    <x v="37"/>
    <x v="316"/>
    <x v="796"/>
    <x v="2"/>
    <x v="108"/>
    <x v="87"/>
    <x v="646"/>
    <x v="293"/>
    <x v="1"/>
    <x v="4"/>
    <x v="18"/>
    <x v="1"/>
  </r>
  <r>
    <x v="505"/>
    <x v="1"/>
    <x v="199"/>
    <x v="414"/>
    <x v="7"/>
    <x v="9"/>
    <x v="33"/>
    <x v="12"/>
    <x v="9"/>
    <x v="20"/>
    <x v="0"/>
    <x v="237"/>
    <x v="65"/>
    <x v="37"/>
    <x v="310"/>
    <x v="777"/>
    <x v="2"/>
    <x v="108"/>
    <x v="88"/>
    <x v="643"/>
    <x v="294"/>
    <x v="1"/>
    <x v="5"/>
    <x v="19"/>
    <x v="1"/>
  </r>
  <r>
    <x v="508"/>
    <x v="1"/>
    <x v="168"/>
    <x v="540"/>
    <x v="2"/>
    <x v="92"/>
    <x v="50"/>
    <x v="65"/>
    <x v="44"/>
    <x v="17"/>
    <x v="0"/>
    <x v="536"/>
    <x v="291"/>
    <x v="81"/>
    <x v="353"/>
    <x v="390"/>
    <x v="2"/>
    <x v="108"/>
    <x v="87"/>
    <x v="1218"/>
    <x v="575"/>
    <x v="1"/>
    <x v="4"/>
    <x v="18"/>
    <x v="1"/>
  </r>
  <r>
    <x v="511"/>
    <x v="1"/>
    <x v="164"/>
    <x v="542"/>
    <x v="3"/>
    <x v="56"/>
    <x v="23"/>
    <x v="69"/>
    <x v="47"/>
    <x v="0"/>
    <x v="0"/>
    <x v="201"/>
    <x v="272"/>
    <x v="54"/>
    <x v="180"/>
    <x v="245"/>
    <x v="2"/>
    <x v="108"/>
    <x v="87"/>
    <x v="536"/>
    <x v="414"/>
    <x v="1"/>
    <x v="4"/>
    <x v="18"/>
    <x v="1"/>
  </r>
  <r>
    <x v="514"/>
    <x v="1"/>
    <x v="181"/>
    <x v="541"/>
    <x v="3"/>
    <x v="5"/>
    <x v="59"/>
    <x v="69"/>
    <x v="47"/>
    <x v="17"/>
    <x v="0"/>
    <x v="631"/>
    <x v="364"/>
    <x v="21"/>
    <x v="383"/>
    <x v="1109"/>
    <x v="2"/>
    <x v="108"/>
    <x v="87"/>
    <x v="509"/>
    <x v="193"/>
    <x v="1"/>
    <x v="4"/>
    <x v="18"/>
    <x v="1"/>
  </r>
  <r>
    <x v="517"/>
    <x v="1"/>
    <x v="176"/>
    <x v="543"/>
    <x v="2"/>
    <x v="25"/>
    <x v="47"/>
    <x v="69"/>
    <x v="47"/>
    <x v="0"/>
    <x v="0"/>
    <x v="559"/>
    <x v="334"/>
    <x v="56"/>
    <x v="345"/>
    <x v="662"/>
    <x v="2"/>
    <x v="108"/>
    <x v="87"/>
    <x v="949"/>
    <x v="417"/>
    <x v="1"/>
    <x v="4"/>
    <x v="18"/>
    <x v="1"/>
  </r>
  <r>
    <x v="520"/>
    <x v="1"/>
    <x v="200"/>
    <x v="415"/>
    <x v="7"/>
    <x v="11"/>
    <x v="61"/>
    <x v="12"/>
    <x v="9"/>
    <x v="20"/>
    <x v="0"/>
    <x v="311"/>
    <x v="145"/>
    <x v="32"/>
    <x v="304"/>
    <x v="810"/>
    <x v="2"/>
    <x v="108"/>
    <x v="88"/>
    <x v="579"/>
    <x v="261"/>
    <x v="1"/>
    <x v="5"/>
    <x v="19"/>
    <x v="1"/>
  </r>
  <r>
    <x v="523"/>
    <x v="1"/>
    <x v="201"/>
    <x v="416"/>
    <x v="7"/>
    <x v="67"/>
    <x v="63"/>
    <x v="12"/>
    <x v="9"/>
    <x v="20"/>
    <x v="0"/>
    <x v="325"/>
    <x v="160"/>
    <x v="47"/>
    <x v="303"/>
    <x v="627"/>
    <x v="2"/>
    <x v="108"/>
    <x v="88"/>
    <x v="782"/>
    <x v="358"/>
    <x v="1"/>
    <x v="5"/>
    <x v="19"/>
    <x v="1"/>
  </r>
  <r>
    <x v="526"/>
    <x v="1"/>
    <x v="202"/>
    <x v="417"/>
    <x v="7"/>
    <x v="51"/>
    <x v="70"/>
    <x v="12"/>
    <x v="9"/>
    <x v="20"/>
    <x v="0"/>
    <x v="331"/>
    <x v="167"/>
    <x v="42"/>
    <x v="301"/>
    <x v="669"/>
    <x v="2"/>
    <x v="108"/>
    <x v="88"/>
    <x v="705"/>
    <x v="319"/>
    <x v="1"/>
    <x v="5"/>
    <x v="19"/>
    <x v="1"/>
  </r>
  <r>
    <x v="529"/>
    <x v="1"/>
    <x v="207"/>
    <x v="50"/>
    <x v="3"/>
    <x v="89"/>
    <x v="76"/>
    <x v="69"/>
    <x v="47"/>
    <x v="0"/>
    <x v="0"/>
    <x v="20"/>
    <x v="7"/>
    <x v="34"/>
    <x v="32"/>
    <x v="66"/>
    <x v="2"/>
    <x v="108"/>
    <x v="88"/>
    <x v="36"/>
    <x v="279"/>
    <x v="1"/>
    <x v="5"/>
    <x v="19"/>
    <x v="1"/>
  </r>
  <r>
    <x v="532"/>
    <x v="1"/>
    <x v="203"/>
    <x v="418"/>
    <x v="7"/>
    <x v="28"/>
    <x v="80"/>
    <x v="12"/>
    <x v="9"/>
    <x v="20"/>
    <x v="0"/>
    <x v="395"/>
    <x v="223"/>
    <x v="62"/>
    <x v="303"/>
    <x v="508"/>
    <x v="2"/>
    <x v="108"/>
    <x v="88"/>
    <x v="980"/>
    <x v="448"/>
    <x v="1"/>
    <x v="5"/>
    <x v="19"/>
    <x v="1"/>
  </r>
  <r>
    <x v="535"/>
    <x v="1"/>
    <x v="204"/>
    <x v="419"/>
    <x v="7"/>
    <x v="49"/>
    <x v="41"/>
    <x v="12"/>
    <x v="9"/>
    <x v="20"/>
    <x v="0"/>
    <x v="316"/>
    <x v="165"/>
    <x v="57"/>
    <x v="289"/>
    <x v="510"/>
    <x v="2"/>
    <x v="108"/>
    <x v="88"/>
    <x v="910"/>
    <x v="422"/>
    <x v="1"/>
    <x v="5"/>
    <x v="19"/>
    <x v="1"/>
  </r>
  <r>
    <x v="538"/>
    <x v="1"/>
    <x v="206"/>
    <x v="420"/>
    <x v="7"/>
    <x v="26"/>
    <x v="82"/>
    <x v="12"/>
    <x v="9"/>
    <x v="20"/>
    <x v="0"/>
    <x v="336"/>
    <x v="191"/>
    <x v="20"/>
    <x v="282"/>
    <x v="847"/>
    <x v="2"/>
    <x v="108"/>
    <x v="88"/>
    <x v="411"/>
    <x v="178"/>
    <x v="1"/>
    <x v="5"/>
    <x v="19"/>
    <x v="1"/>
  </r>
  <r>
    <x v="541"/>
    <x v="1"/>
    <x v="208"/>
    <x v="51"/>
    <x v="3"/>
    <x v="105"/>
    <x v="20"/>
    <x v="69"/>
    <x v="47"/>
    <x v="0"/>
    <x v="0"/>
    <x v="48"/>
    <x v="38"/>
    <x v="20"/>
    <x v="32"/>
    <x v="76"/>
    <x v="2"/>
    <x v="108"/>
    <x v="88"/>
    <x v="25"/>
    <x v="192"/>
    <x v="1"/>
    <x v="5"/>
    <x v="19"/>
    <x v="1"/>
  </r>
  <r>
    <x v="544"/>
    <x v="1"/>
    <x v="209"/>
    <x v="421"/>
    <x v="7"/>
    <x v="82"/>
    <x v="58"/>
    <x v="12"/>
    <x v="9"/>
    <x v="20"/>
    <x v="0"/>
    <x v="438"/>
    <x v="242"/>
    <x v="67"/>
    <x v="326"/>
    <x v="503"/>
    <x v="2"/>
    <x v="108"/>
    <x v="88"/>
    <x v="1057"/>
    <x v="495"/>
    <x v="1"/>
    <x v="5"/>
    <x v="19"/>
    <x v="1"/>
  </r>
  <r>
    <x v="547"/>
    <x v="1"/>
    <x v="215"/>
    <x v="422"/>
    <x v="7"/>
    <x v="66"/>
    <x v="44"/>
    <x v="12"/>
    <x v="9"/>
    <x v="20"/>
    <x v="0"/>
    <x v="365"/>
    <x v="176"/>
    <x v="65"/>
    <x v="326"/>
    <x v="523"/>
    <x v="2"/>
    <x v="108"/>
    <x v="88"/>
    <x v="1038"/>
    <x v="484"/>
    <x v="1"/>
    <x v="5"/>
    <x v="19"/>
    <x v="1"/>
  </r>
  <r>
    <x v="550"/>
    <x v="1"/>
    <x v="212"/>
    <x v="52"/>
    <x v="3"/>
    <x v="89"/>
    <x v="76"/>
    <x v="73"/>
    <x v="51"/>
    <x v="28"/>
    <x v="0"/>
    <x v="3"/>
    <x v="7"/>
    <x v="32"/>
    <x v="5"/>
    <x v="9"/>
    <x v="2"/>
    <x v="108"/>
    <x v="88"/>
    <x v="4"/>
    <x v="245"/>
    <x v="1"/>
    <x v="5"/>
    <x v="19"/>
    <x v="1"/>
  </r>
  <r>
    <x v="553"/>
    <x v="1"/>
    <x v="219"/>
    <x v="424"/>
    <x v="7"/>
    <x v="85"/>
    <x v="17"/>
    <x v="12"/>
    <x v="9"/>
    <x v="20"/>
    <x v="0"/>
    <x v="384"/>
    <x v="178"/>
    <x v="51"/>
    <x v="343"/>
    <x v="707"/>
    <x v="2"/>
    <x v="108"/>
    <x v="88"/>
    <x v="892"/>
    <x v="390"/>
    <x v="1"/>
    <x v="5"/>
    <x v="19"/>
    <x v="1"/>
  </r>
  <r>
    <x v="556"/>
    <x v="1"/>
    <x v="217"/>
    <x v="423"/>
    <x v="7"/>
    <x v="101"/>
    <x v="16"/>
    <x v="12"/>
    <x v="9"/>
    <x v="20"/>
    <x v="0"/>
    <x v="333"/>
    <x v="149"/>
    <x v="57"/>
    <x v="322"/>
    <x v="588"/>
    <x v="2"/>
    <x v="108"/>
    <x v="88"/>
    <x v="934"/>
    <x v="430"/>
    <x v="1"/>
    <x v="5"/>
    <x v="19"/>
    <x v="1"/>
  </r>
  <r>
    <x v="559"/>
    <x v="1"/>
    <x v="220"/>
    <x v="425"/>
    <x v="7"/>
    <x v="39"/>
    <x v="30"/>
    <x v="12"/>
    <x v="9"/>
    <x v="20"/>
    <x v="0"/>
    <x v="434"/>
    <x v="216"/>
    <x v="62"/>
    <x v="350"/>
    <x v="620"/>
    <x v="2"/>
    <x v="108"/>
    <x v="88"/>
    <x v="1005"/>
    <x v="455"/>
    <x v="1"/>
    <x v="5"/>
    <x v="19"/>
    <x v="1"/>
  </r>
  <r>
    <x v="562"/>
    <x v="1"/>
    <x v="221"/>
    <x v="426"/>
    <x v="7"/>
    <x v="6"/>
    <x v="66"/>
    <x v="12"/>
    <x v="9"/>
    <x v="20"/>
    <x v="0"/>
    <x v="376"/>
    <x v="181"/>
    <x v="57"/>
    <x v="332"/>
    <x v="615"/>
    <x v="2"/>
    <x v="108"/>
    <x v="88"/>
    <x v="944"/>
    <x v="429"/>
    <x v="1"/>
    <x v="5"/>
    <x v="19"/>
    <x v="1"/>
  </r>
  <r>
    <x v="565"/>
    <x v="1"/>
    <x v="223"/>
    <x v="427"/>
    <x v="7"/>
    <x v="75"/>
    <x v="57"/>
    <x v="12"/>
    <x v="9"/>
    <x v="20"/>
    <x v="0"/>
    <x v="591"/>
    <x v="359"/>
    <x v="62"/>
    <x v="327"/>
    <x v="559"/>
    <x v="2"/>
    <x v="108"/>
    <x v="89"/>
    <x v="993"/>
    <x v="448"/>
    <x v="1"/>
    <x v="6"/>
    <x v="20"/>
    <x v="1"/>
  </r>
  <r>
    <x v="568"/>
    <x v="1"/>
    <x v="224"/>
    <x v="58"/>
    <x v="3"/>
    <x v="105"/>
    <x v="20"/>
    <x v="71"/>
    <x v="49"/>
    <x v="20"/>
    <x v="0"/>
    <x v="308"/>
    <x v="126"/>
    <x v="37"/>
    <x v="320"/>
    <x v="813"/>
    <x v="2"/>
    <x v="108"/>
    <x v="89"/>
    <x v="648"/>
    <x v="292"/>
    <x v="1"/>
    <x v="6"/>
    <x v="20"/>
    <x v="1"/>
  </r>
  <r>
    <x v="571"/>
    <x v="1"/>
    <x v="225"/>
    <x v="59"/>
    <x v="4"/>
    <x v="89"/>
    <x v="76"/>
    <x v="71"/>
    <x v="49"/>
    <x v="20"/>
    <x v="0"/>
    <x v="18"/>
    <x v="5"/>
    <x v="25"/>
    <x v="30"/>
    <x v="71"/>
    <x v="2"/>
    <x v="108"/>
    <x v="89"/>
    <x v="27"/>
    <x v="234"/>
    <x v="1"/>
    <x v="6"/>
    <x v="20"/>
    <x v="1"/>
  </r>
  <r>
    <x v="574"/>
    <x v="1"/>
    <x v="226"/>
    <x v="430"/>
    <x v="7"/>
    <x v="48"/>
    <x v="15"/>
    <x v="12"/>
    <x v="9"/>
    <x v="20"/>
    <x v="0"/>
    <x v="350"/>
    <x v="159"/>
    <x v="62"/>
    <x v="329"/>
    <x v="561"/>
    <x v="2"/>
    <x v="108"/>
    <x v="89"/>
    <x v="994"/>
    <x v="448"/>
    <x v="1"/>
    <x v="6"/>
    <x v="20"/>
    <x v="1"/>
  </r>
  <r>
    <x v="577"/>
    <x v="1"/>
    <x v="227"/>
    <x v="428"/>
    <x v="7"/>
    <x v="53"/>
    <x v="78"/>
    <x v="12"/>
    <x v="9"/>
    <x v="20"/>
    <x v="0"/>
    <x v="310"/>
    <x v="114"/>
    <x v="25"/>
    <x v="334"/>
    <x v="980"/>
    <x v="2"/>
    <x v="108"/>
    <x v="89"/>
    <x v="514"/>
    <x v="210"/>
    <x v="1"/>
    <x v="6"/>
    <x v="20"/>
    <x v="1"/>
  </r>
  <r>
    <x v="580"/>
    <x v="1"/>
    <x v="228"/>
    <x v="429"/>
    <x v="7"/>
    <x v="40"/>
    <x v="53"/>
    <x v="12"/>
    <x v="9"/>
    <x v="20"/>
    <x v="0"/>
    <x v="380"/>
    <x v="193"/>
    <x v="51"/>
    <x v="324"/>
    <x v="644"/>
    <x v="2"/>
    <x v="108"/>
    <x v="89"/>
    <x v="876"/>
    <x v="401"/>
    <x v="1"/>
    <x v="6"/>
    <x v="20"/>
    <x v="1"/>
  </r>
  <r>
    <x v="583"/>
    <x v="1"/>
    <x v="230"/>
    <x v="386"/>
    <x v="7"/>
    <x v="63"/>
    <x v="65"/>
    <x v="12"/>
    <x v="9"/>
    <x v="20"/>
    <x v="0"/>
    <x v="753"/>
    <x v="433"/>
    <x v="65"/>
    <x v="354"/>
    <x v="582"/>
    <x v="2"/>
    <x v="108"/>
    <x v="89"/>
    <x v="1053"/>
    <x v="483"/>
    <x v="1"/>
    <x v="6"/>
    <x v="20"/>
    <x v="1"/>
  </r>
  <r>
    <x v="586"/>
    <x v="1"/>
    <x v="234"/>
    <x v="64"/>
    <x v="3"/>
    <x v="88"/>
    <x v="18"/>
    <x v="71"/>
    <x v="49"/>
    <x v="20"/>
    <x v="0"/>
    <x v="143"/>
    <x v="98"/>
    <x v="22"/>
    <x v="161"/>
    <x v="255"/>
    <x v="2"/>
    <x v="108"/>
    <x v="89"/>
    <x v="217"/>
    <x v="194"/>
    <x v="1"/>
    <x v="6"/>
    <x v="20"/>
    <x v="1"/>
  </r>
  <r>
    <x v="589"/>
    <x v="1"/>
    <x v="235"/>
    <x v="65"/>
    <x v="3"/>
    <x v="86"/>
    <x v="77"/>
    <x v="71"/>
    <x v="49"/>
    <x v="20"/>
    <x v="0"/>
    <x v="14"/>
    <x v="10"/>
    <x v="13"/>
    <x v="20"/>
    <x v="67"/>
    <x v="2"/>
    <x v="108"/>
    <x v="89"/>
    <x v="14"/>
    <x v="112"/>
    <x v="1"/>
    <x v="6"/>
    <x v="20"/>
    <x v="1"/>
  </r>
  <r>
    <x v="592"/>
    <x v="1"/>
    <x v="237"/>
    <x v="66"/>
    <x v="3"/>
    <x v="30"/>
    <x v="67"/>
    <x v="71"/>
    <x v="49"/>
    <x v="20"/>
    <x v="0"/>
    <x v="236"/>
    <x v="134"/>
    <x v="49"/>
    <x v="238"/>
    <x v="457"/>
    <x v="2"/>
    <x v="108"/>
    <x v="89"/>
    <x v="759"/>
    <x v="387"/>
    <x v="1"/>
    <x v="6"/>
    <x v="20"/>
    <x v="1"/>
  </r>
  <r>
    <x v="595"/>
    <x v="1"/>
    <x v="238"/>
    <x v="67"/>
    <x v="3"/>
    <x v="85"/>
    <x v="17"/>
    <x v="71"/>
    <x v="49"/>
    <x v="20"/>
    <x v="0"/>
    <x v="171"/>
    <x v="173"/>
    <x v="44"/>
    <x v="172"/>
    <x v="247"/>
    <x v="2"/>
    <x v="108"/>
    <x v="89"/>
    <x v="418"/>
    <x v="350"/>
    <x v="1"/>
    <x v="6"/>
    <x v="20"/>
    <x v="1"/>
  </r>
  <r>
    <x v="598"/>
    <x v="1"/>
    <x v="239"/>
    <x v="68"/>
    <x v="3"/>
    <x v="88"/>
    <x v="87"/>
    <x v="71"/>
    <x v="49"/>
    <x v="20"/>
    <x v="0"/>
    <x v="148"/>
    <x v="96"/>
    <x v="62"/>
    <x v="166"/>
    <x v="223"/>
    <x v="2"/>
    <x v="108"/>
    <x v="89"/>
    <x v="591"/>
    <x v="467"/>
    <x v="1"/>
    <x v="6"/>
    <x v="20"/>
    <x v="1"/>
  </r>
  <r>
    <x v="601"/>
    <x v="1"/>
    <x v="240"/>
    <x v="69"/>
    <x v="3"/>
    <x v="86"/>
    <x v="77"/>
    <x v="71"/>
    <x v="49"/>
    <x v="20"/>
    <x v="0"/>
    <x v="25"/>
    <x v="9"/>
    <x v="47"/>
    <x v="39"/>
    <x v="60"/>
    <x v="2"/>
    <x v="108"/>
    <x v="89"/>
    <x v="66"/>
    <x v="358"/>
    <x v="1"/>
    <x v="6"/>
    <x v="20"/>
    <x v="1"/>
  </r>
  <r>
    <x v="604"/>
    <x v="1"/>
    <x v="242"/>
    <x v="70"/>
    <x v="3"/>
    <x v="30"/>
    <x v="67"/>
    <x v="71"/>
    <x v="49"/>
    <x v="20"/>
    <x v="0"/>
    <x v="538"/>
    <x v="132"/>
    <x v="40"/>
    <x v="526"/>
    <x v="1252"/>
    <x v="2"/>
    <x v="108"/>
    <x v="89"/>
    <x v="908"/>
    <x v="317"/>
    <x v="1"/>
    <x v="6"/>
    <x v="20"/>
    <x v="1"/>
  </r>
  <r>
    <x v="607"/>
    <x v="1"/>
    <x v="243"/>
    <x v="71"/>
    <x v="3"/>
    <x v="85"/>
    <x v="17"/>
    <x v="70"/>
    <x v="48"/>
    <x v="30"/>
    <x v="0"/>
    <x v="370"/>
    <x v="184"/>
    <x v="28"/>
    <x v="323"/>
    <x v="915"/>
    <x v="2"/>
    <x v="108"/>
    <x v="89"/>
    <x v="541"/>
    <x v="238"/>
    <x v="1"/>
    <x v="6"/>
    <x v="20"/>
    <x v="1"/>
  </r>
  <r>
    <x v="611"/>
    <x v="1"/>
    <x v="244"/>
    <x v="72"/>
    <x v="3"/>
    <x v="88"/>
    <x v="18"/>
    <x v="70"/>
    <x v="48"/>
    <x v="30"/>
    <x v="0"/>
    <x v="247"/>
    <x v="95"/>
    <x v="44"/>
    <x v="290"/>
    <x v="607"/>
    <x v="2"/>
    <x v="108"/>
    <x v="89"/>
    <x v="736"/>
    <x v="350"/>
    <x v="1"/>
    <x v="6"/>
    <x v="20"/>
    <x v="1"/>
  </r>
  <r>
    <x v="614"/>
    <x v="2"/>
    <x v="245"/>
    <x v="73"/>
    <x v="3"/>
    <x v="86"/>
    <x v="77"/>
    <x v="70"/>
    <x v="48"/>
    <x v="30"/>
    <x v="0"/>
    <x v="7"/>
    <x v="8"/>
    <x v="51"/>
    <x v="12"/>
    <x v="29"/>
    <x v="2"/>
    <x v="108"/>
    <x v="89"/>
    <x v="50"/>
    <x v="411"/>
    <x v="1"/>
    <x v="6"/>
    <x v="20"/>
    <x v="1"/>
  </r>
  <r>
    <x v="617"/>
    <x v="2"/>
    <x v="246"/>
    <x v="74"/>
    <x v="3"/>
    <x v="30"/>
    <x v="67"/>
    <x v="70"/>
    <x v="48"/>
    <x v="30"/>
    <x v="0"/>
    <x v="554"/>
    <x v="132"/>
    <x v="28"/>
    <x v="535"/>
    <x v="1300"/>
    <x v="2"/>
    <x v="108"/>
    <x v="89"/>
    <x v="757"/>
    <x v="238"/>
    <x v="1"/>
    <x v="6"/>
    <x v="20"/>
    <x v="1"/>
  </r>
  <r>
    <x v="620"/>
    <x v="2"/>
    <x v="247"/>
    <x v="75"/>
    <x v="3"/>
    <x v="85"/>
    <x v="17"/>
    <x v="70"/>
    <x v="48"/>
    <x v="30"/>
    <x v="0"/>
    <x v="317"/>
    <x v="182"/>
    <x v="54"/>
    <x v="272"/>
    <x v="490"/>
    <x v="2"/>
    <x v="108"/>
    <x v="89"/>
    <x v="864"/>
    <x v="415"/>
    <x v="1"/>
    <x v="6"/>
    <x v="20"/>
    <x v="1"/>
  </r>
  <r>
    <x v="623"/>
    <x v="2"/>
    <x v="248"/>
    <x v="76"/>
    <x v="3"/>
    <x v="88"/>
    <x v="18"/>
    <x v="70"/>
    <x v="48"/>
    <x v="30"/>
    <x v="0"/>
    <x v="233"/>
    <x v="94"/>
    <x v="22"/>
    <x v="271"/>
    <x v="771"/>
    <x v="2"/>
    <x v="108"/>
    <x v="90"/>
    <x v="442"/>
    <x v="194"/>
    <x v="1"/>
    <x v="7"/>
    <x v="21"/>
    <x v="1"/>
  </r>
  <r>
    <x v="626"/>
    <x v="2"/>
    <x v="249"/>
    <x v="77"/>
    <x v="3"/>
    <x v="86"/>
    <x v="77"/>
    <x v="70"/>
    <x v="48"/>
    <x v="30"/>
    <x v="0"/>
    <x v="19"/>
    <x v="1"/>
    <x v="16"/>
    <x v="36"/>
    <x v="82"/>
    <x v="2"/>
    <x v="108"/>
    <x v="90"/>
    <x v="18"/>
    <x v="150"/>
    <x v="1"/>
    <x v="7"/>
    <x v="21"/>
    <x v="1"/>
  </r>
  <r>
    <x v="629"/>
    <x v="3"/>
    <x v="249"/>
    <x v="77"/>
    <x v="3"/>
    <x v="86"/>
    <x v="77"/>
    <x v="70"/>
    <x v="48"/>
    <x v="30"/>
    <x v="0"/>
    <x v="792"/>
    <x v="465"/>
    <x v="129"/>
    <x v="611"/>
    <x v="1394"/>
    <x v="2"/>
    <x v="108"/>
    <x v="90"/>
    <x v="0"/>
    <x v="674"/>
    <x v="1"/>
    <x v="7"/>
    <x v="21"/>
    <x v="1"/>
  </r>
  <r>
    <x v="632"/>
    <x v="2"/>
    <x v="251"/>
    <x v="79"/>
    <x v="3"/>
    <x v="30"/>
    <x v="67"/>
    <x v="70"/>
    <x v="48"/>
    <x v="30"/>
    <x v="0"/>
    <x v="97"/>
    <x v="131"/>
    <x v="25"/>
    <x v="71"/>
    <x v="115"/>
    <x v="2"/>
    <x v="108"/>
    <x v="90"/>
    <x v="70"/>
    <x v="232"/>
    <x v="1"/>
    <x v="7"/>
    <x v="21"/>
    <x v="1"/>
  </r>
  <r>
    <x v="635"/>
    <x v="1"/>
    <x v="250"/>
    <x v="78"/>
    <x v="3"/>
    <x v="30"/>
    <x v="67"/>
    <x v="69"/>
    <x v="47"/>
    <x v="26"/>
    <x v="0"/>
    <x v="258"/>
    <x v="373"/>
    <x v="37"/>
    <x v="98"/>
    <x v="144"/>
    <x v="2"/>
    <x v="108"/>
    <x v="90"/>
    <x v="163"/>
    <x v="310"/>
    <x v="1"/>
    <x v="7"/>
    <x v="21"/>
    <x v="1"/>
  </r>
  <r>
    <x v="638"/>
    <x v="1"/>
    <x v="252"/>
    <x v="80"/>
    <x v="3"/>
    <x v="85"/>
    <x v="17"/>
    <x v="69"/>
    <x v="47"/>
    <x v="26"/>
    <x v="0"/>
    <x v="381"/>
    <x v="182"/>
    <x v="49"/>
    <x v="336"/>
    <x v="711"/>
    <x v="2"/>
    <x v="108"/>
    <x v="90"/>
    <x v="851"/>
    <x v="387"/>
    <x v="1"/>
    <x v="7"/>
    <x v="21"/>
    <x v="1"/>
  </r>
  <r>
    <x v="641"/>
    <x v="3"/>
    <x v="241"/>
    <x v="64"/>
    <x v="3"/>
    <x v="88"/>
    <x v="18"/>
    <x v="76"/>
    <x v="55"/>
    <x v="20"/>
    <x v="0"/>
    <x v="792"/>
    <x v="465"/>
    <x v="129"/>
    <x v="611"/>
    <x v="1394"/>
    <x v="2"/>
    <x v="108"/>
    <x v="89"/>
    <x v="0"/>
    <x v="674"/>
    <x v="1"/>
    <x v="6"/>
    <x v="20"/>
    <x v="1"/>
  </r>
  <r>
    <x v="644"/>
    <x v="1"/>
    <x v="253"/>
    <x v="81"/>
    <x v="3"/>
    <x v="88"/>
    <x v="18"/>
    <x v="69"/>
    <x v="47"/>
    <x v="26"/>
    <x v="0"/>
    <x v="286"/>
    <x v="93"/>
    <x v="14"/>
    <x v="331"/>
    <x v="1072"/>
    <x v="2"/>
    <x v="108"/>
    <x v="90"/>
    <x v="328"/>
    <x v="113"/>
    <x v="1"/>
    <x v="7"/>
    <x v="21"/>
    <x v="1"/>
  </r>
  <r>
    <x v="647"/>
    <x v="1"/>
    <x v="254"/>
    <x v="82"/>
    <x v="3"/>
    <x v="86"/>
    <x v="77"/>
    <x v="69"/>
    <x v="47"/>
    <x v="26"/>
    <x v="0"/>
    <x v="17"/>
    <x v="0"/>
    <x v="10"/>
    <x v="35"/>
    <x v="85"/>
    <x v="2"/>
    <x v="108"/>
    <x v="90"/>
    <x v="11"/>
    <x v="52"/>
    <x v="1"/>
    <x v="7"/>
    <x v="21"/>
    <x v="1"/>
  </r>
  <r>
    <x v="650"/>
    <x v="1"/>
    <x v="255"/>
    <x v="83"/>
    <x v="3"/>
    <x v="30"/>
    <x v="67"/>
    <x v="69"/>
    <x v="47"/>
    <x v="26"/>
    <x v="0"/>
    <x v="270"/>
    <x v="130"/>
    <x v="16"/>
    <x v="278"/>
    <x v="885"/>
    <x v="2"/>
    <x v="108"/>
    <x v="90"/>
    <x v="333"/>
    <x v="141"/>
    <x v="1"/>
    <x v="7"/>
    <x v="21"/>
    <x v="1"/>
  </r>
  <r>
    <x v="653"/>
    <x v="1"/>
    <x v="256"/>
    <x v="84"/>
    <x v="3"/>
    <x v="85"/>
    <x v="17"/>
    <x v="69"/>
    <x v="47"/>
    <x v="26"/>
    <x v="0"/>
    <x v="366"/>
    <x v="180"/>
    <x v="16"/>
    <x v="323"/>
    <x v="1038"/>
    <x v="2"/>
    <x v="108"/>
    <x v="90"/>
    <x v="357"/>
    <x v="119"/>
    <x v="1"/>
    <x v="7"/>
    <x v="21"/>
    <x v="1"/>
  </r>
  <r>
    <x v="655"/>
    <x v="1"/>
    <x v="258"/>
    <x v="85"/>
    <x v="3"/>
    <x v="102"/>
    <x v="8"/>
    <x v="69"/>
    <x v="47"/>
    <x v="26"/>
    <x v="0"/>
    <x v="240"/>
    <x v="147"/>
    <x v="20"/>
    <x v="231"/>
    <x v="629"/>
    <x v="2"/>
    <x v="108"/>
    <x v="90"/>
    <x v="373"/>
    <x v="185"/>
    <x v="1"/>
    <x v="7"/>
    <x v="21"/>
    <x v="1"/>
  </r>
  <r>
    <x v="658"/>
    <x v="1"/>
    <x v="259"/>
    <x v="86"/>
    <x v="4"/>
    <x v="89"/>
    <x v="76"/>
    <x v="69"/>
    <x v="47"/>
    <x v="26"/>
    <x v="0"/>
    <x v="19"/>
    <x v="4"/>
    <x v="40"/>
    <x v="32"/>
    <x v="61"/>
    <x v="2"/>
    <x v="108"/>
    <x v="90"/>
    <x v="43"/>
    <x v="317"/>
    <x v="1"/>
    <x v="7"/>
    <x v="21"/>
    <x v="1"/>
  </r>
  <r>
    <x v="661"/>
    <x v="1"/>
    <x v="260"/>
    <x v="87"/>
    <x v="3"/>
    <x v="105"/>
    <x v="20"/>
    <x v="69"/>
    <x v="47"/>
    <x v="26"/>
    <x v="0"/>
    <x v="335"/>
    <x v="118"/>
    <x v="32"/>
    <x v="355"/>
    <x v="999"/>
    <x v="2"/>
    <x v="108"/>
    <x v="90"/>
    <x v="607"/>
    <x v="245"/>
    <x v="1"/>
    <x v="7"/>
    <x v="21"/>
    <x v="1"/>
  </r>
  <r>
    <x v="664"/>
    <x v="2"/>
    <x v="262"/>
    <x v="88"/>
    <x v="3"/>
    <x v="6"/>
    <x v="66"/>
    <x v="69"/>
    <x v="47"/>
    <x v="26"/>
    <x v="0"/>
    <x v="394"/>
    <x v="178"/>
    <x v="22"/>
    <x v="353"/>
    <x v="1051"/>
    <x v="2"/>
    <x v="108"/>
    <x v="90"/>
    <x v="488"/>
    <x v="194"/>
    <x v="1"/>
    <x v="7"/>
    <x v="21"/>
    <x v="1"/>
  </r>
  <r>
    <x v="667"/>
    <x v="2"/>
    <x v="263"/>
    <x v="89"/>
    <x v="3"/>
    <x v="49"/>
    <x v="41"/>
    <x v="69"/>
    <x v="47"/>
    <x v="26"/>
    <x v="0"/>
    <x v="409"/>
    <x v="183"/>
    <x v="40"/>
    <x v="363"/>
    <x v="942"/>
    <x v="2"/>
    <x v="108"/>
    <x v="90"/>
    <x v="719"/>
    <x v="317"/>
    <x v="1"/>
    <x v="7"/>
    <x v="21"/>
    <x v="1"/>
  </r>
  <r>
    <x v="670"/>
    <x v="1"/>
    <x v="264"/>
    <x v="90"/>
    <x v="4"/>
    <x v="89"/>
    <x v="76"/>
    <x v="75"/>
    <x v="53"/>
    <x v="26"/>
    <x v="0"/>
    <x v="33"/>
    <x v="6"/>
    <x v="72"/>
    <x v="48"/>
    <x v="48"/>
    <x v="2"/>
    <x v="108"/>
    <x v="90"/>
    <x v="244"/>
    <x v="535"/>
    <x v="1"/>
    <x v="7"/>
    <x v="21"/>
    <x v="1"/>
  </r>
  <r>
    <x v="673"/>
    <x v="2"/>
    <x v="265"/>
    <x v="91"/>
    <x v="3"/>
    <x v="103"/>
    <x v="8"/>
    <x v="69"/>
    <x v="47"/>
    <x v="26"/>
    <x v="0"/>
    <x v="357"/>
    <x v="145"/>
    <x v="74"/>
    <x v="350"/>
    <x v="450"/>
    <x v="2"/>
    <x v="108"/>
    <x v="90"/>
    <x v="1174"/>
    <x v="550"/>
    <x v="1"/>
    <x v="7"/>
    <x v="21"/>
    <x v="1"/>
  </r>
  <r>
    <x v="676"/>
    <x v="2"/>
    <x v="266"/>
    <x v="92"/>
    <x v="3"/>
    <x v="105"/>
    <x v="45"/>
    <x v="69"/>
    <x v="47"/>
    <x v="26"/>
    <x v="0"/>
    <x v="195"/>
    <x v="117"/>
    <x v="40"/>
    <x v="205"/>
    <x v="328"/>
    <x v="2"/>
    <x v="108"/>
    <x v="90"/>
    <x v="517"/>
    <x v="317"/>
    <x v="1"/>
    <x v="7"/>
    <x v="21"/>
    <x v="1"/>
  </r>
  <r>
    <x v="679"/>
    <x v="1"/>
    <x v="267"/>
    <x v="93"/>
    <x v="3"/>
    <x v="89"/>
    <x v="76"/>
    <x v="75"/>
    <x v="53"/>
    <x v="26"/>
    <x v="0"/>
    <x v="34"/>
    <x v="6"/>
    <x v="57"/>
    <x v="49"/>
    <x v="70"/>
    <x v="2"/>
    <x v="108"/>
    <x v="90"/>
    <x v="113"/>
    <x v="437"/>
    <x v="1"/>
    <x v="7"/>
    <x v="21"/>
    <x v="1"/>
  </r>
  <r>
    <x v="682"/>
    <x v="2"/>
    <x v="268"/>
    <x v="94"/>
    <x v="3"/>
    <x v="6"/>
    <x v="66"/>
    <x v="69"/>
    <x v="47"/>
    <x v="26"/>
    <x v="0"/>
    <x v="379"/>
    <x v="178"/>
    <x v="13"/>
    <x v="338"/>
    <x v="1094"/>
    <x v="2"/>
    <x v="108"/>
    <x v="90"/>
    <x v="301"/>
    <x v="93"/>
    <x v="1"/>
    <x v="7"/>
    <x v="21"/>
    <x v="1"/>
  </r>
  <r>
    <x v="685"/>
    <x v="2"/>
    <x v="270"/>
    <x v="96"/>
    <x v="3"/>
    <x v="49"/>
    <x v="41"/>
    <x v="71"/>
    <x v="49"/>
    <x v="20"/>
    <x v="0"/>
    <x v="413"/>
    <x v="417"/>
    <x v="13"/>
    <x v="97"/>
    <x v="170"/>
    <x v="2"/>
    <x v="108"/>
    <x v="90"/>
    <x v="35"/>
    <x v="83"/>
    <x v="1"/>
    <x v="7"/>
    <x v="21"/>
    <x v="1"/>
  </r>
  <r>
    <x v="688"/>
    <x v="2"/>
    <x v="272"/>
    <x v="96"/>
    <x v="3"/>
    <x v="49"/>
    <x v="41"/>
    <x v="69"/>
    <x v="47"/>
    <x v="26"/>
    <x v="0"/>
    <x v="120"/>
    <x v="181"/>
    <x v="18"/>
    <x v="120"/>
    <x v="187"/>
    <x v="2"/>
    <x v="108"/>
    <x v="90"/>
    <x v="77"/>
    <x v="153"/>
    <x v="1"/>
    <x v="7"/>
    <x v="21"/>
    <x v="1"/>
  </r>
  <r>
    <x v="690"/>
    <x v="1"/>
    <x v="271"/>
    <x v="95"/>
    <x v="3"/>
    <x v="103"/>
    <x v="8"/>
    <x v="75"/>
    <x v="53"/>
    <x v="21"/>
    <x v="0"/>
    <x v="467"/>
    <x v="425"/>
    <x v="42"/>
    <x v="115"/>
    <x v="155"/>
    <x v="2"/>
    <x v="108"/>
    <x v="90"/>
    <x v="236"/>
    <x v="319"/>
    <x v="1"/>
    <x v="7"/>
    <x v="21"/>
    <x v="1"/>
  </r>
  <r>
    <x v="692"/>
    <x v="1"/>
    <x v="274"/>
    <x v="95"/>
    <x v="3"/>
    <x v="103"/>
    <x v="8"/>
    <x v="75"/>
    <x v="53"/>
    <x v="26"/>
    <x v="0"/>
    <x v="128"/>
    <x v="144"/>
    <x v="42"/>
    <x v="129"/>
    <x v="199"/>
    <x v="2"/>
    <x v="108"/>
    <x v="90"/>
    <x v="299"/>
    <x v="319"/>
    <x v="1"/>
    <x v="7"/>
    <x v="21"/>
    <x v="1"/>
  </r>
  <r>
    <x v="695"/>
    <x v="1"/>
    <x v="273"/>
    <x v="97"/>
    <x v="3"/>
    <x v="89"/>
    <x v="76"/>
    <x v="75"/>
    <x v="53"/>
    <x v="21"/>
    <x v="0"/>
    <x v="27"/>
    <x v="5"/>
    <x v="42"/>
    <x v="43"/>
    <x v="72"/>
    <x v="2"/>
    <x v="108"/>
    <x v="90"/>
    <x v="52"/>
    <x v="319"/>
    <x v="1"/>
    <x v="7"/>
    <x v="21"/>
    <x v="1"/>
  </r>
  <r>
    <x v="698"/>
    <x v="2"/>
    <x v="275"/>
    <x v="98"/>
    <x v="3"/>
    <x v="105"/>
    <x v="20"/>
    <x v="71"/>
    <x v="49"/>
    <x v="20"/>
    <x v="0"/>
    <x v="301"/>
    <x v="116"/>
    <x v="25"/>
    <x v="323"/>
    <x v="941"/>
    <x v="2"/>
    <x v="108"/>
    <x v="90"/>
    <x v="512"/>
    <x v="198"/>
    <x v="1"/>
    <x v="7"/>
    <x v="21"/>
    <x v="1"/>
  </r>
  <r>
    <x v="701"/>
    <x v="2"/>
    <x v="276"/>
    <x v="99"/>
    <x v="3"/>
    <x v="6"/>
    <x v="66"/>
    <x v="71"/>
    <x v="49"/>
    <x v="20"/>
    <x v="0"/>
    <x v="346"/>
    <x v="177"/>
    <x v="42"/>
    <x v="306"/>
    <x v="687"/>
    <x v="2"/>
    <x v="108"/>
    <x v="91"/>
    <x v="712"/>
    <x v="332"/>
    <x v="1"/>
    <x v="8"/>
    <x v="22"/>
    <x v="1"/>
  </r>
  <r>
    <x v="704"/>
    <x v="1"/>
    <x v="277"/>
    <x v="100"/>
    <x v="3"/>
    <x v="103"/>
    <x v="8"/>
    <x v="71"/>
    <x v="49"/>
    <x v="20"/>
    <x v="0"/>
    <x v="405"/>
    <x v="371"/>
    <x v="84"/>
    <x v="151"/>
    <x v="188"/>
    <x v="2"/>
    <x v="108"/>
    <x v="91"/>
    <x v="930"/>
    <x v="583"/>
    <x v="1"/>
    <x v="8"/>
    <x v="22"/>
    <x v="1"/>
  </r>
  <r>
    <x v="707"/>
    <x v="1"/>
    <x v="278"/>
    <x v="100"/>
    <x v="3"/>
    <x v="103"/>
    <x v="8"/>
    <x v="75"/>
    <x v="53"/>
    <x v="21"/>
    <x v="0"/>
    <x v="94"/>
    <x v="142"/>
    <x v="47"/>
    <x v="62"/>
    <x v="96"/>
    <x v="2"/>
    <x v="108"/>
    <x v="91"/>
    <x v="121"/>
    <x v="358"/>
    <x v="1"/>
    <x v="8"/>
    <x v="22"/>
    <x v="1"/>
  </r>
  <r>
    <x v="710"/>
    <x v="1"/>
    <x v="279"/>
    <x v="101"/>
    <x v="3"/>
    <x v="49"/>
    <x v="41"/>
    <x v="71"/>
    <x v="49"/>
    <x v="20"/>
    <x v="0"/>
    <x v="411"/>
    <x v="181"/>
    <x v="86"/>
    <x v="367"/>
    <x v="375"/>
    <x v="2"/>
    <x v="108"/>
    <x v="91"/>
    <x v="1251"/>
    <x v="587"/>
    <x v="1"/>
    <x v="8"/>
    <x v="22"/>
    <x v="1"/>
  </r>
  <r>
    <x v="713"/>
    <x v="1"/>
    <x v="280"/>
    <x v="102"/>
    <x v="3"/>
    <x v="89"/>
    <x v="76"/>
    <x v="71"/>
    <x v="49"/>
    <x v="20"/>
    <x v="0"/>
    <x v="5"/>
    <x v="4"/>
    <x v="25"/>
    <x v="9"/>
    <x v="14"/>
    <x v="2"/>
    <x v="108"/>
    <x v="91"/>
    <x v="15"/>
    <x v="198"/>
    <x v="1"/>
    <x v="8"/>
    <x v="22"/>
    <x v="1"/>
  </r>
  <r>
    <x v="715"/>
    <x v="2"/>
    <x v="281"/>
    <x v="103"/>
    <x v="3"/>
    <x v="105"/>
    <x v="20"/>
    <x v="71"/>
    <x v="49"/>
    <x v="20"/>
    <x v="0"/>
    <x v="464"/>
    <x v="115"/>
    <x v="34"/>
    <x v="442"/>
    <x v="1172"/>
    <x v="2"/>
    <x v="108"/>
    <x v="91"/>
    <x v="739"/>
    <x v="279"/>
    <x v="1"/>
    <x v="8"/>
    <x v="22"/>
    <x v="1"/>
  </r>
  <r>
    <x v="718"/>
    <x v="1"/>
    <x v="192"/>
    <x v="544"/>
    <x v="3"/>
    <x v="94"/>
    <x v="25"/>
    <x v="69"/>
    <x v="47"/>
    <x v="0"/>
    <x v="0"/>
    <x v="550"/>
    <x v="338"/>
    <x v="58"/>
    <x v="306"/>
    <x v="549"/>
    <x v="2"/>
    <x v="108"/>
    <x v="88"/>
    <x v="925"/>
    <x v="442"/>
    <x v="1"/>
    <x v="5"/>
    <x v="19"/>
    <x v="1"/>
  </r>
  <r>
    <x v="720"/>
    <x v="1"/>
    <x v="196"/>
    <x v="546"/>
    <x v="2"/>
    <x v="92"/>
    <x v="50"/>
    <x v="69"/>
    <x v="47"/>
    <x v="0"/>
    <x v="0"/>
    <x v="530"/>
    <x v="283"/>
    <x v="55"/>
    <x v="357"/>
    <x v="728"/>
    <x v="2"/>
    <x v="108"/>
    <x v="88"/>
    <x v="940"/>
    <x v="416"/>
    <x v="1"/>
    <x v="5"/>
    <x v="19"/>
    <x v="1"/>
  </r>
  <r>
    <x v="723"/>
    <x v="1"/>
    <x v="211"/>
    <x v="548"/>
    <x v="3"/>
    <x v="56"/>
    <x v="23"/>
    <x v="69"/>
    <x v="47"/>
    <x v="0"/>
    <x v="0"/>
    <x v="575"/>
    <x v="277"/>
    <x v="61"/>
    <x v="438"/>
    <x v="1085"/>
    <x v="2"/>
    <x v="108"/>
    <x v="88"/>
    <x v="1086"/>
    <x v="445"/>
    <x v="1"/>
    <x v="5"/>
    <x v="19"/>
    <x v="1"/>
  </r>
  <r>
    <x v="726"/>
    <x v="1"/>
    <x v="213"/>
    <x v="549"/>
    <x v="2"/>
    <x v="25"/>
    <x v="47"/>
    <x v="69"/>
    <x v="47"/>
    <x v="20"/>
    <x v="0"/>
    <x v="511"/>
    <x v="331"/>
    <x v="52"/>
    <x v="243"/>
    <x v="444"/>
    <x v="2"/>
    <x v="108"/>
    <x v="88"/>
    <x v="822"/>
    <x v="412"/>
    <x v="1"/>
    <x v="5"/>
    <x v="19"/>
    <x v="1"/>
  </r>
  <r>
    <x v="729"/>
    <x v="1"/>
    <x v="210"/>
    <x v="547"/>
    <x v="3"/>
    <x v="5"/>
    <x v="59"/>
    <x v="71"/>
    <x v="49"/>
    <x v="20"/>
    <x v="0"/>
    <x v="698"/>
    <x v="366"/>
    <x v="37"/>
    <x v="513"/>
    <x v="1238"/>
    <x v="2"/>
    <x v="108"/>
    <x v="88"/>
    <x v="852"/>
    <x v="313"/>
    <x v="1"/>
    <x v="5"/>
    <x v="19"/>
    <x v="1"/>
  </r>
  <r>
    <x v="732"/>
    <x v="1"/>
    <x v="285"/>
    <x v="63"/>
    <x v="3"/>
    <x v="85"/>
    <x v="17"/>
    <x v="71"/>
    <x v="49"/>
    <x v="20"/>
    <x v="0"/>
    <x v="164"/>
    <x v="174"/>
    <x v="49"/>
    <x v="152"/>
    <x v="224"/>
    <x v="2"/>
    <x v="108"/>
    <x v="89"/>
    <x v="435"/>
    <x v="387"/>
    <x v="1"/>
    <x v="6"/>
    <x v="20"/>
    <x v="1"/>
  </r>
  <r>
    <x v="735"/>
    <x v="1"/>
    <x v="229"/>
    <x v="551"/>
    <x v="3"/>
    <x v="64"/>
    <x v="29"/>
    <x v="71"/>
    <x v="49"/>
    <x v="20"/>
    <x v="0"/>
    <x v="537"/>
    <x v="293"/>
    <x v="64"/>
    <x v="351"/>
    <x v="602"/>
    <x v="2"/>
    <x v="108"/>
    <x v="89"/>
    <x v="1033"/>
    <x v="473"/>
    <x v="1"/>
    <x v="6"/>
    <x v="20"/>
    <x v="1"/>
  </r>
  <r>
    <x v="738"/>
    <x v="1"/>
    <x v="218"/>
    <x v="550"/>
    <x v="3"/>
    <x v="84"/>
    <x v="52"/>
    <x v="71"/>
    <x v="49"/>
    <x v="20"/>
    <x v="0"/>
    <x v="579"/>
    <x v="263"/>
    <x v="63"/>
    <x v="493"/>
    <x v="1138"/>
    <x v="2"/>
    <x v="108"/>
    <x v="89"/>
    <x v="1139"/>
    <x v="472"/>
    <x v="1"/>
    <x v="6"/>
    <x v="20"/>
    <x v="1"/>
  </r>
  <r>
    <x v="741"/>
    <x v="0"/>
    <x v="284"/>
    <x v="104"/>
    <x v="3"/>
    <x v="9"/>
    <x v="33"/>
    <x v="42"/>
    <x v="28"/>
    <x v="0"/>
    <x v="0"/>
    <x v="135"/>
    <x v="79"/>
    <x v="28"/>
    <x v="154"/>
    <x v="244"/>
    <x v="2"/>
    <x v="108"/>
    <x v="91"/>
    <x v="251"/>
    <x v="238"/>
    <x v="1"/>
    <x v="8"/>
    <x v="22"/>
    <x v="1"/>
  </r>
  <r>
    <x v="744"/>
    <x v="2"/>
    <x v="286"/>
    <x v="105"/>
    <x v="3"/>
    <x v="91"/>
    <x v="37"/>
    <x v="71"/>
    <x v="49"/>
    <x v="20"/>
    <x v="0"/>
    <x v="305"/>
    <x v="161"/>
    <x v="49"/>
    <x v="282"/>
    <x v="552"/>
    <x v="2"/>
    <x v="108"/>
    <x v="91"/>
    <x v="803"/>
    <x v="387"/>
    <x v="1"/>
    <x v="8"/>
    <x v="22"/>
    <x v="1"/>
  </r>
  <r>
    <x v="747"/>
    <x v="2"/>
    <x v="287"/>
    <x v="106"/>
    <x v="3"/>
    <x v="88"/>
    <x v="19"/>
    <x v="42"/>
    <x v="28"/>
    <x v="0"/>
    <x v="0"/>
    <x v="145"/>
    <x v="104"/>
    <x v="42"/>
    <x v="160"/>
    <x v="235"/>
    <x v="2"/>
    <x v="108"/>
    <x v="91"/>
    <x v="364"/>
    <x v="319"/>
    <x v="1"/>
    <x v="8"/>
    <x v="22"/>
    <x v="1"/>
  </r>
  <r>
    <x v="749"/>
    <x v="2"/>
    <x v="288"/>
    <x v="107"/>
    <x v="3"/>
    <x v="86"/>
    <x v="77"/>
    <x v="71"/>
    <x v="49"/>
    <x v="20"/>
    <x v="0"/>
    <x v="30"/>
    <x v="7"/>
    <x v="68"/>
    <x v="45"/>
    <x v="47"/>
    <x v="2"/>
    <x v="108"/>
    <x v="91"/>
    <x v="178"/>
    <x v="517"/>
    <x v="1"/>
    <x v="8"/>
    <x v="22"/>
    <x v="1"/>
  </r>
  <r>
    <x v="752"/>
    <x v="0"/>
    <x v="289"/>
    <x v="108"/>
    <x v="3"/>
    <x v="9"/>
    <x v="33"/>
    <x v="42"/>
    <x v="28"/>
    <x v="0"/>
    <x v="0"/>
    <x v="129"/>
    <x v="77"/>
    <x v="47"/>
    <x v="145"/>
    <x v="215"/>
    <x v="2"/>
    <x v="108"/>
    <x v="91"/>
    <x v="393"/>
    <x v="384"/>
    <x v="1"/>
    <x v="8"/>
    <x v="22"/>
    <x v="1"/>
  </r>
  <r>
    <x v="754"/>
    <x v="1"/>
    <x v="703"/>
    <x v="497"/>
    <x v="7"/>
    <x v="32"/>
    <x v="38"/>
    <x v="19"/>
    <x v="14"/>
    <x v="20"/>
    <x v="0"/>
    <x v="690"/>
    <x v="348"/>
    <x v="70"/>
    <x v="513"/>
    <x v="1129"/>
    <x v="2"/>
    <x v="108"/>
    <x v="88"/>
    <x v="1212"/>
    <x v="521"/>
    <x v="1"/>
    <x v="5"/>
    <x v="19"/>
    <x v="1"/>
  </r>
  <r>
    <x v="757"/>
    <x v="1"/>
    <x v="703"/>
    <x v="502"/>
    <x v="7"/>
    <x v="84"/>
    <x v="52"/>
    <x v="19"/>
    <x v="14"/>
    <x v="20"/>
    <x v="0"/>
    <x v="564"/>
    <x v="260"/>
    <x v="64"/>
    <x v="481"/>
    <x v="1126"/>
    <x v="2"/>
    <x v="108"/>
    <x v="88"/>
    <x v="1136"/>
    <x v="475"/>
    <x v="1"/>
    <x v="5"/>
    <x v="19"/>
    <x v="1"/>
  </r>
  <r>
    <x v="761"/>
    <x v="2"/>
    <x v="291"/>
    <x v="109"/>
    <x v="3"/>
    <x v="85"/>
    <x v="17"/>
    <x v="71"/>
    <x v="49"/>
    <x v="20"/>
    <x v="0"/>
    <x v="347"/>
    <x v="178"/>
    <x v="47"/>
    <x v="306"/>
    <x v="638"/>
    <x v="2"/>
    <x v="108"/>
    <x v="91"/>
    <x v="785"/>
    <x v="376"/>
    <x v="1"/>
    <x v="8"/>
    <x v="22"/>
    <x v="1"/>
  </r>
  <r>
    <x v="764"/>
    <x v="2"/>
    <x v="292"/>
    <x v="110"/>
    <x v="3"/>
    <x v="88"/>
    <x v="18"/>
    <x v="42"/>
    <x v="28"/>
    <x v="0"/>
    <x v="0"/>
    <x v="158"/>
    <x v="102"/>
    <x v="42"/>
    <x v="176"/>
    <x v="254"/>
    <x v="2"/>
    <x v="108"/>
    <x v="91"/>
    <x v="403"/>
    <x v="342"/>
    <x v="1"/>
    <x v="8"/>
    <x v="22"/>
    <x v="1"/>
  </r>
  <r>
    <x v="767"/>
    <x v="0"/>
    <x v="294"/>
    <x v="111"/>
    <x v="3"/>
    <x v="9"/>
    <x v="33"/>
    <x v="42"/>
    <x v="28"/>
    <x v="0"/>
    <x v="0"/>
    <x v="175"/>
    <x v="78"/>
    <x v="25"/>
    <x v="193"/>
    <x v="292"/>
    <x v="2"/>
    <x v="108"/>
    <x v="91"/>
    <x v="315"/>
    <x v="198"/>
    <x v="1"/>
    <x v="8"/>
    <x v="22"/>
    <x v="1"/>
  </r>
  <r>
    <x v="769"/>
    <x v="2"/>
    <x v="295"/>
    <x v="105"/>
    <x v="3"/>
    <x v="91"/>
    <x v="37"/>
    <x v="71"/>
    <x v="49"/>
    <x v="20"/>
    <x v="0"/>
    <x v="333"/>
    <x v="158"/>
    <x v="62"/>
    <x v="313"/>
    <x v="530"/>
    <x v="2"/>
    <x v="108"/>
    <x v="91"/>
    <x v="986"/>
    <x v="448"/>
    <x v="1"/>
    <x v="8"/>
    <x v="22"/>
    <x v="1"/>
  </r>
  <r>
    <x v="772"/>
    <x v="2"/>
    <x v="296"/>
    <x v="113"/>
    <x v="3"/>
    <x v="30"/>
    <x v="67"/>
    <x v="70"/>
    <x v="48"/>
    <x v="20"/>
    <x v="0"/>
    <x v="557"/>
    <x v="134"/>
    <x v="28"/>
    <x v="537"/>
    <x v="1303"/>
    <x v="2"/>
    <x v="108"/>
    <x v="92"/>
    <x v="763"/>
    <x v="238"/>
    <x v="1"/>
    <x v="9"/>
    <x v="23"/>
    <x v="1"/>
  </r>
  <r>
    <x v="774"/>
    <x v="1"/>
    <x v="297"/>
    <x v="114"/>
    <x v="3"/>
    <x v="48"/>
    <x v="15"/>
    <x v="75"/>
    <x v="53"/>
    <x v="16"/>
    <x v="0"/>
    <x v="611"/>
    <x v="156"/>
    <x v="49"/>
    <x v="579"/>
    <x v="1304"/>
    <x v="2"/>
    <x v="108"/>
    <x v="92"/>
    <x v="1106"/>
    <x v="387"/>
    <x v="1"/>
    <x v="9"/>
    <x v="23"/>
    <x v="1"/>
  </r>
  <r>
    <x v="777"/>
    <x v="2"/>
    <x v="299"/>
    <x v="115"/>
    <x v="3"/>
    <x v="30"/>
    <x v="67"/>
    <x v="70"/>
    <x v="48"/>
    <x v="20"/>
    <x v="0"/>
    <x v="174"/>
    <x v="132"/>
    <x v="13"/>
    <x v="187"/>
    <x v="281"/>
    <x v="2"/>
    <x v="108"/>
    <x v="92"/>
    <x v="119"/>
    <x v="83"/>
    <x v="1"/>
    <x v="9"/>
    <x v="23"/>
    <x v="1"/>
  </r>
  <r>
    <x v="779"/>
    <x v="1"/>
    <x v="300"/>
    <x v="116"/>
    <x v="3"/>
    <x v="17"/>
    <x v="71"/>
    <x v="75"/>
    <x v="53"/>
    <x v="7"/>
    <x v="0"/>
    <x v="199"/>
    <x v="171"/>
    <x v="68"/>
    <x v="199"/>
    <x v="270"/>
    <x v="2"/>
    <x v="108"/>
    <x v="92"/>
    <x v="885"/>
    <x v="500"/>
    <x v="1"/>
    <x v="9"/>
    <x v="23"/>
    <x v="1"/>
  </r>
  <r>
    <x v="782"/>
    <x v="1"/>
    <x v="301"/>
    <x v="117"/>
    <x v="3"/>
    <x v="105"/>
    <x v="20"/>
    <x v="75"/>
    <x v="53"/>
    <x v="3"/>
    <x v="0"/>
    <x v="145"/>
    <x v="367"/>
    <x v="32"/>
    <x v="26"/>
    <x v="59"/>
    <x v="2"/>
    <x v="108"/>
    <x v="92"/>
    <x v="31"/>
    <x v="245"/>
    <x v="1"/>
    <x v="9"/>
    <x v="23"/>
    <x v="1"/>
  </r>
  <r>
    <x v="785"/>
    <x v="1"/>
    <x v="302"/>
    <x v="117"/>
    <x v="3"/>
    <x v="105"/>
    <x v="20"/>
    <x v="75"/>
    <x v="53"/>
    <x v="7"/>
    <x v="0"/>
    <x v="90"/>
    <x v="115"/>
    <x v="91"/>
    <x v="41"/>
    <x v="25"/>
    <x v="2"/>
    <x v="108"/>
    <x v="92"/>
    <x v="390"/>
    <x v="609"/>
    <x v="1"/>
    <x v="9"/>
    <x v="23"/>
    <x v="1"/>
  </r>
  <r>
    <x v="788"/>
    <x v="2"/>
    <x v="304"/>
    <x v="118"/>
    <x v="3"/>
    <x v="48"/>
    <x v="15"/>
    <x v="41"/>
    <x v="27"/>
    <x v="28"/>
    <x v="0"/>
    <x v="377"/>
    <x v="154"/>
    <x v="18"/>
    <x v="361"/>
    <x v="1095"/>
    <x v="2"/>
    <x v="108"/>
    <x v="92"/>
    <x v="420"/>
    <x v="153"/>
    <x v="1"/>
    <x v="9"/>
    <x v="23"/>
    <x v="1"/>
  </r>
  <r>
    <x v="790"/>
    <x v="1"/>
    <x v="305"/>
    <x v="119"/>
    <x v="3"/>
    <x v="30"/>
    <x v="67"/>
    <x v="75"/>
    <x v="53"/>
    <x v="18"/>
    <x v="0"/>
    <x v="182"/>
    <x v="373"/>
    <x v="91"/>
    <x v="25"/>
    <x v="19"/>
    <x v="2"/>
    <x v="108"/>
    <x v="92"/>
    <x v="356"/>
    <x v="610"/>
    <x v="1"/>
    <x v="9"/>
    <x v="23"/>
    <x v="1"/>
  </r>
  <r>
    <x v="793"/>
    <x v="1"/>
    <x v="306"/>
    <x v="119"/>
    <x v="3"/>
    <x v="30"/>
    <x v="67"/>
    <x v="75"/>
    <x v="53"/>
    <x v="19"/>
    <x v="0"/>
    <x v="97"/>
    <x v="134"/>
    <x v="71"/>
    <x v="69"/>
    <x v="102"/>
    <x v="2"/>
    <x v="108"/>
    <x v="92"/>
    <x v="370"/>
    <x v="524"/>
    <x v="1"/>
    <x v="9"/>
    <x v="23"/>
    <x v="1"/>
  </r>
  <r>
    <x v="796"/>
    <x v="2"/>
    <x v="307"/>
    <x v="120"/>
    <x v="3"/>
    <x v="17"/>
    <x v="71"/>
    <x v="41"/>
    <x v="27"/>
    <x v="0"/>
    <x v="0"/>
    <x v="502"/>
    <x v="429"/>
    <x v="8"/>
    <x v="101"/>
    <x v="181"/>
    <x v="2"/>
    <x v="108"/>
    <x v="92"/>
    <x v="21"/>
    <x v="48"/>
    <x v="1"/>
    <x v="9"/>
    <x v="23"/>
    <x v="1"/>
  </r>
  <r>
    <x v="798"/>
    <x v="2"/>
    <x v="309"/>
    <x v="120"/>
    <x v="3"/>
    <x v="17"/>
    <x v="71"/>
    <x v="41"/>
    <x v="27"/>
    <x v="28"/>
    <x v="0"/>
    <x v="152"/>
    <x v="169"/>
    <x v="13"/>
    <x v="141"/>
    <x v="242"/>
    <x v="2"/>
    <x v="108"/>
    <x v="92"/>
    <x v="78"/>
    <x v="109"/>
    <x v="1"/>
    <x v="9"/>
    <x v="23"/>
    <x v="1"/>
  </r>
  <r>
    <x v="801"/>
    <x v="1"/>
    <x v="310"/>
    <x v="27"/>
    <x v="1"/>
    <x v="89"/>
    <x v="76"/>
    <x v="62"/>
    <x v="41"/>
    <x v="29"/>
    <x v="0"/>
    <x v="0"/>
    <x v="3"/>
    <x v="28"/>
    <x v="0"/>
    <x v="0"/>
    <x v="2"/>
    <x v="108"/>
    <x v="92"/>
    <x v="2"/>
    <x v="238"/>
    <x v="1"/>
    <x v="9"/>
    <x v="23"/>
    <x v="1"/>
  </r>
  <r>
    <x v="804"/>
    <x v="0"/>
    <x v="311"/>
    <x v="122"/>
    <x v="3"/>
    <x v="30"/>
    <x v="67"/>
    <x v="75"/>
    <x v="53"/>
    <x v="28"/>
    <x v="0"/>
    <x v="249"/>
    <x v="131"/>
    <x v="37"/>
    <x v="256"/>
    <x v="579"/>
    <x v="2"/>
    <x v="108"/>
    <x v="92"/>
    <x v="609"/>
    <x v="304"/>
    <x v="1"/>
    <x v="9"/>
    <x v="23"/>
    <x v="1"/>
  </r>
  <r>
    <x v="806"/>
    <x v="0"/>
    <x v="312"/>
    <x v="123"/>
    <x v="3"/>
    <x v="48"/>
    <x v="15"/>
    <x v="41"/>
    <x v="27"/>
    <x v="0"/>
    <x v="0"/>
    <x v="369"/>
    <x v="152"/>
    <x v="37"/>
    <x v="355"/>
    <x v="944"/>
    <x v="2"/>
    <x v="108"/>
    <x v="92"/>
    <x v="667"/>
    <x v="285"/>
    <x v="1"/>
    <x v="9"/>
    <x v="23"/>
    <x v="1"/>
  </r>
  <r>
    <x v="809"/>
    <x v="2"/>
    <x v="313"/>
    <x v="124"/>
    <x v="3"/>
    <x v="105"/>
    <x v="20"/>
    <x v="75"/>
    <x v="53"/>
    <x v="28"/>
    <x v="0"/>
    <x v="228"/>
    <x v="112"/>
    <x v="20"/>
    <x v="246"/>
    <x v="689"/>
    <x v="2"/>
    <x v="108"/>
    <x v="92"/>
    <x v="386"/>
    <x v="184"/>
    <x v="1"/>
    <x v="9"/>
    <x v="23"/>
    <x v="1"/>
  </r>
  <r>
    <x v="812"/>
    <x v="2"/>
    <x v="314"/>
    <x v="125"/>
    <x v="3"/>
    <x v="89"/>
    <x v="76"/>
    <x v="75"/>
    <x v="53"/>
    <x v="28"/>
    <x v="0"/>
    <x v="12"/>
    <x v="3"/>
    <x v="20"/>
    <x v="19"/>
    <x v="57"/>
    <x v="2"/>
    <x v="108"/>
    <x v="92"/>
    <x v="20"/>
    <x v="158"/>
    <x v="1"/>
    <x v="9"/>
    <x v="23"/>
    <x v="1"/>
  </r>
  <r>
    <x v="815"/>
    <x v="0"/>
    <x v="315"/>
    <x v="126"/>
    <x v="3"/>
    <x v="17"/>
    <x v="71"/>
    <x v="41"/>
    <x v="27"/>
    <x v="0"/>
    <x v="0"/>
    <x v="348"/>
    <x v="170"/>
    <x v="37"/>
    <x v="315"/>
    <x v="792"/>
    <x v="2"/>
    <x v="108"/>
    <x v="92"/>
    <x v="645"/>
    <x v="285"/>
    <x v="1"/>
    <x v="9"/>
    <x v="23"/>
    <x v="1"/>
  </r>
  <r>
    <x v="817"/>
    <x v="2"/>
    <x v="316"/>
    <x v="127"/>
    <x v="3"/>
    <x v="30"/>
    <x v="67"/>
    <x v="75"/>
    <x v="53"/>
    <x v="28"/>
    <x v="0"/>
    <x v="229"/>
    <x v="129"/>
    <x v="25"/>
    <x v="233"/>
    <x v="593"/>
    <x v="2"/>
    <x v="108"/>
    <x v="92"/>
    <x v="448"/>
    <x v="198"/>
    <x v="1"/>
    <x v="9"/>
    <x v="23"/>
    <x v="1"/>
  </r>
  <r>
    <x v="820"/>
    <x v="2"/>
    <x v="317"/>
    <x v="128"/>
    <x v="3"/>
    <x v="48"/>
    <x v="15"/>
    <x v="41"/>
    <x v="27"/>
    <x v="0"/>
    <x v="0"/>
    <x v="356"/>
    <x v="150"/>
    <x v="28"/>
    <x v="344"/>
    <x v="990"/>
    <x v="2"/>
    <x v="108"/>
    <x v="93"/>
    <x v="561"/>
    <x v="238"/>
    <x v="1"/>
    <x v="10"/>
    <x v="24"/>
    <x v="1"/>
  </r>
  <r>
    <x v="823"/>
    <x v="2"/>
    <x v="319"/>
    <x v="130"/>
    <x v="3"/>
    <x v="89"/>
    <x v="76"/>
    <x v="75"/>
    <x v="53"/>
    <x v="28"/>
    <x v="0"/>
    <x v="13"/>
    <x v="2"/>
    <x v="9"/>
    <x v="21"/>
    <x v="74"/>
    <x v="2"/>
    <x v="108"/>
    <x v="93"/>
    <x v="8"/>
    <x v="51"/>
    <x v="1"/>
    <x v="10"/>
    <x v="24"/>
    <x v="1"/>
  </r>
  <r>
    <x v="826"/>
    <x v="2"/>
    <x v="318"/>
    <x v="129"/>
    <x v="3"/>
    <x v="105"/>
    <x v="20"/>
    <x v="75"/>
    <x v="53"/>
    <x v="28"/>
    <x v="0"/>
    <x v="230"/>
    <x v="111"/>
    <x v="20"/>
    <x v="250"/>
    <x v="706"/>
    <x v="2"/>
    <x v="108"/>
    <x v="93"/>
    <x v="392"/>
    <x v="183"/>
    <x v="1"/>
    <x v="10"/>
    <x v="24"/>
    <x v="1"/>
  </r>
  <r>
    <x v="829"/>
    <x v="1"/>
    <x v="308"/>
    <x v="121"/>
    <x v="3"/>
    <x v="105"/>
    <x v="20"/>
    <x v="75"/>
    <x v="53"/>
    <x v="18"/>
    <x v="0"/>
    <x v="130"/>
    <x v="114"/>
    <x v="64"/>
    <x v="136"/>
    <x v="196"/>
    <x v="2"/>
    <x v="108"/>
    <x v="92"/>
    <x v="520"/>
    <x v="474"/>
    <x v="1"/>
    <x v="9"/>
    <x v="23"/>
    <x v="1"/>
  </r>
  <r>
    <x v="832"/>
    <x v="2"/>
    <x v="320"/>
    <x v="131"/>
    <x v="3"/>
    <x v="17"/>
    <x v="71"/>
    <x v="42"/>
    <x v="28"/>
    <x v="0"/>
    <x v="0"/>
    <x v="353"/>
    <x v="169"/>
    <x v="16"/>
    <x v="321"/>
    <x v="1032"/>
    <x v="2"/>
    <x v="108"/>
    <x v="93"/>
    <x v="355"/>
    <x v="119"/>
    <x v="1"/>
    <x v="10"/>
    <x v="24"/>
    <x v="1"/>
  </r>
  <r>
    <x v="835"/>
    <x v="2"/>
    <x v="321"/>
    <x v="132"/>
    <x v="3"/>
    <x v="48"/>
    <x v="15"/>
    <x v="75"/>
    <x v="53"/>
    <x v="28"/>
    <x v="0"/>
    <x v="300"/>
    <x v="150"/>
    <x v="18"/>
    <x v="288"/>
    <x v="896"/>
    <x v="2"/>
    <x v="108"/>
    <x v="93"/>
    <x v="371"/>
    <x v="153"/>
    <x v="1"/>
    <x v="10"/>
    <x v="24"/>
    <x v="1"/>
  </r>
  <r>
    <x v="838"/>
    <x v="0"/>
    <x v="323"/>
    <x v="133"/>
    <x v="3"/>
    <x v="49"/>
    <x v="41"/>
    <x v="75"/>
    <x v="53"/>
    <x v="28"/>
    <x v="0"/>
    <x v="185"/>
    <x v="179"/>
    <x v="4"/>
    <x v="190"/>
    <x v="337"/>
    <x v="2"/>
    <x v="108"/>
    <x v="93"/>
    <x v="28"/>
    <x v="12"/>
    <x v="1"/>
    <x v="10"/>
    <x v="24"/>
    <x v="1"/>
  </r>
  <r>
    <x v="841"/>
    <x v="0"/>
    <x v="325"/>
    <x v="134"/>
    <x v="3"/>
    <x v="6"/>
    <x v="66"/>
    <x v="75"/>
    <x v="53"/>
    <x v="28"/>
    <x v="0"/>
    <x v="196"/>
    <x v="187"/>
    <x v="8"/>
    <x v="195"/>
    <x v="352"/>
    <x v="2"/>
    <x v="108"/>
    <x v="93"/>
    <x v="55"/>
    <x v="28"/>
    <x v="1"/>
    <x v="10"/>
    <x v="24"/>
    <x v="1"/>
  </r>
  <r>
    <x v="844"/>
    <x v="2"/>
    <x v="326"/>
    <x v="2"/>
    <x v="1"/>
    <x v="86"/>
    <x v="77"/>
    <x v="61"/>
    <x v="40"/>
    <x v="29"/>
    <x v="0"/>
    <x v="10"/>
    <x v="7"/>
    <x v="9"/>
    <x v="16"/>
    <x v="65"/>
    <x v="2"/>
    <x v="108"/>
    <x v="93"/>
    <x v="6"/>
    <x v="51"/>
    <x v="1"/>
    <x v="10"/>
    <x v="24"/>
    <x v="1"/>
  </r>
  <r>
    <x v="847"/>
    <x v="2"/>
    <x v="328"/>
    <x v="0"/>
    <x v="1"/>
    <x v="51"/>
    <x v="70"/>
    <x v="61"/>
    <x v="40"/>
    <x v="29"/>
    <x v="0"/>
    <x v="288"/>
    <x v="183"/>
    <x v="16"/>
    <x v="242"/>
    <x v="741"/>
    <x v="2"/>
    <x v="108"/>
    <x v="93"/>
    <x v="319"/>
    <x v="147"/>
    <x v="1"/>
    <x v="10"/>
    <x v="24"/>
    <x v="1"/>
  </r>
  <r>
    <x v="850"/>
    <x v="2"/>
    <x v="329"/>
    <x v="1"/>
    <x v="1"/>
    <x v="67"/>
    <x v="63"/>
    <x v="61"/>
    <x v="40"/>
    <x v="29"/>
    <x v="0"/>
    <x v="259"/>
    <x v="163"/>
    <x v="4"/>
    <x v="235"/>
    <x v="959"/>
    <x v="2"/>
    <x v="108"/>
    <x v="93"/>
    <x v="46"/>
    <x v="12"/>
    <x v="1"/>
    <x v="10"/>
    <x v="24"/>
    <x v="1"/>
  </r>
  <r>
    <x v="853"/>
    <x v="2"/>
    <x v="330"/>
    <x v="3"/>
    <x v="1"/>
    <x v="103"/>
    <x v="8"/>
    <x v="61"/>
    <x v="40"/>
    <x v="29"/>
    <x v="0"/>
    <x v="232"/>
    <x v="139"/>
    <x v="12"/>
    <x v="229"/>
    <x v="754"/>
    <x v="2"/>
    <x v="108"/>
    <x v="93"/>
    <x v="225"/>
    <x v="82"/>
    <x v="1"/>
    <x v="10"/>
    <x v="24"/>
    <x v="1"/>
  </r>
  <r>
    <x v="856"/>
    <x v="2"/>
    <x v="331"/>
    <x v="4"/>
    <x v="1"/>
    <x v="91"/>
    <x v="37"/>
    <x v="61"/>
    <x v="40"/>
    <x v="29"/>
    <x v="0"/>
    <x v="269"/>
    <x v="149"/>
    <x v="9"/>
    <x v="258"/>
    <x v="947"/>
    <x v="2"/>
    <x v="108"/>
    <x v="93"/>
    <x v="156"/>
    <x v="51"/>
    <x v="1"/>
    <x v="10"/>
    <x v="24"/>
    <x v="1"/>
  </r>
  <r>
    <x v="859"/>
    <x v="2"/>
    <x v="332"/>
    <x v="6"/>
    <x v="1"/>
    <x v="66"/>
    <x v="44"/>
    <x v="4"/>
    <x v="4"/>
    <x v="29"/>
    <x v="0"/>
    <x v="250"/>
    <x v="192"/>
    <x v="7"/>
    <x v="222"/>
    <x v="744"/>
    <x v="2"/>
    <x v="108"/>
    <x v="93"/>
    <x v="81"/>
    <x v="27"/>
    <x v="1"/>
    <x v="10"/>
    <x v="24"/>
    <x v="1"/>
  </r>
  <r>
    <x v="862"/>
    <x v="2"/>
    <x v="333"/>
    <x v="5"/>
    <x v="1"/>
    <x v="82"/>
    <x v="58"/>
    <x v="4"/>
    <x v="4"/>
    <x v="29"/>
    <x v="0"/>
    <x v="365"/>
    <x v="250"/>
    <x v="9"/>
    <x v="243"/>
    <x v="886"/>
    <x v="2"/>
    <x v="108"/>
    <x v="93"/>
    <x v="155"/>
    <x v="51"/>
    <x v="1"/>
    <x v="10"/>
    <x v="24"/>
    <x v="1"/>
  </r>
  <r>
    <x v="865"/>
    <x v="1"/>
    <x v="334"/>
    <x v="568"/>
    <x v="1"/>
    <x v="48"/>
    <x v="15"/>
    <x v="7"/>
    <x v="7"/>
    <x v="27"/>
    <x v="0"/>
    <x v="273"/>
    <x v="159"/>
    <x v="62"/>
    <x v="252"/>
    <x v="410"/>
    <x v="2"/>
    <x v="108"/>
    <x v="94"/>
    <x v="939"/>
    <x v="464"/>
    <x v="1"/>
    <x v="11"/>
    <x v="25"/>
    <x v="1"/>
  </r>
  <r>
    <x v="868"/>
    <x v="1"/>
    <x v="335"/>
    <x v="568"/>
    <x v="1"/>
    <x v="39"/>
    <x v="30"/>
    <x v="7"/>
    <x v="7"/>
    <x v="27"/>
    <x v="0"/>
    <x v="385"/>
    <x v="219"/>
    <x v="32"/>
    <x v="298"/>
    <x v="789"/>
    <x v="2"/>
    <x v="108"/>
    <x v="94"/>
    <x v="573"/>
    <x v="264"/>
    <x v="1"/>
    <x v="11"/>
    <x v="25"/>
    <x v="1"/>
  </r>
  <r>
    <x v="871"/>
    <x v="1"/>
    <x v="336"/>
    <x v="568"/>
    <x v="1"/>
    <x v="28"/>
    <x v="80"/>
    <x v="7"/>
    <x v="7"/>
    <x v="27"/>
    <x v="0"/>
    <x v="384"/>
    <x v="238"/>
    <x v="68"/>
    <x v="277"/>
    <x v="398"/>
    <x v="2"/>
    <x v="108"/>
    <x v="94"/>
    <x v="1048"/>
    <x v="500"/>
    <x v="1"/>
    <x v="11"/>
    <x v="25"/>
    <x v="1"/>
  </r>
  <r>
    <x v="874"/>
    <x v="1"/>
    <x v="337"/>
    <x v="568"/>
    <x v="1"/>
    <x v="62"/>
    <x v="86"/>
    <x v="7"/>
    <x v="7"/>
    <x v="27"/>
    <x v="0"/>
    <x v="675"/>
    <x v="395"/>
    <x v="49"/>
    <x v="274"/>
    <x v="534"/>
    <x v="2"/>
    <x v="108"/>
    <x v="94"/>
    <x v="794"/>
    <x v="387"/>
    <x v="1"/>
    <x v="11"/>
    <x v="25"/>
    <x v="1"/>
  </r>
  <r>
    <x v="877"/>
    <x v="1"/>
    <x v="338"/>
    <x v="568"/>
    <x v="1"/>
    <x v="63"/>
    <x v="65"/>
    <x v="7"/>
    <x v="7"/>
    <x v="27"/>
    <x v="0"/>
    <x v="733"/>
    <x v="438"/>
    <x v="32"/>
    <x v="282"/>
    <x v="718"/>
    <x v="2"/>
    <x v="108"/>
    <x v="94"/>
    <x v="553"/>
    <x v="270"/>
    <x v="1"/>
    <x v="11"/>
    <x v="25"/>
    <x v="1"/>
  </r>
  <r>
    <x v="880"/>
    <x v="1"/>
    <x v="339"/>
    <x v="568"/>
    <x v="1"/>
    <x v="27"/>
    <x v="13"/>
    <x v="7"/>
    <x v="7"/>
    <x v="27"/>
    <x v="0"/>
    <x v="304"/>
    <x v="176"/>
    <x v="42"/>
    <x v="265"/>
    <x v="562"/>
    <x v="2"/>
    <x v="108"/>
    <x v="94"/>
    <x v="673"/>
    <x v="319"/>
    <x v="1"/>
    <x v="11"/>
    <x v="25"/>
    <x v="1"/>
  </r>
  <r>
    <x v="883"/>
    <x v="1"/>
    <x v="340"/>
    <x v="568"/>
    <x v="1"/>
    <x v="75"/>
    <x v="57"/>
    <x v="7"/>
    <x v="7"/>
    <x v="27"/>
    <x v="0"/>
    <x v="568"/>
    <x v="360"/>
    <x v="13"/>
    <x v="278"/>
    <x v="939"/>
    <x v="2"/>
    <x v="108"/>
    <x v="94"/>
    <x v="268"/>
    <x v="103"/>
    <x v="1"/>
    <x v="11"/>
    <x v="25"/>
    <x v="1"/>
  </r>
  <r>
    <x v="886"/>
    <x v="1"/>
    <x v="341"/>
    <x v="568"/>
    <x v="1"/>
    <x v="49"/>
    <x v="41"/>
    <x v="7"/>
    <x v="7"/>
    <x v="27"/>
    <x v="0"/>
    <x v="312"/>
    <x v="176"/>
    <x v="42"/>
    <x v="273"/>
    <x v="585"/>
    <x v="2"/>
    <x v="108"/>
    <x v="94"/>
    <x v="679"/>
    <x v="319"/>
    <x v="1"/>
    <x v="11"/>
    <x v="25"/>
    <x v="1"/>
  </r>
  <r>
    <x v="889"/>
    <x v="1"/>
    <x v="342"/>
    <x v="568"/>
    <x v="1"/>
    <x v="9"/>
    <x v="33"/>
    <x v="7"/>
    <x v="7"/>
    <x v="27"/>
    <x v="0"/>
    <x v="355"/>
    <x v="69"/>
    <x v="20"/>
    <x v="405"/>
    <x v="1150"/>
    <x v="2"/>
    <x v="108"/>
    <x v="94"/>
    <x v="494"/>
    <x v="166"/>
    <x v="1"/>
    <x v="11"/>
    <x v="25"/>
    <x v="1"/>
  </r>
  <r>
    <x v="892"/>
    <x v="1"/>
    <x v="343"/>
    <x v="568"/>
    <x v="1"/>
    <x v="51"/>
    <x v="70"/>
    <x v="7"/>
    <x v="7"/>
    <x v="27"/>
    <x v="0"/>
    <x v="365"/>
    <x v="179"/>
    <x v="28"/>
    <x v="323"/>
    <x v="915"/>
    <x v="2"/>
    <x v="108"/>
    <x v="94"/>
    <x v="541"/>
    <x v="238"/>
    <x v="1"/>
    <x v="11"/>
    <x v="25"/>
    <x v="1"/>
  </r>
  <r>
    <x v="894"/>
    <x v="1"/>
    <x v="345"/>
    <x v="568"/>
    <x v="1"/>
    <x v="67"/>
    <x v="63"/>
    <x v="7"/>
    <x v="7"/>
    <x v="27"/>
    <x v="0"/>
    <x v="355"/>
    <x v="158"/>
    <x v="42"/>
    <x v="335"/>
    <x v="809"/>
    <x v="2"/>
    <x v="108"/>
    <x v="94"/>
    <x v="735"/>
    <x v="319"/>
    <x v="1"/>
    <x v="11"/>
    <x v="25"/>
    <x v="1"/>
  </r>
  <r>
    <x v="896"/>
    <x v="1"/>
    <x v="346"/>
    <x v="581"/>
    <x v="1"/>
    <x v="103"/>
    <x v="8"/>
    <x v="7"/>
    <x v="7"/>
    <x v="27"/>
    <x v="0"/>
    <x v="343"/>
    <x v="141"/>
    <x v="37"/>
    <x v="340"/>
    <x v="888"/>
    <x v="2"/>
    <x v="108"/>
    <x v="94"/>
    <x v="656"/>
    <x v="291"/>
    <x v="1"/>
    <x v="11"/>
    <x v="25"/>
    <x v="1"/>
  </r>
  <r>
    <x v="898"/>
    <x v="1"/>
    <x v="347"/>
    <x v="568"/>
    <x v="1"/>
    <x v="91"/>
    <x v="37"/>
    <x v="7"/>
    <x v="7"/>
    <x v="27"/>
    <x v="0"/>
    <x v="325"/>
    <x v="152"/>
    <x v="34"/>
    <x v="311"/>
    <x v="807"/>
    <x v="2"/>
    <x v="108"/>
    <x v="94"/>
    <x v="612"/>
    <x v="279"/>
    <x v="1"/>
    <x v="11"/>
    <x v="25"/>
    <x v="1"/>
  </r>
  <r>
    <x v="900"/>
    <x v="2"/>
    <x v="348"/>
    <x v="568"/>
    <x v="1"/>
    <x v="82"/>
    <x v="58"/>
    <x v="64"/>
    <x v="43"/>
    <x v="27"/>
    <x v="0"/>
    <x v="413"/>
    <x v="248"/>
    <x v="25"/>
    <x v="293"/>
    <x v="830"/>
    <x v="2"/>
    <x v="108"/>
    <x v="94"/>
    <x v="489"/>
    <x v="198"/>
    <x v="1"/>
    <x v="11"/>
    <x v="25"/>
    <x v="1"/>
  </r>
  <r>
    <x v="902"/>
    <x v="1"/>
    <x v="349"/>
    <x v="568"/>
    <x v="1"/>
    <x v="66"/>
    <x v="44"/>
    <x v="64"/>
    <x v="43"/>
    <x v="27"/>
    <x v="0"/>
    <x v="353"/>
    <x v="190"/>
    <x v="28"/>
    <x v="300"/>
    <x v="825"/>
    <x v="2"/>
    <x v="108"/>
    <x v="94"/>
    <x v="529"/>
    <x v="238"/>
    <x v="1"/>
    <x v="11"/>
    <x v="25"/>
    <x v="1"/>
  </r>
  <r>
    <x v="904"/>
    <x v="1"/>
    <x v="350"/>
    <x v="568"/>
    <x v="1"/>
    <x v="48"/>
    <x v="15"/>
    <x v="64"/>
    <x v="43"/>
    <x v="27"/>
    <x v="0"/>
    <x v="314"/>
    <x v="158"/>
    <x v="32"/>
    <x v="294"/>
    <x v="774"/>
    <x v="2"/>
    <x v="108"/>
    <x v="94"/>
    <x v="569"/>
    <x v="265"/>
    <x v="1"/>
    <x v="11"/>
    <x v="25"/>
    <x v="1"/>
  </r>
  <r>
    <x v="907"/>
    <x v="1"/>
    <x v="351"/>
    <x v="568"/>
    <x v="1"/>
    <x v="28"/>
    <x v="80"/>
    <x v="64"/>
    <x v="43"/>
    <x v="27"/>
    <x v="0"/>
    <x v="400"/>
    <x v="231"/>
    <x v="32"/>
    <x v="300"/>
    <x v="794"/>
    <x v="2"/>
    <x v="108"/>
    <x v="94"/>
    <x v="575"/>
    <x v="263"/>
    <x v="1"/>
    <x v="11"/>
    <x v="25"/>
    <x v="1"/>
  </r>
  <r>
    <x v="910"/>
    <x v="1"/>
    <x v="352"/>
    <x v="568"/>
    <x v="1"/>
    <x v="39"/>
    <x v="30"/>
    <x v="64"/>
    <x v="43"/>
    <x v="27"/>
    <x v="0"/>
    <x v="364"/>
    <x v="215"/>
    <x v="16"/>
    <x v="281"/>
    <x v="898"/>
    <x v="2"/>
    <x v="108"/>
    <x v="94"/>
    <x v="335"/>
    <x v="119"/>
    <x v="1"/>
    <x v="11"/>
    <x v="25"/>
    <x v="1"/>
  </r>
  <r>
    <x v="913"/>
    <x v="1"/>
    <x v="354"/>
    <x v="25"/>
    <x v="1"/>
    <x v="53"/>
    <x v="78"/>
    <x v="64"/>
    <x v="43"/>
    <x v="27"/>
    <x v="0"/>
    <x v="296"/>
    <x v="128"/>
    <x v="37"/>
    <x v="306"/>
    <x v="756"/>
    <x v="2"/>
    <x v="108"/>
    <x v="94"/>
    <x v="639"/>
    <x v="295"/>
    <x v="1"/>
    <x v="11"/>
    <x v="25"/>
    <x v="1"/>
  </r>
  <r>
    <x v="915"/>
    <x v="1"/>
    <x v="356"/>
    <x v="568"/>
    <x v="1"/>
    <x v="40"/>
    <x v="53"/>
    <x v="64"/>
    <x v="43"/>
    <x v="27"/>
    <x v="0"/>
    <x v="142"/>
    <x v="198"/>
    <x v="69"/>
    <x v="131"/>
    <x v="176"/>
    <x v="2"/>
    <x v="108"/>
    <x v="94"/>
    <x v="585"/>
    <x v="520"/>
    <x v="1"/>
    <x v="11"/>
    <x v="25"/>
    <x v="1"/>
  </r>
  <r>
    <x v="917"/>
    <x v="1"/>
    <x v="355"/>
    <x v="27"/>
    <x v="1"/>
    <x v="30"/>
    <x v="67"/>
    <x v="62"/>
    <x v="41"/>
    <x v="29"/>
    <x v="0"/>
    <x v="260"/>
    <x v="131"/>
    <x v="54"/>
    <x v="267"/>
    <x v="478"/>
    <x v="2"/>
    <x v="108"/>
    <x v="95"/>
    <x v="861"/>
    <x v="415"/>
    <x v="1"/>
    <x v="12"/>
    <x v="26"/>
    <x v="1"/>
  </r>
  <r>
    <x v="919"/>
    <x v="1"/>
    <x v="357"/>
    <x v="28"/>
    <x v="1"/>
    <x v="17"/>
    <x v="71"/>
    <x v="62"/>
    <x v="41"/>
    <x v="29"/>
    <x v="0"/>
    <x v="397"/>
    <x v="174"/>
    <x v="37"/>
    <x v="360"/>
    <x v="962"/>
    <x v="2"/>
    <x v="108"/>
    <x v="95"/>
    <x v="672"/>
    <x v="290"/>
    <x v="1"/>
    <x v="12"/>
    <x v="26"/>
    <x v="1"/>
  </r>
  <r>
    <x v="920"/>
    <x v="1"/>
    <x v="353"/>
    <x v="568"/>
    <x v="1"/>
    <x v="40"/>
    <x v="53"/>
    <x v="62"/>
    <x v="41"/>
    <x v="29"/>
    <x v="0"/>
    <x v="474"/>
    <x v="428"/>
    <x v="42"/>
    <x v="82"/>
    <x v="123"/>
    <x v="2"/>
    <x v="108"/>
    <x v="94"/>
    <x v="181"/>
    <x v="345"/>
    <x v="1"/>
    <x v="11"/>
    <x v="25"/>
    <x v="1"/>
  </r>
  <r>
    <x v="922"/>
    <x v="1"/>
    <x v="358"/>
    <x v="29"/>
    <x v="1"/>
    <x v="62"/>
    <x v="86"/>
    <x v="62"/>
    <x v="41"/>
    <x v="27"/>
    <x v="0"/>
    <x v="724"/>
    <x v="387"/>
    <x v="43"/>
    <x v="479"/>
    <x v="1176"/>
    <x v="2"/>
    <x v="108"/>
    <x v="95"/>
    <x v="913"/>
    <x v="348"/>
    <x v="1"/>
    <x v="12"/>
    <x v="26"/>
    <x v="1"/>
  </r>
  <r>
    <x v="924"/>
    <x v="1"/>
    <x v="359"/>
    <x v="30"/>
    <x v="1"/>
    <x v="75"/>
    <x v="57"/>
    <x v="65"/>
    <x v="44"/>
    <x v="27"/>
    <x v="0"/>
    <x v="691"/>
    <x v="354"/>
    <x v="16"/>
    <x v="507"/>
    <x v="1284"/>
    <x v="2"/>
    <x v="108"/>
    <x v="95"/>
    <x v="496"/>
    <x v="119"/>
    <x v="1"/>
    <x v="12"/>
    <x v="26"/>
    <x v="1"/>
  </r>
  <r>
    <x v="927"/>
    <x v="1"/>
    <x v="362"/>
    <x v="31"/>
    <x v="1"/>
    <x v="49"/>
    <x v="41"/>
    <x v="65"/>
    <x v="44"/>
    <x v="27"/>
    <x v="0"/>
    <x v="329"/>
    <x v="167"/>
    <x v="32"/>
    <x v="299"/>
    <x v="790"/>
    <x v="2"/>
    <x v="108"/>
    <x v="95"/>
    <x v="574"/>
    <x v="245"/>
    <x v="1"/>
    <x v="12"/>
    <x v="26"/>
    <x v="1"/>
  </r>
  <r>
    <x v="930"/>
    <x v="1"/>
    <x v="363"/>
    <x v="33"/>
    <x v="1"/>
    <x v="27"/>
    <x v="13"/>
    <x v="65"/>
    <x v="44"/>
    <x v="27"/>
    <x v="0"/>
    <x v="322"/>
    <x v="176"/>
    <x v="13"/>
    <x v="283"/>
    <x v="960"/>
    <x v="2"/>
    <x v="108"/>
    <x v="95"/>
    <x v="274"/>
    <x v="83"/>
    <x v="1"/>
    <x v="12"/>
    <x v="26"/>
    <x v="1"/>
  </r>
  <r>
    <x v="933"/>
    <x v="1"/>
    <x v="365"/>
    <x v="32"/>
    <x v="1"/>
    <x v="63"/>
    <x v="65"/>
    <x v="65"/>
    <x v="44"/>
    <x v="27"/>
    <x v="0"/>
    <x v="731"/>
    <x v="431"/>
    <x v="37"/>
    <x v="292"/>
    <x v="693"/>
    <x v="2"/>
    <x v="108"/>
    <x v="95"/>
    <x v="630"/>
    <x v="298"/>
    <x v="1"/>
    <x v="12"/>
    <x v="26"/>
    <x v="1"/>
  </r>
  <r>
    <x v="936"/>
    <x v="1"/>
    <x v="367"/>
    <x v="568"/>
    <x v="0"/>
    <x v="86"/>
    <x v="77"/>
    <x v="3"/>
    <x v="3"/>
    <x v="27"/>
    <x v="0"/>
    <x v="15"/>
    <x v="8"/>
    <x v="87"/>
    <x v="22"/>
    <x v="20"/>
    <x v="2"/>
    <x v="108"/>
    <x v="95"/>
    <x v="305"/>
    <x v="588"/>
    <x v="1"/>
    <x v="12"/>
    <x v="26"/>
    <x v="1"/>
  </r>
  <r>
    <x v="939"/>
    <x v="1"/>
    <x v="368"/>
    <x v="34"/>
    <x v="1"/>
    <x v="9"/>
    <x v="33"/>
    <x v="65"/>
    <x v="44"/>
    <x v="27"/>
    <x v="0"/>
    <x v="359"/>
    <x v="67"/>
    <x v="75"/>
    <x v="409"/>
    <x v="601"/>
    <x v="2"/>
    <x v="108"/>
    <x v="95"/>
    <x v="1209"/>
    <x v="552"/>
    <x v="1"/>
    <x v="12"/>
    <x v="26"/>
    <x v="1"/>
  </r>
  <r>
    <x v="942"/>
    <x v="1"/>
    <x v="369"/>
    <x v="568"/>
    <x v="0"/>
    <x v="89"/>
    <x v="76"/>
    <x v="3"/>
    <x v="3"/>
    <x v="27"/>
    <x v="0"/>
    <x v="9"/>
    <x v="6"/>
    <x v="57"/>
    <x v="15"/>
    <x v="33"/>
    <x v="2"/>
    <x v="108"/>
    <x v="95"/>
    <x v="79"/>
    <x v="440"/>
    <x v="1"/>
    <x v="12"/>
    <x v="26"/>
    <x v="1"/>
  </r>
  <r>
    <x v="945"/>
    <x v="1"/>
    <x v="370"/>
    <x v="35"/>
    <x v="1"/>
    <x v="51"/>
    <x v="70"/>
    <x v="65"/>
    <x v="44"/>
    <x v="27"/>
    <x v="0"/>
    <x v="373"/>
    <x v="170"/>
    <x v="68"/>
    <x v="340"/>
    <x v="512"/>
    <x v="2"/>
    <x v="108"/>
    <x v="95"/>
    <x v="1091"/>
    <x v="509"/>
    <x v="1"/>
    <x v="12"/>
    <x v="26"/>
    <x v="1"/>
  </r>
  <r>
    <x v="947"/>
    <x v="1"/>
    <x v="371"/>
    <x v="36"/>
    <x v="1"/>
    <x v="67"/>
    <x v="63"/>
    <x v="62"/>
    <x v="41"/>
    <x v="27"/>
    <x v="0"/>
    <x v="323"/>
    <x v="148"/>
    <x v="37"/>
    <x v="313"/>
    <x v="787"/>
    <x v="2"/>
    <x v="108"/>
    <x v="95"/>
    <x v="644"/>
    <x v="285"/>
    <x v="1"/>
    <x v="12"/>
    <x v="26"/>
    <x v="1"/>
  </r>
  <r>
    <x v="949"/>
    <x v="1"/>
    <x v="373"/>
    <x v="568"/>
    <x v="0"/>
    <x v="86"/>
    <x v="77"/>
    <x v="3"/>
    <x v="3"/>
    <x v="27"/>
    <x v="0"/>
    <x v="35"/>
    <x v="6"/>
    <x v="68"/>
    <x v="50"/>
    <x v="58"/>
    <x v="2"/>
    <x v="108"/>
    <x v="95"/>
    <x v="207"/>
    <x v="500"/>
    <x v="1"/>
    <x v="12"/>
    <x v="26"/>
    <x v="1"/>
  </r>
  <r>
    <x v="951"/>
    <x v="1"/>
    <x v="372"/>
    <x v="37"/>
    <x v="1"/>
    <x v="103"/>
    <x v="8"/>
    <x v="65"/>
    <x v="44"/>
    <x v="27"/>
    <x v="0"/>
    <x v="340"/>
    <x v="145"/>
    <x v="20"/>
    <x v="333"/>
    <x v="1019"/>
    <x v="2"/>
    <x v="108"/>
    <x v="95"/>
    <x v="440"/>
    <x v="158"/>
    <x v="1"/>
    <x v="12"/>
    <x v="26"/>
    <x v="1"/>
  </r>
  <r>
    <x v="953"/>
    <x v="1"/>
    <x v="374"/>
    <x v="568"/>
    <x v="0"/>
    <x v="89"/>
    <x v="76"/>
    <x v="3"/>
    <x v="3"/>
    <x v="27"/>
    <x v="0"/>
    <x v="23"/>
    <x v="3"/>
    <x v="62"/>
    <x v="42"/>
    <x v="53"/>
    <x v="2"/>
    <x v="108"/>
    <x v="95"/>
    <x v="123"/>
    <x v="448"/>
    <x v="1"/>
    <x v="12"/>
    <x v="26"/>
    <x v="1"/>
  </r>
  <r>
    <x v="955"/>
    <x v="2"/>
    <x v="375"/>
    <x v="39"/>
    <x v="1"/>
    <x v="66"/>
    <x v="44"/>
    <x v="65"/>
    <x v="44"/>
    <x v="27"/>
    <x v="0"/>
    <x v="368"/>
    <x v="179"/>
    <x v="14"/>
    <x v="326"/>
    <x v="1061"/>
    <x v="2"/>
    <x v="108"/>
    <x v="95"/>
    <x v="326"/>
    <x v="113"/>
    <x v="1"/>
    <x v="12"/>
    <x v="26"/>
    <x v="1"/>
  </r>
  <r>
    <x v="957"/>
    <x v="1"/>
    <x v="377"/>
    <x v="40"/>
    <x v="1"/>
    <x v="48"/>
    <x v="15"/>
    <x v="65"/>
    <x v="44"/>
    <x v="27"/>
    <x v="0"/>
    <x v="378"/>
    <x v="164"/>
    <x v="67"/>
    <x v="352"/>
    <x v="558"/>
    <x v="2"/>
    <x v="108"/>
    <x v="95"/>
    <x v="1080"/>
    <x v="495"/>
    <x v="1"/>
    <x v="12"/>
    <x v="26"/>
    <x v="1"/>
  </r>
  <r>
    <x v="960"/>
    <x v="1"/>
    <x v="378"/>
    <x v="568"/>
    <x v="0"/>
    <x v="86"/>
    <x v="77"/>
    <x v="3"/>
    <x v="3"/>
    <x v="27"/>
    <x v="0"/>
    <x v="11"/>
    <x v="6"/>
    <x v="68"/>
    <x v="17"/>
    <x v="30"/>
    <x v="2"/>
    <x v="108"/>
    <x v="96"/>
    <x v="136"/>
    <x v="500"/>
    <x v="1"/>
    <x v="13"/>
    <x v="27"/>
    <x v="1"/>
  </r>
  <r>
    <x v="963"/>
    <x v="2"/>
    <x v="376"/>
    <x v="38"/>
    <x v="1"/>
    <x v="82"/>
    <x v="58"/>
    <x v="65"/>
    <x v="44"/>
    <x v="27"/>
    <x v="0"/>
    <x v="421"/>
    <x v="239"/>
    <x v="14"/>
    <x v="313"/>
    <x v="1029"/>
    <x v="2"/>
    <x v="108"/>
    <x v="95"/>
    <x v="318"/>
    <x v="113"/>
    <x v="1"/>
    <x v="12"/>
    <x v="26"/>
    <x v="1"/>
  </r>
  <r>
    <x v="966"/>
    <x v="1"/>
    <x v="379"/>
    <x v="41"/>
    <x v="1"/>
    <x v="91"/>
    <x v="37"/>
    <x v="65"/>
    <x v="44"/>
    <x v="27"/>
    <x v="0"/>
    <x v="322"/>
    <x v="142"/>
    <x v="57"/>
    <x v="318"/>
    <x v="576"/>
    <x v="2"/>
    <x v="108"/>
    <x v="96"/>
    <x v="932"/>
    <x v="431"/>
    <x v="1"/>
    <x v="13"/>
    <x v="27"/>
    <x v="1"/>
  </r>
  <r>
    <x v="969"/>
    <x v="1"/>
    <x v="380"/>
    <x v="568"/>
    <x v="1"/>
    <x v="28"/>
    <x v="80"/>
    <x v="64"/>
    <x v="43"/>
    <x v="27"/>
    <x v="0"/>
    <x v="369"/>
    <x v="221"/>
    <x v="65"/>
    <x v="279"/>
    <x v="427"/>
    <x v="2"/>
    <x v="108"/>
    <x v="96"/>
    <x v="1006"/>
    <x v="479"/>
    <x v="1"/>
    <x v="13"/>
    <x v="27"/>
    <x v="1"/>
  </r>
  <r>
    <x v="972"/>
    <x v="2"/>
    <x v="381"/>
    <x v="568"/>
    <x v="1"/>
    <x v="85"/>
    <x v="17"/>
    <x v="5"/>
    <x v="5"/>
    <x v="9"/>
    <x v="0"/>
    <x v="304"/>
    <x v="180"/>
    <x v="42"/>
    <x v="261"/>
    <x v="556"/>
    <x v="2"/>
    <x v="108"/>
    <x v="96"/>
    <x v="670"/>
    <x v="319"/>
    <x v="1"/>
    <x v="13"/>
    <x v="27"/>
    <x v="1"/>
  </r>
  <r>
    <x v="975"/>
    <x v="2"/>
    <x v="387"/>
    <x v="570"/>
    <x v="1"/>
    <x v="62"/>
    <x v="86"/>
    <x v="5"/>
    <x v="5"/>
    <x v="9"/>
    <x v="0"/>
    <x v="272"/>
    <x v="395"/>
    <x v="8"/>
    <x v="79"/>
    <x v="164"/>
    <x v="2"/>
    <x v="108"/>
    <x v="96"/>
    <x v="17"/>
    <x v="49"/>
    <x v="1"/>
    <x v="13"/>
    <x v="27"/>
    <x v="1"/>
  </r>
  <r>
    <x v="978"/>
    <x v="2"/>
    <x v="382"/>
    <x v="568"/>
    <x v="1"/>
    <x v="75"/>
    <x v="57"/>
    <x v="5"/>
    <x v="5"/>
    <x v="9"/>
    <x v="0"/>
    <x v="570"/>
    <x v="358"/>
    <x v="16"/>
    <x v="283"/>
    <x v="906"/>
    <x v="2"/>
    <x v="108"/>
    <x v="96"/>
    <x v="336"/>
    <x v="119"/>
    <x v="1"/>
    <x v="13"/>
    <x v="27"/>
    <x v="1"/>
  </r>
  <r>
    <x v="981"/>
    <x v="2"/>
    <x v="383"/>
    <x v="568"/>
    <x v="1"/>
    <x v="6"/>
    <x v="66"/>
    <x v="5"/>
    <x v="5"/>
    <x v="9"/>
    <x v="0"/>
    <x v="324"/>
    <x v="182"/>
    <x v="8"/>
    <x v="279"/>
    <x v="1036"/>
    <x v="2"/>
    <x v="108"/>
    <x v="96"/>
    <x v="132"/>
    <x v="28"/>
    <x v="1"/>
    <x v="13"/>
    <x v="27"/>
    <x v="1"/>
  </r>
  <r>
    <x v="984"/>
    <x v="2"/>
    <x v="385"/>
    <x v="568"/>
    <x v="1"/>
    <x v="63"/>
    <x v="65"/>
    <x v="5"/>
    <x v="5"/>
    <x v="9"/>
    <x v="0"/>
    <x v="734"/>
    <x v="436"/>
    <x v="8"/>
    <x v="290"/>
    <x v="1062"/>
    <x v="2"/>
    <x v="108"/>
    <x v="96"/>
    <x v="137"/>
    <x v="37"/>
    <x v="1"/>
    <x v="13"/>
    <x v="27"/>
    <x v="1"/>
  </r>
  <r>
    <x v="987"/>
    <x v="1"/>
    <x v="384"/>
    <x v="570"/>
    <x v="1"/>
    <x v="62"/>
    <x v="86"/>
    <x v="8"/>
    <x v="8"/>
    <x v="27"/>
    <x v="0"/>
    <x v="692"/>
    <x v="462"/>
    <x v="62"/>
    <x v="121"/>
    <x v="143"/>
    <x v="2"/>
    <x v="108"/>
    <x v="96"/>
    <x v="382"/>
    <x v="468"/>
    <x v="1"/>
    <x v="13"/>
    <x v="27"/>
    <x v="1"/>
  </r>
  <r>
    <x v="989"/>
    <x v="2"/>
    <x v="388"/>
    <x v="568"/>
    <x v="1"/>
    <x v="27"/>
    <x v="13"/>
    <x v="6"/>
    <x v="6"/>
    <x v="9"/>
    <x v="0"/>
    <x v="321"/>
    <x v="179"/>
    <x v="20"/>
    <x v="279"/>
    <x v="833"/>
    <x v="2"/>
    <x v="108"/>
    <x v="96"/>
    <x v="409"/>
    <x v="158"/>
    <x v="1"/>
    <x v="13"/>
    <x v="27"/>
    <x v="1"/>
  </r>
  <r>
    <x v="991"/>
    <x v="1"/>
    <x v="390"/>
    <x v="568"/>
    <x v="0"/>
    <x v="89"/>
    <x v="76"/>
    <x v="3"/>
    <x v="3"/>
    <x v="27"/>
    <x v="0"/>
    <x v="21"/>
    <x v="6"/>
    <x v="62"/>
    <x v="34"/>
    <x v="45"/>
    <x v="2"/>
    <x v="108"/>
    <x v="96"/>
    <x v="110"/>
    <x v="470"/>
    <x v="1"/>
    <x v="13"/>
    <x v="27"/>
    <x v="1"/>
  </r>
  <r>
    <x v="994"/>
    <x v="2"/>
    <x v="391"/>
    <x v="568"/>
    <x v="1"/>
    <x v="9"/>
    <x v="33"/>
    <x v="6"/>
    <x v="6"/>
    <x v="9"/>
    <x v="0"/>
    <x v="228"/>
    <x v="66"/>
    <x v="28"/>
    <x v="295"/>
    <x v="805"/>
    <x v="2"/>
    <x v="108"/>
    <x v="96"/>
    <x v="526"/>
    <x v="238"/>
    <x v="1"/>
    <x v="13"/>
    <x v="27"/>
    <x v="1"/>
  </r>
  <r>
    <x v="996"/>
    <x v="2"/>
    <x v="392"/>
    <x v="568"/>
    <x v="1"/>
    <x v="49"/>
    <x v="41"/>
    <x v="5"/>
    <x v="5"/>
    <x v="9"/>
    <x v="0"/>
    <x v="312"/>
    <x v="159"/>
    <x v="22"/>
    <x v="291"/>
    <x v="856"/>
    <x v="2"/>
    <x v="108"/>
    <x v="96"/>
    <x v="451"/>
    <x v="194"/>
    <x v="1"/>
    <x v="13"/>
    <x v="27"/>
    <x v="1"/>
  </r>
  <r>
    <x v="998"/>
    <x v="2"/>
    <x v="394"/>
    <x v="568"/>
    <x v="1"/>
    <x v="67"/>
    <x v="63"/>
    <x v="5"/>
    <x v="5"/>
    <x v="9"/>
    <x v="0"/>
    <x v="285"/>
    <x v="143"/>
    <x v="14"/>
    <x v="280"/>
    <x v="921"/>
    <x v="2"/>
    <x v="108"/>
    <x v="96"/>
    <x v="307"/>
    <x v="113"/>
    <x v="1"/>
    <x v="13"/>
    <x v="27"/>
    <x v="1"/>
  </r>
  <r>
    <x v="1000"/>
    <x v="1"/>
    <x v="393"/>
    <x v="568"/>
    <x v="1"/>
    <x v="51"/>
    <x v="70"/>
    <x v="5"/>
    <x v="5"/>
    <x v="9"/>
    <x v="0"/>
    <x v="304"/>
    <x v="162"/>
    <x v="25"/>
    <x v="280"/>
    <x v="780"/>
    <x v="2"/>
    <x v="108"/>
    <x v="96"/>
    <x v="477"/>
    <x v="220"/>
    <x v="1"/>
    <x v="13"/>
    <x v="27"/>
    <x v="1"/>
  </r>
  <r>
    <x v="1002"/>
    <x v="2"/>
    <x v="395"/>
    <x v="568"/>
    <x v="1"/>
    <x v="103"/>
    <x v="8"/>
    <x v="5"/>
    <x v="5"/>
    <x v="9"/>
    <x v="0"/>
    <x v="293"/>
    <x v="145"/>
    <x v="42"/>
    <x v="286"/>
    <x v="622"/>
    <x v="2"/>
    <x v="108"/>
    <x v="96"/>
    <x v="693"/>
    <x v="335"/>
    <x v="1"/>
    <x v="13"/>
    <x v="27"/>
    <x v="1"/>
  </r>
  <r>
    <x v="1004"/>
    <x v="1"/>
    <x v="396"/>
    <x v="568"/>
    <x v="1"/>
    <x v="48"/>
    <x v="15"/>
    <x v="5"/>
    <x v="5"/>
    <x v="9"/>
    <x v="0"/>
    <x v="311"/>
    <x v="155"/>
    <x v="65"/>
    <x v="294"/>
    <x v="460"/>
    <x v="2"/>
    <x v="108"/>
    <x v="96"/>
    <x v="1019"/>
    <x v="489"/>
    <x v="1"/>
    <x v="13"/>
    <x v="27"/>
    <x v="1"/>
  </r>
  <r>
    <x v="1006"/>
    <x v="2"/>
    <x v="397"/>
    <x v="568"/>
    <x v="1"/>
    <x v="66"/>
    <x v="44"/>
    <x v="5"/>
    <x v="5"/>
    <x v="9"/>
    <x v="0"/>
    <x v="325"/>
    <x v="171"/>
    <x v="22"/>
    <x v="291"/>
    <x v="856"/>
    <x v="2"/>
    <x v="108"/>
    <x v="96"/>
    <x v="451"/>
    <x v="194"/>
    <x v="1"/>
    <x v="13"/>
    <x v="27"/>
    <x v="1"/>
  </r>
  <r>
    <x v="1008"/>
    <x v="1"/>
    <x v="398"/>
    <x v="568"/>
    <x v="1"/>
    <x v="82"/>
    <x v="58"/>
    <x v="6"/>
    <x v="6"/>
    <x v="9"/>
    <x v="0"/>
    <x v="414"/>
    <x v="231"/>
    <x v="18"/>
    <x v="314"/>
    <x v="993"/>
    <x v="2"/>
    <x v="108"/>
    <x v="96"/>
    <x v="391"/>
    <x v="153"/>
    <x v="1"/>
    <x v="13"/>
    <x v="27"/>
    <x v="1"/>
  </r>
  <r>
    <x v="1009"/>
    <x v="2"/>
    <x v="399"/>
    <x v="568"/>
    <x v="1"/>
    <x v="53"/>
    <x v="78"/>
    <x v="5"/>
    <x v="5"/>
    <x v="9"/>
    <x v="0"/>
    <x v="249"/>
    <x v="128"/>
    <x v="40"/>
    <x v="259"/>
    <x v="568"/>
    <x v="2"/>
    <x v="108"/>
    <x v="96"/>
    <x v="641"/>
    <x v="317"/>
    <x v="1"/>
    <x v="13"/>
    <x v="27"/>
    <x v="1"/>
  </r>
  <r>
    <x v="1011"/>
    <x v="2"/>
    <x v="400"/>
    <x v="568"/>
    <x v="1"/>
    <x v="85"/>
    <x v="17"/>
    <x v="6"/>
    <x v="6"/>
    <x v="9"/>
    <x v="0"/>
    <x v="346"/>
    <x v="174"/>
    <x v="18"/>
    <x v="309"/>
    <x v="975"/>
    <x v="2"/>
    <x v="108"/>
    <x v="96"/>
    <x v="384"/>
    <x v="153"/>
    <x v="1"/>
    <x v="13"/>
    <x v="27"/>
    <x v="1"/>
  </r>
  <r>
    <x v="1013"/>
    <x v="2"/>
    <x v="401"/>
    <x v="568"/>
    <x v="1"/>
    <x v="91"/>
    <x v="37"/>
    <x v="5"/>
    <x v="5"/>
    <x v="9"/>
    <x v="0"/>
    <x v="262"/>
    <x v="156"/>
    <x v="14"/>
    <x v="244"/>
    <x v="781"/>
    <x v="2"/>
    <x v="108"/>
    <x v="96"/>
    <x v="290"/>
    <x v="113"/>
    <x v="1"/>
    <x v="13"/>
    <x v="27"/>
    <x v="1"/>
  </r>
  <r>
    <x v="1015"/>
    <x v="2"/>
    <x v="402"/>
    <x v="568"/>
    <x v="1"/>
    <x v="75"/>
    <x v="57"/>
    <x v="6"/>
    <x v="6"/>
    <x v="9"/>
    <x v="0"/>
    <x v="598"/>
    <x v="354"/>
    <x v="20"/>
    <x v="344"/>
    <x v="1048"/>
    <x v="2"/>
    <x v="108"/>
    <x v="96"/>
    <x v="447"/>
    <x v="168"/>
    <x v="1"/>
    <x v="13"/>
    <x v="27"/>
    <x v="1"/>
  </r>
  <r>
    <x v="1016"/>
    <x v="2"/>
    <x v="404"/>
    <x v="568"/>
    <x v="1"/>
    <x v="6"/>
    <x v="66"/>
    <x v="6"/>
    <x v="6"/>
    <x v="9"/>
    <x v="0"/>
    <x v="366"/>
    <x v="184"/>
    <x v="32"/>
    <x v="319"/>
    <x v="870"/>
    <x v="2"/>
    <x v="108"/>
    <x v="97"/>
    <x v="588"/>
    <x v="245"/>
    <x v="1"/>
    <x v="14"/>
    <x v="28"/>
    <x v="1"/>
  </r>
  <r>
    <x v="1018"/>
    <x v="2"/>
    <x v="403"/>
    <x v="568"/>
    <x v="1"/>
    <x v="28"/>
    <x v="80"/>
    <x v="5"/>
    <x v="5"/>
    <x v="9"/>
    <x v="0"/>
    <x v="379"/>
    <x v="241"/>
    <x v="37"/>
    <x v="269"/>
    <x v="617"/>
    <x v="2"/>
    <x v="108"/>
    <x v="96"/>
    <x v="618"/>
    <x v="285"/>
    <x v="1"/>
    <x v="13"/>
    <x v="27"/>
    <x v="1"/>
  </r>
  <r>
    <x v="1020"/>
    <x v="2"/>
    <x v="405"/>
    <x v="568"/>
    <x v="1"/>
    <x v="98"/>
    <x v="54"/>
    <x v="5"/>
    <x v="5"/>
    <x v="9"/>
    <x v="0"/>
    <x v="273"/>
    <x v="152"/>
    <x v="22"/>
    <x v="259"/>
    <x v="715"/>
    <x v="2"/>
    <x v="108"/>
    <x v="97"/>
    <x v="432"/>
    <x v="194"/>
    <x v="1"/>
    <x v="14"/>
    <x v="28"/>
    <x v="1"/>
  </r>
  <r>
    <x v="1022"/>
    <x v="2"/>
    <x v="406"/>
    <x v="568"/>
    <x v="1"/>
    <x v="63"/>
    <x v="65"/>
    <x v="6"/>
    <x v="6"/>
    <x v="9"/>
    <x v="0"/>
    <x v="740"/>
    <x v="432"/>
    <x v="13"/>
    <x v="310"/>
    <x v="1043"/>
    <x v="2"/>
    <x v="108"/>
    <x v="97"/>
    <x v="285"/>
    <x v="97"/>
    <x v="1"/>
    <x v="14"/>
    <x v="28"/>
    <x v="1"/>
  </r>
  <r>
    <x v="1024"/>
    <x v="2"/>
    <x v="407"/>
    <x v="568"/>
    <x v="1"/>
    <x v="27"/>
    <x v="13"/>
    <x v="5"/>
    <x v="5"/>
    <x v="9"/>
    <x v="0"/>
    <x v="331"/>
    <x v="179"/>
    <x v="14"/>
    <x v="289"/>
    <x v="955"/>
    <x v="2"/>
    <x v="108"/>
    <x v="97"/>
    <x v="312"/>
    <x v="113"/>
    <x v="1"/>
    <x v="14"/>
    <x v="28"/>
    <x v="1"/>
  </r>
  <r>
    <x v="1026"/>
    <x v="2"/>
    <x v="409"/>
    <x v="66"/>
    <x v="1"/>
    <x v="62"/>
    <x v="86"/>
    <x v="6"/>
    <x v="6"/>
    <x v="9"/>
    <x v="0"/>
    <x v="681"/>
    <x v="386"/>
    <x v="34"/>
    <x v="301"/>
    <x v="770"/>
    <x v="2"/>
    <x v="108"/>
    <x v="97"/>
    <x v="606"/>
    <x v="279"/>
    <x v="1"/>
    <x v="14"/>
    <x v="28"/>
    <x v="1"/>
  </r>
  <r>
    <x v="1028"/>
    <x v="1"/>
    <x v="411"/>
    <x v="67"/>
    <x v="1"/>
    <x v="49"/>
    <x v="41"/>
    <x v="7"/>
    <x v="7"/>
    <x v="9"/>
    <x v="0"/>
    <x v="287"/>
    <x v="167"/>
    <x v="44"/>
    <x v="257"/>
    <x v="528"/>
    <x v="2"/>
    <x v="108"/>
    <x v="97"/>
    <x v="707"/>
    <x v="350"/>
    <x v="1"/>
    <x v="14"/>
    <x v="28"/>
    <x v="1"/>
  </r>
  <r>
    <x v="1030"/>
    <x v="1"/>
    <x v="412"/>
    <x v="68"/>
    <x v="1"/>
    <x v="51"/>
    <x v="70"/>
    <x v="7"/>
    <x v="7"/>
    <x v="9"/>
    <x v="0"/>
    <x v="333"/>
    <x v="163"/>
    <x v="40"/>
    <x v="308"/>
    <x v="736"/>
    <x v="2"/>
    <x v="108"/>
    <x v="97"/>
    <x v="671"/>
    <x v="317"/>
    <x v="1"/>
    <x v="14"/>
    <x v="28"/>
    <x v="1"/>
  </r>
  <r>
    <x v="1032"/>
    <x v="1"/>
    <x v="413"/>
    <x v="69"/>
    <x v="1"/>
    <x v="67"/>
    <x v="63"/>
    <x v="7"/>
    <x v="7"/>
    <x v="9"/>
    <x v="0"/>
    <x v="283"/>
    <x v="153"/>
    <x v="60"/>
    <x v="268"/>
    <x v="456"/>
    <x v="2"/>
    <x v="108"/>
    <x v="97"/>
    <x v="920"/>
    <x v="444"/>
    <x v="1"/>
    <x v="14"/>
    <x v="28"/>
    <x v="1"/>
  </r>
  <r>
    <x v="1034"/>
    <x v="1"/>
    <x v="414"/>
    <x v="70"/>
    <x v="1"/>
    <x v="103"/>
    <x v="8"/>
    <x v="7"/>
    <x v="7"/>
    <x v="9"/>
    <x v="0"/>
    <x v="303"/>
    <x v="146"/>
    <x v="54"/>
    <x v="295"/>
    <x v="543"/>
    <x v="2"/>
    <x v="108"/>
    <x v="97"/>
    <x v="890"/>
    <x v="415"/>
    <x v="1"/>
    <x v="14"/>
    <x v="28"/>
    <x v="1"/>
  </r>
  <r>
    <x v="1036"/>
    <x v="1"/>
    <x v="416"/>
    <x v="72"/>
    <x v="1"/>
    <x v="82"/>
    <x v="58"/>
    <x v="7"/>
    <x v="7"/>
    <x v="9"/>
    <x v="0"/>
    <x v="427"/>
    <x v="240"/>
    <x v="13"/>
    <x v="318"/>
    <x v="1060"/>
    <x v="2"/>
    <x v="108"/>
    <x v="97"/>
    <x v="289"/>
    <x v="95"/>
    <x v="1"/>
    <x v="14"/>
    <x v="28"/>
    <x v="1"/>
  </r>
  <r>
    <x v="1039"/>
    <x v="1"/>
    <x v="415"/>
    <x v="71"/>
    <x v="1"/>
    <x v="66"/>
    <x v="44"/>
    <x v="7"/>
    <x v="7"/>
    <x v="9"/>
    <x v="0"/>
    <x v="330"/>
    <x v="184"/>
    <x v="32"/>
    <x v="283"/>
    <x v="727"/>
    <x v="2"/>
    <x v="108"/>
    <x v="97"/>
    <x v="555"/>
    <x v="245"/>
    <x v="1"/>
    <x v="14"/>
    <x v="28"/>
    <x v="1"/>
  </r>
  <r>
    <x v="1042"/>
    <x v="2"/>
    <x v="418"/>
    <x v="568"/>
    <x v="1"/>
    <x v="53"/>
    <x v="78"/>
    <x v="7"/>
    <x v="7"/>
    <x v="9"/>
    <x v="0"/>
    <x v="289"/>
    <x v="120"/>
    <x v="22"/>
    <x v="307"/>
    <x v="912"/>
    <x v="2"/>
    <x v="108"/>
    <x v="97"/>
    <x v="458"/>
    <x v="194"/>
    <x v="1"/>
    <x v="14"/>
    <x v="28"/>
    <x v="1"/>
  </r>
  <r>
    <x v="1044"/>
    <x v="2"/>
    <x v="419"/>
    <x v="568"/>
    <x v="1"/>
    <x v="85"/>
    <x v="17"/>
    <x v="6"/>
    <x v="6"/>
    <x v="9"/>
    <x v="0"/>
    <x v="343"/>
    <x v="412"/>
    <x v="14"/>
    <x v="85"/>
    <x v="154"/>
    <x v="2"/>
    <x v="108"/>
    <x v="97"/>
    <x v="39"/>
    <x v="113"/>
    <x v="1"/>
    <x v="14"/>
    <x v="28"/>
    <x v="1"/>
  </r>
  <r>
    <x v="1047"/>
    <x v="2"/>
    <x v="421"/>
    <x v="568"/>
    <x v="1"/>
    <x v="85"/>
    <x v="17"/>
    <x v="7"/>
    <x v="7"/>
    <x v="9"/>
    <x v="0"/>
    <x v="113"/>
    <x v="182"/>
    <x v="13"/>
    <x v="89"/>
    <x v="162"/>
    <x v="2"/>
    <x v="108"/>
    <x v="97"/>
    <x v="33"/>
    <x v="83"/>
    <x v="1"/>
    <x v="14"/>
    <x v="28"/>
    <x v="1"/>
  </r>
  <r>
    <x v="1050"/>
    <x v="2"/>
    <x v="420"/>
    <x v="568"/>
    <x v="1"/>
    <x v="98"/>
    <x v="54"/>
    <x v="6"/>
    <x v="6"/>
    <x v="9"/>
    <x v="0"/>
    <x v="321"/>
    <x v="155"/>
    <x v="12"/>
    <x v="304"/>
    <x v="1044"/>
    <x v="2"/>
    <x v="108"/>
    <x v="97"/>
    <x v="248"/>
    <x v="82"/>
    <x v="1"/>
    <x v="14"/>
    <x v="28"/>
    <x v="1"/>
  </r>
  <r>
    <x v="1053"/>
    <x v="2"/>
    <x v="422"/>
    <x v="568"/>
    <x v="1"/>
    <x v="6"/>
    <x v="66"/>
    <x v="6"/>
    <x v="6"/>
    <x v="9"/>
    <x v="0"/>
    <x v="320"/>
    <x v="185"/>
    <x v="8"/>
    <x v="272"/>
    <x v="1016"/>
    <x v="2"/>
    <x v="108"/>
    <x v="97"/>
    <x v="127"/>
    <x v="41"/>
    <x v="1"/>
    <x v="14"/>
    <x v="28"/>
    <x v="1"/>
  </r>
  <r>
    <x v="1056"/>
    <x v="2"/>
    <x v="423"/>
    <x v="568"/>
    <x v="1"/>
    <x v="91"/>
    <x v="37"/>
    <x v="5"/>
    <x v="5"/>
    <x v="9"/>
    <x v="0"/>
    <x v="286"/>
    <x v="148"/>
    <x v="10"/>
    <x v="276"/>
    <x v="988"/>
    <x v="2"/>
    <x v="108"/>
    <x v="97"/>
    <x v="205"/>
    <x v="71"/>
    <x v="1"/>
    <x v="14"/>
    <x v="28"/>
    <x v="1"/>
  </r>
  <r>
    <x v="1060"/>
    <x v="2"/>
    <x v="424"/>
    <x v="568"/>
    <x v="1"/>
    <x v="28"/>
    <x v="80"/>
    <x v="5"/>
    <x v="5"/>
    <x v="9"/>
    <x v="0"/>
    <x v="360"/>
    <x v="237"/>
    <x v="14"/>
    <x v="254"/>
    <x v="817"/>
    <x v="2"/>
    <x v="108"/>
    <x v="97"/>
    <x v="298"/>
    <x v="113"/>
    <x v="1"/>
    <x v="14"/>
    <x v="28"/>
    <x v="1"/>
  </r>
  <r>
    <x v="1063"/>
    <x v="2"/>
    <x v="425"/>
    <x v="568"/>
    <x v="1"/>
    <x v="17"/>
    <x v="71"/>
    <x v="5"/>
    <x v="5"/>
    <x v="9"/>
    <x v="0"/>
    <x v="311"/>
    <x v="174"/>
    <x v="9"/>
    <x v="274"/>
    <x v="1002"/>
    <x v="2"/>
    <x v="108"/>
    <x v="97"/>
    <x v="161"/>
    <x v="51"/>
    <x v="1"/>
    <x v="14"/>
    <x v="28"/>
    <x v="1"/>
  </r>
  <r>
    <x v="1066"/>
    <x v="2"/>
    <x v="428"/>
    <x v="568"/>
    <x v="1"/>
    <x v="49"/>
    <x v="41"/>
    <x v="5"/>
    <x v="5"/>
    <x v="9"/>
    <x v="0"/>
    <x v="276"/>
    <x v="156"/>
    <x v="16"/>
    <x v="258"/>
    <x v="804"/>
    <x v="2"/>
    <x v="108"/>
    <x v="98"/>
    <x v="327"/>
    <x v="143"/>
    <x v="1"/>
    <x v="15"/>
    <x v="29"/>
    <x v="1"/>
  </r>
  <r>
    <x v="1069"/>
    <x v="2"/>
    <x v="426"/>
    <x v="568"/>
    <x v="1"/>
    <x v="30"/>
    <x v="67"/>
    <x v="5"/>
    <x v="5"/>
    <x v="9"/>
    <x v="0"/>
    <x v="242"/>
    <x v="129"/>
    <x v="16"/>
    <x v="250"/>
    <x v="775"/>
    <x v="2"/>
    <x v="108"/>
    <x v="98"/>
    <x v="323"/>
    <x v="145"/>
    <x v="1"/>
    <x v="15"/>
    <x v="29"/>
    <x v="1"/>
  </r>
  <r>
    <x v="1072"/>
    <x v="0"/>
    <x v="427"/>
    <x v="568"/>
    <x v="1"/>
    <x v="27"/>
    <x v="13"/>
    <x v="5"/>
    <x v="5"/>
    <x v="9"/>
    <x v="0"/>
    <x v="333"/>
    <x v="178"/>
    <x v="13"/>
    <x v="292"/>
    <x v="994"/>
    <x v="2"/>
    <x v="108"/>
    <x v="98"/>
    <x v="277"/>
    <x v="99"/>
    <x v="1"/>
    <x v="15"/>
    <x v="29"/>
    <x v="1"/>
  </r>
  <r>
    <x v="1074"/>
    <x v="0"/>
    <x v="429"/>
    <x v="568"/>
    <x v="1"/>
    <x v="75"/>
    <x v="57"/>
    <x v="5"/>
    <x v="5"/>
    <x v="9"/>
    <x v="0"/>
    <x v="568"/>
    <x v="365"/>
    <x v="5"/>
    <x v="271"/>
    <x v="1050"/>
    <x v="2"/>
    <x v="108"/>
    <x v="98"/>
    <x v="73"/>
    <x v="13"/>
    <x v="1"/>
    <x v="15"/>
    <x v="29"/>
    <x v="1"/>
  </r>
  <r>
    <x v="1076"/>
    <x v="0"/>
    <x v="430"/>
    <x v="568"/>
    <x v="1"/>
    <x v="63"/>
    <x v="65"/>
    <x v="5"/>
    <x v="5"/>
    <x v="9"/>
    <x v="0"/>
    <x v="736"/>
    <x v="439"/>
    <x v="12"/>
    <x v="290"/>
    <x v="1008"/>
    <x v="2"/>
    <x v="108"/>
    <x v="98"/>
    <x v="246"/>
    <x v="82"/>
    <x v="1"/>
    <x v="15"/>
    <x v="29"/>
    <x v="1"/>
  </r>
  <r>
    <x v="1078"/>
    <x v="2"/>
    <x v="431"/>
    <x v="568"/>
    <x v="1"/>
    <x v="48"/>
    <x v="15"/>
    <x v="63"/>
    <x v="42"/>
    <x v="9"/>
    <x v="0"/>
    <x v="334"/>
    <x v="408"/>
    <x v="20"/>
    <x v="98"/>
    <x v="160"/>
    <x v="2"/>
    <x v="108"/>
    <x v="98"/>
    <x v="71"/>
    <x v="189"/>
    <x v="1"/>
    <x v="15"/>
    <x v="29"/>
    <x v="1"/>
  </r>
  <r>
    <x v="1080"/>
    <x v="2"/>
    <x v="438"/>
    <x v="568"/>
    <x v="1"/>
    <x v="48"/>
    <x v="15"/>
    <x v="5"/>
    <x v="5"/>
    <x v="9"/>
    <x v="0"/>
    <x v="108"/>
    <x v="163"/>
    <x v="42"/>
    <x v="83"/>
    <x v="124"/>
    <x v="2"/>
    <x v="108"/>
    <x v="98"/>
    <x v="184"/>
    <x v="344"/>
    <x v="1"/>
    <x v="15"/>
    <x v="29"/>
    <x v="1"/>
  </r>
  <r>
    <x v="1082"/>
    <x v="1"/>
    <x v="434"/>
    <x v="568"/>
    <x v="0"/>
    <x v="89"/>
    <x v="76"/>
    <x v="2"/>
    <x v="2"/>
    <x v="27"/>
    <x v="0"/>
    <x v="2"/>
    <x v="3"/>
    <x v="42"/>
    <x v="3"/>
    <x v="4"/>
    <x v="2"/>
    <x v="108"/>
    <x v="98"/>
    <x v="7"/>
    <x v="346"/>
    <x v="1"/>
    <x v="15"/>
    <x v="29"/>
    <x v="1"/>
  </r>
  <r>
    <x v="1086"/>
    <x v="2"/>
    <x v="436"/>
    <x v="86"/>
    <x v="1"/>
    <x v="51"/>
    <x v="70"/>
    <x v="6"/>
    <x v="6"/>
    <x v="9"/>
    <x v="0"/>
    <x v="289"/>
    <x v="400"/>
    <x v="32"/>
    <x v="83"/>
    <x v="132"/>
    <x v="2"/>
    <x v="108"/>
    <x v="98"/>
    <x v="107"/>
    <x v="274"/>
    <x v="1"/>
    <x v="15"/>
    <x v="29"/>
    <x v="1"/>
  </r>
  <r>
    <x v="1089"/>
    <x v="2"/>
    <x v="437"/>
    <x v="46"/>
    <x v="1"/>
    <x v="67"/>
    <x v="63"/>
    <x v="6"/>
    <x v="6"/>
    <x v="9"/>
    <x v="0"/>
    <x v="302"/>
    <x v="153"/>
    <x v="20"/>
    <x v="287"/>
    <x v="867"/>
    <x v="2"/>
    <x v="108"/>
    <x v="98"/>
    <x v="415"/>
    <x v="158"/>
    <x v="1"/>
    <x v="15"/>
    <x v="29"/>
    <x v="1"/>
  </r>
  <r>
    <x v="1091"/>
    <x v="1"/>
    <x v="442"/>
    <x v="568"/>
    <x v="0"/>
    <x v="6"/>
    <x v="66"/>
    <x v="3"/>
    <x v="3"/>
    <x v="27"/>
    <x v="0"/>
    <x v="74"/>
    <x v="36"/>
    <x v="65"/>
    <x v="108"/>
    <x v="120"/>
    <x v="2"/>
    <x v="108"/>
    <x v="98"/>
    <x v="397"/>
    <x v="492"/>
    <x v="1"/>
    <x v="15"/>
    <x v="29"/>
    <x v="1"/>
  </r>
  <r>
    <x v="1093"/>
    <x v="1"/>
    <x v="448"/>
    <x v="94"/>
    <x v="1"/>
    <x v="28"/>
    <x v="80"/>
    <x v="8"/>
    <x v="8"/>
    <x v="27"/>
    <x v="0"/>
    <x v="429"/>
    <x v="228"/>
    <x v="47"/>
    <x v="332"/>
    <x v="737"/>
    <x v="2"/>
    <x v="108"/>
    <x v="99"/>
    <x v="813"/>
    <x v="369"/>
    <x v="1"/>
    <x v="16"/>
    <x v="30"/>
    <x v="1"/>
  </r>
  <r>
    <x v="1095"/>
    <x v="1"/>
    <x v="449"/>
    <x v="568"/>
    <x v="0"/>
    <x v="86"/>
    <x v="77"/>
    <x v="3"/>
    <x v="3"/>
    <x v="27"/>
    <x v="0"/>
    <x v="36"/>
    <x v="11"/>
    <x v="13"/>
    <x v="57"/>
    <x v="95"/>
    <x v="2"/>
    <x v="108"/>
    <x v="99"/>
    <x v="16"/>
    <x v="111"/>
    <x v="1"/>
    <x v="16"/>
    <x v="30"/>
    <x v="1"/>
  </r>
  <r>
    <x v="1097"/>
    <x v="1"/>
    <x v="450"/>
    <x v="568"/>
    <x v="1"/>
    <x v="9"/>
    <x v="33"/>
    <x v="8"/>
    <x v="8"/>
    <x v="27"/>
    <x v="0"/>
    <x v="228"/>
    <x v="70"/>
    <x v="69"/>
    <x v="290"/>
    <x v="405"/>
    <x v="2"/>
    <x v="108"/>
    <x v="99"/>
    <x v="1082"/>
    <x v="520"/>
    <x v="1"/>
    <x v="16"/>
    <x v="30"/>
    <x v="1"/>
  </r>
  <r>
    <x v="1099"/>
    <x v="1"/>
    <x v="451"/>
    <x v="568"/>
    <x v="1"/>
    <x v="40"/>
    <x v="53"/>
    <x v="8"/>
    <x v="8"/>
    <x v="27"/>
    <x v="0"/>
    <x v="490"/>
    <x v="211"/>
    <x v="42"/>
    <x v="412"/>
    <x v="1099"/>
    <x v="2"/>
    <x v="108"/>
    <x v="99"/>
    <x v="823"/>
    <x v="326"/>
    <x v="1"/>
    <x v="16"/>
    <x v="30"/>
    <x v="1"/>
  </r>
  <r>
    <x v="1101"/>
    <x v="1"/>
    <x v="452"/>
    <x v="568"/>
    <x v="0"/>
    <x v="89"/>
    <x v="76"/>
    <x v="3"/>
    <x v="3"/>
    <x v="27"/>
    <x v="0"/>
    <x v="6"/>
    <x v="5"/>
    <x v="16"/>
    <x v="11"/>
    <x v="31"/>
    <x v="2"/>
    <x v="108"/>
    <x v="99"/>
    <x v="13"/>
    <x v="151"/>
    <x v="1"/>
    <x v="16"/>
    <x v="30"/>
    <x v="1"/>
  </r>
  <r>
    <x v="1103"/>
    <x v="1"/>
    <x v="453"/>
    <x v="568"/>
    <x v="0"/>
    <x v="86"/>
    <x v="77"/>
    <x v="2"/>
    <x v="2"/>
    <x v="27"/>
    <x v="0"/>
    <x v="4"/>
    <x v="7"/>
    <x v="32"/>
    <x v="6"/>
    <x v="10"/>
    <x v="2"/>
    <x v="108"/>
    <x v="99"/>
    <x v="5"/>
    <x v="276"/>
    <x v="1"/>
    <x v="16"/>
    <x v="30"/>
    <x v="1"/>
  </r>
  <r>
    <x v="1104"/>
    <x v="1"/>
    <x v="454"/>
    <x v="568"/>
    <x v="0"/>
    <x v="89"/>
    <x v="76"/>
    <x v="2"/>
    <x v="2"/>
    <x v="27"/>
    <x v="0"/>
    <x v="19"/>
    <x v="2"/>
    <x v="68"/>
    <x v="34"/>
    <x v="38"/>
    <x v="2"/>
    <x v="108"/>
    <x v="99"/>
    <x v="162"/>
    <x v="519"/>
    <x v="1"/>
    <x v="16"/>
    <x v="30"/>
    <x v="1"/>
  </r>
  <r>
    <x v="1106"/>
    <x v="1"/>
    <x v="455"/>
    <x v="568"/>
    <x v="0"/>
    <x v="91"/>
    <x v="37"/>
    <x v="2"/>
    <x v="2"/>
    <x v="27"/>
    <x v="0"/>
    <x v="338"/>
    <x v="161"/>
    <x v="42"/>
    <x v="315"/>
    <x v="733"/>
    <x v="2"/>
    <x v="108"/>
    <x v="99"/>
    <x v="720"/>
    <x v="319"/>
    <x v="1"/>
    <x v="16"/>
    <x v="30"/>
    <x v="1"/>
  </r>
  <r>
    <x v="1107"/>
    <x v="1"/>
    <x v="456"/>
    <x v="568"/>
    <x v="0"/>
    <x v="103"/>
    <x v="8"/>
    <x v="2"/>
    <x v="2"/>
    <x v="27"/>
    <x v="0"/>
    <x v="313"/>
    <x v="153"/>
    <x v="37"/>
    <x v="298"/>
    <x v="723"/>
    <x v="2"/>
    <x v="108"/>
    <x v="100"/>
    <x v="634"/>
    <x v="296"/>
    <x v="1"/>
    <x v="17"/>
    <x v="31"/>
    <x v="1"/>
  </r>
  <r>
    <x v="1109"/>
    <x v="1"/>
    <x v="457"/>
    <x v="568"/>
    <x v="0"/>
    <x v="16"/>
    <x v="42"/>
    <x v="2"/>
    <x v="2"/>
    <x v="27"/>
    <x v="0"/>
    <x v="419"/>
    <x v="243"/>
    <x v="37"/>
    <x v="306"/>
    <x v="756"/>
    <x v="2"/>
    <x v="108"/>
    <x v="100"/>
    <x v="639"/>
    <x v="295"/>
    <x v="1"/>
    <x v="17"/>
    <x v="31"/>
    <x v="1"/>
  </r>
  <r>
    <x v="1111"/>
    <x v="1"/>
    <x v="458"/>
    <x v="568"/>
    <x v="0"/>
    <x v="9"/>
    <x v="33"/>
    <x v="2"/>
    <x v="2"/>
    <x v="27"/>
    <x v="0"/>
    <x v="246"/>
    <x v="74"/>
    <x v="32"/>
    <x v="311"/>
    <x v="842"/>
    <x v="2"/>
    <x v="108"/>
    <x v="100"/>
    <x v="583"/>
    <x v="245"/>
    <x v="1"/>
    <x v="17"/>
    <x v="31"/>
    <x v="1"/>
  </r>
  <r>
    <x v="1113"/>
    <x v="1"/>
    <x v="459"/>
    <x v="568"/>
    <x v="0"/>
    <x v="63"/>
    <x v="65"/>
    <x v="2"/>
    <x v="2"/>
    <x v="27"/>
    <x v="0"/>
    <x v="747"/>
    <x v="447"/>
    <x v="25"/>
    <x v="307"/>
    <x v="883"/>
    <x v="2"/>
    <x v="108"/>
    <x v="100"/>
    <x v="500"/>
    <x v="198"/>
    <x v="1"/>
    <x v="17"/>
    <x v="31"/>
    <x v="1"/>
  </r>
  <r>
    <x v="1115"/>
    <x v="0"/>
    <x v="443"/>
    <x v="556"/>
    <x v="1"/>
    <x v="51"/>
    <x v="70"/>
    <x v="63"/>
    <x v="42"/>
    <x v="9"/>
    <x v="0"/>
    <x v="103"/>
    <x v="169"/>
    <x v="129"/>
    <x v="72"/>
    <x v="172"/>
    <x v="2"/>
    <x v="108"/>
    <x v="98"/>
    <x v="0"/>
    <x v="0"/>
    <x v="1"/>
    <x v="15"/>
    <x v="29"/>
    <x v="1"/>
  </r>
  <r>
    <x v="1117"/>
    <x v="0"/>
    <x v="444"/>
    <x v="569"/>
    <x v="1"/>
    <x v="103"/>
    <x v="8"/>
    <x v="6"/>
    <x v="6"/>
    <x v="9"/>
    <x v="0"/>
    <x v="102"/>
    <x v="140"/>
    <x v="129"/>
    <x v="81"/>
    <x v="190"/>
    <x v="2"/>
    <x v="108"/>
    <x v="98"/>
    <x v="0"/>
    <x v="0"/>
    <x v="1"/>
    <x v="15"/>
    <x v="29"/>
    <x v="1"/>
  </r>
  <r>
    <x v="1118"/>
    <x v="0"/>
    <x v="447"/>
    <x v="559"/>
    <x v="1"/>
    <x v="62"/>
    <x v="86"/>
    <x v="6"/>
    <x v="6"/>
    <x v="9"/>
    <x v="0"/>
    <x v="251"/>
    <x v="392"/>
    <x v="129"/>
    <x v="73"/>
    <x v="178"/>
    <x v="2"/>
    <x v="108"/>
    <x v="98"/>
    <x v="0"/>
    <x v="0"/>
    <x v="1"/>
    <x v="15"/>
    <x v="29"/>
    <x v="1"/>
  </r>
  <r>
    <x v="1120"/>
    <x v="0"/>
    <x v="441"/>
    <x v="558"/>
    <x v="1"/>
    <x v="82"/>
    <x v="58"/>
    <x v="6"/>
    <x v="6"/>
    <x v="9"/>
    <x v="0"/>
    <x v="411"/>
    <x v="232"/>
    <x v="129"/>
    <x v="310"/>
    <x v="1179"/>
    <x v="2"/>
    <x v="108"/>
    <x v="98"/>
    <x v="0"/>
    <x v="0"/>
    <x v="1"/>
    <x v="15"/>
    <x v="29"/>
    <x v="1"/>
  </r>
  <r>
    <x v="1122"/>
    <x v="0"/>
    <x v="446"/>
    <x v="557"/>
    <x v="1"/>
    <x v="66"/>
    <x v="44"/>
    <x v="6"/>
    <x v="6"/>
    <x v="9"/>
    <x v="0"/>
    <x v="110"/>
    <x v="193"/>
    <x v="129"/>
    <x v="78"/>
    <x v="186"/>
    <x v="2"/>
    <x v="108"/>
    <x v="98"/>
    <x v="0"/>
    <x v="0"/>
    <x v="1"/>
    <x v="15"/>
    <x v="29"/>
    <x v="1"/>
  </r>
  <r>
    <x v="1124"/>
    <x v="1"/>
    <x v="460"/>
    <x v="568"/>
    <x v="0"/>
    <x v="27"/>
    <x v="13"/>
    <x v="2"/>
    <x v="2"/>
    <x v="27"/>
    <x v="0"/>
    <x v="358"/>
    <x v="184"/>
    <x v="8"/>
    <x v="311"/>
    <x v="1097"/>
    <x v="2"/>
    <x v="108"/>
    <x v="100"/>
    <x v="145"/>
    <x v="28"/>
    <x v="1"/>
    <x v="17"/>
    <x v="31"/>
    <x v="1"/>
  </r>
  <r>
    <x v="1125"/>
    <x v="2"/>
    <x v="439"/>
    <x v="568"/>
    <x v="1"/>
    <x v="103"/>
    <x v="8"/>
    <x v="6"/>
    <x v="6"/>
    <x v="9"/>
    <x v="0"/>
    <x v="286"/>
    <x v="399"/>
    <x v="42"/>
    <x v="82"/>
    <x v="123"/>
    <x v="2"/>
    <x v="108"/>
    <x v="98"/>
    <x v="181"/>
    <x v="345"/>
    <x v="1"/>
    <x v="15"/>
    <x v="29"/>
    <x v="1"/>
  </r>
  <r>
    <x v="1127"/>
    <x v="2"/>
    <x v="440"/>
    <x v="89"/>
    <x v="1"/>
    <x v="66"/>
    <x v="44"/>
    <x v="6"/>
    <x v="6"/>
    <x v="9"/>
    <x v="0"/>
    <x v="333"/>
    <x v="410"/>
    <x v="10"/>
    <x v="83"/>
    <x v="163"/>
    <x v="2"/>
    <x v="108"/>
    <x v="98"/>
    <x v="26"/>
    <x v="78"/>
    <x v="1"/>
    <x v="15"/>
    <x v="29"/>
    <x v="1"/>
  </r>
  <r>
    <x v="1129"/>
    <x v="2"/>
    <x v="445"/>
    <x v="91"/>
    <x v="1"/>
    <x v="62"/>
    <x v="86"/>
    <x v="6"/>
    <x v="6"/>
    <x v="9"/>
    <x v="0"/>
    <x v="676"/>
    <x v="461"/>
    <x v="37"/>
    <x v="91"/>
    <x v="136"/>
    <x v="2"/>
    <x v="108"/>
    <x v="98"/>
    <x v="157"/>
    <x v="285"/>
    <x v="1"/>
    <x v="15"/>
    <x v="29"/>
    <x v="1"/>
  </r>
  <r>
    <x v="1131"/>
    <x v="1"/>
    <x v="464"/>
    <x v="568"/>
    <x v="0"/>
    <x v="6"/>
    <x v="66"/>
    <x v="2"/>
    <x v="2"/>
    <x v="27"/>
    <x v="0"/>
    <x v="342"/>
    <x v="189"/>
    <x v="32"/>
    <x v="290"/>
    <x v="753"/>
    <x v="2"/>
    <x v="108"/>
    <x v="100"/>
    <x v="564"/>
    <x v="267"/>
    <x v="1"/>
    <x v="17"/>
    <x v="31"/>
    <x v="1"/>
  </r>
  <r>
    <x v="1132"/>
    <x v="0"/>
    <x v="441"/>
    <x v="561"/>
    <x v="1"/>
    <x v="53"/>
    <x v="78"/>
    <x v="6"/>
    <x v="6"/>
    <x v="9"/>
    <x v="0"/>
    <x v="277"/>
    <x v="130"/>
    <x v="28"/>
    <x v="285"/>
    <x v="766"/>
    <x v="2"/>
    <x v="108"/>
    <x v="98"/>
    <x v="516"/>
    <x v="237"/>
    <x v="1"/>
    <x v="15"/>
    <x v="29"/>
    <x v="1"/>
  </r>
  <r>
    <x v="1134"/>
    <x v="0"/>
    <x v="441"/>
    <x v="563"/>
    <x v="1"/>
    <x v="85"/>
    <x v="17"/>
    <x v="6"/>
    <x v="6"/>
    <x v="9"/>
    <x v="0"/>
    <x v="333"/>
    <x v="191"/>
    <x v="31"/>
    <x v="279"/>
    <x v="709"/>
    <x v="2"/>
    <x v="108"/>
    <x v="98"/>
    <x v="539"/>
    <x v="242"/>
    <x v="1"/>
    <x v="15"/>
    <x v="29"/>
    <x v="1"/>
  </r>
  <r>
    <x v="1136"/>
    <x v="0"/>
    <x v="441"/>
    <x v="562"/>
    <x v="1"/>
    <x v="53"/>
    <x v="78"/>
    <x v="6"/>
    <x v="6"/>
    <x v="9"/>
    <x v="0"/>
    <x v="297"/>
    <x v="132"/>
    <x v="45"/>
    <x v="303"/>
    <x v="642"/>
    <x v="2"/>
    <x v="108"/>
    <x v="99"/>
    <x v="758"/>
    <x v="351"/>
    <x v="1"/>
    <x v="16"/>
    <x v="30"/>
    <x v="1"/>
  </r>
  <r>
    <x v="1138"/>
    <x v="1"/>
    <x v="465"/>
    <x v="568"/>
    <x v="0"/>
    <x v="30"/>
    <x v="67"/>
    <x v="2"/>
    <x v="2"/>
    <x v="27"/>
    <x v="0"/>
    <x v="258"/>
    <x v="151"/>
    <x v="8"/>
    <x v="245"/>
    <x v="923"/>
    <x v="2"/>
    <x v="108"/>
    <x v="100"/>
    <x v="111"/>
    <x v="28"/>
    <x v="1"/>
    <x v="17"/>
    <x v="31"/>
    <x v="1"/>
  </r>
  <r>
    <x v="1140"/>
    <x v="0"/>
    <x v="441"/>
    <x v="572"/>
    <x v="1"/>
    <x v="98"/>
    <x v="54"/>
    <x v="6"/>
    <x v="6"/>
    <x v="9"/>
    <x v="0"/>
    <x v="303"/>
    <x v="189"/>
    <x v="23"/>
    <x v="251"/>
    <x v="673"/>
    <x v="2"/>
    <x v="108"/>
    <x v="99"/>
    <x v="438"/>
    <x v="195"/>
    <x v="1"/>
    <x v="16"/>
    <x v="30"/>
    <x v="1"/>
  </r>
  <r>
    <x v="1273"/>
    <x v="0"/>
    <x v="441"/>
    <x v="574"/>
    <x v="1"/>
    <x v="53"/>
    <x v="78"/>
    <x v="6"/>
    <x v="6"/>
    <x v="9"/>
    <x v="0"/>
    <x v="267"/>
    <x v="144"/>
    <x v="31"/>
    <x v="261"/>
    <x v="646"/>
    <x v="2"/>
    <x v="108"/>
    <x v="99"/>
    <x v="533"/>
    <x v="243"/>
    <x v="1"/>
    <x v="16"/>
    <x v="30"/>
    <x v="1"/>
  </r>
  <r>
    <x v="1274"/>
    <x v="0"/>
    <x v="441"/>
    <x v="576"/>
    <x v="1"/>
    <x v="85"/>
    <x v="17"/>
    <x v="6"/>
    <x v="6"/>
    <x v="9"/>
    <x v="0"/>
    <x v="341"/>
    <x v="195"/>
    <x v="19"/>
    <x v="283"/>
    <x v="874"/>
    <x v="2"/>
    <x v="108"/>
    <x v="99"/>
    <x v="374"/>
    <x v="154"/>
    <x v="1"/>
    <x v="16"/>
    <x v="30"/>
    <x v="1"/>
  </r>
  <r>
    <x v="1275"/>
    <x v="0"/>
    <x v="441"/>
    <x v="573"/>
    <x v="1"/>
    <x v="85"/>
    <x v="17"/>
    <x v="6"/>
    <x v="6"/>
    <x v="9"/>
    <x v="0"/>
    <x v="353"/>
    <x v="197"/>
    <x v="59"/>
    <x v="293"/>
    <x v="513"/>
    <x v="2"/>
    <x v="108"/>
    <x v="99"/>
    <x v="924"/>
    <x v="443"/>
    <x v="1"/>
    <x v="16"/>
    <x v="30"/>
    <x v="1"/>
  </r>
  <r>
    <x v="1276"/>
    <x v="0"/>
    <x v="441"/>
    <x v="578"/>
    <x v="1"/>
    <x v="98"/>
    <x v="54"/>
    <x v="6"/>
    <x v="6"/>
    <x v="9"/>
    <x v="0"/>
    <x v="590"/>
    <x v="185"/>
    <x v="24"/>
    <x v="542"/>
    <x v="1311"/>
    <x v="2"/>
    <x v="108"/>
    <x v="99"/>
    <x v="730"/>
    <x v="197"/>
    <x v="1"/>
    <x v="16"/>
    <x v="30"/>
    <x v="1"/>
  </r>
  <r>
    <x v="1277"/>
    <x v="0"/>
    <x v="441"/>
    <x v="575"/>
    <x v="1"/>
    <x v="98"/>
    <x v="54"/>
    <x v="6"/>
    <x v="6"/>
    <x v="9"/>
    <x v="0"/>
    <x v="331"/>
    <x v="160"/>
    <x v="39"/>
    <x v="309"/>
    <x v="749"/>
    <x v="2"/>
    <x v="108"/>
    <x v="99"/>
    <x v="658"/>
    <x v="316"/>
    <x v="1"/>
    <x v="16"/>
    <x v="30"/>
    <x v="1"/>
  </r>
  <r>
    <x v="1278"/>
    <x v="0"/>
    <x v="447"/>
    <x v="571"/>
    <x v="1"/>
    <x v="100"/>
    <x v="16"/>
    <x v="6"/>
    <x v="6"/>
    <x v="9"/>
    <x v="0"/>
    <x v="297"/>
    <x v="179"/>
    <x v="48"/>
    <x v="255"/>
    <x v="489"/>
    <x v="2"/>
    <x v="108"/>
    <x v="99"/>
    <x v="767"/>
    <x v="386"/>
    <x v="1"/>
    <x v="16"/>
    <x v="30"/>
    <x v="1"/>
  </r>
  <r>
    <x v="1279"/>
    <x v="1"/>
    <x v="467"/>
    <x v="568"/>
    <x v="0"/>
    <x v="17"/>
    <x v="71"/>
    <x v="2"/>
    <x v="2"/>
    <x v="27"/>
    <x v="0"/>
    <x v="318"/>
    <x v="197"/>
    <x v="37"/>
    <x v="258"/>
    <x v="586"/>
    <x v="2"/>
    <x v="108"/>
    <x v="100"/>
    <x v="610"/>
    <x v="303"/>
    <x v="1"/>
    <x v="17"/>
    <x v="31"/>
    <x v="1"/>
  </r>
  <r>
    <x v="1280"/>
    <x v="1"/>
    <x v="470"/>
    <x v="568"/>
    <x v="0"/>
    <x v="91"/>
    <x v="37"/>
    <x v="2"/>
    <x v="2"/>
    <x v="27"/>
    <x v="0"/>
    <x v="283"/>
    <x v="155"/>
    <x v="16"/>
    <x v="266"/>
    <x v="841"/>
    <x v="2"/>
    <x v="108"/>
    <x v="100"/>
    <x v="331"/>
    <x v="142"/>
    <x v="1"/>
    <x v="17"/>
    <x v="31"/>
    <x v="1"/>
  </r>
  <r>
    <x v="1281"/>
    <x v="1"/>
    <x v="471"/>
    <x v="568"/>
    <x v="0"/>
    <x v="103"/>
    <x v="8"/>
    <x v="2"/>
    <x v="2"/>
    <x v="27"/>
    <x v="0"/>
    <x v="296"/>
    <x v="148"/>
    <x v="34"/>
    <x v="286"/>
    <x v="699"/>
    <x v="2"/>
    <x v="108"/>
    <x v="100"/>
    <x v="598"/>
    <x v="279"/>
    <x v="1"/>
    <x v="17"/>
    <x v="31"/>
    <x v="1"/>
  </r>
  <r>
    <x v="1282"/>
    <x v="1"/>
    <x v="472"/>
    <x v="568"/>
    <x v="0"/>
    <x v="16"/>
    <x v="42"/>
    <x v="2"/>
    <x v="2"/>
    <x v="27"/>
    <x v="0"/>
    <x v="384"/>
    <x v="235"/>
    <x v="8"/>
    <x v="280"/>
    <x v="1040"/>
    <x v="2"/>
    <x v="108"/>
    <x v="100"/>
    <x v="133"/>
    <x v="38"/>
    <x v="1"/>
    <x v="17"/>
    <x v="31"/>
    <x v="1"/>
  </r>
  <r>
    <x v="1283"/>
    <x v="1"/>
    <x v="473"/>
    <x v="568"/>
    <x v="0"/>
    <x v="62"/>
    <x v="86"/>
    <x v="2"/>
    <x v="2"/>
    <x v="27"/>
    <x v="0"/>
    <x v="678"/>
    <x v="390"/>
    <x v="25"/>
    <x v="285"/>
    <x v="795"/>
    <x v="2"/>
    <x v="108"/>
    <x v="100"/>
    <x v="482"/>
    <x v="198"/>
    <x v="1"/>
    <x v="17"/>
    <x v="31"/>
    <x v="1"/>
  </r>
  <r>
    <x v="1284"/>
    <x v="1"/>
    <x v="474"/>
    <x v="568"/>
    <x v="0"/>
    <x v="48"/>
    <x v="15"/>
    <x v="2"/>
    <x v="2"/>
    <x v="27"/>
    <x v="0"/>
    <x v="307"/>
    <x v="158"/>
    <x v="8"/>
    <x v="287"/>
    <x v="1055"/>
    <x v="2"/>
    <x v="108"/>
    <x v="100"/>
    <x v="135"/>
    <x v="28"/>
    <x v="1"/>
    <x v="17"/>
    <x v="31"/>
    <x v="1"/>
  </r>
  <r>
    <x v="1285"/>
    <x v="1"/>
    <x v="475"/>
    <x v="207"/>
    <x v="0"/>
    <x v="9"/>
    <x v="33"/>
    <x v="2"/>
    <x v="2"/>
    <x v="27"/>
    <x v="0"/>
    <x v="238"/>
    <x v="74"/>
    <x v="16"/>
    <x v="300"/>
    <x v="969"/>
    <x v="2"/>
    <x v="108"/>
    <x v="100"/>
    <x v="346"/>
    <x v="136"/>
    <x v="1"/>
    <x v="17"/>
    <x v="31"/>
    <x v="1"/>
  </r>
  <r>
    <x v="1286"/>
    <x v="1"/>
    <x v="476"/>
    <x v="208"/>
    <x v="0"/>
    <x v="27"/>
    <x v="13"/>
    <x v="2"/>
    <x v="2"/>
    <x v="27"/>
    <x v="0"/>
    <x v="324"/>
    <x v="178"/>
    <x v="10"/>
    <x v="283"/>
    <x v="1009"/>
    <x v="2"/>
    <x v="108"/>
    <x v="100"/>
    <x v="209"/>
    <x v="52"/>
    <x v="1"/>
    <x v="17"/>
    <x v="31"/>
    <x v="1"/>
  </r>
  <r>
    <x v="1287"/>
    <x v="1"/>
    <x v="477"/>
    <x v="207"/>
    <x v="0"/>
    <x v="63"/>
    <x v="65"/>
    <x v="2"/>
    <x v="2"/>
    <x v="27"/>
    <x v="0"/>
    <x v="725"/>
    <x v="440"/>
    <x v="10"/>
    <x v="236"/>
    <x v="826"/>
    <x v="2"/>
    <x v="108"/>
    <x v="100"/>
    <x v="177"/>
    <x v="52"/>
    <x v="1"/>
    <x v="17"/>
    <x v="31"/>
    <x v="1"/>
  </r>
  <r>
    <x v="1288"/>
    <x v="1"/>
    <x v="478"/>
    <x v="208"/>
    <x v="0"/>
    <x v="6"/>
    <x v="66"/>
    <x v="2"/>
    <x v="2"/>
    <x v="27"/>
    <x v="0"/>
    <x v="292"/>
    <x v="189"/>
    <x v="8"/>
    <x v="240"/>
    <x v="904"/>
    <x v="2"/>
    <x v="108"/>
    <x v="101"/>
    <x v="109"/>
    <x v="45"/>
    <x v="1"/>
    <x v="18"/>
    <x v="32"/>
    <x v="1"/>
  </r>
  <r>
    <x v="1289"/>
    <x v="1"/>
    <x v="479"/>
    <x v="209"/>
    <x v="0"/>
    <x v="91"/>
    <x v="37"/>
    <x v="2"/>
    <x v="2"/>
    <x v="27"/>
    <x v="0"/>
    <x v="245"/>
    <x v="151"/>
    <x v="5"/>
    <x v="234"/>
    <x v="926"/>
    <x v="2"/>
    <x v="108"/>
    <x v="101"/>
    <x v="60"/>
    <x v="23"/>
    <x v="1"/>
    <x v="18"/>
    <x v="32"/>
    <x v="1"/>
  </r>
  <r>
    <x v="1290"/>
    <x v="1"/>
    <x v="480"/>
    <x v="209"/>
    <x v="0"/>
    <x v="103"/>
    <x v="8"/>
    <x v="2"/>
    <x v="2"/>
    <x v="27"/>
    <x v="0"/>
    <x v="272"/>
    <x v="152"/>
    <x v="8"/>
    <x v="258"/>
    <x v="974"/>
    <x v="2"/>
    <x v="108"/>
    <x v="101"/>
    <x v="115"/>
    <x v="44"/>
    <x v="1"/>
    <x v="18"/>
    <x v="32"/>
    <x v="1"/>
  </r>
  <r>
    <x v="1291"/>
    <x v="1"/>
    <x v="481"/>
    <x v="210"/>
    <x v="0"/>
    <x v="17"/>
    <x v="71"/>
    <x v="2"/>
    <x v="2"/>
    <x v="27"/>
    <x v="0"/>
    <x v="375"/>
    <x v="183"/>
    <x v="13"/>
    <x v="329"/>
    <x v="1084"/>
    <x v="2"/>
    <x v="108"/>
    <x v="101"/>
    <x v="297"/>
    <x v="83"/>
    <x v="1"/>
    <x v="18"/>
    <x v="32"/>
    <x v="1"/>
  </r>
  <r>
    <x v="1292"/>
    <x v="1"/>
    <x v="482"/>
    <x v="210"/>
    <x v="0"/>
    <x v="30"/>
    <x v="67"/>
    <x v="3"/>
    <x v="3"/>
    <x v="27"/>
    <x v="0"/>
    <x v="240"/>
    <x v="137"/>
    <x v="8"/>
    <x v="239"/>
    <x v="894"/>
    <x v="2"/>
    <x v="108"/>
    <x v="101"/>
    <x v="108"/>
    <x v="46"/>
    <x v="1"/>
    <x v="18"/>
    <x v="32"/>
    <x v="1"/>
  </r>
  <r>
    <x v="1293"/>
    <x v="1"/>
    <x v="483"/>
    <x v="211"/>
    <x v="0"/>
    <x v="16"/>
    <x v="42"/>
    <x v="3"/>
    <x v="3"/>
    <x v="27"/>
    <x v="0"/>
    <x v="363"/>
    <x v="235"/>
    <x v="13"/>
    <x v="259"/>
    <x v="869"/>
    <x v="2"/>
    <x v="108"/>
    <x v="101"/>
    <x v="262"/>
    <x v="83"/>
    <x v="1"/>
    <x v="18"/>
    <x v="32"/>
    <x v="1"/>
  </r>
  <r>
    <x v="1294"/>
    <x v="1"/>
    <x v="485"/>
    <x v="211"/>
    <x v="0"/>
    <x v="48"/>
    <x v="15"/>
    <x v="3"/>
    <x v="3"/>
    <x v="27"/>
    <x v="0"/>
    <x v="275"/>
    <x v="152"/>
    <x v="10"/>
    <x v="261"/>
    <x v="931"/>
    <x v="2"/>
    <x v="108"/>
    <x v="101"/>
    <x v="191"/>
    <x v="52"/>
    <x v="1"/>
    <x v="18"/>
    <x v="32"/>
    <x v="1"/>
  </r>
  <r>
    <x v="1295"/>
    <x v="1"/>
    <x v="487"/>
    <x v="212"/>
    <x v="0"/>
    <x v="63"/>
    <x v="65"/>
    <x v="3"/>
    <x v="3"/>
    <x v="27"/>
    <x v="0"/>
    <x v="728"/>
    <x v="435"/>
    <x v="8"/>
    <x v="263"/>
    <x v="992"/>
    <x v="2"/>
    <x v="108"/>
    <x v="101"/>
    <x v="118"/>
    <x v="28"/>
    <x v="1"/>
    <x v="18"/>
    <x v="32"/>
    <x v="1"/>
  </r>
  <r>
    <x v="1296"/>
    <x v="1"/>
    <x v="488"/>
    <x v="213"/>
    <x v="0"/>
    <x v="27"/>
    <x v="13"/>
    <x v="3"/>
    <x v="3"/>
    <x v="27"/>
    <x v="0"/>
    <x v="322"/>
    <x v="181"/>
    <x v="13"/>
    <x v="278"/>
    <x v="939"/>
    <x v="2"/>
    <x v="108"/>
    <x v="101"/>
    <x v="268"/>
    <x v="103"/>
    <x v="1"/>
    <x v="18"/>
    <x v="32"/>
    <x v="1"/>
  </r>
  <r>
    <x v="1297"/>
    <x v="1"/>
    <x v="491"/>
    <x v="213"/>
    <x v="0"/>
    <x v="91"/>
    <x v="37"/>
    <x v="3"/>
    <x v="3"/>
    <x v="27"/>
    <x v="0"/>
    <x v="301"/>
    <x v="143"/>
    <x v="16"/>
    <x v="296"/>
    <x v="954"/>
    <x v="2"/>
    <x v="108"/>
    <x v="101"/>
    <x v="342"/>
    <x v="137"/>
    <x v="1"/>
    <x v="18"/>
    <x v="32"/>
    <x v="1"/>
  </r>
  <r>
    <x v="1298"/>
    <x v="1"/>
    <x v="492"/>
    <x v="213"/>
    <x v="0"/>
    <x v="6"/>
    <x v="66"/>
    <x v="3"/>
    <x v="3"/>
    <x v="27"/>
    <x v="0"/>
    <x v="333"/>
    <x v="181"/>
    <x v="34"/>
    <x v="289"/>
    <x v="716"/>
    <x v="2"/>
    <x v="108"/>
    <x v="101"/>
    <x v="600"/>
    <x v="279"/>
    <x v="1"/>
    <x v="18"/>
    <x v="32"/>
    <x v="1"/>
  </r>
  <r>
    <x v="1299"/>
    <x v="1"/>
    <x v="494"/>
    <x v="215"/>
    <x v="0"/>
    <x v="62"/>
    <x v="86"/>
    <x v="3"/>
    <x v="3"/>
    <x v="27"/>
    <x v="0"/>
    <x v="684"/>
    <x v="392"/>
    <x v="32"/>
    <x v="302"/>
    <x v="800"/>
    <x v="2"/>
    <x v="108"/>
    <x v="101"/>
    <x v="577"/>
    <x v="262"/>
    <x v="1"/>
    <x v="18"/>
    <x v="32"/>
    <x v="1"/>
  </r>
  <r>
    <x v="1300"/>
    <x v="1"/>
    <x v="493"/>
    <x v="214"/>
    <x v="0"/>
    <x v="103"/>
    <x v="8"/>
    <x v="3"/>
    <x v="3"/>
    <x v="27"/>
    <x v="0"/>
    <x v="301"/>
    <x v="145"/>
    <x v="16"/>
    <x v="294"/>
    <x v="948"/>
    <x v="2"/>
    <x v="108"/>
    <x v="101"/>
    <x v="341"/>
    <x v="138"/>
    <x v="1"/>
    <x v="18"/>
    <x v="32"/>
    <x v="1"/>
  </r>
  <r>
    <x v="1301"/>
    <x v="1"/>
    <x v="495"/>
    <x v="215"/>
    <x v="0"/>
    <x v="9"/>
    <x v="33"/>
    <x v="3"/>
    <x v="3"/>
    <x v="27"/>
    <x v="0"/>
    <x v="233"/>
    <x v="68"/>
    <x v="20"/>
    <x v="299"/>
    <x v="910"/>
    <x v="2"/>
    <x v="108"/>
    <x v="101"/>
    <x v="423"/>
    <x v="158"/>
    <x v="1"/>
    <x v="18"/>
    <x v="32"/>
    <x v="1"/>
  </r>
  <r>
    <x v="1302"/>
    <x v="1"/>
    <x v="496"/>
    <x v="216"/>
    <x v="0"/>
    <x v="16"/>
    <x v="42"/>
    <x v="3"/>
    <x v="3"/>
    <x v="27"/>
    <x v="0"/>
    <x v="424"/>
    <x v="229"/>
    <x v="10"/>
    <x v="326"/>
    <x v="1098"/>
    <x v="2"/>
    <x v="108"/>
    <x v="101"/>
    <x v="235"/>
    <x v="63"/>
    <x v="1"/>
    <x v="18"/>
    <x v="32"/>
    <x v="1"/>
  </r>
  <r>
    <x v="1303"/>
    <x v="1"/>
    <x v="498"/>
    <x v="216"/>
    <x v="0"/>
    <x v="17"/>
    <x v="71"/>
    <x v="3"/>
    <x v="3"/>
    <x v="27"/>
    <x v="0"/>
    <x v="353"/>
    <x v="175"/>
    <x v="8"/>
    <x v="315"/>
    <x v="1105"/>
    <x v="2"/>
    <x v="108"/>
    <x v="101"/>
    <x v="147"/>
    <x v="28"/>
    <x v="1"/>
    <x v="18"/>
    <x v="32"/>
    <x v="1"/>
  </r>
  <r>
    <x v="1304"/>
    <x v="1"/>
    <x v="497"/>
    <x v="216"/>
    <x v="0"/>
    <x v="30"/>
    <x v="67"/>
    <x v="3"/>
    <x v="3"/>
    <x v="27"/>
    <x v="0"/>
    <x v="299"/>
    <x v="126"/>
    <x v="16"/>
    <x v="311"/>
    <x v="1004"/>
    <x v="2"/>
    <x v="108"/>
    <x v="101"/>
    <x v="352"/>
    <x v="119"/>
    <x v="1"/>
    <x v="18"/>
    <x v="32"/>
    <x v="1"/>
  </r>
  <r>
    <x v="1305"/>
    <x v="1"/>
    <x v="499"/>
    <x v="217"/>
    <x v="0"/>
    <x v="48"/>
    <x v="15"/>
    <x v="3"/>
    <x v="3"/>
    <x v="27"/>
    <x v="0"/>
    <x v="318"/>
    <x v="159"/>
    <x v="13"/>
    <x v="297"/>
    <x v="1007"/>
    <x v="2"/>
    <x v="108"/>
    <x v="101"/>
    <x v="279"/>
    <x v="83"/>
    <x v="1"/>
    <x v="18"/>
    <x v="32"/>
    <x v="1"/>
  </r>
  <r>
    <x v="1306"/>
    <x v="2"/>
    <x v="500"/>
    <x v="217"/>
    <x v="0"/>
    <x v="27"/>
    <x v="13"/>
    <x v="3"/>
    <x v="3"/>
    <x v="27"/>
    <x v="0"/>
    <x v="313"/>
    <x v="174"/>
    <x v="8"/>
    <x v="276"/>
    <x v="1025"/>
    <x v="2"/>
    <x v="108"/>
    <x v="101"/>
    <x v="128"/>
    <x v="40"/>
    <x v="1"/>
    <x v="18"/>
    <x v="32"/>
    <x v="1"/>
  </r>
  <r>
    <x v="1307"/>
    <x v="2"/>
    <x v="502"/>
    <x v="218"/>
    <x v="0"/>
    <x v="6"/>
    <x v="66"/>
    <x v="3"/>
    <x v="3"/>
    <x v="27"/>
    <x v="0"/>
    <x v="321"/>
    <x v="187"/>
    <x v="5"/>
    <x v="271"/>
    <x v="1050"/>
    <x v="2"/>
    <x v="108"/>
    <x v="101"/>
    <x v="73"/>
    <x v="13"/>
    <x v="1"/>
    <x v="18"/>
    <x v="32"/>
    <x v="1"/>
  </r>
  <r>
    <x v="1308"/>
    <x v="2"/>
    <x v="501"/>
    <x v="218"/>
    <x v="0"/>
    <x v="63"/>
    <x v="65"/>
    <x v="3"/>
    <x v="3"/>
    <x v="27"/>
    <x v="0"/>
    <x v="730"/>
    <x v="445"/>
    <x v="8"/>
    <x v="260"/>
    <x v="979"/>
    <x v="2"/>
    <x v="108"/>
    <x v="101"/>
    <x v="117"/>
    <x v="43"/>
    <x v="1"/>
    <x v="18"/>
    <x v="32"/>
    <x v="1"/>
  </r>
  <r>
    <x v="1309"/>
    <x v="2"/>
    <x v="504"/>
    <x v="219"/>
    <x v="0"/>
    <x v="75"/>
    <x v="57"/>
    <x v="3"/>
    <x v="3"/>
    <x v="27"/>
    <x v="0"/>
    <x v="563"/>
    <x v="355"/>
    <x v="8"/>
    <x v="271"/>
    <x v="1013"/>
    <x v="2"/>
    <x v="108"/>
    <x v="102"/>
    <x v="126"/>
    <x v="28"/>
    <x v="1"/>
    <x v="19"/>
    <x v="33"/>
    <x v="1"/>
  </r>
  <r>
    <x v="1310"/>
    <x v="2"/>
    <x v="503"/>
    <x v="219"/>
    <x v="0"/>
    <x v="103"/>
    <x v="8"/>
    <x v="3"/>
    <x v="3"/>
    <x v="27"/>
    <x v="0"/>
    <x v="278"/>
    <x v="139"/>
    <x v="5"/>
    <x v="277"/>
    <x v="1066"/>
    <x v="2"/>
    <x v="108"/>
    <x v="102"/>
    <x v="76"/>
    <x v="13"/>
    <x v="1"/>
    <x v="19"/>
    <x v="33"/>
    <x v="1"/>
  </r>
  <r>
    <x v="1311"/>
    <x v="2"/>
    <x v="505"/>
    <x v="220"/>
    <x v="0"/>
    <x v="9"/>
    <x v="33"/>
    <x v="3"/>
    <x v="3"/>
    <x v="27"/>
    <x v="0"/>
    <x v="254"/>
    <x v="74"/>
    <x v="5"/>
    <x v="319"/>
    <x v="1131"/>
    <x v="2"/>
    <x v="108"/>
    <x v="102"/>
    <x v="84"/>
    <x v="13"/>
    <x v="1"/>
    <x v="19"/>
    <x v="33"/>
    <x v="1"/>
  </r>
  <r>
    <x v="1312"/>
    <x v="2"/>
    <x v="507"/>
    <x v="221"/>
    <x v="0"/>
    <x v="62"/>
    <x v="86"/>
    <x v="1"/>
    <x v="1"/>
    <x v="27"/>
    <x v="0"/>
    <x v="671"/>
    <x v="390"/>
    <x v="5"/>
    <x v="267"/>
    <x v="1042"/>
    <x v="2"/>
    <x v="108"/>
    <x v="102"/>
    <x v="72"/>
    <x v="13"/>
    <x v="1"/>
    <x v="19"/>
    <x v="33"/>
    <x v="1"/>
  </r>
  <r>
    <x v="1313"/>
    <x v="0"/>
    <x v="506"/>
    <x v="220"/>
    <x v="0"/>
    <x v="16"/>
    <x v="42"/>
    <x v="1"/>
    <x v="1"/>
    <x v="27"/>
    <x v="0"/>
    <x v="387"/>
    <x v="239"/>
    <x v="5"/>
    <x v="279"/>
    <x v="1069"/>
    <x v="2"/>
    <x v="108"/>
    <x v="102"/>
    <x v="77"/>
    <x v="13"/>
    <x v="1"/>
    <x v="19"/>
    <x v="33"/>
    <x v="1"/>
  </r>
  <r>
    <x v="1314"/>
    <x v="2"/>
    <x v="509"/>
    <x v="222"/>
    <x v="0"/>
    <x v="6"/>
    <x v="66"/>
    <x v="1"/>
    <x v="1"/>
    <x v="27"/>
    <x v="0"/>
    <x v="327"/>
    <x v="184"/>
    <x v="8"/>
    <x v="280"/>
    <x v="1040"/>
    <x v="2"/>
    <x v="108"/>
    <x v="102"/>
    <x v="133"/>
    <x v="38"/>
    <x v="1"/>
    <x v="19"/>
    <x v="33"/>
    <x v="1"/>
  </r>
  <r>
    <x v="1315"/>
    <x v="2"/>
    <x v="508"/>
    <x v="222"/>
    <x v="0"/>
    <x v="48"/>
    <x v="15"/>
    <x v="1"/>
    <x v="1"/>
    <x v="27"/>
    <x v="0"/>
    <x v="279"/>
    <x v="158"/>
    <x v="8"/>
    <x v="259"/>
    <x v="976"/>
    <x v="2"/>
    <x v="108"/>
    <x v="102"/>
    <x v="116"/>
    <x v="28"/>
    <x v="1"/>
    <x v="19"/>
    <x v="33"/>
    <x v="1"/>
  </r>
  <r>
    <x v="1316"/>
    <x v="2"/>
    <x v="516"/>
    <x v="223"/>
    <x v="0"/>
    <x v="27"/>
    <x v="13"/>
    <x v="1"/>
    <x v="1"/>
    <x v="27"/>
    <x v="0"/>
    <x v="301"/>
    <x v="170"/>
    <x v="8"/>
    <x v="268"/>
    <x v="1006"/>
    <x v="2"/>
    <x v="108"/>
    <x v="102"/>
    <x v="122"/>
    <x v="42"/>
    <x v="1"/>
    <x v="19"/>
    <x v="33"/>
    <x v="1"/>
  </r>
  <r>
    <x v="1317"/>
    <x v="0"/>
    <x v="513"/>
    <x v="223"/>
    <x v="0"/>
    <x v="63"/>
    <x v="65"/>
    <x v="1"/>
    <x v="1"/>
    <x v="27"/>
    <x v="0"/>
    <x v="735"/>
    <x v="440"/>
    <x v="3"/>
    <x v="285"/>
    <x v="1102"/>
    <x v="2"/>
    <x v="108"/>
    <x v="102"/>
    <x v="37"/>
    <x v="4"/>
    <x v="1"/>
    <x v="19"/>
    <x v="33"/>
    <x v="1"/>
  </r>
  <r>
    <x v="1318"/>
    <x v="2"/>
    <x v="518"/>
    <x v="224"/>
    <x v="0"/>
    <x v="75"/>
    <x v="57"/>
    <x v="1"/>
    <x v="1"/>
    <x v="27"/>
    <x v="0"/>
    <x v="552"/>
    <x v="352"/>
    <x v="5"/>
    <x v="237"/>
    <x v="938"/>
    <x v="2"/>
    <x v="108"/>
    <x v="102"/>
    <x v="63"/>
    <x v="22"/>
    <x v="1"/>
    <x v="19"/>
    <x v="33"/>
    <x v="1"/>
  </r>
  <r>
    <x v="1319"/>
    <x v="2"/>
    <x v="517"/>
    <x v="223"/>
    <x v="0"/>
    <x v="91"/>
    <x v="37"/>
    <x v="1"/>
    <x v="1"/>
    <x v="27"/>
    <x v="0"/>
    <x v="265"/>
    <x v="148"/>
    <x v="2"/>
    <x v="255"/>
    <x v="1080"/>
    <x v="2"/>
    <x v="108"/>
    <x v="102"/>
    <x v="24"/>
    <x v="3"/>
    <x v="1"/>
    <x v="19"/>
    <x v="33"/>
    <x v="1"/>
  </r>
  <r>
    <x v="1320"/>
    <x v="2"/>
    <x v="520"/>
    <x v="224"/>
    <x v="0"/>
    <x v="9"/>
    <x v="33"/>
    <x v="1"/>
    <x v="1"/>
    <x v="27"/>
    <x v="0"/>
    <x v="208"/>
    <x v="73"/>
    <x v="8"/>
    <x v="229"/>
    <x v="846"/>
    <x v="2"/>
    <x v="108"/>
    <x v="102"/>
    <x v="104"/>
    <x v="28"/>
    <x v="1"/>
    <x v="19"/>
    <x v="33"/>
    <x v="1"/>
  </r>
  <r>
    <x v="1321"/>
    <x v="2"/>
    <x v="521"/>
    <x v="225"/>
    <x v="0"/>
    <x v="103"/>
    <x v="8"/>
    <x v="1"/>
    <x v="1"/>
    <x v="27"/>
    <x v="0"/>
    <x v="230"/>
    <x v="140"/>
    <x v="10"/>
    <x v="227"/>
    <x v="769"/>
    <x v="2"/>
    <x v="108"/>
    <x v="102"/>
    <x v="174"/>
    <x v="52"/>
    <x v="1"/>
    <x v="19"/>
    <x v="33"/>
    <x v="1"/>
  </r>
  <r>
    <x v="1322"/>
    <x v="2"/>
    <x v="523"/>
    <x v="226"/>
    <x v="0"/>
    <x v="16"/>
    <x v="42"/>
    <x v="1"/>
    <x v="1"/>
    <x v="27"/>
    <x v="0"/>
    <x v="349"/>
    <x v="245"/>
    <x v="10"/>
    <x v="235"/>
    <x v="821"/>
    <x v="2"/>
    <x v="108"/>
    <x v="102"/>
    <x v="176"/>
    <x v="77"/>
    <x v="1"/>
    <x v="19"/>
    <x v="33"/>
    <x v="1"/>
  </r>
  <r>
    <x v="1323"/>
    <x v="2"/>
    <x v="522"/>
    <x v="226"/>
    <x v="0"/>
    <x v="62"/>
    <x v="86"/>
    <x v="1"/>
    <x v="1"/>
    <x v="27"/>
    <x v="0"/>
    <x v="661"/>
    <x v="395"/>
    <x v="5"/>
    <x v="230"/>
    <x v="902"/>
    <x v="2"/>
    <x v="108"/>
    <x v="102"/>
    <x v="58"/>
    <x v="24"/>
    <x v="1"/>
    <x v="19"/>
    <x v="33"/>
    <x v="1"/>
  </r>
  <r>
    <x v="1324"/>
    <x v="2"/>
    <x v="524"/>
    <x v="227"/>
    <x v="0"/>
    <x v="6"/>
    <x v="66"/>
    <x v="1"/>
    <x v="1"/>
    <x v="27"/>
    <x v="0"/>
    <x v="307"/>
    <x v="203"/>
    <x v="13"/>
    <x v="241"/>
    <x v="793"/>
    <x v="2"/>
    <x v="108"/>
    <x v="102"/>
    <x v="255"/>
    <x v="83"/>
    <x v="1"/>
    <x v="19"/>
    <x v="33"/>
    <x v="1"/>
  </r>
  <r>
    <x v="1325"/>
    <x v="2"/>
    <x v="525"/>
    <x v="227"/>
    <x v="0"/>
    <x v="49"/>
    <x v="41"/>
    <x v="1"/>
    <x v="1"/>
    <x v="27"/>
    <x v="0"/>
    <x v="313"/>
    <x v="208"/>
    <x v="12"/>
    <x v="240"/>
    <x v="818"/>
    <x v="2"/>
    <x v="108"/>
    <x v="102"/>
    <x v="234"/>
    <x v="82"/>
    <x v="1"/>
    <x v="19"/>
    <x v="33"/>
    <x v="1"/>
  </r>
  <r>
    <x v="1326"/>
    <x v="2"/>
    <x v="526"/>
    <x v="228"/>
    <x v="0"/>
    <x v="27"/>
    <x v="13"/>
    <x v="1"/>
    <x v="1"/>
    <x v="27"/>
    <x v="0"/>
    <x v="297"/>
    <x v="213"/>
    <x v="8"/>
    <x v="225"/>
    <x v="802"/>
    <x v="2"/>
    <x v="108"/>
    <x v="103"/>
    <x v="103"/>
    <x v="47"/>
    <x v="1"/>
    <x v="20"/>
    <x v="34"/>
    <x v="1"/>
  </r>
  <r>
    <x v="1327"/>
    <x v="2"/>
    <x v="527"/>
    <x v="229"/>
    <x v="0"/>
    <x v="63"/>
    <x v="65"/>
    <x v="1"/>
    <x v="1"/>
    <x v="27"/>
    <x v="0"/>
    <x v="732"/>
    <x v="456"/>
    <x v="25"/>
    <x v="234"/>
    <x v="597"/>
    <x v="2"/>
    <x v="108"/>
    <x v="103"/>
    <x v="450"/>
    <x v="226"/>
    <x v="1"/>
    <x v="20"/>
    <x v="34"/>
    <x v="1"/>
  </r>
  <r>
    <x v="1328"/>
    <x v="1"/>
    <x v="528"/>
    <x v="229"/>
    <x v="0"/>
    <x v="75"/>
    <x v="57"/>
    <x v="1"/>
    <x v="1"/>
    <x v="27"/>
    <x v="0"/>
    <x v="560"/>
    <x v="368"/>
    <x v="18"/>
    <x v="233"/>
    <x v="661"/>
    <x v="2"/>
    <x v="108"/>
    <x v="103"/>
    <x v="344"/>
    <x v="153"/>
    <x v="1"/>
    <x v="20"/>
    <x v="34"/>
    <x v="1"/>
  </r>
  <r>
    <x v="1329"/>
    <x v="2"/>
    <x v="529"/>
    <x v="230"/>
    <x v="0"/>
    <x v="40"/>
    <x v="53"/>
    <x v="1"/>
    <x v="1"/>
    <x v="27"/>
    <x v="0"/>
    <x v="324"/>
    <x v="227"/>
    <x v="13"/>
    <x v="231"/>
    <x v="743"/>
    <x v="2"/>
    <x v="108"/>
    <x v="103"/>
    <x v="250"/>
    <x v="108"/>
    <x v="1"/>
    <x v="20"/>
    <x v="34"/>
    <x v="1"/>
  </r>
  <r>
    <x v="1330"/>
    <x v="2"/>
    <x v="530"/>
    <x v="230"/>
    <x v="0"/>
    <x v="103"/>
    <x v="8"/>
    <x v="1"/>
    <x v="1"/>
    <x v="27"/>
    <x v="0"/>
    <x v="256"/>
    <x v="160"/>
    <x v="13"/>
    <x v="235"/>
    <x v="764"/>
    <x v="2"/>
    <x v="108"/>
    <x v="103"/>
    <x v="252"/>
    <x v="107"/>
    <x v="1"/>
    <x v="20"/>
    <x v="34"/>
    <x v="1"/>
  </r>
  <r>
    <x v="1331"/>
    <x v="2"/>
    <x v="531"/>
    <x v="230"/>
    <x v="0"/>
    <x v="16"/>
    <x v="42"/>
    <x v="1"/>
    <x v="1"/>
    <x v="27"/>
    <x v="0"/>
    <x v="386"/>
    <x v="256"/>
    <x v="20"/>
    <x v="256"/>
    <x v="739"/>
    <x v="2"/>
    <x v="108"/>
    <x v="103"/>
    <x v="395"/>
    <x v="182"/>
    <x v="1"/>
    <x v="20"/>
    <x v="34"/>
    <x v="1"/>
  </r>
  <r>
    <x v="1332"/>
    <x v="2"/>
    <x v="534"/>
    <x v="231"/>
    <x v="0"/>
    <x v="6"/>
    <x v="66"/>
    <x v="1"/>
    <x v="1"/>
    <x v="27"/>
    <x v="0"/>
    <x v="310"/>
    <x v="204"/>
    <x v="5"/>
    <x v="242"/>
    <x v="964"/>
    <x v="2"/>
    <x v="108"/>
    <x v="103"/>
    <x v="65"/>
    <x v="21"/>
    <x v="1"/>
    <x v="20"/>
    <x v="34"/>
    <x v="1"/>
  </r>
  <r>
    <x v="1333"/>
    <x v="0"/>
    <x v="537"/>
    <x v="232"/>
    <x v="0"/>
    <x v="62"/>
    <x v="86"/>
    <x v="1"/>
    <x v="1"/>
    <x v="27"/>
    <x v="0"/>
    <x v="719"/>
    <x v="403"/>
    <x v="9"/>
    <x v="418"/>
    <x v="1219"/>
    <x v="2"/>
    <x v="108"/>
    <x v="103"/>
    <x v="243"/>
    <x v="51"/>
    <x v="1"/>
    <x v="20"/>
    <x v="34"/>
    <x v="1"/>
  </r>
  <r>
    <x v="1334"/>
    <x v="0"/>
    <x v="538"/>
    <x v="232"/>
    <x v="0"/>
    <x v="49"/>
    <x v="41"/>
    <x v="1"/>
    <x v="1"/>
    <x v="27"/>
    <x v="0"/>
    <x v="489"/>
    <x v="195"/>
    <x v="10"/>
    <x v="418"/>
    <x v="1210"/>
    <x v="2"/>
    <x v="108"/>
    <x v="103"/>
    <x v="272"/>
    <x v="61"/>
    <x v="1"/>
    <x v="20"/>
    <x v="34"/>
    <x v="1"/>
  </r>
  <r>
    <x v="1335"/>
    <x v="2"/>
    <x v="539"/>
    <x v="233"/>
    <x v="0"/>
    <x v="27"/>
    <x v="13"/>
    <x v="1"/>
    <x v="1"/>
    <x v="27"/>
    <x v="0"/>
    <x v="504"/>
    <x v="191"/>
    <x v="13"/>
    <x v="434"/>
    <x v="1224"/>
    <x v="2"/>
    <x v="108"/>
    <x v="103"/>
    <x v="358"/>
    <x v="83"/>
    <x v="1"/>
    <x v="20"/>
    <x v="34"/>
    <x v="1"/>
  </r>
  <r>
    <x v="1336"/>
    <x v="0"/>
    <x v="540"/>
    <x v="232"/>
    <x v="0"/>
    <x v="63"/>
    <x v="65"/>
    <x v="1"/>
    <x v="1"/>
    <x v="27"/>
    <x v="0"/>
    <x v="751"/>
    <x v="450"/>
    <x v="13"/>
    <x v="320"/>
    <x v="1065"/>
    <x v="2"/>
    <x v="108"/>
    <x v="103"/>
    <x v="291"/>
    <x v="94"/>
    <x v="1"/>
    <x v="20"/>
    <x v="34"/>
    <x v="1"/>
  </r>
  <r>
    <x v="1337"/>
    <x v="1"/>
    <x v="541"/>
    <x v="0"/>
    <x v="6"/>
    <x v="82"/>
    <x v="58"/>
    <x v="32"/>
    <x v="20"/>
    <x v="29"/>
    <x v="0"/>
    <x v="417"/>
    <x v="253"/>
    <x v="71"/>
    <x v="290"/>
    <x v="393"/>
    <x v="2"/>
    <x v="108"/>
    <x v="104"/>
    <x v="1104"/>
    <x v="532"/>
    <x v="1"/>
    <x v="21"/>
    <x v="35"/>
    <x v="1"/>
  </r>
  <r>
    <x v="1338"/>
    <x v="1"/>
    <x v="542"/>
    <x v="2"/>
    <x v="6"/>
    <x v="51"/>
    <x v="70"/>
    <x v="32"/>
    <x v="20"/>
    <x v="29"/>
    <x v="0"/>
    <x v="304"/>
    <x v="180"/>
    <x v="65"/>
    <x v="261"/>
    <x v="399"/>
    <x v="2"/>
    <x v="108"/>
    <x v="104"/>
    <x v="996"/>
    <x v="479"/>
    <x v="1"/>
    <x v="21"/>
    <x v="35"/>
    <x v="1"/>
  </r>
  <r>
    <x v="1339"/>
    <x v="1"/>
    <x v="543"/>
    <x v="1"/>
    <x v="6"/>
    <x v="66"/>
    <x v="44"/>
    <x v="32"/>
    <x v="20"/>
    <x v="29"/>
    <x v="0"/>
    <x v="281"/>
    <x v="199"/>
    <x v="77"/>
    <x v="226"/>
    <x v="311"/>
    <x v="2"/>
    <x v="108"/>
    <x v="104"/>
    <x v="1138"/>
    <x v="565"/>
    <x v="1"/>
    <x v="21"/>
    <x v="35"/>
    <x v="1"/>
  </r>
  <r>
    <x v="1340"/>
    <x v="1"/>
    <x v="544"/>
    <x v="3"/>
    <x v="6"/>
    <x v="67"/>
    <x v="63"/>
    <x v="32"/>
    <x v="20"/>
    <x v="29"/>
    <x v="0"/>
    <x v="254"/>
    <x v="167"/>
    <x v="42"/>
    <x v="228"/>
    <x v="472"/>
    <x v="2"/>
    <x v="108"/>
    <x v="104"/>
    <x v="647"/>
    <x v="339"/>
    <x v="1"/>
    <x v="21"/>
    <x v="35"/>
    <x v="1"/>
  </r>
  <r>
    <x v="1341"/>
    <x v="1"/>
    <x v="545"/>
    <x v="5"/>
    <x v="6"/>
    <x v="17"/>
    <x v="71"/>
    <x v="32"/>
    <x v="20"/>
    <x v="29"/>
    <x v="0"/>
    <x v="301"/>
    <x v="175"/>
    <x v="75"/>
    <x v="263"/>
    <x v="349"/>
    <x v="2"/>
    <x v="108"/>
    <x v="104"/>
    <x v="1147"/>
    <x v="552"/>
    <x v="1"/>
    <x v="21"/>
    <x v="35"/>
    <x v="1"/>
  </r>
  <r>
    <x v="1342"/>
    <x v="1"/>
    <x v="546"/>
    <x v="4"/>
    <x v="6"/>
    <x v="30"/>
    <x v="67"/>
    <x v="32"/>
    <x v="20"/>
    <x v="29"/>
    <x v="0"/>
    <x v="291"/>
    <x v="126"/>
    <x v="68"/>
    <x v="303"/>
    <x v="442"/>
    <x v="2"/>
    <x v="108"/>
    <x v="104"/>
    <x v="1068"/>
    <x v="500"/>
    <x v="1"/>
    <x v="21"/>
    <x v="35"/>
    <x v="1"/>
  </r>
  <r>
    <x v="1343"/>
    <x v="1"/>
    <x v="547"/>
    <x v="6"/>
    <x v="6"/>
    <x v="62"/>
    <x v="86"/>
    <x v="32"/>
    <x v="20"/>
    <x v="29"/>
    <x v="0"/>
    <x v="699"/>
    <x v="398"/>
    <x v="71"/>
    <x v="360"/>
    <x v="521"/>
    <x v="2"/>
    <x v="108"/>
    <x v="104"/>
    <x v="1135"/>
    <x v="528"/>
    <x v="1"/>
    <x v="21"/>
    <x v="35"/>
    <x v="1"/>
  </r>
  <r>
    <x v="1344"/>
    <x v="1"/>
    <x v="548"/>
    <x v="7"/>
    <x v="6"/>
    <x v="63"/>
    <x v="65"/>
    <x v="35"/>
    <x v="22"/>
    <x v="10"/>
    <x v="0"/>
    <x v="760"/>
    <x v="440"/>
    <x v="44"/>
    <x v="370"/>
    <x v="911"/>
    <x v="2"/>
    <x v="108"/>
    <x v="104"/>
    <x v="802"/>
    <x v="350"/>
    <x v="1"/>
    <x v="21"/>
    <x v="35"/>
    <x v="1"/>
  </r>
  <r>
    <x v="1345"/>
    <x v="1"/>
    <x v="549"/>
    <x v="8"/>
    <x v="6"/>
    <x v="27"/>
    <x v="13"/>
    <x v="35"/>
    <x v="22"/>
    <x v="10"/>
    <x v="0"/>
    <x v="411"/>
    <x v="180"/>
    <x v="44"/>
    <x v="368"/>
    <x v="903"/>
    <x v="2"/>
    <x v="108"/>
    <x v="104"/>
    <x v="800"/>
    <x v="350"/>
    <x v="1"/>
    <x v="21"/>
    <x v="35"/>
    <x v="1"/>
  </r>
  <r>
    <x v="1346"/>
    <x v="1"/>
    <x v="550"/>
    <x v="9"/>
    <x v="6"/>
    <x v="103"/>
    <x v="8"/>
    <x v="35"/>
    <x v="22"/>
    <x v="10"/>
    <x v="0"/>
    <x v="347"/>
    <x v="146"/>
    <x v="74"/>
    <x v="339"/>
    <x v="427"/>
    <x v="2"/>
    <x v="108"/>
    <x v="104"/>
    <x v="1171"/>
    <x v="550"/>
    <x v="1"/>
    <x v="21"/>
    <x v="35"/>
    <x v="1"/>
  </r>
  <r>
    <x v="1347"/>
    <x v="1"/>
    <x v="552"/>
    <x v="10"/>
    <x v="6"/>
    <x v="82"/>
    <x v="58"/>
    <x v="35"/>
    <x v="22"/>
    <x v="10"/>
    <x v="0"/>
    <x v="474"/>
    <x v="248"/>
    <x v="64"/>
    <x v="371"/>
    <x v="658"/>
    <x v="2"/>
    <x v="108"/>
    <x v="104"/>
    <x v="1043"/>
    <x v="474"/>
    <x v="1"/>
    <x v="21"/>
    <x v="35"/>
    <x v="1"/>
  </r>
  <r>
    <x v="1348"/>
    <x v="1"/>
    <x v="553"/>
    <x v="11"/>
    <x v="6"/>
    <x v="9"/>
    <x v="33"/>
    <x v="35"/>
    <x v="22"/>
    <x v="10"/>
    <x v="0"/>
    <x v="279"/>
    <x v="73"/>
    <x v="49"/>
    <x v="346"/>
    <x v="755"/>
    <x v="2"/>
    <x v="108"/>
    <x v="104"/>
    <x v="858"/>
    <x v="387"/>
    <x v="1"/>
    <x v="21"/>
    <x v="35"/>
    <x v="1"/>
  </r>
  <r>
    <x v="1349"/>
    <x v="1"/>
    <x v="554"/>
    <x v="12"/>
    <x v="6"/>
    <x v="6"/>
    <x v="66"/>
    <x v="35"/>
    <x v="22"/>
    <x v="10"/>
    <x v="0"/>
    <x v="428"/>
    <x v="192"/>
    <x v="51"/>
    <x v="373"/>
    <x v="831"/>
    <x v="2"/>
    <x v="108"/>
    <x v="104"/>
    <x v="912"/>
    <x v="390"/>
    <x v="1"/>
    <x v="21"/>
    <x v="35"/>
    <x v="1"/>
  </r>
  <r>
    <x v="1350"/>
    <x v="1"/>
    <x v="555"/>
    <x v="13"/>
    <x v="6"/>
    <x v="51"/>
    <x v="70"/>
    <x v="35"/>
    <x v="22"/>
    <x v="10"/>
    <x v="0"/>
    <x v="435"/>
    <x v="168"/>
    <x v="42"/>
    <x v="393"/>
    <x v="1041"/>
    <x v="2"/>
    <x v="108"/>
    <x v="104"/>
    <x v="788"/>
    <x v="327"/>
    <x v="1"/>
    <x v="21"/>
    <x v="35"/>
    <x v="1"/>
  </r>
  <r>
    <x v="1351"/>
    <x v="1"/>
    <x v="556"/>
    <x v="14"/>
    <x v="6"/>
    <x v="66"/>
    <x v="44"/>
    <x v="35"/>
    <x v="22"/>
    <x v="10"/>
    <x v="0"/>
    <x v="414"/>
    <x v="186"/>
    <x v="32"/>
    <x v="365"/>
    <x v="1021"/>
    <x v="2"/>
    <x v="108"/>
    <x v="104"/>
    <x v="611"/>
    <x v="245"/>
    <x v="1"/>
    <x v="21"/>
    <x v="35"/>
    <x v="1"/>
  </r>
  <r>
    <x v="1352"/>
    <x v="1"/>
    <x v="557"/>
    <x v="15"/>
    <x v="6"/>
    <x v="48"/>
    <x v="15"/>
    <x v="35"/>
    <x v="22"/>
    <x v="10"/>
    <x v="0"/>
    <x v="306"/>
    <x v="156"/>
    <x v="44"/>
    <x v="288"/>
    <x v="603"/>
    <x v="2"/>
    <x v="108"/>
    <x v="105"/>
    <x v="734"/>
    <x v="350"/>
    <x v="1"/>
    <x v="22"/>
    <x v="36"/>
    <x v="1"/>
  </r>
  <r>
    <x v="1353"/>
    <x v="1"/>
    <x v="558"/>
    <x v="16"/>
    <x v="6"/>
    <x v="67"/>
    <x v="63"/>
    <x v="35"/>
    <x v="22"/>
    <x v="10"/>
    <x v="0"/>
    <x v="318"/>
    <x v="159"/>
    <x v="67"/>
    <x v="297"/>
    <x v="447"/>
    <x v="2"/>
    <x v="108"/>
    <x v="105"/>
    <x v="1041"/>
    <x v="495"/>
    <x v="1"/>
    <x v="22"/>
    <x v="36"/>
    <x v="1"/>
  </r>
  <r>
    <x v="1354"/>
    <x v="1"/>
    <x v="559"/>
    <x v="17"/>
    <x v="6"/>
    <x v="75"/>
    <x v="57"/>
    <x v="35"/>
    <x v="22"/>
    <x v="10"/>
    <x v="0"/>
    <x v="571"/>
    <x v="361"/>
    <x v="54"/>
    <x v="282"/>
    <x v="515"/>
    <x v="2"/>
    <x v="108"/>
    <x v="105"/>
    <x v="875"/>
    <x v="415"/>
    <x v="1"/>
    <x v="22"/>
    <x v="36"/>
    <x v="1"/>
  </r>
  <r>
    <x v="1355"/>
    <x v="1"/>
    <x v="560"/>
    <x v="18"/>
    <x v="6"/>
    <x v="49"/>
    <x v="41"/>
    <x v="35"/>
    <x v="22"/>
    <x v="10"/>
    <x v="0"/>
    <x v="316"/>
    <x v="171"/>
    <x v="40"/>
    <x v="282"/>
    <x v="636"/>
    <x v="2"/>
    <x v="108"/>
    <x v="105"/>
    <x v="653"/>
    <x v="317"/>
    <x v="1"/>
    <x v="22"/>
    <x v="36"/>
    <x v="1"/>
  </r>
  <r>
    <x v="1356"/>
    <x v="1"/>
    <x v="561"/>
    <x v="19"/>
    <x v="6"/>
    <x v="53"/>
    <x v="78"/>
    <x v="35"/>
    <x v="22"/>
    <x v="10"/>
    <x v="0"/>
    <x v="281"/>
    <x v="128"/>
    <x v="25"/>
    <x v="291"/>
    <x v="820"/>
    <x v="2"/>
    <x v="108"/>
    <x v="105"/>
    <x v="486"/>
    <x v="198"/>
    <x v="1"/>
    <x v="22"/>
    <x v="36"/>
    <x v="1"/>
  </r>
  <r>
    <x v="1357"/>
    <x v="1"/>
    <x v="562"/>
    <x v="20"/>
    <x v="6"/>
    <x v="85"/>
    <x v="17"/>
    <x v="35"/>
    <x v="22"/>
    <x v="10"/>
    <x v="0"/>
    <x v="326"/>
    <x v="195"/>
    <x v="42"/>
    <x v="268"/>
    <x v="572"/>
    <x v="2"/>
    <x v="108"/>
    <x v="105"/>
    <x v="676"/>
    <x v="337"/>
    <x v="1"/>
    <x v="22"/>
    <x v="36"/>
    <x v="1"/>
  </r>
  <r>
    <x v="1358"/>
    <x v="1"/>
    <x v="563"/>
    <x v="21"/>
    <x v="6"/>
    <x v="101"/>
    <x v="16"/>
    <x v="35"/>
    <x v="22"/>
    <x v="10"/>
    <x v="0"/>
    <x v="344"/>
    <x v="197"/>
    <x v="62"/>
    <x v="284"/>
    <x v="470"/>
    <x v="2"/>
    <x v="108"/>
    <x v="105"/>
    <x v="966"/>
    <x v="461"/>
    <x v="1"/>
    <x v="22"/>
    <x v="36"/>
    <x v="1"/>
  </r>
  <r>
    <x v="1359"/>
    <x v="1"/>
    <x v="564"/>
    <x v="22"/>
    <x v="6"/>
    <x v="30"/>
    <x v="67"/>
    <x v="35"/>
    <x v="22"/>
    <x v="10"/>
    <x v="0"/>
    <x v="271"/>
    <x v="130"/>
    <x v="75"/>
    <x v="279"/>
    <x v="361"/>
    <x v="2"/>
    <x v="108"/>
    <x v="105"/>
    <x v="1159"/>
    <x v="552"/>
    <x v="1"/>
    <x v="22"/>
    <x v="36"/>
    <x v="1"/>
  </r>
  <r>
    <x v="1360"/>
    <x v="1"/>
    <x v="565"/>
    <x v="23"/>
    <x v="6"/>
    <x v="17"/>
    <x v="71"/>
    <x v="35"/>
    <x v="22"/>
    <x v="10"/>
    <x v="0"/>
    <x v="331"/>
    <x v="179"/>
    <x v="51"/>
    <x v="289"/>
    <x v="550"/>
    <x v="2"/>
    <x v="108"/>
    <x v="105"/>
    <x v="847"/>
    <x v="390"/>
    <x v="1"/>
    <x v="22"/>
    <x v="36"/>
    <x v="1"/>
  </r>
  <r>
    <x v="1361"/>
    <x v="1"/>
    <x v="566"/>
    <x v="24"/>
    <x v="6"/>
    <x v="82"/>
    <x v="58"/>
    <x v="35"/>
    <x v="22"/>
    <x v="10"/>
    <x v="0"/>
    <x v="431"/>
    <x v="240"/>
    <x v="51"/>
    <x v="322"/>
    <x v="637"/>
    <x v="2"/>
    <x v="108"/>
    <x v="105"/>
    <x v="874"/>
    <x v="402"/>
    <x v="1"/>
    <x v="22"/>
    <x v="36"/>
    <x v="1"/>
  </r>
  <r>
    <x v="1362"/>
    <x v="0"/>
    <x v="441"/>
    <x v="579"/>
    <x v="0"/>
    <x v="28"/>
    <x v="79"/>
    <x v="1"/>
    <x v="1"/>
    <x v="27"/>
    <x v="0"/>
    <x v="587"/>
    <x v="244"/>
    <x v="57"/>
    <x v="527"/>
    <x v="1198"/>
    <x v="2"/>
    <x v="108"/>
    <x v="102"/>
    <x v="1116"/>
    <x v="441"/>
    <x v="1"/>
    <x v="19"/>
    <x v="33"/>
    <x v="1"/>
  </r>
  <r>
    <x v="1363"/>
    <x v="0"/>
    <x v="441"/>
    <x v="577"/>
    <x v="0"/>
    <x v="98"/>
    <x v="54"/>
    <x v="1"/>
    <x v="1"/>
    <x v="27"/>
    <x v="0"/>
    <x v="500"/>
    <x v="185"/>
    <x v="39"/>
    <x v="432"/>
    <x v="1153"/>
    <x v="2"/>
    <x v="108"/>
    <x v="102"/>
    <x v="798"/>
    <x v="315"/>
    <x v="1"/>
    <x v="19"/>
    <x v="33"/>
    <x v="1"/>
  </r>
  <r>
    <x v="1364"/>
    <x v="0"/>
    <x v="441"/>
    <x v="580"/>
    <x v="0"/>
    <x v="39"/>
    <x v="30"/>
    <x v="1"/>
    <x v="1"/>
    <x v="27"/>
    <x v="0"/>
    <x v="562"/>
    <x v="239"/>
    <x v="66"/>
    <x v="502"/>
    <x v="1137"/>
    <x v="2"/>
    <x v="108"/>
    <x v="102"/>
    <x v="1177"/>
    <x v="494"/>
    <x v="1"/>
    <x v="19"/>
    <x v="33"/>
    <x v="1"/>
  </r>
  <r>
    <x v="1365"/>
    <x v="1"/>
    <x v="567"/>
    <x v="25"/>
    <x v="6"/>
    <x v="9"/>
    <x v="33"/>
    <x v="35"/>
    <x v="22"/>
    <x v="10"/>
    <x v="0"/>
    <x v="302"/>
    <x v="86"/>
    <x v="65"/>
    <x v="354"/>
    <x v="582"/>
    <x v="2"/>
    <x v="108"/>
    <x v="105"/>
    <x v="1053"/>
    <x v="483"/>
    <x v="1"/>
    <x v="22"/>
    <x v="36"/>
    <x v="1"/>
  </r>
  <r>
    <x v="1366"/>
    <x v="1"/>
    <x v="568"/>
    <x v="27"/>
    <x v="6"/>
    <x v="62"/>
    <x v="86"/>
    <x v="32"/>
    <x v="20"/>
    <x v="10"/>
    <x v="0"/>
    <x v="700"/>
    <x v="401"/>
    <x v="73"/>
    <x v="360"/>
    <x v="479"/>
    <x v="2"/>
    <x v="108"/>
    <x v="105"/>
    <x v="1168"/>
    <x v="545"/>
    <x v="1"/>
    <x v="22"/>
    <x v="36"/>
    <x v="1"/>
  </r>
  <r>
    <x v="1367"/>
    <x v="1"/>
    <x v="569"/>
    <x v="26"/>
    <x v="6"/>
    <x v="27"/>
    <x v="13"/>
    <x v="32"/>
    <x v="20"/>
    <x v="10"/>
    <x v="0"/>
    <x v="398"/>
    <x v="181"/>
    <x v="44"/>
    <x v="354"/>
    <x v="857"/>
    <x v="2"/>
    <x v="108"/>
    <x v="105"/>
    <x v="787"/>
    <x v="350"/>
    <x v="1"/>
    <x v="22"/>
    <x v="36"/>
    <x v="1"/>
  </r>
  <r>
    <x v="1368"/>
    <x v="1"/>
    <x v="570"/>
    <x v="28"/>
    <x v="6"/>
    <x v="63"/>
    <x v="65"/>
    <x v="32"/>
    <x v="20"/>
    <x v="10"/>
    <x v="0"/>
    <x v="754"/>
    <x v="445"/>
    <x v="47"/>
    <x v="336"/>
    <x v="750"/>
    <x v="2"/>
    <x v="108"/>
    <x v="105"/>
    <x v="819"/>
    <x v="367"/>
    <x v="1"/>
    <x v="22"/>
    <x v="36"/>
    <x v="1"/>
  </r>
  <r>
    <x v="1369"/>
    <x v="1"/>
    <x v="571"/>
    <x v="29"/>
    <x v="6"/>
    <x v="6"/>
    <x v="66"/>
    <x v="32"/>
    <x v="20"/>
    <x v="10"/>
    <x v="0"/>
    <x v="391"/>
    <x v="193"/>
    <x v="62"/>
    <x v="335"/>
    <x v="578"/>
    <x v="2"/>
    <x v="108"/>
    <x v="105"/>
    <x v="998"/>
    <x v="448"/>
    <x v="1"/>
    <x v="22"/>
    <x v="36"/>
    <x v="1"/>
  </r>
  <r>
    <x v="1370"/>
    <x v="1"/>
    <x v="572"/>
    <x v="30"/>
    <x v="6"/>
    <x v="51"/>
    <x v="70"/>
    <x v="32"/>
    <x v="20"/>
    <x v="10"/>
    <x v="0"/>
    <x v="336"/>
    <x v="176"/>
    <x v="62"/>
    <x v="297"/>
    <x v="493"/>
    <x v="2"/>
    <x v="108"/>
    <x v="105"/>
    <x v="977"/>
    <x v="448"/>
    <x v="1"/>
    <x v="22"/>
    <x v="36"/>
    <x v="1"/>
  </r>
  <r>
    <x v="1371"/>
    <x v="1"/>
    <x v="573"/>
    <x v="31"/>
    <x v="6"/>
    <x v="28"/>
    <x v="80"/>
    <x v="32"/>
    <x v="20"/>
    <x v="10"/>
    <x v="0"/>
    <x v="370"/>
    <x v="254"/>
    <x v="57"/>
    <x v="242"/>
    <x v="415"/>
    <x v="2"/>
    <x v="108"/>
    <x v="105"/>
    <x v="872"/>
    <x v="435"/>
    <x v="1"/>
    <x v="22"/>
    <x v="36"/>
    <x v="1"/>
  </r>
  <r>
    <x v="1372"/>
    <x v="1"/>
    <x v="574"/>
    <x v="32"/>
    <x v="6"/>
    <x v="66"/>
    <x v="44"/>
    <x v="32"/>
    <x v="20"/>
    <x v="10"/>
    <x v="0"/>
    <x v="364"/>
    <x v="189"/>
    <x v="49"/>
    <x v="312"/>
    <x v="632"/>
    <x v="2"/>
    <x v="108"/>
    <x v="106"/>
    <x v="831"/>
    <x v="387"/>
    <x v="1"/>
    <x v="23"/>
    <x v="37"/>
    <x v="1"/>
  </r>
  <r>
    <x v="1373"/>
    <x v="1"/>
    <x v="575"/>
    <x v="33"/>
    <x v="6"/>
    <x v="48"/>
    <x v="15"/>
    <x v="32"/>
    <x v="20"/>
    <x v="29"/>
    <x v="0"/>
    <x v="333"/>
    <x v="407"/>
    <x v="40"/>
    <x v="99"/>
    <x v="139"/>
    <x v="2"/>
    <x v="108"/>
    <x v="106"/>
    <x v="179"/>
    <x v="317"/>
    <x v="1"/>
    <x v="23"/>
    <x v="37"/>
    <x v="1"/>
  </r>
  <r>
    <x v="1374"/>
    <x v="1"/>
    <x v="576"/>
    <x v="33"/>
    <x v="6"/>
    <x v="48"/>
    <x v="15"/>
    <x v="32"/>
    <x v="20"/>
    <x v="10"/>
    <x v="0"/>
    <x v="107"/>
    <x v="164"/>
    <x v="28"/>
    <x v="81"/>
    <x v="134"/>
    <x v="2"/>
    <x v="108"/>
    <x v="106"/>
    <x v="98"/>
    <x v="238"/>
    <x v="1"/>
    <x v="23"/>
    <x v="37"/>
    <x v="1"/>
  </r>
  <r>
    <x v="1375"/>
    <x v="1"/>
    <x v="577"/>
    <x v="34"/>
    <x v="6"/>
    <x v="67"/>
    <x v="63"/>
    <x v="32"/>
    <x v="20"/>
    <x v="29"/>
    <x v="0"/>
    <x v="362"/>
    <x v="184"/>
    <x v="51"/>
    <x v="315"/>
    <x v="613"/>
    <x v="2"/>
    <x v="108"/>
    <x v="106"/>
    <x v="869"/>
    <x v="390"/>
    <x v="1"/>
    <x v="23"/>
    <x v="37"/>
    <x v="1"/>
  </r>
  <r>
    <x v="1376"/>
    <x v="1"/>
    <x v="578"/>
    <x v="35"/>
    <x v="6"/>
    <x v="103"/>
    <x v="8"/>
    <x v="32"/>
    <x v="20"/>
    <x v="29"/>
    <x v="0"/>
    <x v="319"/>
    <x v="156"/>
    <x v="47"/>
    <x v="301"/>
    <x v="621"/>
    <x v="2"/>
    <x v="108"/>
    <x v="106"/>
    <x v="778"/>
    <x v="358"/>
    <x v="1"/>
    <x v="23"/>
    <x v="37"/>
    <x v="1"/>
  </r>
  <r>
    <x v="1377"/>
    <x v="1"/>
    <x v="579"/>
    <x v="35"/>
    <x v="6"/>
    <x v="75"/>
    <x v="57"/>
    <x v="32"/>
    <x v="20"/>
    <x v="29"/>
    <x v="0"/>
    <x v="584"/>
    <x v="363"/>
    <x v="37"/>
    <x v="309"/>
    <x v="772"/>
    <x v="2"/>
    <x v="108"/>
    <x v="106"/>
    <x v="642"/>
    <x v="285"/>
    <x v="1"/>
    <x v="23"/>
    <x v="37"/>
    <x v="1"/>
  </r>
  <r>
    <x v="1378"/>
    <x v="1"/>
    <x v="580"/>
    <x v="36"/>
    <x v="6"/>
    <x v="49"/>
    <x v="41"/>
    <x v="32"/>
    <x v="20"/>
    <x v="29"/>
    <x v="0"/>
    <x v="294"/>
    <x v="182"/>
    <x v="47"/>
    <x v="249"/>
    <x v="491"/>
    <x v="2"/>
    <x v="108"/>
    <x v="106"/>
    <x v="737"/>
    <x v="358"/>
    <x v="1"/>
    <x v="23"/>
    <x v="37"/>
    <x v="1"/>
  </r>
  <r>
    <x v="1379"/>
    <x v="1"/>
    <x v="581"/>
    <x v="37"/>
    <x v="6"/>
    <x v="6"/>
    <x v="66"/>
    <x v="32"/>
    <x v="20"/>
    <x v="29"/>
    <x v="0"/>
    <x v="396"/>
    <x v="204"/>
    <x v="60"/>
    <x v="328"/>
    <x v="581"/>
    <x v="2"/>
    <x v="108"/>
    <x v="106"/>
    <x v="970"/>
    <x v="444"/>
    <x v="1"/>
    <x v="23"/>
    <x v="37"/>
    <x v="1"/>
  </r>
  <r>
    <x v="1380"/>
    <x v="1"/>
    <x v="582"/>
    <x v="38"/>
    <x v="6"/>
    <x v="101"/>
    <x v="16"/>
    <x v="32"/>
    <x v="20"/>
    <x v="29"/>
    <x v="0"/>
    <x v="371"/>
    <x v="205"/>
    <x v="51"/>
    <x v="302"/>
    <x v="577"/>
    <x v="2"/>
    <x v="108"/>
    <x v="107"/>
    <x v="855"/>
    <x v="404"/>
    <x v="1"/>
    <x v="24"/>
    <x v="38"/>
    <x v="1"/>
  </r>
  <r>
    <x v="1381"/>
    <x v="1"/>
    <x v="583"/>
    <x v="39"/>
    <x v="6"/>
    <x v="85"/>
    <x v="17"/>
    <x v="32"/>
    <x v="20"/>
    <x v="29"/>
    <x v="0"/>
    <x v="361"/>
    <x v="204"/>
    <x v="54"/>
    <x v="293"/>
    <x v="539"/>
    <x v="2"/>
    <x v="108"/>
    <x v="107"/>
    <x v="886"/>
    <x v="415"/>
    <x v="1"/>
    <x v="24"/>
    <x v="38"/>
    <x v="1"/>
  </r>
  <r>
    <x v="1382"/>
    <x v="1"/>
    <x v="584"/>
    <x v="40"/>
    <x v="6"/>
    <x v="82"/>
    <x v="58"/>
    <x v="32"/>
    <x v="20"/>
    <x v="29"/>
    <x v="0"/>
    <x v="398"/>
    <x v="249"/>
    <x v="42"/>
    <x v="277"/>
    <x v="598"/>
    <x v="2"/>
    <x v="108"/>
    <x v="107"/>
    <x v="683"/>
    <x v="319"/>
    <x v="1"/>
    <x v="24"/>
    <x v="38"/>
    <x v="1"/>
  </r>
  <r>
    <x v="1383"/>
    <x v="1"/>
    <x v="585"/>
    <x v="41"/>
    <x v="6"/>
    <x v="51"/>
    <x v="70"/>
    <x v="32"/>
    <x v="20"/>
    <x v="29"/>
    <x v="0"/>
    <x v="372"/>
    <x v="195"/>
    <x v="51"/>
    <x v="314"/>
    <x v="608"/>
    <x v="2"/>
    <x v="108"/>
    <x v="107"/>
    <x v="868"/>
    <x v="403"/>
    <x v="1"/>
    <x v="24"/>
    <x v="38"/>
    <x v="1"/>
  </r>
  <r>
    <x v="1384"/>
    <x v="1"/>
    <x v="586"/>
    <x v="42"/>
    <x v="6"/>
    <x v="27"/>
    <x v="13"/>
    <x v="32"/>
    <x v="20"/>
    <x v="29"/>
    <x v="0"/>
    <x v="325"/>
    <x v="187"/>
    <x v="65"/>
    <x v="275"/>
    <x v="417"/>
    <x v="2"/>
    <x v="108"/>
    <x v="107"/>
    <x v="1004"/>
    <x v="479"/>
    <x v="1"/>
    <x v="24"/>
    <x v="38"/>
    <x v="1"/>
  </r>
  <r>
    <x v="1385"/>
    <x v="1"/>
    <x v="587"/>
    <x v="43"/>
    <x v="6"/>
    <x v="63"/>
    <x v="65"/>
    <x v="32"/>
    <x v="20"/>
    <x v="29"/>
    <x v="0"/>
    <x v="739"/>
    <x v="452"/>
    <x v="57"/>
    <x v="270"/>
    <x v="472"/>
    <x v="2"/>
    <x v="108"/>
    <x v="107"/>
    <x v="899"/>
    <x v="434"/>
    <x v="1"/>
    <x v="24"/>
    <x v="38"/>
    <x v="1"/>
  </r>
  <r>
    <x v="1386"/>
    <x v="1"/>
    <x v="588"/>
    <x v="44"/>
    <x v="6"/>
    <x v="66"/>
    <x v="44"/>
    <x v="32"/>
    <x v="20"/>
    <x v="29"/>
    <x v="0"/>
    <x v="352"/>
    <x v="209"/>
    <x v="50"/>
    <x v="278"/>
    <x v="540"/>
    <x v="2"/>
    <x v="108"/>
    <x v="107"/>
    <x v="804"/>
    <x v="388"/>
    <x v="1"/>
    <x v="24"/>
    <x v="38"/>
    <x v="1"/>
  </r>
  <r>
    <x v="1387"/>
    <x v="1"/>
    <x v="589"/>
    <x v="45"/>
    <x v="6"/>
    <x v="67"/>
    <x v="63"/>
    <x v="32"/>
    <x v="20"/>
    <x v="29"/>
    <x v="0"/>
    <x v="325"/>
    <x v="179"/>
    <x v="42"/>
    <x v="283"/>
    <x v="612"/>
    <x v="2"/>
    <x v="108"/>
    <x v="107"/>
    <x v="688"/>
    <x v="319"/>
    <x v="1"/>
    <x v="24"/>
    <x v="38"/>
    <x v="1"/>
  </r>
  <r>
    <x v="1388"/>
    <x v="1"/>
    <x v="590"/>
    <x v="47"/>
    <x v="6"/>
    <x v="51"/>
    <x v="70"/>
    <x v="32"/>
    <x v="20"/>
    <x v="29"/>
    <x v="0"/>
    <x v="57"/>
    <x v="38"/>
    <x v="65"/>
    <x v="68"/>
    <x v="104"/>
    <x v="2"/>
    <x v="108"/>
    <x v="107"/>
    <x v="314"/>
    <x v="479"/>
    <x v="1"/>
    <x v="24"/>
    <x v="38"/>
    <x v="1"/>
  </r>
  <r>
    <x v="1389"/>
    <x v="1"/>
    <x v="591"/>
    <x v="46"/>
    <x v="6"/>
    <x v="82"/>
    <x v="58"/>
    <x v="32"/>
    <x v="20"/>
    <x v="29"/>
    <x v="0"/>
    <x v="388"/>
    <x v="250"/>
    <x v="51"/>
    <x v="266"/>
    <x v="495"/>
    <x v="2"/>
    <x v="108"/>
    <x v="107"/>
    <x v="828"/>
    <x v="407"/>
    <x v="1"/>
    <x v="24"/>
    <x v="38"/>
    <x v="1"/>
  </r>
  <r>
    <x v="1390"/>
    <x v="1"/>
    <x v="592"/>
    <x v="234"/>
    <x v="0"/>
    <x v="105"/>
    <x v="20"/>
    <x v="1"/>
    <x v="1"/>
    <x v="15"/>
    <x v="0"/>
    <x v="81"/>
    <x v="108"/>
    <x v="54"/>
    <x v="14"/>
    <x v="34"/>
    <x v="2"/>
    <x v="108"/>
    <x v="108"/>
    <x v="69"/>
    <x v="415"/>
    <x v="1"/>
    <x v="27"/>
    <x v="41"/>
    <x v="1"/>
  </r>
  <r>
    <x v="1391"/>
    <x v="1"/>
    <x v="593"/>
    <x v="50"/>
    <x v="6"/>
    <x v="17"/>
    <x v="71"/>
    <x v="32"/>
    <x v="20"/>
    <x v="18"/>
    <x v="0"/>
    <x v="334"/>
    <x v="173"/>
    <x v="40"/>
    <x v="298"/>
    <x v="686"/>
    <x v="2"/>
    <x v="108"/>
    <x v="108"/>
    <x v="660"/>
    <x v="317"/>
    <x v="1"/>
    <x v="27"/>
    <x v="41"/>
    <x v="1"/>
  </r>
  <r>
    <x v="1392"/>
    <x v="1"/>
    <x v="594"/>
    <x v="48"/>
    <x v="6"/>
    <x v="6"/>
    <x v="66"/>
    <x v="32"/>
    <x v="20"/>
    <x v="18"/>
    <x v="0"/>
    <x v="420"/>
    <x v="196"/>
    <x v="42"/>
    <x v="361"/>
    <x v="908"/>
    <x v="2"/>
    <x v="108"/>
    <x v="108"/>
    <x v="754"/>
    <x v="319"/>
    <x v="1"/>
    <x v="27"/>
    <x v="41"/>
    <x v="1"/>
  </r>
  <r>
    <x v="1393"/>
    <x v="1"/>
    <x v="596"/>
    <x v="51"/>
    <x v="6"/>
    <x v="48"/>
    <x v="15"/>
    <x v="32"/>
    <x v="20"/>
    <x v="27"/>
    <x v="0"/>
    <x v="116"/>
    <x v="177"/>
    <x v="64"/>
    <x v="114"/>
    <x v="126"/>
    <x v="2"/>
    <x v="108"/>
    <x v="108"/>
    <x v="383"/>
    <x v="474"/>
    <x v="1"/>
    <x v="27"/>
    <x v="41"/>
    <x v="1"/>
  </r>
  <r>
    <x v="1394"/>
    <x v="1"/>
    <x v="595"/>
    <x v="51"/>
    <x v="6"/>
    <x v="48"/>
    <x v="15"/>
    <x v="32"/>
    <x v="20"/>
    <x v="18"/>
    <x v="0"/>
    <x v="411"/>
    <x v="415"/>
    <x v="54"/>
    <x v="110"/>
    <x v="137"/>
    <x v="2"/>
    <x v="108"/>
    <x v="108"/>
    <x v="310"/>
    <x v="415"/>
    <x v="1"/>
    <x v="27"/>
    <x v="41"/>
    <x v="1"/>
  </r>
  <r>
    <x v="1395"/>
    <x v="1"/>
    <x v="597"/>
    <x v="49"/>
    <x v="6"/>
    <x v="30"/>
    <x v="67"/>
    <x v="32"/>
    <x v="20"/>
    <x v="27"/>
    <x v="0"/>
    <x v="453"/>
    <x v="129"/>
    <x v="44"/>
    <x v="420"/>
    <x v="1121"/>
    <x v="2"/>
    <x v="108"/>
    <x v="108"/>
    <x v="881"/>
    <x v="350"/>
    <x v="1"/>
    <x v="27"/>
    <x v="41"/>
    <x v="1"/>
  </r>
  <r>
    <x v="1396"/>
    <x v="1"/>
    <x v="599"/>
    <x v="54"/>
    <x v="6"/>
    <x v="93"/>
    <x v="86"/>
    <x v="32"/>
    <x v="20"/>
    <x v="27"/>
    <x v="0"/>
    <x v="697"/>
    <x v="463"/>
    <x v="20"/>
    <x v="118"/>
    <x v="177"/>
    <x v="2"/>
    <x v="108"/>
    <x v="109"/>
    <x v="85"/>
    <x v="188"/>
    <x v="1"/>
    <x v="28"/>
    <x v="42"/>
    <x v="1"/>
  </r>
  <r>
    <x v="1397"/>
    <x v="1"/>
    <x v="600"/>
    <x v="54"/>
    <x v="6"/>
    <x v="93"/>
    <x v="86"/>
    <x v="32"/>
    <x v="20"/>
    <x v="18"/>
    <x v="0"/>
    <x v="304"/>
    <x v="383"/>
    <x v="13"/>
    <x v="111"/>
    <x v="182"/>
    <x v="2"/>
    <x v="108"/>
    <x v="109"/>
    <x v="38"/>
    <x v="110"/>
    <x v="1"/>
    <x v="28"/>
    <x v="42"/>
    <x v="1"/>
  </r>
  <r>
    <x v="1398"/>
    <x v="1"/>
    <x v="601"/>
    <x v="53"/>
    <x v="6"/>
    <x v="63"/>
    <x v="65"/>
    <x v="32"/>
    <x v="20"/>
    <x v="18"/>
    <x v="0"/>
    <x v="757"/>
    <x v="446"/>
    <x v="40"/>
    <x v="352"/>
    <x v="905"/>
    <x v="2"/>
    <x v="108"/>
    <x v="109"/>
    <x v="708"/>
    <x v="317"/>
    <x v="1"/>
    <x v="28"/>
    <x v="42"/>
    <x v="1"/>
  </r>
  <r>
    <x v="1399"/>
    <x v="1"/>
    <x v="602"/>
    <x v="235"/>
    <x v="0"/>
    <x v="105"/>
    <x v="20"/>
    <x v="1"/>
    <x v="1"/>
    <x v="15"/>
    <x v="0"/>
    <x v="151"/>
    <x v="121"/>
    <x v="37"/>
    <x v="159"/>
    <x v="240"/>
    <x v="2"/>
    <x v="108"/>
    <x v="109"/>
    <x v="324"/>
    <x v="307"/>
    <x v="1"/>
    <x v="28"/>
    <x v="42"/>
    <x v="1"/>
  </r>
  <r>
    <x v="1400"/>
    <x v="1"/>
    <x v="603"/>
    <x v="56"/>
    <x v="6"/>
    <x v="66"/>
    <x v="44"/>
    <x v="32"/>
    <x v="20"/>
    <x v="27"/>
    <x v="0"/>
    <x v="369"/>
    <x v="179"/>
    <x v="44"/>
    <x v="327"/>
    <x v="747"/>
    <x v="2"/>
    <x v="108"/>
    <x v="109"/>
    <x v="762"/>
    <x v="350"/>
    <x v="1"/>
    <x v="28"/>
    <x v="42"/>
    <x v="1"/>
  </r>
  <r>
    <x v="1401"/>
    <x v="1"/>
    <x v="604"/>
    <x v="235"/>
    <x v="0"/>
    <x v="86"/>
    <x v="77"/>
    <x v="1"/>
    <x v="1"/>
    <x v="15"/>
    <x v="0"/>
    <x v="22"/>
    <x v="8"/>
    <x v="32"/>
    <x v="37"/>
    <x v="73"/>
    <x v="2"/>
    <x v="108"/>
    <x v="109"/>
    <x v="32"/>
    <x v="245"/>
    <x v="1"/>
    <x v="28"/>
    <x v="42"/>
    <x v="1"/>
  </r>
  <r>
    <x v="1402"/>
    <x v="1"/>
    <x v="605"/>
    <x v="230"/>
    <x v="0"/>
    <x v="16"/>
    <x v="42"/>
    <x v="1"/>
    <x v="1"/>
    <x v="15"/>
    <x v="0"/>
    <x v="82"/>
    <x v="244"/>
    <x v="22"/>
    <x v="7"/>
    <x v="12"/>
    <x v="2"/>
    <x v="108"/>
    <x v="110"/>
    <x v="9"/>
    <x v="194"/>
    <x v="1"/>
    <x v="29"/>
    <x v="43"/>
    <x v="1"/>
  </r>
  <r>
    <x v="1403"/>
    <x v="1"/>
    <x v="598"/>
    <x v="52"/>
    <x v="6"/>
    <x v="75"/>
    <x v="57"/>
    <x v="32"/>
    <x v="20"/>
    <x v="18"/>
    <x v="0"/>
    <x v="448"/>
    <x v="424"/>
    <x v="16"/>
    <x v="102"/>
    <x v="167"/>
    <x v="2"/>
    <x v="108"/>
    <x v="109"/>
    <x v="48"/>
    <x v="118"/>
    <x v="1"/>
    <x v="28"/>
    <x v="42"/>
    <x v="1"/>
  </r>
  <r>
    <x v="1404"/>
    <x v="1"/>
    <x v="606"/>
    <x v="52"/>
    <x v="6"/>
    <x v="75"/>
    <x v="57"/>
    <x v="32"/>
    <x v="20"/>
    <x v="27"/>
    <x v="0"/>
    <x v="127"/>
    <x v="242"/>
    <x v="28"/>
    <x v="102"/>
    <x v="153"/>
    <x v="2"/>
    <x v="108"/>
    <x v="109"/>
    <x v="106"/>
    <x v="238"/>
    <x v="1"/>
    <x v="28"/>
    <x v="42"/>
    <x v="1"/>
  </r>
  <r>
    <x v="1405"/>
    <x v="1"/>
    <x v="607"/>
    <x v="236"/>
    <x v="0"/>
    <x v="98"/>
    <x v="54"/>
    <x v="1"/>
    <x v="1"/>
    <x v="15"/>
    <x v="0"/>
    <x v="149"/>
    <x v="168"/>
    <x v="20"/>
    <x v="139"/>
    <x v="231"/>
    <x v="2"/>
    <x v="108"/>
    <x v="110"/>
    <x v="152"/>
    <x v="158"/>
    <x v="1"/>
    <x v="29"/>
    <x v="43"/>
    <x v="1"/>
  </r>
  <r>
    <x v="1406"/>
    <x v="1"/>
    <x v="608"/>
    <x v="237"/>
    <x v="0"/>
    <x v="39"/>
    <x v="30"/>
    <x v="1"/>
    <x v="1"/>
    <x v="15"/>
    <x v="0"/>
    <x v="166"/>
    <x v="235"/>
    <x v="40"/>
    <x v="136"/>
    <x v="210"/>
    <x v="2"/>
    <x v="108"/>
    <x v="110"/>
    <x v="303"/>
    <x v="317"/>
    <x v="1"/>
    <x v="29"/>
    <x v="43"/>
    <x v="1"/>
  </r>
  <r>
    <x v="1407"/>
    <x v="1"/>
    <x v="609"/>
    <x v="238"/>
    <x v="0"/>
    <x v="88"/>
    <x v="18"/>
    <x v="1"/>
    <x v="1"/>
    <x v="15"/>
    <x v="0"/>
    <x v="133"/>
    <x v="104"/>
    <x v="44"/>
    <x v="144"/>
    <x v="216"/>
    <x v="2"/>
    <x v="108"/>
    <x v="110"/>
    <x v="360"/>
    <x v="350"/>
    <x v="1"/>
    <x v="29"/>
    <x v="43"/>
    <x v="1"/>
  </r>
  <r>
    <x v="1408"/>
    <x v="1"/>
    <x v="610"/>
    <x v="58"/>
    <x v="6"/>
    <x v="9"/>
    <x v="33"/>
    <x v="32"/>
    <x v="20"/>
    <x v="27"/>
    <x v="0"/>
    <x v="257"/>
    <x v="70"/>
    <x v="34"/>
    <x v="327"/>
    <x v="871"/>
    <x v="2"/>
    <x v="108"/>
    <x v="111"/>
    <x v="624"/>
    <x v="279"/>
    <x v="2"/>
    <x v="0"/>
    <x v="44"/>
    <x v="1"/>
  </r>
  <r>
    <x v="1409"/>
    <x v="1"/>
    <x v="611"/>
    <x v="57"/>
    <x v="6"/>
    <x v="51"/>
    <x v="70"/>
    <x v="32"/>
    <x v="20"/>
    <x v="27"/>
    <x v="0"/>
    <x v="394"/>
    <x v="181"/>
    <x v="14"/>
    <x v="350"/>
    <x v="1101"/>
    <x v="2"/>
    <x v="108"/>
    <x v="111"/>
    <x v="332"/>
    <x v="113"/>
    <x v="2"/>
    <x v="0"/>
    <x v="44"/>
    <x v="1"/>
  </r>
  <r>
    <x v="1410"/>
    <x v="1"/>
    <x v="612"/>
    <x v="55"/>
    <x v="6"/>
    <x v="82"/>
    <x v="58"/>
    <x v="32"/>
    <x v="20"/>
    <x v="27"/>
    <x v="0"/>
    <x v="461"/>
    <x v="251"/>
    <x v="49"/>
    <x v="348"/>
    <x v="765"/>
    <x v="2"/>
    <x v="108"/>
    <x v="111"/>
    <x v="859"/>
    <x v="387"/>
    <x v="2"/>
    <x v="0"/>
    <x v="44"/>
    <x v="1"/>
  </r>
  <r>
    <x v="1411"/>
    <x v="1"/>
    <x v="613"/>
    <x v="59"/>
    <x v="6"/>
    <x v="67"/>
    <x v="63"/>
    <x v="32"/>
    <x v="20"/>
    <x v="27"/>
    <x v="0"/>
    <x v="371"/>
    <x v="164"/>
    <x v="22"/>
    <x v="345"/>
    <x v="1035"/>
    <x v="2"/>
    <x v="108"/>
    <x v="111"/>
    <x v="481"/>
    <x v="194"/>
    <x v="2"/>
    <x v="0"/>
    <x v="44"/>
    <x v="1"/>
  </r>
  <r>
    <x v="1412"/>
    <x v="1"/>
    <x v="614"/>
    <x v="60"/>
    <x v="6"/>
    <x v="66"/>
    <x v="44"/>
    <x v="32"/>
    <x v="20"/>
    <x v="27"/>
    <x v="0"/>
    <x v="407"/>
    <x v="200"/>
    <x v="44"/>
    <x v="344"/>
    <x v="812"/>
    <x v="2"/>
    <x v="108"/>
    <x v="111"/>
    <x v="775"/>
    <x v="350"/>
    <x v="2"/>
    <x v="0"/>
    <x v="44"/>
    <x v="1"/>
  </r>
  <r>
    <x v="1413"/>
    <x v="1"/>
    <x v="615"/>
    <x v="61"/>
    <x v="6"/>
    <x v="104"/>
    <x v="64"/>
    <x v="32"/>
    <x v="20"/>
    <x v="27"/>
    <x v="0"/>
    <x v="370"/>
    <x v="181"/>
    <x v="47"/>
    <x v="326"/>
    <x v="704"/>
    <x v="2"/>
    <x v="108"/>
    <x v="112"/>
    <x v="805"/>
    <x v="372"/>
    <x v="2"/>
    <x v="1"/>
    <x v="45"/>
    <x v="1"/>
  </r>
  <r>
    <x v="1414"/>
    <x v="1"/>
    <x v="616"/>
    <x v="62"/>
    <x v="6"/>
    <x v="30"/>
    <x v="67"/>
    <x v="32"/>
    <x v="20"/>
    <x v="27"/>
    <x v="0"/>
    <x v="313"/>
    <x v="131"/>
    <x v="37"/>
    <x v="320"/>
    <x v="813"/>
    <x v="2"/>
    <x v="108"/>
    <x v="112"/>
    <x v="648"/>
    <x v="292"/>
    <x v="2"/>
    <x v="1"/>
    <x v="45"/>
    <x v="1"/>
  </r>
  <r>
    <x v="1415"/>
    <x v="1"/>
    <x v="617"/>
    <x v="63"/>
    <x v="6"/>
    <x v="17"/>
    <x v="71"/>
    <x v="32"/>
    <x v="20"/>
    <x v="27"/>
    <x v="0"/>
    <x v="339"/>
    <x v="175"/>
    <x v="20"/>
    <x v="301"/>
    <x v="919"/>
    <x v="2"/>
    <x v="108"/>
    <x v="112"/>
    <x v="425"/>
    <x v="158"/>
    <x v="2"/>
    <x v="1"/>
    <x v="45"/>
    <x v="1"/>
  </r>
  <r>
    <x v="1416"/>
    <x v="1"/>
    <x v="618"/>
    <x v="64"/>
    <x v="6"/>
    <x v="48"/>
    <x v="15"/>
    <x v="32"/>
    <x v="20"/>
    <x v="27"/>
    <x v="0"/>
    <x v="315"/>
    <x v="168"/>
    <x v="42"/>
    <x v="284"/>
    <x v="616"/>
    <x v="2"/>
    <x v="108"/>
    <x v="112"/>
    <x v="689"/>
    <x v="336"/>
    <x v="2"/>
    <x v="1"/>
    <x v="45"/>
    <x v="1"/>
  </r>
  <r>
    <x v="1417"/>
    <x v="1"/>
    <x v="619"/>
    <x v="65"/>
    <x v="6"/>
    <x v="7"/>
    <x v="49"/>
    <x v="32"/>
    <x v="20"/>
    <x v="27"/>
    <x v="0"/>
    <x v="746"/>
    <x v="443"/>
    <x v="42"/>
    <x v="310"/>
    <x v="703"/>
    <x v="2"/>
    <x v="108"/>
    <x v="112"/>
    <x v="715"/>
    <x v="331"/>
    <x v="2"/>
    <x v="1"/>
    <x v="45"/>
    <x v="1"/>
  </r>
  <r>
    <x v="1418"/>
    <x v="1"/>
    <x v="620"/>
    <x v="66"/>
    <x v="6"/>
    <x v="24"/>
    <x v="48"/>
    <x v="32"/>
    <x v="20"/>
    <x v="18"/>
    <x v="0"/>
    <x v="423"/>
    <x v="422"/>
    <x v="42"/>
    <x v="91"/>
    <x v="129"/>
    <x v="2"/>
    <x v="108"/>
    <x v="112"/>
    <x v="192"/>
    <x v="319"/>
    <x v="2"/>
    <x v="1"/>
    <x v="45"/>
    <x v="1"/>
  </r>
  <r>
    <x v="1419"/>
    <x v="1"/>
    <x v="623"/>
    <x v="66"/>
    <x v="6"/>
    <x v="24"/>
    <x v="48"/>
    <x v="32"/>
    <x v="20"/>
    <x v="27"/>
    <x v="0"/>
    <x v="124"/>
    <x v="246"/>
    <x v="20"/>
    <x v="91"/>
    <x v="152"/>
    <x v="2"/>
    <x v="108"/>
    <x v="112"/>
    <x v="68"/>
    <x v="158"/>
    <x v="2"/>
    <x v="1"/>
    <x v="45"/>
    <x v="1"/>
  </r>
  <r>
    <x v="1420"/>
    <x v="1"/>
    <x v="621"/>
    <x v="67"/>
    <x v="6"/>
    <x v="75"/>
    <x v="57"/>
    <x v="32"/>
    <x v="20"/>
    <x v="18"/>
    <x v="0"/>
    <x v="395"/>
    <x v="250"/>
    <x v="47"/>
    <x v="273"/>
    <x v="548"/>
    <x v="2"/>
    <x v="108"/>
    <x v="112"/>
    <x v="756"/>
    <x v="358"/>
    <x v="2"/>
    <x v="1"/>
    <x v="45"/>
    <x v="1"/>
  </r>
  <r>
    <x v="1421"/>
    <x v="1"/>
    <x v="622"/>
    <x v="68"/>
    <x v="6"/>
    <x v="9"/>
    <x v="33"/>
    <x v="32"/>
    <x v="20"/>
    <x v="18"/>
    <x v="0"/>
    <x v="227"/>
    <x v="71"/>
    <x v="32"/>
    <x v="285"/>
    <x v="738"/>
    <x v="2"/>
    <x v="108"/>
    <x v="112"/>
    <x v="558"/>
    <x v="245"/>
    <x v="2"/>
    <x v="1"/>
    <x v="45"/>
    <x v="1"/>
  </r>
  <r>
    <x v="1422"/>
    <x v="1"/>
    <x v="624"/>
    <x v="69"/>
    <x v="6"/>
    <x v="63"/>
    <x v="65"/>
    <x v="32"/>
    <x v="20"/>
    <x v="18"/>
    <x v="0"/>
    <x v="756"/>
    <x v="444"/>
    <x v="44"/>
    <x v="349"/>
    <x v="834"/>
    <x v="2"/>
    <x v="108"/>
    <x v="112"/>
    <x v="784"/>
    <x v="350"/>
    <x v="2"/>
    <x v="1"/>
    <x v="45"/>
    <x v="1"/>
  </r>
  <r>
    <x v="1423"/>
    <x v="1"/>
    <x v="625"/>
    <x v="70"/>
    <x v="6"/>
    <x v="51"/>
    <x v="70"/>
    <x v="32"/>
    <x v="20"/>
    <x v="18"/>
    <x v="0"/>
    <x v="385"/>
    <x v="168"/>
    <x v="25"/>
    <x v="354"/>
    <x v="1039"/>
    <x v="2"/>
    <x v="108"/>
    <x v="112"/>
    <x v="527"/>
    <x v="207"/>
    <x v="2"/>
    <x v="1"/>
    <x v="45"/>
    <x v="1"/>
  </r>
  <r>
    <x v="1424"/>
    <x v="1"/>
    <x v="626"/>
    <x v="71"/>
    <x v="6"/>
    <x v="82"/>
    <x v="58"/>
    <x v="33"/>
    <x v="21"/>
    <x v="27"/>
    <x v="0"/>
    <x v="448"/>
    <x v="237"/>
    <x v="40"/>
    <x v="344"/>
    <x v="875"/>
    <x v="2"/>
    <x v="108"/>
    <x v="112"/>
    <x v="701"/>
    <x v="317"/>
    <x v="2"/>
    <x v="1"/>
    <x v="45"/>
    <x v="1"/>
  </r>
  <r>
    <x v="1425"/>
    <x v="1"/>
    <x v="627"/>
    <x v="72"/>
    <x v="6"/>
    <x v="67"/>
    <x v="63"/>
    <x v="33"/>
    <x v="21"/>
    <x v="27"/>
    <x v="0"/>
    <x v="369"/>
    <x v="153"/>
    <x v="57"/>
    <x v="354"/>
    <x v="682"/>
    <x v="2"/>
    <x v="108"/>
    <x v="112"/>
    <x v="963"/>
    <x v="426"/>
    <x v="2"/>
    <x v="1"/>
    <x v="45"/>
    <x v="1"/>
  </r>
  <r>
    <x v="1426"/>
    <x v="1"/>
    <x v="629"/>
    <x v="74"/>
    <x v="6"/>
    <x v="104"/>
    <x v="64"/>
    <x v="33"/>
    <x v="21"/>
    <x v="27"/>
    <x v="0"/>
    <x v="403"/>
    <x v="170"/>
    <x v="49"/>
    <x v="370"/>
    <x v="855"/>
    <x v="2"/>
    <x v="108"/>
    <x v="112"/>
    <x v="882"/>
    <x v="387"/>
    <x v="2"/>
    <x v="1"/>
    <x v="45"/>
    <x v="1"/>
  </r>
  <r>
    <x v="1427"/>
    <x v="1"/>
    <x v="628"/>
    <x v="73"/>
    <x v="6"/>
    <x v="66"/>
    <x v="44"/>
    <x v="33"/>
    <x v="21"/>
    <x v="27"/>
    <x v="0"/>
    <x v="405"/>
    <x v="182"/>
    <x v="51"/>
    <x v="360"/>
    <x v="782"/>
    <x v="2"/>
    <x v="108"/>
    <x v="112"/>
    <x v="905"/>
    <x v="396"/>
    <x v="2"/>
    <x v="1"/>
    <x v="45"/>
    <x v="1"/>
  </r>
  <r>
    <x v="1428"/>
    <x v="1"/>
    <x v="630"/>
    <x v="75"/>
    <x v="6"/>
    <x v="48"/>
    <x v="15"/>
    <x v="33"/>
    <x v="21"/>
    <x v="27"/>
    <x v="0"/>
    <x v="377"/>
    <x v="159"/>
    <x v="47"/>
    <x v="356"/>
    <x v="828"/>
    <x v="2"/>
    <x v="108"/>
    <x v="112"/>
    <x v="833"/>
    <x v="365"/>
    <x v="2"/>
    <x v="1"/>
    <x v="45"/>
    <x v="1"/>
  </r>
  <r>
    <x v="1429"/>
    <x v="1"/>
    <x v="631"/>
    <x v="76"/>
    <x v="6"/>
    <x v="7"/>
    <x v="49"/>
    <x v="33"/>
    <x v="21"/>
    <x v="27"/>
    <x v="0"/>
    <x v="759"/>
    <x v="454"/>
    <x v="44"/>
    <x v="343"/>
    <x v="808"/>
    <x v="2"/>
    <x v="108"/>
    <x v="112"/>
    <x v="773"/>
    <x v="350"/>
    <x v="2"/>
    <x v="1"/>
    <x v="45"/>
    <x v="1"/>
  </r>
  <r>
    <x v="1430"/>
    <x v="1"/>
    <x v="632"/>
    <x v="77"/>
    <x v="6"/>
    <x v="24"/>
    <x v="48"/>
    <x v="33"/>
    <x v="21"/>
    <x v="27"/>
    <x v="0"/>
    <x v="438"/>
    <x v="238"/>
    <x v="47"/>
    <x v="331"/>
    <x v="731"/>
    <x v="2"/>
    <x v="108"/>
    <x v="113"/>
    <x v="810"/>
    <x v="358"/>
    <x v="2"/>
    <x v="2"/>
    <x v="46"/>
    <x v="1"/>
  </r>
  <r>
    <x v="1431"/>
    <x v="1"/>
    <x v="633"/>
    <x v="78"/>
    <x v="6"/>
    <x v="75"/>
    <x v="57"/>
    <x v="33"/>
    <x v="21"/>
    <x v="27"/>
    <x v="0"/>
    <x v="431"/>
    <x v="255"/>
    <x v="20"/>
    <x v="302"/>
    <x v="920"/>
    <x v="2"/>
    <x v="108"/>
    <x v="113"/>
    <x v="426"/>
    <x v="173"/>
    <x v="2"/>
    <x v="2"/>
    <x v="46"/>
    <x v="1"/>
  </r>
  <r>
    <x v="1432"/>
    <x v="1"/>
    <x v="634"/>
    <x v="80"/>
    <x v="6"/>
    <x v="30"/>
    <x v="67"/>
    <x v="33"/>
    <x v="21"/>
    <x v="27"/>
    <x v="0"/>
    <x v="317"/>
    <x v="132"/>
    <x v="44"/>
    <x v="323"/>
    <x v="734"/>
    <x v="2"/>
    <x v="108"/>
    <x v="113"/>
    <x v="760"/>
    <x v="350"/>
    <x v="2"/>
    <x v="2"/>
    <x v="46"/>
    <x v="1"/>
  </r>
  <r>
    <x v="1433"/>
    <x v="1"/>
    <x v="635"/>
    <x v="79"/>
    <x v="6"/>
    <x v="73"/>
    <x v="73"/>
    <x v="33"/>
    <x v="21"/>
    <x v="27"/>
    <x v="0"/>
    <x v="414"/>
    <x v="252"/>
    <x v="44"/>
    <x v="290"/>
    <x v="607"/>
    <x v="2"/>
    <x v="108"/>
    <x v="113"/>
    <x v="736"/>
    <x v="350"/>
    <x v="2"/>
    <x v="2"/>
    <x v="46"/>
    <x v="1"/>
  </r>
  <r>
    <x v="1434"/>
    <x v="1"/>
    <x v="636"/>
    <x v="81"/>
    <x v="6"/>
    <x v="17"/>
    <x v="71"/>
    <x v="33"/>
    <x v="21"/>
    <x v="27"/>
    <x v="0"/>
    <x v="357"/>
    <x v="172"/>
    <x v="72"/>
    <x v="322"/>
    <x v="429"/>
    <x v="2"/>
    <x v="108"/>
    <x v="113"/>
    <x v="1131"/>
    <x v="535"/>
    <x v="2"/>
    <x v="2"/>
    <x v="46"/>
    <x v="1"/>
  </r>
  <r>
    <x v="1435"/>
    <x v="1"/>
    <x v="637"/>
    <x v="82"/>
    <x v="6"/>
    <x v="9"/>
    <x v="33"/>
    <x v="33"/>
    <x v="21"/>
    <x v="27"/>
    <x v="0"/>
    <x v="241"/>
    <x v="72"/>
    <x v="72"/>
    <x v="306"/>
    <x v="403"/>
    <x v="2"/>
    <x v="108"/>
    <x v="113"/>
    <x v="1124"/>
    <x v="535"/>
    <x v="2"/>
    <x v="2"/>
    <x v="46"/>
    <x v="1"/>
  </r>
  <r>
    <x v="1436"/>
    <x v="1"/>
    <x v="638"/>
    <x v="83"/>
    <x v="6"/>
    <x v="51"/>
    <x v="70"/>
    <x v="33"/>
    <x v="21"/>
    <x v="27"/>
    <x v="0"/>
    <x v="363"/>
    <x v="165"/>
    <x v="54"/>
    <x v="336"/>
    <x v="655"/>
    <x v="2"/>
    <x v="108"/>
    <x v="113"/>
    <x v="915"/>
    <x v="415"/>
    <x v="2"/>
    <x v="2"/>
    <x v="46"/>
    <x v="1"/>
  </r>
  <r>
    <x v="1437"/>
    <x v="1"/>
    <x v="639"/>
    <x v="84"/>
    <x v="6"/>
    <x v="82"/>
    <x v="58"/>
    <x v="33"/>
    <x v="21"/>
    <x v="27"/>
    <x v="0"/>
    <x v="457"/>
    <x v="249"/>
    <x v="64"/>
    <x v="342"/>
    <x v="574"/>
    <x v="2"/>
    <x v="108"/>
    <x v="113"/>
    <x v="1029"/>
    <x v="474"/>
    <x v="2"/>
    <x v="2"/>
    <x v="46"/>
    <x v="1"/>
  </r>
  <r>
    <x v="1438"/>
    <x v="1"/>
    <x v="640"/>
    <x v="85"/>
    <x v="6"/>
    <x v="67"/>
    <x v="63"/>
    <x v="33"/>
    <x v="21"/>
    <x v="27"/>
    <x v="0"/>
    <x v="358"/>
    <x v="164"/>
    <x v="28"/>
    <x v="332"/>
    <x v="949"/>
    <x v="2"/>
    <x v="108"/>
    <x v="113"/>
    <x v="547"/>
    <x v="238"/>
    <x v="2"/>
    <x v="2"/>
    <x v="46"/>
    <x v="1"/>
  </r>
  <r>
    <x v="1439"/>
    <x v="1"/>
    <x v="641"/>
    <x v="86"/>
    <x v="6"/>
    <x v="104"/>
    <x v="64"/>
    <x v="33"/>
    <x v="21"/>
    <x v="27"/>
    <x v="0"/>
    <x v="377"/>
    <x v="164"/>
    <x v="54"/>
    <x v="351"/>
    <x v="705"/>
    <x v="2"/>
    <x v="108"/>
    <x v="113"/>
    <x v="927"/>
    <x v="415"/>
    <x v="2"/>
    <x v="2"/>
    <x v="46"/>
    <x v="1"/>
  </r>
  <r>
    <x v="1440"/>
    <x v="1"/>
    <x v="642"/>
    <x v="87"/>
    <x v="6"/>
    <x v="63"/>
    <x v="65"/>
    <x v="33"/>
    <x v="21"/>
    <x v="27"/>
    <x v="0"/>
    <x v="755"/>
    <x v="438"/>
    <x v="40"/>
    <x v="355"/>
    <x v="916"/>
    <x v="2"/>
    <x v="108"/>
    <x v="113"/>
    <x v="713"/>
    <x v="317"/>
    <x v="2"/>
    <x v="2"/>
    <x v="46"/>
    <x v="1"/>
  </r>
  <r>
    <x v="1441"/>
    <x v="1"/>
    <x v="643"/>
    <x v="88"/>
    <x v="6"/>
    <x v="66"/>
    <x v="44"/>
    <x v="33"/>
    <x v="21"/>
    <x v="27"/>
    <x v="0"/>
    <x v="401"/>
    <x v="172"/>
    <x v="32"/>
    <x v="366"/>
    <x v="1024"/>
    <x v="2"/>
    <x v="108"/>
    <x v="113"/>
    <x v="614"/>
    <x v="255"/>
    <x v="2"/>
    <x v="2"/>
    <x v="46"/>
    <x v="1"/>
  </r>
  <r>
    <x v="1442"/>
    <x v="1"/>
    <x v="644"/>
    <x v="89"/>
    <x v="6"/>
    <x v="48"/>
    <x v="15"/>
    <x v="33"/>
    <x v="21"/>
    <x v="27"/>
    <x v="0"/>
    <x v="376"/>
    <x v="155"/>
    <x v="47"/>
    <x v="359"/>
    <x v="842"/>
    <x v="2"/>
    <x v="108"/>
    <x v="113"/>
    <x v="836"/>
    <x v="358"/>
    <x v="2"/>
    <x v="2"/>
    <x v="46"/>
    <x v="1"/>
  </r>
  <r>
    <x v="1443"/>
    <x v="1"/>
    <x v="645"/>
    <x v="90"/>
    <x v="6"/>
    <x v="7"/>
    <x v="49"/>
    <x v="33"/>
    <x v="21"/>
    <x v="27"/>
    <x v="0"/>
    <x v="758"/>
    <x v="449"/>
    <x v="49"/>
    <x v="348"/>
    <x v="765"/>
    <x v="2"/>
    <x v="108"/>
    <x v="113"/>
    <x v="859"/>
    <x v="387"/>
    <x v="2"/>
    <x v="2"/>
    <x v="46"/>
    <x v="1"/>
  </r>
  <r>
    <x v="1444"/>
    <x v="1"/>
    <x v="646"/>
    <x v="94"/>
    <x v="6"/>
    <x v="24"/>
    <x v="48"/>
    <x v="32"/>
    <x v="20"/>
    <x v="18"/>
    <x v="0"/>
    <x v="449"/>
    <x v="405"/>
    <x v="25"/>
    <x v="130"/>
    <x v="207"/>
    <x v="2"/>
    <x v="108"/>
    <x v="114"/>
    <x v="165"/>
    <x v="230"/>
    <x v="2"/>
    <x v="3"/>
    <x v="47"/>
    <x v="1"/>
  </r>
  <r>
    <x v="1445"/>
    <x v="1"/>
    <x v="648"/>
    <x v="94"/>
    <x v="6"/>
    <x v="24"/>
    <x v="48"/>
    <x v="33"/>
    <x v="21"/>
    <x v="27"/>
    <x v="0"/>
    <x v="105"/>
    <x v="246"/>
    <x v="47"/>
    <x v="64"/>
    <x v="100"/>
    <x v="2"/>
    <x v="108"/>
    <x v="114"/>
    <x v="146"/>
    <x v="358"/>
    <x v="2"/>
    <x v="3"/>
    <x v="47"/>
    <x v="1"/>
  </r>
  <r>
    <x v="1446"/>
    <x v="1"/>
    <x v="647"/>
    <x v="91"/>
    <x v="6"/>
    <x v="73"/>
    <x v="73"/>
    <x v="32"/>
    <x v="20"/>
    <x v="18"/>
    <x v="0"/>
    <x v="390"/>
    <x v="241"/>
    <x v="16"/>
    <x v="280"/>
    <x v="893"/>
    <x v="2"/>
    <x v="108"/>
    <x v="114"/>
    <x v="334"/>
    <x v="140"/>
    <x v="2"/>
    <x v="3"/>
    <x v="47"/>
    <x v="1"/>
  </r>
  <r>
    <x v="1447"/>
    <x v="1"/>
    <x v="649"/>
    <x v="92"/>
    <x v="6"/>
    <x v="9"/>
    <x v="33"/>
    <x v="32"/>
    <x v="20"/>
    <x v="18"/>
    <x v="0"/>
    <x v="225"/>
    <x v="73"/>
    <x v="13"/>
    <x v="276"/>
    <x v="933"/>
    <x v="2"/>
    <x v="108"/>
    <x v="114"/>
    <x v="267"/>
    <x v="104"/>
    <x v="2"/>
    <x v="3"/>
    <x v="47"/>
    <x v="1"/>
  </r>
  <r>
    <x v="1448"/>
    <x v="1"/>
    <x v="650"/>
    <x v="93"/>
    <x v="6"/>
    <x v="39"/>
    <x v="30"/>
    <x v="32"/>
    <x v="20"/>
    <x v="18"/>
    <x v="0"/>
    <x v="384"/>
    <x v="233"/>
    <x v="25"/>
    <x v="282"/>
    <x v="785"/>
    <x v="2"/>
    <x v="108"/>
    <x v="114"/>
    <x v="479"/>
    <x v="219"/>
    <x v="2"/>
    <x v="3"/>
    <x v="47"/>
    <x v="1"/>
  </r>
  <r>
    <x v="1449"/>
    <x v="1"/>
    <x v="652"/>
    <x v="96"/>
    <x v="6"/>
    <x v="82"/>
    <x v="58"/>
    <x v="32"/>
    <x v="20"/>
    <x v="18"/>
    <x v="0"/>
    <x v="397"/>
    <x v="239"/>
    <x v="18"/>
    <x v="289"/>
    <x v="899"/>
    <x v="2"/>
    <x v="108"/>
    <x v="114"/>
    <x v="372"/>
    <x v="153"/>
    <x v="2"/>
    <x v="3"/>
    <x v="47"/>
    <x v="1"/>
  </r>
  <r>
    <x v="1450"/>
    <x v="1"/>
    <x v="651"/>
    <x v="95"/>
    <x v="6"/>
    <x v="51"/>
    <x v="70"/>
    <x v="32"/>
    <x v="20"/>
    <x v="18"/>
    <x v="0"/>
    <x v="312"/>
    <x v="175"/>
    <x v="25"/>
    <x v="274"/>
    <x v="751"/>
    <x v="2"/>
    <x v="108"/>
    <x v="114"/>
    <x v="475"/>
    <x v="221"/>
    <x v="2"/>
    <x v="3"/>
    <x v="47"/>
    <x v="1"/>
  </r>
  <r>
    <x v="1451"/>
    <x v="1"/>
    <x v="653"/>
    <x v="98"/>
    <x v="6"/>
    <x v="104"/>
    <x v="64"/>
    <x v="32"/>
    <x v="20"/>
    <x v="18"/>
    <x v="0"/>
    <x v="313"/>
    <x v="181"/>
    <x v="10"/>
    <x v="269"/>
    <x v="961"/>
    <x v="2"/>
    <x v="108"/>
    <x v="114"/>
    <x v="199"/>
    <x v="52"/>
    <x v="2"/>
    <x v="3"/>
    <x v="47"/>
    <x v="1"/>
  </r>
  <r>
    <x v="1452"/>
    <x v="1"/>
    <x v="654"/>
    <x v="97"/>
    <x v="6"/>
    <x v="67"/>
    <x v="63"/>
    <x v="32"/>
    <x v="20"/>
    <x v="18"/>
    <x v="0"/>
    <x v="328"/>
    <x v="152"/>
    <x v="14"/>
    <x v="314"/>
    <x v="1033"/>
    <x v="2"/>
    <x v="108"/>
    <x v="114"/>
    <x v="320"/>
    <x v="113"/>
    <x v="2"/>
    <x v="3"/>
    <x v="47"/>
    <x v="1"/>
  </r>
  <r>
    <x v="1453"/>
    <x v="1"/>
    <x v="655"/>
    <x v="99"/>
    <x v="6"/>
    <x v="66"/>
    <x v="44"/>
    <x v="33"/>
    <x v="21"/>
    <x v="27"/>
    <x v="0"/>
    <x v="406"/>
    <x v="193"/>
    <x v="57"/>
    <x v="350"/>
    <x v="670"/>
    <x v="2"/>
    <x v="108"/>
    <x v="114"/>
    <x v="958"/>
    <x v="427"/>
    <x v="2"/>
    <x v="3"/>
    <x v="47"/>
    <x v="1"/>
  </r>
  <r>
    <x v="1454"/>
    <x v="1"/>
    <x v="656"/>
    <x v="100"/>
    <x v="6"/>
    <x v="7"/>
    <x v="49"/>
    <x v="33"/>
    <x v="21"/>
    <x v="27"/>
    <x v="0"/>
    <x v="752"/>
    <x v="441"/>
    <x v="32"/>
    <x v="336"/>
    <x v="932"/>
    <x v="2"/>
    <x v="108"/>
    <x v="114"/>
    <x v="595"/>
    <x v="257"/>
    <x v="2"/>
    <x v="3"/>
    <x v="47"/>
    <x v="1"/>
  </r>
  <r>
    <x v="1455"/>
    <x v="1"/>
    <x v="657"/>
    <x v="101"/>
    <x v="6"/>
    <x v="24"/>
    <x v="48"/>
    <x v="33"/>
    <x v="21"/>
    <x v="27"/>
    <x v="0"/>
    <x v="449"/>
    <x v="236"/>
    <x v="25"/>
    <x v="346"/>
    <x v="1015"/>
    <x v="2"/>
    <x v="108"/>
    <x v="114"/>
    <x v="521"/>
    <x v="209"/>
    <x v="2"/>
    <x v="3"/>
    <x v="47"/>
    <x v="1"/>
  </r>
  <r>
    <x v="1456"/>
    <x v="1"/>
    <x v="658"/>
    <x v="102"/>
    <x v="6"/>
    <x v="73"/>
    <x v="73"/>
    <x v="33"/>
    <x v="21"/>
    <x v="27"/>
    <x v="0"/>
    <x v="435"/>
    <x v="229"/>
    <x v="28"/>
    <x v="337"/>
    <x v="965"/>
    <x v="2"/>
    <x v="108"/>
    <x v="114"/>
    <x v="552"/>
    <x v="238"/>
    <x v="2"/>
    <x v="3"/>
    <x v="47"/>
    <x v="1"/>
  </r>
  <r>
    <x v="1457"/>
    <x v="1"/>
    <x v="659"/>
    <x v="103"/>
    <x v="6"/>
    <x v="103"/>
    <x v="8"/>
    <x v="33"/>
    <x v="21"/>
    <x v="27"/>
    <x v="0"/>
    <x v="348"/>
    <x v="148"/>
    <x v="18"/>
    <x v="338"/>
    <x v="1053"/>
    <x v="2"/>
    <x v="108"/>
    <x v="114"/>
    <x v="404"/>
    <x v="153"/>
    <x v="2"/>
    <x v="3"/>
    <x v="47"/>
    <x v="1"/>
  </r>
  <r>
    <x v="1458"/>
    <x v="1"/>
    <x v="660"/>
    <x v="104"/>
    <x v="6"/>
    <x v="48"/>
    <x v="15"/>
    <x v="33"/>
    <x v="21"/>
    <x v="27"/>
    <x v="0"/>
    <x v="416"/>
    <x v="176"/>
    <x v="44"/>
    <x v="377"/>
    <x v="934"/>
    <x v="2"/>
    <x v="108"/>
    <x v="114"/>
    <x v="811"/>
    <x v="350"/>
    <x v="2"/>
    <x v="3"/>
    <x v="47"/>
    <x v="1"/>
  </r>
  <r>
    <x v="1459"/>
    <x v="0"/>
    <x v="661"/>
    <x v="105"/>
    <x v="6"/>
    <x v="17"/>
    <x v="71"/>
    <x v="33"/>
    <x v="21"/>
    <x v="27"/>
    <x v="0"/>
    <x v="350"/>
    <x v="172"/>
    <x v="8"/>
    <x v="315"/>
    <x v="1105"/>
    <x v="2"/>
    <x v="108"/>
    <x v="114"/>
    <x v="147"/>
    <x v="28"/>
    <x v="2"/>
    <x v="3"/>
    <x v="47"/>
    <x v="1"/>
  </r>
  <r>
    <x v="1460"/>
    <x v="0"/>
    <x v="662"/>
    <x v="106"/>
    <x v="6"/>
    <x v="75"/>
    <x v="57"/>
    <x v="33"/>
    <x v="21"/>
    <x v="27"/>
    <x v="0"/>
    <x v="203"/>
    <x v="253"/>
    <x v="18"/>
    <x v="191"/>
    <x v="294"/>
    <x v="2"/>
    <x v="108"/>
    <x v="114"/>
    <x v="242"/>
    <x v="153"/>
    <x v="2"/>
    <x v="3"/>
    <x v="47"/>
    <x v="1"/>
  </r>
  <r>
    <x v="1461"/>
    <x v="2"/>
    <x v="663"/>
    <x v="107"/>
    <x v="6"/>
    <x v="39"/>
    <x v="30"/>
    <x v="22"/>
    <x v="15"/>
    <x v="27"/>
    <x v="0"/>
    <x v="385"/>
    <x v="231"/>
    <x v="60"/>
    <x v="285"/>
    <x v="483"/>
    <x v="2"/>
    <x v="108"/>
    <x v="115"/>
    <x v="936"/>
    <x v="444"/>
    <x v="2"/>
    <x v="4"/>
    <x v="48"/>
    <x v="1"/>
  </r>
  <r>
    <x v="1462"/>
    <x v="1"/>
    <x v="664"/>
    <x v="108"/>
    <x v="6"/>
    <x v="51"/>
    <x v="70"/>
    <x v="22"/>
    <x v="15"/>
    <x v="27"/>
    <x v="0"/>
    <x v="330"/>
    <x v="166"/>
    <x v="40"/>
    <x v="302"/>
    <x v="701"/>
    <x v="2"/>
    <x v="108"/>
    <x v="115"/>
    <x v="665"/>
    <x v="317"/>
    <x v="2"/>
    <x v="4"/>
    <x v="48"/>
    <x v="1"/>
  </r>
  <r>
    <x v="1463"/>
    <x v="1"/>
    <x v="665"/>
    <x v="109"/>
    <x v="6"/>
    <x v="82"/>
    <x v="58"/>
    <x v="22"/>
    <x v="15"/>
    <x v="27"/>
    <x v="0"/>
    <x v="436"/>
    <x v="228"/>
    <x v="28"/>
    <x v="339"/>
    <x v="971"/>
    <x v="2"/>
    <x v="108"/>
    <x v="115"/>
    <x v="556"/>
    <x v="238"/>
    <x v="2"/>
    <x v="4"/>
    <x v="48"/>
    <x v="1"/>
  </r>
  <r>
    <x v="1464"/>
    <x v="1"/>
    <x v="666"/>
    <x v="110"/>
    <x v="6"/>
    <x v="104"/>
    <x v="64"/>
    <x v="22"/>
    <x v="15"/>
    <x v="27"/>
    <x v="0"/>
    <x v="349"/>
    <x v="170"/>
    <x v="54"/>
    <x v="316"/>
    <x v="594"/>
    <x v="2"/>
    <x v="108"/>
    <x v="115"/>
    <x v="902"/>
    <x v="415"/>
    <x v="2"/>
    <x v="4"/>
    <x v="48"/>
    <x v="1"/>
  </r>
  <r>
    <x v="1465"/>
    <x v="1"/>
    <x v="667"/>
    <x v="111"/>
    <x v="6"/>
    <x v="67"/>
    <x v="63"/>
    <x v="22"/>
    <x v="15"/>
    <x v="27"/>
    <x v="0"/>
    <x v="578"/>
    <x v="164"/>
    <x v="25"/>
    <x v="540"/>
    <x v="1308"/>
    <x v="2"/>
    <x v="108"/>
    <x v="115"/>
    <x v="733"/>
    <x v="199"/>
    <x v="2"/>
    <x v="4"/>
    <x v="48"/>
    <x v="1"/>
  </r>
  <r>
    <x v="1466"/>
    <x v="2"/>
    <x v="668"/>
    <x v="112"/>
    <x v="6"/>
    <x v="66"/>
    <x v="44"/>
    <x v="32"/>
    <x v="20"/>
    <x v="15"/>
    <x v="0"/>
    <x v="332"/>
    <x v="181"/>
    <x v="10"/>
    <x v="288"/>
    <x v="1018"/>
    <x v="2"/>
    <x v="108"/>
    <x v="115"/>
    <x v="213"/>
    <x v="67"/>
    <x v="2"/>
    <x v="4"/>
    <x v="48"/>
    <x v="1"/>
  </r>
  <r>
    <x v="1467"/>
    <x v="0"/>
    <x v="669"/>
    <x v="113"/>
    <x v="6"/>
    <x v="7"/>
    <x v="49"/>
    <x v="32"/>
    <x v="20"/>
    <x v="15"/>
    <x v="0"/>
    <x v="743"/>
    <x v="455"/>
    <x v="5"/>
    <x v="276"/>
    <x v="1063"/>
    <x v="2"/>
    <x v="108"/>
    <x v="116"/>
    <x v="75"/>
    <x v="19"/>
    <x v="2"/>
    <x v="5"/>
    <x v="49"/>
    <x v="1"/>
  </r>
  <r>
    <x v="1468"/>
    <x v="0"/>
    <x v="670"/>
    <x v="114"/>
    <x v="6"/>
    <x v="30"/>
    <x v="67"/>
    <x v="32"/>
    <x v="20"/>
    <x v="15"/>
    <x v="0"/>
    <x v="264"/>
    <x v="131"/>
    <x v="10"/>
    <x v="271"/>
    <x v="969"/>
    <x v="2"/>
    <x v="108"/>
    <x v="116"/>
    <x v="201"/>
    <x v="52"/>
    <x v="2"/>
    <x v="5"/>
    <x v="49"/>
    <x v="1"/>
  </r>
  <r>
    <x v="1469"/>
    <x v="2"/>
    <x v="671"/>
    <x v="115"/>
    <x v="6"/>
    <x v="9"/>
    <x v="33"/>
    <x v="32"/>
    <x v="20"/>
    <x v="15"/>
    <x v="0"/>
    <x v="225"/>
    <x v="69"/>
    <x v="13"/>
    <x v="280"/>
    <x v="952"/>
    <x v="2"/>
    <x v="108"/>
    <x v="116"/>
    <x v="271"/>
    <x v="102"/>
    <x v="2"/>
    <x v="5"/>
    <x v="49"/>
    <x v="1"/>
  </r>
  <r>
    <x v="1470"/>
    <x v="2"/>
    <x v="672"/>
    <x v="116"/>
    <x v="6"/>
    <x v="24"/>
    <x v="48"/>
    <x v="32"/>
    <x v="20"/>
    <x v="15"/>
    <x v="0"/>
    <x v="370"/>
    <x v="226"/>
    <x v="10"/>
    <x v="275"/>
    <x v="983"/>
    <x v="2"/>
    <x v="108"/>
    <x v="116"/>
    <x v="204"/>
    <x v="52"/>
    <x v="2"/>
    <x v="5"/>
    <x v="49"/>
    <x v="1"/>
  </r>
  <r>
    <x v="1471"/>
    <x v="1"/>
    <x v="673"/>
    <x v="117"/>
    <x v="6"/>
    <x v="73"/>
    <x v="73"/>
    <x v="32"/>
    <x v="20"/>
    <x v="15"/>
    <x v="0"/>
    <x v="379"/>
    <x v="252"/>
    <x v="13"/>
    <x v="255"/>
    <x v="859"/>
    <x v="2"/>
    <x v="108"/>
    <x v="116"/>
    <x v="260"/>
    <x v="83"/>
    <x v="2"/>
    <x v="5"/>
    <x v="49"/>
    <x v="1"/>
  </r>
  <r>
    <x v="1472"/>
    <x v="1"/>
    <x v="674"/>
    <x v="118"/>
    <x v="6"/>
    <x v="103"/>
    <x v="8"/>
    <x v="32"/>
    <x v="20"/>
    <x v="15"/>
    <x v="0"/>
    <x v="278"/>
    <x v="138"/>
    <x v="32"/>
    <x v="278"/>
    <x v="697"/>
    <x v="2"/>
    <x v="108"/>
    <x v="116"/>
    <x v="549"/>
    <x v="271"/>
    <x v="2"/>
    <x v="5"/>
    <x v="49"/>
    <x v="1"/>
  </r>
  <r>
    <x v="1473"/>
    <x v="1"/>
    <x v="675"/>
    <x v="119"/>
    <x v="6"/>
    <x v="51"/>
    <x v="70"/>
    <x v="32"/>
    <x v="20"/>
    <x v="15"/>
    <x v="0"/>
    <x v="315"/>
    <x v="183"/>
    <x v="13"/>
    <x v="269"/>
    <x v="907"/>
    <x v="2"/>
    <x v="108"/>
    <x v="116"/>
    <x v="264"/>
    <x v="83"/>
    <x v="2"/>
    <x v="5"/>
    <x v="49"/>
    <x v="1"/>
  </r>
  <r>
    <x v="1474"/>
    <x v="1"/>
    <x v="676"/>
    <x v="120"/>
    <x v="6"/>
    <x v="82"/>
    <x v="58"/>
    <x v="32"/>
    <x v="20"/>
    <x v="15"/>
    <x v="0"/>
    <x v="407"/>
    <x v="249"/>
    <x v="32"/>
    <x v="286"/>
    <x v="742"/>
    <x v="2"/>
    <x v="108"/>
    <x v="116"/>
    <x v="560"/>
    <x v="268"/>
    <x v="2"/>
    <x v="5"/>
    <x v="49"/>
    <x v="1"/>
  </r>
  <r>
    <x v="1475"/>
    <x v="1"/>
    <x v="677"/>
    <x v="121"/>
    <x v="6"/>
    <x v="104"/>
    <x v="64"/>
    <x v="32"/>
    <x v="20"/>
    <x v="15"/>
    <x v="0"/>
    <x v="360"/>
    <x v="187"/>
    <x v="16"/>
    <x v="310"/>
    <x v="1001"/>
    <x v="2"/>
    <x v="108"/>
    <x v="116"/>
    <x v="351"/>
    <x v="134"/>
    <x v="2"/>
    <x v="5"/>
    <x v="49"/>
    <x v="1"/>
  </r>
  <r>
    <x v="1476"/>
    <x v="1"/>
    <x v="678"/>
    <x v="122"/>
    <x v="6"/>
    <x v="67"/>
    <x v="63"/>
    <x v="32"/>
    <x v="20"/>
    <x v="15"/>
    <x v="0"/>
    <x v="319"/>
    <x v="154"/>
    <x v="16"/>
    <x v="303"/>
    <x v="978"/>
    <x v="2"/>
    <x v="108"/>
    <x v="116"/>
    <x v="347"/>
    <x v="119"/>
    <x v="2"/>
    <x v="5"/>
    <x v="49"/>
    <x v="1"/>
  </r>
  <r>
    <x v="1477"/>
    <x v="1"/>
    <x v="679"/>
    <x v="123"/>
    <x v="6"/>
    <x v="66"/>
    <x v="44"/>
    <x v="32"/>
    <x v="20"/>
    <x v="15"/>
    <x v="0"/>
    <x v="343"/>
    <x v="171"/>
    <x v="20"/>
    <x v="309"/>
    <x v="950"/>
    <x v="2"/>
    <x v="108"/>
    <x v="116"/>
    <x v="429"/>
    <x v="158"/>
    <x v="2"/>
    <x v="5"/>
    <x v="49"/>
    <x v="1"/>
  </r>
  <r>
    <x v="1478"/>
    <x v="1"/>
    <x v="680"/>
    <x v="124"/>
    <x v="6"/>
    <x v="7"/>
    <x v="49"/>
    <x v="32"/>
    <x v="20"/>
    <x v="15"/>
    <x v="0"/>
    <x v="748"/>
    <x v="451"/>
    <x v="13"/>
    <x v="308"/>
    <x v="1037"/>
    <x v="2"/>
    <x v="108"/>
    <x v="116"/>
    <x v="283"/>
    <x v="98"/>
    <x v="2"/>
    <x v="5"/>
    <x v="49"/>
    <x v="1"/>
  </r>
  <r>
    <x v="1479"/>
    <x v="1"/>
    <x v="681"/>
    <x v="125"/>
    <x v="6"/>
    <x v="24"/>
    <x v="48"/>
    <x v="32"/>
    <x v="20"/>
    <x v="15"/>
    <x v="0"/>
    <x v="425"/>
    <x v="248"/>
    <x v="25"/>
    <x v="305"/>
    <x v="876"/>
    <x v="2"/>
    <x v="108"/>
    <x v="116"/>
    <x v="499"/>
    <x v="198"/>
    <x v="2"/>
    <x v="5"/>
    <x v="49"/>
    <x v="1"/>
  </r>
  <r>
    <x v="1480"/>
    <x v="1"/>
    <x v="682"/>
    <x v="126"/>
    <x v="6"/>
    <x v="75"/>
    <x v="57"/>
    <x v="32"/>
    <x v="20"/>
    <x v="15"/>
    <x v="0"/>
    <x v="443"/>
    <x v="247"/>
    <x v="32"/>
    <x v="326"/>
    <x v="897"/>
    <x v="2"/>
    <x v="108"/>
    <x v="116"/>
    <x v="592"/>
    <x v="258"/>
    <x v="2"/>
    <x v="5"/>
    <x v="49"/>
    <x v="1"/>
  </r>
  <r>
    <x v="1481"/>
    <x v="1"/>
    <x v="683"/>
    <x v="127"/>
    <x v="6"/>
    <x v="73"/>
    <x v="73"/>
    <x v="32"/>
    <x v="20"/>
    <x v="15"/>
    <x v="0"/>
    <x v="437"/>
    <x v="242"/>
    <x v="44"/>
    <x v="325"/>
    <x v="740"/>
    <x v="2"/>
    <x v="108"/>
    <x v="116"/>
    <x v="761"/>
    <x v="350"/>
    <x v="2"/>
    <x v="5"/>
    <x v="49"/>
    <x v="1"/>
  </r>
  <r>
    <x v="1482"/>
    <x v="1"/>
    <x v="684"/>
    <x v="128"/>
    <x v="6"/>
    <x v="63"/>
    <x v="65"/>
    <x v="32"/>
    <x v="20"/>
    <x v="15"/>
    <x v="0"/>
    <x v="790"/>
    <x v="442"/>
    <x v="20"/>
    <x v="468"/>
    <x v="1231"/>
    <x v="2"/>
    <x v="108"/>
    <x v="116"/>
    <x v="548"/>
    <x v="158"/>
    <x v="2"/>
    <x v="5"/>
    <x v="49"/>
    <x v="1"/>
  </r>
  <r>
    <x v="1483"/>
    <x v="1"/>
    <x v="685"/>
    <x v="129"/>
    <x v="6"/>
    <x v="51"/>
    <x v="70"/>
    <x v="32"/>
    <x v="20"/>
    <x v="15"/>
    <x v="0"/>
    <x v="186"/>
    <x v="173"/>
    <x v="28"/>
    <x v="192"/>
    <x v="288"/>
    <x v="2"/>
    <x v="108"/>
    <x v="116"/>
    <x v="338"/>
    <x v="238"/>
    <x v="2"/>
    <x v="5"/>
    <x v="49"/>
    <x v="1"/>
  </r>
  <r>
    <x v="1484"/>
    <x v="2"/>
    <x v="686"/>
    <x v="130"/>
    <x v="6"/>
    <x v="82"/>
    <x v="58"/>
    <x v="22"/>
    <x v="15"/>
    <x v="27"/>
    <x v="0"/>
    <x v="440"/>
    <x v="240"/>
    <x v="9"/>
    <x v="332"/>
    <x v="1120"/>
    <x v="2"/>
    <x v="108"/>
    <x v="117"/>
    <x v="180"/>
    <x v="51"/>
    <x v="2"/>
    <x v="7"/>
    <x v="51"/>
    <x v="1"/>
  </r>
  <r>
    <x v="1485"/>
    <x v="1"/>
    <x v="687"/>
    <x v="131"/>
    <x v="6"/>
    <x v="104"/>
    <x v="64"/>
    <x v="22"/>
    <x v="15"/>
    <x v="27"/>
    <x v="0"/>
    <x v="331"/>
    <x v="176"/>
    <x v="32"/>
    <x v="292"/>
    <x v="761"/>
    <x v="2"/>
    <x v="108"/>
    <x v="117"/>
    <x v="567"/>
    <x v="266"/>
    <x v="2"/>
    <x v="7"/>
    <x v="51"/>
    <x v="1"/>
  </r>
  <r>
    <x v="1486"/>
    <x v="1"/>
    <x v="688"/>
    <x v="132"/>
    <x v="6"/>
    <x v="67"/>
    <x v="63"/>
    <x v="22"/>
    <x v="15"/>
    <x v="27"/>
    <x v="0"/>
    <x v="329"/>
    <x v="163"/>
    <x v="16"/>
    <x v="304"/>
    <x v="982"/>
    <x v="2"/>
    <x v="108"/>
    <x v="117"/>
    <x v="348"/>
    <x v="135"/>
    <x v="2"/>
    <x v="7"/>
    <x v="51"/>
    <x v="1"/>
  </r>
  <r>
    <x v="1487"/>
    <x v="1"/>
    <x v="689"/>
    <x v="133"/>
    <x v="6"/>
    <x v="66"/>
    <x v="44"/>
    <x v="22"/>
    <x v="15"/>
    <x v="27"/>
    <x v="0"/>
    <x v="300"/>
    <x v="185"/>
    <x v="47"/>
    <x v="252"/>
    <x v="501"/>
    <x v="2"/>
    <x v="108"/>
    <x v="118"/>
    <x v="741"/>
    <x v="382"/>
    <x v="2"/>
    <x v="8"/>
    <x v="52"/>
    <x v="1"/>
  </r>
  <r>
    <x v="1488"/>
    <x v="2"/>
    <x v="690"/>
    <x v="134"/>
    <x v="6"/>
    <x v="7"/>
    <x v="49"/>
    <x v="22"/>
    <x v="15"/>
    <x v="27"/>
    <x v="0"/>
    <x v="737"/>
    <x v="448"/>
    <x v="42"/>
    <x v="275"/>
    <x v="591"/>
    <x v="2"/>
    <x v="108"/>
    <x v="118"/>
    <x v="682"/>
    <x v="319"/>
    <x v="2"/>
    <x v="8"/>
    <x v="52"/>
    <x v="1"/>
  </r>
  <r>
    <x v="1489"/>
    <x v="2"/>
    <x v="691"/>
    <x v="136"/>
    <x v="6"/>
    <x v="9"/>
    <x v="33"/>
    <x v="22"/>
    <x v="15"/>
    <x v="27"/>
    <x v="0"/>
    <x v="219"/>
    <x v="69"/>
    <x v="47"/>
    <x v="272"/>
    <x v="546"/>
    <x v="2"/>
    <x v="108"/>
    <x v="118"/>
    <x v="755"/>
    <x v="381"/>
    <x v="2"/>
    <x v="8"/>
    <x v="52"/>
    <x v="1"/>
  </r>
  <r>
    <x v="1490"/>
    <x v="2"/>
    <x v="692"/>
    <x v="135"/>
    <x v="6"/>
    <x v="103"/>
    <x v="8"/>
    <x v="22"/>
    <x v="15"/>
    <x v="5"/>
    <x v="0"/>
    <x v="257"/>
    <x v="142"/>
    <x v="20"/>
    <x v="253"/>
    <x v="720"/>
    <x v="2"/>
    <x v="108"/>
    <x v="118"/>
    <x v="394"/>
    <x v="158"/>
    <x v="2"/>
    <x v="8"/>
    <x v="52"/>
    <x v="1"/>
  </r>
  <r>
    <x v="1491"/>
    <x v="2"/>
    <x v="693"/>
    <x v="137"/>
    <x v="6"/>
    <x v="75"/>
    <x v="57"/>
    <x v="22"/>
    <x v="15"/>
    <x v="5"/>
    <x v="0"/>
    <x v="385"/>
    <x v="249"/>
    <x v="10"/>
    <x v="264"/>
    <x v="940"/>
    <x v="2"/>
    <x v="108"/>
    <x v="118"/>
    <x v="194"/>
    <x v="73"/>
    <x v="2"/>
    <x v="8"/>
    <x v="52"/>
    <x v="1"/>
  </r>
  <r>
    <x v="1492"/>
    <x v="0"/>
    <x v="694"/>
    <x v="138"/>
    <x v="6"/>
    <x v="30"/>
    <x v="67"/>
    <x v="22"/>
    <x v="15"/>
    <x v="5"/>
    <x v="0"/>
    <x v="247"/>
    <x v="128"/>
    <x v="32"/>
    <x v="257"/>
    <x v="629"/>
    <x v="2"/>
    <x v="108"/>
    <x v="118"/>
    <x v="537"/>
    <x v="245"/>
    <x v="2"/>
    <x v="8"/>
    <x v="52"/>
    <x v="1"/>
  </r>
  <r>
    <x v="1493"/>
    <x v="2"/>
    <x v="695"/>
    <x v="139"/>
    <x v="6"/>
    <x v="17"/>
    <x v="71"/>
    <x v="22"/>
    <x v="15"/>
    <x v="5"/>
    <x v="0"/>
    <x v="308"/>
    <x v="172"/>
    <x v="13"/>
    <x v="273"/>
    <x v="922"/>
    <x v="2"/>
    <x v="108"/>
    <x v="118"/>
    <x v="265"/>
    <x v="83"/>
    <x v="2"/>
    <x v="8"/>
    <x v="52"/>
    <x v="1"/>
  </r>
  <r>
    <x v="1494"/>
    <x v="0"/>
    <x v="696"/>
    <x v="139"/>
    <x v="6"/>
    <x v="82"/>
    <x v="58"/>
    <x v="22"/>
    <x v="15"/>
    <x v="5"/>
    <x v="0"/>
    <x v="411"/>
    <x v="230"/>
    <x v="10"/>
    <x v="312"/>
    <x v="1082"/>
    <x v="2"/>
    <x v="108"/>
    <x v="118"/>
    <x v="228"/>
    <x v="65"/>
    <x v="2"/>
    <x v="8"/>
    <x v="52"/>
    <x v="1"/>
  </r>
  <r>
    <x v="1495"/>
    <x v="0"/>
    <x v="697"/>
    <x v="142"/>
    <x v="6"/>
    <x v="63"/>
    <x v="65"/>
    <x v="22"/>
    <x v="15"/>
    <x v="5"/>
    <x v="0"/>
    <x v="733"/>
    <x v="440"/>
    <x v="10"/>
    <x v="278"/>
    <x v="996"/>
    <x v="2"/>
    <x v="108"/>
    <x v="118"/>
    <x v="206"/>
    <x v="70"/>
    <x v="2"/>
    <x v="8"/>
    <x v="52"/>
    <x v="1"/>
  </r>
  <r>
    <x v="1496"/>
    <x v="0"/>
    <x v="698"/>
    <x v="143"/>
    <x v="6"/>
    <x v="48"/>
    <x v="15"/>
    <x v="22"/>
    <x v="15"/>
    <x v="5"/>
    <x v="0"/>
    <x v="298"/>
    <x v="187"/>
    <x v="16"/>
    <x v="248"/>
    <x v="762"/>
    <x v="2"/>
    <x v="108"/>
    <x v="118"/>
    <x v="321"/>
    <x v="146"/>
    <x v="2"/>
    <x v="8"/>
    <x v="52"/>
    <x v="1"/>
  </r>
  <r>
    <x v="1497"/>
    <x v="2"/>
    <x v="699"/>
    <x v="140"/>
    <x v="6"/>
    <x v="104"/>
    <x v="64"/>
    <x v="22"/>
    <x v="15"/>
    <x v="5"/>
    <x v="0"/>
    <x v="228"/>
    <x v="168"/>
    <x v="82"/>
    <x v="220"/>
    <x v="283"/>
    <x v="2"/>
    <x v="108"/>
    <x v="118"/>
    <x v="1166"/>
    <x v="576"/>
    <x v="2"/>
    <x v="8"/>
    <x v="52"/>
    <x v="1"/>
  </r>
  <r>
    <x v="1498"/>
    <x v="2"/>
    <x v="700"/>
    <x v="146"/>
    <x v="6"/>
    <x v="67"/>
    <x v="63"/>
    <x v="22"/>
    <x v="15"/>
    <x v="5"/>
    <x v="0"/>
    <x v="206"/>
    <x v="136"/>
    <x v="25"/>
    <x v="213"/>
    <x v="408"/>
    <x v="2"/>
    <x v="108"/>
    <x v="119"/>
    <x v="398"/>
    <x v="228"/>
    <x v="2"/>
    <x v="9"/>
    <x v="53"/>
    <x v="1"/>
  </r>
  <r>
    <x v="1499"/>
    <x v="0"/>
    <x v="701"/>
    <x v="144"/>
    <x v="6"/>
    <x v="66"/>
    <x v="44"/>
    <x v="22"/>
    <x v="15"/>
    <x v="5"/>
    <x v="0"/>
    <x v="220"/>
    <x v="174"/>
    <x v="51"/>
    <x v="217"/>
    <x v="358"/>
    <x v="2"/>
    <x v="108"/>
    <x v="119"/>
    <x v="731"/>
    <x v="390"/>
    <x v="2"/>
    <x v="9"/>
    <x v="53"/>
    <x v="1"/>
  </r>
  <r>
    <x v="1500"/>
    <x v="2"/>
    <x v="702"/>
    <x v="145"/>
    <x v="6"/>
    <x v="7"/>
    <x v="49"/>
    <x v="22"/>
    <x v="15"/>
    <x v="5"/>
    <x v="0"/>
    <x v="777"/>
    <x v="453"/>
    <x v="83"/>
    <x v="397"/>
    <x v="459"/>
    <x v="2"/>
    <x v="108"/>
    <x v="119"/>
    <x v="1249"/>
    <x v="582"/>
    <x v="2"/>
    <x v="9"/>
    <x v="53"/>
    <x v="1"/>
  </r>
  <r>
    <x v="12"/>
    <x v="1"/>
    <x v="0"/>
    <x v="0"/>
    <x v="2"/>
    <x v="9"/>
    <x v="14"/>
    <x v="60"/>
    <x v="39"/>
    <x v="26"/>
    <x v="1"/>
    <x v="571"/>
    <x v="259"/>
    <x v="65"/>
    <x v="497"/>
    <x v="1136"/>
    <x v="3"/>
    <x v="0"/>
    <x v="120"/>
    <x v="1165"/>
    <x v="478"/>
    <x v="1"/>
    <x v="2"/>
    <x v="16"/>
    <x v="1"/>
  </r>
  <r>
    <x v="14"/>
    <x v="1"/>
    <x v="1"/>
    <x v="1"/>
    <x v="2"/>
    <x v="91"/>
    <x v="37"/>
    <x v="60"/>
    <x v="39"/>
    <x v="26"/>
    <x v="1"/>
    <x v="359"/>
    <x v="170"/>
    <x v="91"/>
    <x v="326"/>
    <x v="319"/>
    <x v="3"/>
    <x v="1"/>
    <x v="120"/>
    <x v="1265"/>
    <x v="601"/>
    <x v="1"/>
    <x v="2"/>
    <x v="16"/>
    <x v="1"/>
  </r>
  <r>
    <x v="16"/>
    <x v="1"/>
    <x v="2"/>
    <x v="2"/>
    <x v="2"/>
    <x v="9"/>
    <x v="14"/>
    <x v="60"/>
    <x v="39"/>
    <x v="26"/>
    <x v="1"/>
    <x v="454"/>
    <x v="258"/>
    <x v="71"/>
    <x v="320"/>
    <x v="441"/>
    <x v="3"/>
    <x v="2"/>
    <x v="120"/>
    <x v="1117"/>
    <x v="522"/>
    <x v="1"/>
    <x v="2"/>
    <x v="16"/>
    <x v="1"/>
  </r>
  <r>
    <x v="18"/>
    <x v="1"/>
    <x v="3"/>
    <x v="3"/>
    <x v="2"/>
    <x v="48"/>
    <x v="15"/>
    <x v="60"/>
    <x v="39"/>
    <x v="26"/>
    <x v="1"/>
    <x v="377"/>
    <x v="181"/>
    <x v="73"/>
    <x v="333"/>
    <x v="435"/>
    <x v="3"/>
    <x v="3"/>
    <x v="120"/>
    <x v="1154"/>
    <x v="537"/>
    <x v="1"/>
    <x v="2"/>
    <x v="16"/>
    <x v="1"/>
  </r>
  <r>
    <x v="20"/>
    <x v="1"/>
    <x v="4"/>
    <x v="4"/>
    <x v="2"/>
    <x v="9"/>
    <x v="14"/>
    <x v="60"/>
    <x v="39"/>
    <x v="26"/>
    <x v="1"/>
    <x v="456"/>
    <x v="258"/>
    <x v="65"/>
    <x v="325"/>
    <x v="519"/>
    <x v="3"/>
    <x v="4"/>
    <x v="120"/>
    <x v="1037"/>
    <x v="479"/>
    <x v="1"/>
    <x v="2"/>
    <x v="16"/>
    <x v="1"/>
  </r>
  <r>
    <x v="21"/>
    <x v="1"/>
    <x v="5"/>
    <x v="5"/>
    <x v="2"/>
    <x v="103"/>
    <x v="8"/>
    <x v="60"/>
    <x v="39"/>
    <x v="26"/>
    <x v="1"/>
    <x v="286"/>
    <x v="126"/>
    <x v="68"/>
    <x v="298"/>
    <x v="434"/>
    <x v="3"/>
    <x v="5"/>
    <x v="120"/>
    <x v="1061"/>
    <x v="496"/>
    <x v="1"/>
    <x v="2"/>
    <x v="16"/>
    <x v="1"/>
  </r>
  <r>
    <x v="23"/>
    <x v="1"/>
    <x v="6"/>
    <x v="6"/>
    <x v="2"/>
    <x v="48"/>
    <x v="15"/>
    <x v="60"/>
    <x v="39"/>
    <x v="26"/>
    <x v="1"/>
    <x v="373"/>
    <x v="179"/>
    <x v="68"/>
    <x v="331"/>
    <x v="494"/>
    <x v="3"/>
    <x v="6"/>
    <x v="120"/>
    <x v="1084"/>
    <x v="500"/>
    <x v="1"/>
    <x v="2"/>
    <x v="16"/>
    <x v="1"/>
  </r>
  <r>
    <x v="25"/>
    <x v="1"/>
    <x v="7"/>
    <x v="7"/>
    <x v="2"/>
    <x v="9"/>
    <x v="14"/>
    <x v="60"/>
    <x v="39"/>
    <x v="26"/>
    <x v="1"/>
    <x v="458"/>
    <x v="257"/>
    <x v="65"/>
    <x v="333"/>
    <x v="537"/>
    <x v="3"/>
    <x v="7"/>
    <x v="120"/>
    <x v="1042"/>
    <x v="479"/>
    <x v="1"/>
    <x v="2"/>
    <x v="16"/>
    <x v="1"/>
  </r>
  <r>
    <x v="27"/>
    <x v="1"/>
    <x v="8"/>
    <x v="8"/>
    <x v="2"/>
    <x v="103"/>
    <x v="8"/>
    <x v="60"/>
    <x v="39"/>
    <x v="26"/>
    <x v="1"/>
    <x v="273"/>
    <x v="126"/>
    <x v="65"/>
    <x v="285"/>
    <x v="440"/>
    <x v="3"/>
    <x v="8"/>
    <x v="121"/>
    <x v="1010"/>
    <x v="479"/>
    <x v="1"/>
    <x v="3"/>
    <x v="17"/>
    <x v="1"/>
  </r>
  <r>
    <x v="30"/>
    <x v="1"/>
    <x v="9"/>
    <x v="9"/>
    <x v="2"/>
    <x v="48"/>
    <x v="15"/>
    <x v="60"/>
    <x v="39"/>
    <x v="26"/>
    <x v="1"/>
    <x v="340"/>
    <x v="179"/>
    <x v="65"/>
    <x v="298"/>
    <x v="465"/>
    <x v="3"/>
    <x v="9"/>
    <x v="121"/>
    <x v="1023"/>
    <x v="477"/>
    <x v="1"/>
    <x v="3"/>
    <x v="17"/>
    <x v="1"/>
  </r>
  <r>
    <x v="31"/>
    <x v="1"/>
    <x v="10"/>
    <x v="10"/>
    <x v="2"/>
    <x v="9"/>
    <x v="14"/>
    <x v="60"/>
    <x v="39"/>
    <x v="26"/>
    <x v="1"/>
    <x v="419"/>
    <x v="257"/>
    <x v="62"/>
    <x v="286"/>
    <x v="471"/>
    <x v="3"/>
    <x v="10"/>
    <x v="121"/>
    <x v="967"/>
    <x v="446"/>
    <x v="1"/>
    <x v="3"/>
    <x v="17"/>
    <x v="1"/>
  </r>
  <r>
    <x v="34"/>
    <x v="1"/>
    <x v="11"/>
    <x v="11"/>
    <x v="2"/>
    <x v="103"/>
    <x v="8"/>
    <x v="60"/>
    <x v="39"/>
    <x v="26"/>
    <x v="1"/>
    <x v="271"/>
    <x v="130"/>
    <x v="71"/>
    <x v="279"/>
    <x v="383"/>
    <x v="3"/>
    <x v="11"/>
    <x v="121"/>
    <x v="1098"/>
    <x v="524"/>
    <x v="1"/>
    <x v="3"/>
    <x v="17"/>
    <x v="1"/>
  </r>
  <r>
    <x v="36"/>
    <x v="1"/>
    <x v="12"/>
    <x v="12"/>
    <x v="2"/>
    <x v="48"/>
    <x v="15"/>
    <x v="60"/>
    <x v="39"/>
    <x v="26"/>
    <x v="1"/>
    <x v="305"/>
    <x v="180"/>
    <x v="65"/>
    <x v="262"/>
    <x v="401"/>
    <x v="3"/>
    <x v="12"/>
    <x v="121"/>
    <x v="997"/>
    <x v="476"/>
    <x v="1"/>
    <x v="3"/>
    <x v="17"/>
    <x v="1"/>
  </r>
  <r>
    <x v="38"/>
    <x v="1"/>
    <x v="13"/>
    <x v="13"/>
    <x v="2"/>
    <x v="75"/>
    <x v="41"/>
    <x v="60"/>
    <x v="39"/>
    <x v="26"/>
    <x v="1"/>
    <x v="387"/>
    <x v="189"/>
    <x v="68"/>
    <x v="335"/>
    <x v="505"/>
    <x v="3"/>
    <x v="13"/>
    <x v="121"/>
    <x v="1088"/>
    <x v="500"/>
    <x v="1"/>
    <x v="3"/>
    <x v="17"/>
    <x v="1"/>
  </r>
  <r>
    <x v="40"/>
    <x v="1"/>
    <x v="14"/>
    <x v="14"/>
    <x v="2"/>
    <x v="22"/>
    <x v="62"/>
    <x v="59"/>
    <x v="39"/>
    <x v="26"/>
    <x v="1"/>
    <x v="334"/>
    <x v="156"/>
    <x v="73"/>
    <x v="316"/>
    <x v="406"/>
    <x v="3"/>
    <x v="14"/>
    <x v="121"/>
    <x v="1143"/>
    <x v="547"/>
    <x v="1"/>
    <x v="3"/>
    <x v="17"/>
    <x v="1"/>
  </r>
  <r>
    <x v="42"/>
    <x v="1"/>
    <x v="15"/>
    <x v="15"/>
    <x v="2"/>
    <x v="71"/>
    <x v="36"/>
    <x v="59"/>
    <x v="39"/>
    <x v="26"/>
    <x v="1"/>
    <x v="248"/>
    <x v="99"/>
    <x v="62"/>
    <x v="287"/>
    <x v="474"/>
    <x v="3"/>
    <x v="15"/>
    <x v="121"/>
    <x v="968"/>
    <x v="448"/>
    <x v="1"/>
    <x v="3"/>
    <x v="17"/>
    <x v="1"/>
  </r>
  <r>
    <x v="44"/>
    <x v="1"/>
    <x v="16"/>
    <x v="16"/>
    <x v="2"/>
    <x v="6"/>
    <x v="66"/>
    <x v="59"/>
    <x v="39"/>
    <x v="26"/>
    <x v="1"/>
    <x v="386"/>
    <x v="180"/>
    <x v="57"/>
    <x v="343"/>
    <x v="652"/>
    <x v="3"/>
    <x v="16"/>
    <x v="121"/>
    <x v="954"/>
    <x v="422"/>
    <x v="1"/>
    <x v="3"/>
    <x v="17"/>
    <x v="1"/>
  </r>
  <r>
    <x v="46"/>
    <x v="1"/>
    <x v="17"/>
    <x v="17"/>
    <x v="2"/>
    <x v="75"/>
    <x v="41"/>
    <x v="60"/>
    <x v="39"/>
    <x v="26"/>
    <x v="1"/>
    <x v="416"/>
    <x v="186"/>
    <x v="65"/>
    <x v="367"/>
    <x v="619"/>
    <x v="3"/>
    <x v="17"/>
    <x v="121"/>
    <x v="1063"/>
    <x v="479"/>
    <x v="1"/>
    <x v="3"/>
    <x v="17"/>
    <x v="1"/>
  </r>
  <r>
    <x v="48"/>
    <x v="1"/>
    <x v="18"/>
    <x v="18"/>
    <x v="2"/>
    <x v="22"/>
    <x v="62"/>
    <x v="60"/>
    <x v="39"/>
    <x v="26"/>
    <x v="1"/>
    <x v="382"/>
    <x v="154"/>
    <x v="62"/>
    <x v="366"/>
    <x v="667"/>
    <x v="3"/>
    <x v="18"/>
    <x v="121"/>
    <x v="1018"/>
    <x v="447"/>
    <x v="1"/>
    <x v="3"/>
    <x v="17"/>
    <x v="1"/>
  </r>
  <r>
    <x v="50"/>
    <x v="1"/>
    <x v="19"/>
    <x v="19"/>
    <x v="2"/>
    <x v="85"/>
    <x v="17"/>
    <x v="60"/>
    <x v="39"/>
    <x v="26"/>
    <x v="1"/>
    <x v="430"/>
    <x v="185"/>
    <x v="57"/>
    <x v="380"/>
    <x v="797"/>
    <x v="3"/>
    <x v="19"/>
    <x v="121"/>
    <x v="982"/>
    <x v="421"/>
    <x v="1"/>
    <x v="3"/>
    <x v="17"/>
    <x v="1"/>
  </r>
  <r>
    <x v="54"/>
    <x v="1"/>
    <x v="21"/>
    <x v="21"/>
    <x v="2"/>
    <x v="75"/>
    <x v="41"/>
    <x v="59"/>
    <x v="39"/>
    <x v="26"/>
    <x v="1"/>
    <x v="416"/>
    <x v="183"/>
    <x v="51"/>
    <x v="370"/>
    <x v="815"/>
    <x v="3"/>
    <x v="21"/>
    <x v="121"/>
    <x v="911"/>
    <x v="395"/>
    <x v="1"/>
    <x v="3"/>
    <x v="17"/>
    <x v="1"/>
  </r>
  <r>
    <x v="52"/>
    <x v="1"/>
    <x v="20"/>
    <x v="20"/>
    <x v="2"/>
    <x v="6"/>
    <x v="66"/>
    <x v="60"/>
    <x v="39"/>
    <x v="26"/>
    <x v="1"/>
    <x v="408"/>
    <x v="179"/>
    <x v="68"/>
    <x v="366"/>
    <x v="570"/>
    <x v="3"/>
    <x v="20"/>
    <x v="121"/>
    <x v="1109"/>
    <x v="499"/>
    <x v="1"/>
    <x v="3"/>
    <x v="17"/>
    <x v="1"/>
  </r>
  <r>
    <x v="56"/>
    <x v="1"/>
    <x v="22"/>
    <x v="22"/>
    <x v="2"/>
    <x v="22"/>
    <x v="62"/>
    <x v="57"/>
    <x v="38"/>
    <x v="0"/>
    <x v="1"/>
    <x v="99"/>
    <x v="152"/>
    <x v="101"/>
    <x v="67"/>
    <x v="77"/>
    <x v="3"/>
    <x v="22"/>
    <x v="121"/>
    <x v="779"/>
    <x v="635"/>
    <x v="1"/>
    <x v="3"/>
    <x v="17"/>
    <x v="1"/>
  </r>
  <r>
    <x v="90"/>
    <x v="1"/>
    <x v="44"/>
    <x v="36"/>
    <x v="2"/>
    <x v="75"/>
    <x v="57"/>
    <x v="59"/>
    <x v="39"/>
    <x v="26"/>
    <x v="1"/>
    <x v="546"/>
    <x v="248"/>
    <x v="68"/>
    <x v="450"/>
    <x v="1030"/>
    <x v="3"/>
    <x v="36"/>
    <x v="122"/>
    <x v="1173"/>
    <x v="500"/>
    <x v="1"/>
    <x v="5"/>
    <x v="19"/>
    <x v="1"/>
  </r>
  <r>
    <x v="92"/>
    <x v="1"/>
    <x v="45"/>
    <x v="37"/>
    <x v="2"/>
    <x v="22"/>
    <x v="62"/>
    <x v="59"/>
    <x v="39"/>
    <x v="26"/>
    <x v="1"/>
    <x v="321"/>
    <x v="148"/>
    <x v="75"/>
    <x v="311"/>
    <x v="382"/>
    <x v="3"/>
    <x v="37"/>
    <x v="122"/>
    <x v="1172"/>
    <x v="552"/>
    <x v="1"/>
    <x v="5"/>
    <x v="19"/>
    <x v="1"/>
  </r>
  <r>
    <x v="95"/>
    <x v="1"/>
    <x v="46"/>
    <x v="38"/>
    <x v="2"/>
    <x v="6"/>
    <x v="66"/>
    <x v="60"/>
    <x v="39"/>
    <x v="26"/>
    <x v="1"/>
    <x v="356"/>
    <x v="179"/>
    <x v="68"/>
    <x v="314"/>
    <x v="464"/>
    <x v="3"/>
    <x v="38"/>
    <x v="122"/>
    <x v="1075"/>
    <x v="498"/>
    <x v="1"/>
    <x v="5"/>
    <x v="19"/>
    <x v="1"/>
  </r>
  <r>
    <x v="98"/>
    <x v="1"/>
    <x v="47"/>
    <x v="39"/>
    <x v="2"/>
    <x v="89"/>
    <x v="76"/>
    <x v="59"/>
    <x v="39"/>
    <x v="26"/>
    <x v="1"/>
    <x v="21"/>
    <x v="10"/>
    <x v="57"/>
    <x v="30"/>
    <x v="46"/>
    <x v="3"/>
    <x v="39"/>
    <x v="122"/>
    <x v="89"/>
    <x v="439"/>
    <x v="1"/>
    <x v="5"/>
    <x v="19"/>
    <x v="1"/>
  </r>
  <r>
    <x v="66"/>
    <x v="1"/>
    <x v="26"/>
    <x v="23"/>
    <x v="2"/>
    <x v="6"/>
    <x v="66"/>
    <x v="52"/>
    <x v="34"/>
    <x v="26"/>
    <x v="1"/>
    <x v="516"/>
    <x v="178"/>
    <x v="47"/>
    <x v="472"/>
    <x v="1161"/>
    <x v="3"/>
    <x v="27"/>
    <x v="122"/>
    <x v="962"/>
    <x v="357"/>
    <x v="1"/>
    <x v="5"/>
    <x v="19"/>
    <x v="1"/>
  </r>
  <r>
    <x v="58"/>
    <x v="1"/>
    <x v="27"/>
    <x v="24"/>
    <x v="2"/>
    <x v="105"/>
    <x v="20"/>
    <x v="52"/>
    <x v="34"/>
    <x v="26"/>
    <x v="1"/>
    <x v="144"/>
    <x v="122"/>
    <x v="42"/>
    <x v="150"/>
    <x v="229"/>
    <x v="3"/>
    <x v="23"/>
    <x v="122"/>
    <x v="353"/>
    <x v="319"/>
    <x v="1"/>
    <x v="5"/>
    <x v="19"/>
    <x v="1"/>
  </r>
  <r>
    <x v="68"/>
    <x v="1"/>
    <x v="33"/>
    <x v="25"/>
    <x v="2"/>
    <x v="89"/>
    <x v="76"/>
    <x v="59"/>
    <x v="39"/>
    <x v="26"/>
    <x v="1"/>
    <x v="25"/>
    <x v="10"/>
    <x v="68"/>
    <x v="38"/>
    <x v="41"/>
    <x v="3"/>
    <x v="28"/>
    <x v="122"/>
    <x v="168"/>
    <x v="518"/>
    <x v="1"/>
    <x v="5"/>
    <x v="19"/>
    <x v="1"/>
  </r>
  <r>
    <x v="70"/>
    <x v="1"/>
    <x v="34"/>
    <x v="26"/>
    <x v="2"/>
    <x v="75"/>
    <x v="57"/>
    <x v="59"/>
    <x v="39"/>
    <x v="26"/>
    <x v="1"/>
    <x v="444"/>
    <x v="251"/>
    <x v="68"/>
    <x v="322"/>
    <x v="477"/>
    <x v="3"/>
    <x v="29"/>
    <x v="122"/>
    <x v="1081"/>
    <x v="511"/>
    <x v="1"/>
    <x v="5"/>
    <x v="19"/>
    <x v="1"/>
  </r>
  <r>
    <x v="72"/>
    <x v="1"/>
    <x v="35"/>
    <x v="27"/>
    <x v="2"/>
    <x v="22"/>
    <x v="62"/>
    <x v="60"/>
    <x v="39"/>
    <x v="26"/>
    <x v="1"/>
    <x v="354"/>
    <x v="149"/>
    <x v="73"/>
    <x v="343"/>
    <x v="454"/>
    <x v="3"/>
    <x v="30"/>
    <x v="122"/>
    <x v="1160"/>
    <x v="537"/>
    <x v="1"/>
    <x v="5"/>
    <x v="19"/>
    <x v="1"/>
  </r>
  <r>
    <x v="75"/>
    <x v="1"/>
    <x v="36"/>
    <x v="28"/>
    <x v="2"/>
    <x v="6"/>
    <x v="66"/>
    <x v="60"/>
    <x v="39"/>
    <x v="26"/>
    <x v="1"/>
    <x v="362"/>
    <x v="176"/>
    <x v="71"/>
    <x v="323"/>
    <x v="449"/>
    <x v="3"/>
    <x v="31"/>
    <x v="122"/>
    <x v="1119"/>
    <x v="524"/>
    <x v="1"/>
    <x v="5"/>
    <x v="19"/>
    <x v="1"/>
  </r>
  <r>
    <x v="78"/>
    <x v="1"/>
    <x v="37"/>
    <x v="29"/>
    <x v="2"/>
    <x v="89"/>
    <x v="76"/>
    <x v="59"/>
    <x v="39"/>
    <x v="26"/>
    <x v="1"/>
    <x v="31"/>
    <x v="9"/>
    <x v="71"/>
    <x v="44"/>
    <x v="44"/>
    <x v="3"/>
    <x v="32"/>
    <x v="122"/>
    <x v="216"/>
    <x v="524"/>
    <x v="1"/>
    <x v="5"/>
    <x v="19"/>
    <x v="1"/>
  </r>
  <r>
    <x v="81"/>
    <x v="1"/>
    <x v="38"/>
    <x v="30"/>
    <x v="2"/>
    <x v="105"/>
    <x v="20"/>
    <x v="60"/>
    <x v="39"/>
    <x v="26"/>
    <x v="1"/>
    <x v="320"/>
    <x v="128"/>
    <x v="71"/>
    <x v="330"/>
    <x v="463"/>
    <x v="3"/>
    <x v="33"/>
    <x v="122"/>
    <x v="1121"/>
    <x v="523"/>
    <x v="1"/>
    <x v="5"/>
    <x v="19"/>
    <x v="1"/>
  </r>
  <r>
    <x v="84"/>
    <x v="1"/>
    <x v="39"/>
    <x v="31"/>
    <x v="2"/>
    <x v="75"/>
    <x v="57"/>
    <x v="59"/>
    <x v="39"/>
    <x v="26"/>
    <x v="1"/>
    <x v="485"/>
    <x v="250"/>
    <x v="71"/>
    <x v="384"/>
    <x v="584"/>
    <x v="3"/>
    <x v="34"/>
    <x v="122"/>
    <x v="1148"/>
    <x v="527"/>
    <x v="1"/>
    <x v="5"/>
    <x v="19"/>
    <x v="1"/>
  </r>
  <r>
    <x v="87"/>
    <x v="1"/>
    <x v="40"/>
    <x v="32"/>
    <x v="2"/>
    <x v="22"/>
    <x v="62"/>
    <x v="60"/>
    <x v="39"/>
    <x v="26"/>
    <x v="1"/>
    <x v="338"/>
    <x v="148"/>
    <x v="75"/>
    <x v="328"/>
    <x v="397"/>
    <x v="3"/>
    <x v="35"/>
    <x v="122"/>
    <x v="1178"/>
    <x v="551"/>
    <x v="1"/>
    <x v="5"/>
    <x v="19"/>
    <x v="1"/>
  </r>
  <r>
    <x v="62"/>
    <x v="1"/>
    <x v="41"/>
    <x v="33"/>
    <x v="2"/>
    <x v="6"/>
    <x v="66"/>
    <x v="59"/>
    <x v="39"/>
    <x v="26"/>
    <x v="1"/>
    <x v="386"/>
    <x v="180"/>
    <x v="68"/>
    <x v="343"/>
    <x v="522"/>
    <x v="3"/>
    <x v="25"/>
    <x v="122"/>
    <x v="1097"/>
    <x v="500"/>
    <x v="1"/>
    <x v="5"/>
    <x v="19"/>
    <x v="1"/>
  </r>
  <r>
    <x v="60"/>
    <x v="1"/>
    <x v="42"/>
    <x v="34"/>
    <x v="2"/>
    <x v="105"/>
    <x v="20"/>
    <x v="60"/>
    <x v="39"/>
    <x v="26"/>
    <x v="1"/>
    <x v="310"/>
    <x v="126"/>
    <x v="57"/>
    <x v="322"/>
    <x v="589"/>
    <x v="3"/>
    <x v="24"/>
    <x v="122"/>
    <x v="933"/>
    <x v="420"/>
    <x v="1"/>
    <x v="5"/>
    <x v="19"/>
    <x v="1"/>
  </r>
  <r>
    <x v="64"/>
    <x v="1"/>
    <x v="43"/>
    <x v="35"/>
    <x v="2"/>
    <x v="89"/>
    <x v="76"/>
    <x v="59"/>
    <x v="39"/>
    <x v="26"/>
    <x v="1"/>
    <x v="32"/>
    <x v="9"/>
    <x v="68"/>
    <x v="46"/>
    <x v="50"/>
    <x v="3"/>
    <x v="26"/>
    <x v="122"/>
    <x v="182"/>
    <x v="516"/>
    <x v="1"/>
    <x v="5"/>
    <x v="19"/>
    <x v="1"/>
  </r>
  <r>
    <x v="101"/>
    <x v="1"/>
    <x v="48"/>
    <x v="40"/>
    <x v="2"/>
    <x v="105"/>
    <x v="20"/>
    <x v="59"/>
    <x v="39"/>
    <x v="26"/>
    <x v="1"/>
    <x v="401"/>
    <x v="124"/>
    <x v="47"/>
    <x v="399"/>
    <x v="1022"/>
    <x v="3"/>
    <x v="40"/>
    <x v="122"/>
    <x v="880"/>
    <x v="358"/>
    <x v="1"/>
    <x v="5"/>
    <x v="19"/>
    <x v="1"/>
  </r>
  <r>
    <x v="110"/>
    <x v="1"/>
    <x v="51"/>
    <x v="43"/>
    <x v="2"/>
    <x v="89"/>
    <x v="76"/>
    <x v="59"/>
    <x v="39"/>
    <x v="26"/>
    <x v="1"/>
    <x v="21"/>
    <x v="8"/>
    <x v="37"/>
    <x v="32"/>
    <x v="63"/>
    <x v="3"/>
    <x v="43"/>
    <x v="123"/>
    <x v="41"/>
    <x v="311"/>
    <x v="1"/>
    <x v="6"/>
    <x v="20"/>
    <x v="1"/>
  </r>
  <r>
    <x v="104"/>
    <x v="1"/>
    <x v="49"/>
    <x v="41"/>
    <x v="2"/>
    <x v="75"/>
    <x v="57"/>
    <x v="59"/>
    <x v="39"/>
    <x v="26"/>
    <x v="1"/>
    <x v="421"/>
    <x v="250"/>
    <x v="42"/>
    <x v="299"/>
    <x v="664"/>
    <x v="3"/>
    <x v="41"/>
    <x v="123"/>
    <x v="703"/>
    <x v="319"/>
    <x v="1"/>
    <x v="6"/>
    <x v="20"/>
    <x v="1"/>
  </r>
  <r>
    <x v="107"/>
    <x v="1"/>
    <x v="50"/>
    <x v="42"/>
    <x v="2"/>
    <x v="22"/>
    <x v="62"/>
    <x v="60"/>
    <x v="39"/>
    <x v="26"/>
    <x v="1"/>
    <x v="319"/>
    <x v="151"/>
    <x v="57"/>
    <x v="306"/>
    <x v="551"/>
    <x v="3"/>
    <x v="42"/>
    <x v="123"/>
    <x v="922"/>
    <x v="419"/>
    <x v="1"/>
    <x v="6"/>
    <x v="20"/>
    <x v="1"/>
  </r>
  <r>
    <x v="113"/>
    <x v="1"/>
    <x v="52"/>
    <x v="44"/>
    <x v="2"/>
    <x v="6"/>
    <x v="66"/>
    <x v="60"/>
    <x v="39"/>
    <x v="26"/>
    <x v="1"/>
    <x v="358"/>
    <x v="178"/>
    <x v="62"/>
    <x v="317"/>
    <x v="538"/>
    <x v="3"/>
    <x v="44"/>
    <x v="123"/>
    <x v="988"/>
    <x v="448"/>
    <x v="1"/>
    <x v="6"/>
    <x v="20"/>
    <x v="1"/>
  </r>
  <r>
    <x v="116"/>
    <x v="1"/>
    <x v="53"/>
    <x v="45"/>
    <x v="2"/>
    <x v="105"/>
    <x v="20"/>
    <x v="60"/>
    <x v="39"/>
    <x v="26"/>
    <x v="1"/>
    <x v="296"/>
    <x v="121"/>
    <x v="62"/>
    <x v="313"/>
    <x v="530"/>
    <x v="3"/>
    <x v="45"/>
    <x v="123"/>
    <x v="986"/>
    <x v="448"/>
    <x v="1"/>
    <x v="6"/>
    <x v="20"/>
    <x v="1"/>
  </r>
  <r>
    <x v="118"/>
    <x v="1"/>
    <x v="56"/>
    <x v="46"/>
    <x v="2"/>
    <x v="91"/>
    <x v="37"/>
    <x v="60"/>
    <x v="39"/>
    <x v="26"/>
    <x v="1"/>
    <x v="377"/>
    <x v="167"/>
    <x v="68"/>
    <x v="347"/>
    <x v="529"/>
    <x v="3"/>
    <x v="46"/>
    <x v="123"/>
    <x v="1099"/>
    <x v="500"/>
    <x v="1"/>
    <x v="6"/>
    <x v="20"/>
    <x v="1"/>
  </r>
  <r>
    <x v="120"/>
    <x v="1"/>
    <x v="58"/>
    <x v="47"/>
    <x v="2"/>
    <x v="86"/>
    <x v="77"/>
    <x v="59"/>
    <x v="39"/>
    <x v="26"/>
    <x v="1"/>
    <x v="23"/>
    <x v="15"/>
    <x v="37"/>
    <x v="30"/>
    <x v="62"/>
    <x v="3"/>
    <x v="47"/>
    <x v="123"/>
    <x v="40"/>
    <x v="312"/>
    <x v="1"/>
    <x v="6"/>
    <x v="20"/>
    <x v="1"/>
  </r>
  <r>
    <x v="122"/>
    <x v="1"/>
    <x v="60"/>
    <x v="48"/>
    <x v="2"/>
    <x v="18"/>
    <x v="18"/>
    <x v="59"/>
    <x v="39"/>
    <x v="26"/>
    <x v="1"/>
    <x v="330"/>
    <x v="121"/>
    <x v="51"/>
    <x v="347"/>
    <x v="729"/>
    <x v="3"/>
    <x v="48"/>
    <x v="123"/>
    <x v="897"/>
    <x v="390"/>
    <x v="1"/>
    <x v="6"/>
    <x v="20"/>
    <x v="1"/>
  </r>
  <r>
    <x v="124"/>
    <x v="1"/>
    <x v="62"/>
    <x v="49"/>
    <x v="2"/>
    <x v="17"/>
    <x v="71"/>
    <x v="60"/>
    <x v="39"/>
    <x v="26"/>
    <x v="1"/>
    <x v="218"/>
    <x v="185"/>
    <x v="91"/>
    <x v="214"/>
    <x v="259"/>
    <x v="3"/>
    <x v="49"/>
    <x v="123"/>
    <x v="1215"/>
    <x v="602"/>
    <x v="1"/>
    <x v="6"/>
    <x v="20"/>
    <x v="1"/>
  </r>
  <r>
    <x v="126"/>
    <x v="1"/>
    <x v="63"/>
    <x v="50"/>
    <x v="2"/>
    <x v="86"/>
    <x v="77"/>
    <x v="59"/>
    <x v="39"/>
    <x v="26"/>
    <x v="1"/>
    <x v="1"/>
    <x v="13"/>
    <x v="42"/>
    <x v="1"/>
    <x v="2"/>
    <x v="3"/>
    <x v="50"/>
    <x v="123"/>
    <x v="3"/>
    <x v="347"/>
    <x v="1"/>
    <x v="6"/>
    <x v="20"/>
    <x v="1"/>
  </r>
  <r>
    <x v="128"/>
    <x v="1"/>
    <x v="64"/>
    <x v="51"/>
    <x v="2"/>
    <x v="30"/>
    <x v="67"/>
    <x v="59"/>
    <x v="39"/>
    <x v="26"/>
    <x v="1"/>
    <x v="480"/>
    <x v="141"/>
    <x v="37"/>
    <x v="441"/>
    <x v="1162"/>
    <x v="3"/>
    <x v="51"/>
    <x v="123"/>
    <x v="776"/>
    <x v="285"/>
    <x v="1"/>
    <x v="6"/>
    <x v="20"/>
    <x v="1"/>
  </r>
  <r>
    <x v="130"/>
    <x v="1"/>
    <x v="66"/>
    <x v="52"/>
    <x v="2"/>
    <x v="91"/>
    <x v="37"/>
    <x v="57"/>
    <x v="38"/>
    <x v="0"/>
    <x v="1"/>
    <x v="327"/>
    <x v="166"/>
    <x v="68"/>
    <x v="299"/>
    <x v="436"/>
    <x v="3"/>
    <x v="52"/>
    <x v="123"/>
    <x v="1064"/>
    <x v="500"/>
    <x v="1"/>
    <x v="6"/>
    <x v="20"/>
    <x v="1"/>
  </r>
  <r>
    <x v="132"/>
    <x v="1"/>
    <x v="67"/>
    <x v="53"/>
    <x v="2"/>
    <x v="18"/>
    <x v="18"/>
    <x v="57"/>
    <x v="38"/>
    <x v="0"/>
    <x v="1"/>
    <x v="254"/>
    <x v="118"/>
    <x v="65"/>
    <x v="274"/>
    <x v="416"/>
    <x v="3"/>
    <x v="53"/>
    <x v="123"/>
    <x v="1003"/>
    <x v="491"/>
    <x v="1"/>
    <x v="6"/>
    <x v="20"/>
    <x v="1"/>
  </r>
  <r>
    <x v="134"/>
    <x v="1"/>
    <x v="68"/>
    <x v="54"/>
    <x v="2"/>
    <x v="17"/>
    <x v="71"/>
    <x v="57"/>
    <x v="38"/>
    <x v="0"/>
    <x v="1"/>
    <x v="352"/>
    <x v="185"/>
    <x v="65"/>
    <x v="304"/>
    <x v="476"/>
    <x v="3"/>
    <x v="54"/>
    <x v="123"/>
    <x v="1028"/>
    <x v="488"/>
    <x v="1"/>
    <x v="6"/>
    <x v="20"/>
    <x v="1"/>
  </r>
  <r>
    <x v="136"/>
    <x v="1"/>
    <x v="69"/>
    <x v="55"/>
    <x v="2"/>
    <x v="86"/>
    <x v="77"/>
    <x v="57"/>
    <x v="38"/>
    <x v="0"/>
    <x v="1"/>
    <x v="29"/>
    <x v="13"/>
    <x v="62"/>
    <x v="41"/>
    <x v="51"/>
    <x v="3"/>
    <x v="55"/>
    <x v="123"/>
    <x v="120"/>
    <x v="469"/>
    <x v="1"/>
    <x v="6"/>
    <x v="20"/>
    <x v="1"/>
  </r>
  <r>
    <x v="138"/>
    <x v="1"/>
    <x v="70"/>
    <x v="56"/>
    <x v="2"/>
    <x v="30"/>
    <x v="67"/>
    <x v="57"/>
    <x v="38"/>
    <x v="0"/>
    <x v="1"/>
    <x v="305"/>
    <x v="139"/>
    <x v="65"/>
    <x v="304"/>
    <x v="476"/>
    <x v="3"/>
    <x v="56"/>
    <x v="123"/>
    <x v="1028"/>
    <x v="488"/>
    <x v="1"/>
    <x v="6"/>
    <x v="20"/>
    <x v="1"/>
  </r>
  <r>
    <x v="140"/>
    <x v="1"/>
    <x v="71"/>
    <x v="57"/>
    <x v="2"/>
    <x v="91"/>
    <x v="37"/>
    <x v="57"/>
    <x v="38"/>
    <x v="0"/>
    <x v="1"/>
    <x v="311"/>
    <x v="165"/>
    <x v="54"/>
    <x v="284"/>
    <x v="520"/>
    <x v="3"/>
    <x v="57"/>
    <x v="123"/>
    <x v="877"/>
    <x v="415"/>
    <x v="1"/>
    <x v="6"/>
    <x v="20"/>
    <x v="1"/>
  </r>
  <r>
    <x v="143"/>
    <x v="1"/>
    <x v="72"/>
    <x v="58"/>
    <x v="2"/>
    <x v="18"/>
    <x v="18"/>
    <x v="57"/>
    <x v="38"/>
    <x v="0"/>
    <x v="1"/>
    <x v="270"/>
    <x v="118"/>
    <x v="65"/>
    <x v="290"/>
    <x v="451"/>
    <x v="3"/>
    <x v="58"/>
    <x v="123"/>
    <x v="1015"/>
    <x v="490"/>
    <x v="1"/>
    <x v="6"/>
    <x v="20"/>
    <x v="1"/>
  </r>
  <r>
    <x v="149"/>
    <x v="1"/>
    <x v="73"/>
    <x v="59"/>
    <x v="2"/>
    <x v="17"/>
    <x v="71"/>
    <x v="57"/>
    <x v="38"/>
    <x v="0"/>
    <x v="1"/>
    <x v="348"/>
    <x v="185"/>
    <x v="54"/>
    <x v="300"/>
    <x v="555"/>
    <x v="3"/>
    <x v="60"/>
    <x v="123"/>
    <x v="891"/>
    <x v="415"/>
    <x v="1"/>
    <x v="6"/>
    <x v="20"/>
    <x v="1"/>
  </r>
  <r>
    <x v="146"/>
    <x v="1"/>
    <x v="74"/>
    <x v="60"/>
    <x v="2"/>
    <x v="86"/>
    <x v="77"/>
    <x v="57"/>
    <x v="38"/>
    <x v="0"/>
    <x v="1"/>
    <x v="24"/>
    <x v="13"/>
    <x v="65"/>
    <x v="33"/>
    <x v="42"/>
    <x v="3"/>
    <x v="59"/>
    <x v="123"/>
    <x v="143"/>
    <x v="479"/>
    <x v="1"/>
    <x v="6"/>
    <x v="20"/>
    <x v="1"/>
  </r>
  <r>
    <x v="152"/>
    <x v="1"/>
    <x v="75"/>
    <x v="61"/>
    <x v="2"/>
    <x v="30"/>
    <x v="67"/>
    <x v="57"/>
    <x v="38"/>
    <x v="0"/>
    <x v="1"/>
    <x v="305"/>
    <x v="139"/>
    <x v="65"/>
    <x v="304"/>
    <x v="476"/>
    <x v="3"/>
    <x v="61"/>
    <x v="124"/>
    <x v="1028"/>
    <x v="488"/>
    <x v="1"/>
    <x v="7"/>
    <x v="21"/>
    <x v="1"/>
  </r>
  <r>
    <x v="155"/>
    <x v="1"/>
    <x v="76"/>
    <x v="62"/>
    <x v="2"/>
    <x v="91"/>
    <x v="37"/>
    <x v="57"/>
    <x v="38"/>
    <x v="0"/>
    <x v="1"/>
    <x v="342"/>
    <x v="165"/>
    <x v="47"/>
    <x v="315"/>
    <x v="665"/>
    <x v="3"/>
    <x v="62"/>
    <x v="124"/>
    <x v="792"/>
    <x v="358"/>
    <x v="1"/>
    <x v="7"/>
    <x v="21"/>
    <x v="1"/>
  </r>
  <r>
    <x v="158"/>
    <x v="1"/>
    <x v="77"/>
    <x v="63"/>
    <x v="2"/>
    <x v="86"/>
    <x v="77"/>
    <x v="57"/>
    <x v="38"/>
    <x v="0"/>
    <x v="1"/>
    <x v="25"/>
    <x v="13"/>
    <x v="57"/>
    <x v="34"/>
    <x v="49"/>
    <x v="3"/>
    <x v="63"/>
    <x v="124"/>
    <x v="92"/>
    <x v="438"/>
    <x v="1"/>
    <x v="7"/>
    <x v="21"/>
    <x v="1"/>
  </r>
  <r>
    <x v="161"/>
    <x v="1"/>
    <x v="78"/>
    <x v="64"/>
    <x v="2"/>
    <x v="18"/>
    <x v="18"/>
    <x v="57"/>
    <x v="38"/>
    <x v="0"/>
    <x v="1"/>
    <x v="282"/>
    <x v="117"/>
    <x v="65"/>
    <x v="303"/>
    <x v="473"/>
    <x v="3"/>
    <x v="64"/>
    <x v="124"/>
    <x v="1027"/>
    <x v="479"/>
    <x v="1"/>
    <x v="7"/>
    <x v="21"/>
    <x v="1"/>
  </r>
  <r>
    <x v="164"/>
    <x v="1"/>
    <x v="79"/>
    <x v="65"/>
    <x v="2"/>
    <x v="17"/>
    <x v="71"/>
    <x v="57"/>
    <x v="38"/>
    <x v="0"/>
    <x v="1"/>
    <x v="350"/>
    <x v="182"/>
    <x v="68"/>
    <x v="305"/>
    <x v="446"/>
    <x v="3"/>
    <x v="65"/>
    <x v="124"/>
    <x v="1070"/>
    <x v="500"/>
    <x v="1"/>
    <x v="7"/>
    <x v="21"/>
    <x v="1"/>
  </r>
  <r>
    <x v="168"/>
    <x v="1"/>
    <x v="82"/>
    <x v="68"/>
    <x v="2"/>
    <x v="86"/>
    <x v="77"/>
    <x v="57"/>
    <x v="38"/>
    <x v="0"/>
    <x v="1"/>
    <x v="26"/>
    <x v="12"/>
    <x v="68"/>
    <x v="37"/>
    <x v="40"/>
    <x v="3"/>
    <x v="66"/>
    <x v="124"/>
    <x v="166"/>
    <x v="500"/>
    <x v="1"/>
    <x v="7"/>
    <x v="21"/>
    <x v="1"/>
  </r>
  <r>
    <x v="171"/>
    <x v="1"/>
    <x v="81"/>
    <x v="67"/>
    <x v="2"/>
    <x v="91"/>
    <x v="37"/>
    <x v="57"/>
    <x v="38"/>
    <x v="0"/>
    <x v="1"/>
    <x v="341"/>
    <x v="162"/>
    <x v="65"/>
    <x v="317"/>
    <x v="502"/>
    <x v="3"/>
    <x v="67"/>
    <x v="124"/>
    <x v="1036"/>
    <x v="479"/>
    <x v="1"/>
    <x v="7"/>
    <x v="21"/>
    <x v="1"/>
  </r>
  <r>
    <x v="174"/>
    <x v="1"/>
    <x v="80"/>
    <x v="66"/>
    <x v="2"/>
    <x v="30"/>
    <x v="67"/>
    <x v="57"/>
    <x v="38"/>
    <x v="0"/>
    <x v="1"/>
    <x v="282"/>
    <x v="137"/>
    <x v="62"/>
    <x v="283"/>
    <x v="466"/>
    <x v="3"/>
    <x v="68"/>
    <x v="124"/>
    <x v="965"/>
    <x v="448"/>
    <x v="1"/>
    <x v="7"/>
    <x v="21"/>
    <x v="1"/>
  </r>
  <r>
    <x v="177"/>
    <x v="1"/>
    <x v="83"/>
    <x v="69"/>
    <x v="2"/>
    <x v="85"/>
    <x v="17"/>
    <x v="57"/>
    <x v="38"/>
    <x v="0"/>
    <x v="1"/>
    <x v="346"/>
    <x v="183"/>
    <x v="68"/>
    <x v="300"/>
    <x v="437"/>
    <x v="3"/>
    <x v="69"/>
    <x v="124"/>
    <x v="1065"/>
    <x v="497"/>
    <x v="1"/>
    <x v="7"/>
    <x v="21"/>
    <x v="1"/>
  </r>
  <r>
    <x v="180"/>
    <x v="1"/>
    <x v="85"/>
    <x v="70"/>
    <x v="2"/>
    <x v="40"/>
    <x v="53"/>
    <x v="57"/>
    <x v="38"/>
    <x v="0"/>
    <x v="1"/>
    <x v="385"/>
    <x v="198"/>
    <x v="62"/>
    <x v="324"/>
    <x v="554"/>
    <x v="3"/>
    <x v="70"/>
    <x v="124"/>
    <x v="992"/>
    <x v="457"/>
    <x v="1"/>
    <x v="7"/>
    <x v="21"/>
    <x v="1"/>
  </r>
  <r>
    <x v="183"/>
    <x v="1"/>
    <x v="86"/>
    <x v="71"/>
    <x v="2"/>
    <x v="28"/>
    <x v="80"/>
    <x v="57"/>
    <x v="38"/>
    <x v="0"/>
    <x v="1"/>
    <x v="432"/>
    <x v="241"/>
    <x v="47"/>
    <x v="322"/>
    <x v="688"/>
    <x v="3"/>
    <x v="71"/>
    <x v="124"/>
    <x v="799"/>
    <x v="373"/>
    <x v="1"/>
    <x v="7"/>
    <x v="21"/>
    <x v="1"/>
  </r>
  <r>
    <x v="186"/>
    <x v="1"/>
    <x v="87"/>
    <x v="72"/>
    <x v="2"/>
    <x v="85"/>
    <x v="17"/>
    <x v="57"/>
    <x v="38"/>
    <x v="0"/>
    <x v="1"/>
    <x v="358"/>
    <x v="413"/>
    <x v="49"/>
    <x v="90"/>
    <x v="121"/>
    <x v="3"/>
    <x v="72"/>
    <x v="124"/>
    <x v="249"/>
    <x v="387"/>
    <x v="1"/>
    <x v="7"/>
    <x v="21"/>
    <x v="1"/>
  </r>
  <r>
    <x v="189"/>
    <x v="1"/>
    <x v="89"/>
    <x v="73"/>
    <x v="2"/>
    <x v="85"/>
    <x v="17"/>
    <x v="57"/>
    <x v="38"/>
    <x v="0"/>
    <x v="1"/>
    <x v="114"/>
    <x v="181"/>
    <x v="62"/>
    <x v="96"/>
    <x v="118"/>
    <x v="3"/>
    <x v="73"/>
    <x v="124"/>
    <x v="339"/>
    <x v="448"/>
    <x v="1"/>
    <x v="7"/>
    <x v="21"/>
    <x v="1"/>
  </r>
  <r>
    <x v="192"/>
    <x v="1"/>
    <x v="90"/>
    <x v="74"/>
    <x v="2"/>
    <x v="40"/>
    <x v="53"/>
    <x v="57"/>
    <x v="38"/>
    <x v="0"/>
    <x v="1"/>
    <x v="364"/>
    <x v="206"/>
    <x v="37"/>
    <x v="294"/>
    <x v="700"/>
    <x v="3"/>
    <x v="74"/>
    <x v="124"/>
    <x v="632"/>
    <x v="297"/>
    <x v="1"/>
    <x v="7"/>
    <x v="21"/>
    <x v="1"/>
  </r>
  <r>
    <x v="195"/>
    <x v="1"/>
    <x v="92"/>
    <x v="75"/>
    <x v="2"/>
    <x v="28"/>
    <x v="80"/>
    <x v="57"/>
    <x v="38"/>
    <x v="0"/>
    <x v="1"/>
    <x v="422"/>
    <x v="238"/>
    <x v="65"/>
    <x v="315"/>
    <x v="497"/>
    <x v="3"/>
    <x v="75"/>
    <x v="124"/>
    <x v="1034"/>
    <x v="479"/>
    <x v="1"/>
    <x v="7"/>
    <x v="21"/>
    <x v="1"/>
  </r>
  <r>
    <x v="198"/>
    <x v="1"/>
    <x v="93"/>
    <x v="76"/>
    <x v="2"/>
    <x v="85"/>
    <x v="17"/>
    <x v="57"/>
    <x v="38"/>
    <x v="0"/>
    <x v="1"/>
    <x v="370"/>
    <x v="179"/>
    <x v="54"/>
    <x v="328"/>
    <x v="630"/>
    <x v="3"/>
    <x v="76"/>
    <x v="124"/>
    <x v="909"/>
    <x v="415"/>
    <x v="1"/>
    <x v="7"/>
    <x v="21"/>
    <x v="1"/>
  </r>
  <r>
    <x v="208"/>
    <x v="1"/>
    <x v="98"/>
    <x v="80"/>
    <x v="2"/>
    <x v="85"/>
    <x v="17"/>
    <x v="57"/>
    <x v="38"/>
    <x v="0"/>
    <x v="1"/>
    <x v="333"/>
    <x v="178"/>
    <x v="62"/>
    <x v="292"/>
    <x v="480"/>
    <x v="3"/>
    <x v="80"/>
    <x v="124"/>
    <x v="971"/>
    <x v="460"/>
    <x v="1"/>
    <x v="7"/>
    <x v="21"/>
    <x v="1"/>
  </r>
  <r>
    <x v="211"/>
    <x v="1"/>
    <x v="99"/>
    <x v="81"/>
    <x v="2"/>
    <x v="40"/>
    <x v="53"/>
    <x v="57"/>
    <x v="38"/>
    <x v="0"/>
    <x v="1"/>
    <x v="361"/>
    <x v="204"/>
    <x v="65"/>
    <x v="293"/>
    <x v="458"/>
    <x v="3"/>
    <x v="81"/>
    <x v="124"/>
    <x v="1017"/>
    <x v="479"/>
    <x v="1"/>
    <x v="7"/>
    <x v="21"/>
    <x v="1"/>
  </r>
  <r>
    <x v="200"/>
    <x v="1"/>
    <x v="95"/>
    <x v="77"/>
    <x v="2"/>
    <x v="40"/>
    <x v="53"/>
    <x v="57"/>
    <x v="38"/>
    <x v="0"/>
    <x v="1"/>
    <x v="426"/>
    <x v="205"/>
    <x v="42"/>
    <x v="357"/>
    <x v="892"/>
    <x v="3"/>
    <x v="77"/>
    <x v="124"/>
    <x v="751"/>
    <x v="319"/>
    <x v="1"/>
    <x v="7"/>
    <x v="21"/>
    <x v="1"/>
  </r>
  <r>
    <x v="203"/>
    <x v="1"/>
    <x v="96"/>
    <x v="78"/>
    <x v="2"/>
    <x v="28"/>
    <x v="80"/>
    <x v="57"/>
    <x v="38"/>
    <x v="0"/>
    <x v="1"/>
    <x v="382"/>
    <x v="236"/>
    <x v="57"/>
    <x v="277"/>
    <x v="484"/>
    <x v="3"/>
    <x v="78"/>
    <x v="124"/>
    <x v="901"/>
    <x v="422"/>
    <x v="1"/>
    <x v="7"/>
    <x v="21"/>
    <x v="1"/>
  </r>
  <r>
    <x v="206"/>
    <x v="1"/>
    <x v="97"/>
    <x v="79"/>
    <x v="2"/>
    <x v="91"/>
    <x v="37"/>
    <x v="57"/>
    <x v="38"/>
    <x v="0"/>
    <x v="1"/>
    <x v="310"/>
    <x v="160"/>
    <x v="47"/>
    <x v="288"/>
    <x v="583"/>
    <x v="3"/>
    <x v="79"/>
    <x v="124"/>
    <x v="765"/>
    <x v="356"/>
    <x v="1"/>
    <x v="7"/>
    <x v="21"/>
    <x v="1"/>
  </r>
  <r>
    <x v="214"/>
    <x v="1"/>
    <x v="100"/>
    <x v="82"/>
    <x v="2"/>
    <x v="28"/>
    <x v="80"/>
    <x v="57"/>
    <x v="38"/>
    <x v="0"/>
    <x v="1"/>
    <x v="366"/>
    <x v="236"/>
    <x v="62"/>
    <x v="261"/>
    <x v="422"/>
    <x v="3"/>
    <x v="82"/>
    <x v="125"/>
    <x v="947"/>
    <x v="448"/>
    <x v="1"/>
    <x v="8"/>
    <x v="22"/>
    <x v="1"/>
  </r>
  <r>
    <x v="217"/>
    <x v="1"/>
    <x v="101"/>
    <x v="83"/>
    <x v="2"/>
    <x v="91"/>
    <x v="37"/>
    <x v="57"/>
    <x v="38"/>
    <x v="0"/>
    <x v="1"/>
    <x v="311"/>
    <x v="159"/>
    <x v="51"/>
    <x v="290"/>
    <x v="553"/>
    <x v="3"/>
    <x v="83"/>
    <x v="125"/>
    <x v="849"/>
    <x v="389"/>
    <x v="1"/>
    <x v="8"/>
    <x v="22"/>
    <x v="1"/>
  </r>
  <r>
    <x v="220"/>
    <x v="1"/>
    <x v="102"/>
    <x v="84"/>
    <x v="2"/>
    <x v="85"/>
    <x v="17"/>
    <x v="57"/>
    <x v="38"/>
    <x v="0"/>
    <x v="1"/>
    <x v="334"/>
    <x v="178"/>
    <x v="68"/>
    <x v="293"/>
    <x v="420"/>
    <x v="3"/>
    <x v="84"/>
    <x v="125"/>
    <x v="1058"/>
    <x v="500"/>
    <x v="1"/>
    <x v="8"/>
    <x v="22"/>
    <x v="1"/>
  </r>
  <r>
    <x v="223"/>
    <x v="1"/>
    <x v="103"/>
    <x v="85"/>
    <x v="2"/>
    <x v="40"/>
    <x v="53"/>
    <x v="57"/>
    <x v="38"/>
    <x v="0"/>
    <x v="1"/>
    <x v="376"/>
    <x v="203"/>
    <x v="71"/>
    <x v="310"/>
    <x v="420"/>
    <x v="3"/>
    <x v="85"/>
    <x v="125"/>
    <x v="1114"/>
    <x v="530"/>
    <x v="1"/>
    <x v="8"/>
    <x v="22"/>
    <x v="1"/>
  </r>
  <r>
    <x v="226"/>
    <x v="1"/>
    <x v="104"/>
    <x v="86"/>
    <x v="2"/>
    <x v="28"/>
    <x v="80"/>
    <x v="57"/>
    <x v="38"/>
    <x v="0"/>
    <x v="1"/>
    <x v="387"/>
    <x v="236"/>
    <x v="79"/>
    <x v="282"/>
    <x v="351"/>
    <x v="3"/>
    <x v="86"/>
    <x v="125"/>
    <x v="1182"/>
    <x v="567"/>
    <x v="1"/>
    <x v="8"/>
    <x v="22"/>
    <x v="1"/>
  </r>
  <r>
    <x v="229"/>
    <x v="1"/>
    <x v="105"/>
    <x v="87"/>
    <x v="2"/>
    <x v="91"/>
    <x v="37"/>
    <x v="57"/>
    <x v="38"/>
    <x v="0"/>
    <x v="1"/>
    <x v="295"/>
    <x v="158"/>
    <x v="79"/>
    <x v="275"/>
    <x v="347"/>
    <x v="3"/>
    <x v="87"/>
    <x v="125"/>
    <x v="1181"/>
    <x v="568"/>
    <x v="1"/>
    <x v="8"/>
    <x v="22"/>
    <x v="1"/>
  </r>
  <r>
    <x v="232"/>
    <x v="1"/>
    <x v="106"/>
    <x v="88"/>
    <x v="2"/>
    <x v="85"/>
    <x v="17"/>
    <x v="57"/>
    <x v="38"/>
    <x v="0"/>
    <x v="1"/>
    <x v="117"/>
    <x v="176"/>
    <x v="73"/>
    <x v="116"/>
    <x v="116"/>
    <x v="3"/>
    <x v="88"/>
    <x v="125"/>
    <x v="525"/>
    <x v="536"/>
    <x v="1"/>
    <x v="8"/>
    <x v="22"/>
    <x v="1"/>
  </r>
  <r>
    <x v="235"/>
    <x v="1"/>
    <x v="109"/>
    <x v="89"/>
    <x v="2"/>
    <x v="40"/>
    <x v="53"/>
    <x v="52"/>
    <x v="34"/>
    <x v="28"/>
    <x v="1"/>
    <x v="363"/>
    <x v="201"/>
    <x v="68"/>
    <x v="299"/>
    <x v="436"/>
    <x v="3"/>
    <x v="89"/>
    <x v="125"/>
    <x v="1064"/>
    <x v="500"/>
    <x v="1"/>
    <x v="8"/>
    <x v="22"/>
    <x v="1"/>
  </r>
  <r>
    <x v="241"/>
    <x v="1"/>
    <x v="111"/>
    <x v="91"/>
    <x v="2"/>
    <x v="18"/>
    <x v="18"/>
    <x v="51"/>
    <x v="34"/>
    <x v="28"/>
    <x v="1"/>
    <x v="243"/>
    <x v="120"/>
    <x v="25"/>
    <x v="260"/>
    <x v="684"/>
    <x v="3"/>
    <x v="91"/>
    <x v="125"/>
    <x v="465"/>
    <x v="224"/>
    <x v="1"/>
    <x v="8"/>
    <x v="22"/>
    <x v="1"/>
  </r>
  <r>
    <x v="244"/>
    <x v="1"/>
    <x v="112"/>
    <x v="92"/>
    <x v="6"/>
    <x v="87"/>
    <x v="9"/>
    <x v="51"/>
    <x v="34"/>
    <x v="28"/>
    <x v="1"/>
    <x v="289"/>
    <x v="121"/>
    <x v="62"/>
    <x v="306"/>
    <x v="511"/>
    <x v="3"/>
    <x v="92"/>
    <x v="125"/>
    <x v="983"/>
    <x v="459"/>
    <x v="1"/>
    <x v="8"/>
    <x v="22"/>
    <x v="1"/>
  </r>
  <r>
    <x v="247"/>
    <x v="1"/>
    <x v="116"/>
    <x v="93"/>
    <x v="2"/>
    <x v="85"/>
    <x v="17"/>
    <x v="51"/>
    <x v="34"/>
    <x v="28"/>
    <x v="1"/>
    <x v="362"/>
    <x v="187"/>
    <x v="68"/>
    <x v="312"/>
    <x v="462"/>
    <x v="3"/>
    <x v="93"/>
    <x v="125"/>
    <x v="1074"/>
    <x v="512"/>
    <x v="1"/>
    <x v="8"/>
    <x v="22"/>
    <x v="1"/>
  </r>
  <r>
    <x v="238"/>
    <x v="1"/>
    <x v="110"/>
    <x v="90"/>
    <x v="2"/>
    <x v="86"/>
    <x v="77"/>
    <x v="52"/>
    <x v="34"/>
    <x v="28"/>
    <x v="1"/>
    <x v="28"/>
    <x v="14"/>
    <x v="57"/>
    <x v="39"/>
    <x v="55"/>
    <x v="3"/>
    <x v="90"/>
    <x v="125"/>
    <x v="100"/>
    <x v="422"/>
    <x v="1"/>
    <x v="8"/>
    <x v="22"/>
    <x v="1"/>
  </r>
  <r>
    <x v="250"/>
    <x v="1"/>
    <x v="117"/>
    <x v="94"/>
    <x v="2"/>
    <x v="86"/>
    <x v="77"/>
    <x v="52"/>
    <x v="34"/>
    <x v="28"/>
    <x v="1"/>
    <x v="8"/>
    <x v="14"/>
    <x v="47"/>
    <x v="13"/>
    <x v="32"/>
    <x v="3"/>
    <x v="94"/>
    <x v="125"/>
    <x v="45"/>
    <x v="354"/>
    <x v="1"/>
    <x v="8"/>
    <x v="22"/>
    <x v="1"/>
  </r>
  <r>
    <x v="262"/>
    <x v="1"/>
    <x v="122"/>
    <x v="98"/>
    <x v="2"/>
    <x v="85"/>
    <x v="17"/>
    <x v="51"/>
    <x v="34"/>
    <x v="28"/>
    <x v="1"/>
    <x v="330"/>
    <x v="198"/>
    <x v="71"/>
    <x v="269"/>
    <x v="377"/>
    <x v="3"/>
    <x v="98"/>
    <x v="125"/>
    <x v="1087"/>
    <x v="524"/>
    <x v="1"/>
    <x v="8"/>
    <x v="22"/>
    <x v="1"/>
  </r>
  <r>
    <x v="253"/>
    <x v="1"/>
    <x v="119"/>
    <x v="95"/>
    <x v="2"/>
    <x v="40"/>
    <x v="53"/>
    <x v="52"/>
    <x v="34"/>
    <x v="28"/>
    <x v="1"/>
    <x v="364"/>
    <x v="201"/>
    <x v="16"/>
    <x v="300"/>
    <x v="970"/>
    <x v="3"/>
    <x v="95"/>
    <x v="125"/>
    <x v="345"/>
    <x v="117"/>
    <x v="1"/>
    <x v="8"/>
    <x v="22"/>
    <x v="1"/>
  </r>
  <r>
    <x v="256"/>
    <x v="1"/>
    <x v="120"/>
    <x v="91"/>
    <x v="2"/>
    <x v="18"/>
    <x v="18"/>
    <x v="51"/>
    <x v="34"/>
    <x v="28"/>
    <x v="1"/>
    <x v="274"/>
    <x v="123"/>
    <x v="47"/>
    <x v="289"/>
    <x v="587"/>
    <x v="3"/>
    <x v="96"/>
    <x v="125"/>
    <x v="766"/>
    <x v="358"/>
    <x v="1"/>
    <x v="8"/>
    <x v="22"/>
    <x v="1"/>
  </r>
  <r>
    <x v="259"/>
    <x v="1"/>
    <x v="121"/>
    <x v="97"/>
    <x v="2"/>
    <x v="87"/>
    <x v="9"/>
    <x v="51"/>
    <x v="34"/>
    <x v="28"/>
    <x v="1"/>
    <x v="249"/>
    <x v="121"/>
    <x v="25"/>
    <x v="266"/>
    <x v="712"/>
    <x v="3"/>
    <x v="97"/>
    <x v="125"/>
    <x v="472"/>
    <x v="223"/>
    <x v="1"/>
    <x v="8"/>
    <x v="22"/>
    <x v="1"/>
  </r>
  <r>
    <x v="268"/>
    <x v="1"/>
    <x v="124"/>
    <x v="100"/>
    <x v="2"/>
    <x v="40"/>
    <x v="53"/>
    <x v="52"/>
    <x v="34"/>
    <x v="28"/>
    <x v="1"/>
    <x v="358"/>
    <x v="207"/>
    <x v="32"/>
    <x v="286"/>
    <x v="743"/>
    <x v="3"/>
    <x v="100"/>
    <x v="125"/>
    <x v="559"/>
    <x v="244"/>
    <x v="1"/>
    <x v="8"/>
    <x v="22"/>
    <x v="1"/>
  </r>
  <r>
    <x v="265"/>
    <x v="1"/>
    <x v="123"/>
    <x v="99"/>
    <x v="2"/>
    <x v="86"/>
    <x v="77"/>
    <x v="52"/>
    <x v="34"/>
    <x v="28"/>
    <x v="1"/>
    <x v="21"/>
    <x v="13"/>
    <x v="47"/>
    <x v="27"/>
    <x v="52"/>
    <x v="3"/>
    <x v="99"/>
    <x v="125"/>
    <x v="54"/>
    <x v="355"/>
    <x v="1"/>
    <x v="8"/>
    <x v="22"/>
    <x v="1"/>
  </r>
  <r>
    <x v="270"/>
    <x v="1"/>
    <x v="127"/>
    <x v="101"/>
    <x v="2"/>
    <x v="18"/>
    <x v="18"/>
    <x v="52"/>
    <x v="34"/>
    <x v="28"/>
    <x v="1"/>
    <x v="241"/>
    <x v="129"/>
    <x v="20"/>
    <x v="247"/>
    <x v="692"/>
    <x v="3"/>
    <x v="101"/>
    <x v="125"/>
    <x v="389"/>
    <x v="158"/>
    <x v="1"/>
    <x v="8"/>
    <x v="22"/>
    <x v="1"/>
  </r>
  <r>
    <x v="272"/>
    <x v="1"/>
    <x v="128"/>
    <x v="102"/>
    <x v="2"/>
    <x v="87"/>
    <x v="9"/>
    <x v="52"/>
    <x v="34"/>
    <x v="28"/>
    <x v="1"/>
    <x v="242"/>
    <x v="123"/>
    <x v="57"/>
    <x v="256"/>
    <x v="445"/>
    <x v="3"/>
    <x v="102"/>
    <x v="125"/>
    <x v="888"/>
    <x v="418"/>
    <x v="1"/>
    <x v="8"/>
    <x v="22"/>
    <x v="1"/>
  </r>
  <r>
    <x v="274"/>
    <x v="1"/>
    <x v="129"/>
    <x v="103"/>
    <x v="2"/>
    <x v="85"/>
    <x v="17"/>
    <x v="52"/>
    <x v="34"/>
    <x v="28"/>
    <x v="1"/>
    <x v="508"/>
    <x v="189"/>
    <x v="37"/>
    <x v="443"/>
    <x v="1164"/>
    <x v="3"/>
    <x v="103"/>
    <x v="125"/>
    <x v="780"/>
    <x v="285"/>
    <x v="1"/>
    <x v="8"/>
    <x v="22"/>
    <x v="1"/>
  </r>
  <r>
    <x v="276"/>
    <x v="1"/>
    <x v="130"/>
    <x v="104"/>
    <x v="2"/>
    <x v="86"/>
    <x v="77"/>
    <x v="53"/>
    <x v="35"/>
    <x v="28"/>
    <x v="1"/>
    <x v="16"/>
    <x v="14"/>
    <x v="47"/>
    <x v="18"/>
    <x v="39"/>
    <x v="3"/>
    <x v="104"/>
    <x v="126"/>
    <x v="49"/>
    <x v="385"/>
    <x v="1"/>
    <x v="9"/>
    <x v="23"/>
    <x v="1"/>
  </r>
  <r>
    <x v="278"/>
    <x v="1"/>
    <x v="131"/>
    <x v="105"/>
    <x v="2"/>
    <x v="40"/>
    <x v="53"/>
    <x v="53"/>
    <x v="35"/>
    <x v="28"/>
    <x v="1"/>
    <x v="329"/>
    <x v="207"/>
    <x v="47"/>
    <x v="257"/>
    <x v="509"/>
    <x v="3"/>
    <x v="105"/>
    <x v="126"/>
    <x v="747"/>
    <x v="358"/>
    <x v="1"/>
    <x v="9"/>
    <x v="23"/>
    <x v="1"/>
  </r>
  <r>
    <x v="280"/>
    <x v="1"/>
    <x v="133"/>
    <x v="106"/>
    <x v="2"/>
    <x v="18"/>
    <x v="18"/>
    <x v="53"/>
    <x v="35"/>
    <x v="28"/>
    <x v="1"/>
    <x v="256"/>
    <x v="129"/>
    <x v="20"/>
    <x v="265"/>
    <x v="778"/>
    <x v="3"/>
    <x v="106"/>
    <x v="126"/>
    <x v="402"/>
    <x v="158"/>
    <x v="1"/>
    <x v="9"/>
    <x v="23"/>
    <x v="1"/>
  </r>
  <r>
    <x v="282"/>
    <x v="1"/>
    <x v="134"/>
    <x v="107"/>
    <x v="2"/>
    <x v="87"/>
    <x v="9"/>
    <x v="53"/>
    <x v="35"/>
    <x v="28"/>
    <x v="1"/>
    <x v="239"/>
    <x v="122"/>
    <x v="16"/>
    <x v="252"/>
    <x v="784"/>
    <x v="3"/>
    <x v="107"/>
    <x v="126"/>
    <x v="325"/>
    <x v="144"/>
    <x v="1"/>
    <x v="9"/>
    <x v="23"/>
    <x v="1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count="41">
  <r>
    <x v="0"/>
    <x v="0"/>
    <x v="0"/>
    <x v="13"/>
    <x v="19"/>
    <x v="18"/>
    <x v="0"/>
    <x v="5"/>
    <x v="1"/>
    <x v="19"/>
    <x v="16"/>
    <x v="22"/>
    <x v="26"/>
  </r>
  <r>
    <x v="0"/>
    <x v="0"/>
    <x v="0"/>
    <x v="16"/>
    <x v="2"/>
    <x v="3"/>
    <x v="0"/>
    <x v="5"/>
    <x v="1"/>
    <x v="4"/>
    <x v="2"/>
    <x v="3"/>
    <x v="7"/>
  </r>
  <r>
    <x v="0"/>
    <x v="0"/>
    <x v="1"/>
    <x v="9"/>
    <x v="1"/>
    <x v="2"/>
    <x v="0"/>
    <x v="5"/>
    <x v="2"/>
    <x v="5"/>
    <x v="0"/>
    <x v="2"/>
    <x v="11"/>
  </r>
  <r>
    <x v="0"/>
    <x v="0"/>
    <x v="1"/>
    <x v="13"/>
    <x v="35"/>
    <x v="32"/>
    <x v="0"/>
    <x v="5"/>
    <x v="0"/>
    <x v="13"/>
    <x v="31"/>
    <x v="32"/>
    <x v="27"/>
  </r>
  <r>
    <x v="0"/>
    <x v="0"/>
    <x v="1"/>
    <x v="16"/>
    <x v="31"/>
    <x v="28"/>
    <x v="0"/>
    <x v="5"/>
    <x v="1"/>
    <x v="18"/>
    <x v="29"/>
    <x v="30"/>
    <x v="25"/>
  </r>
  <r>
    <x v="0"/>
    <x v="0"/>
    <x v="2"/>
    <x v="1"/>
    <x v="3"/>
    <x v="4"/>
    <x v="0"/>
    <x v="5"/>
    <x v="2"/>
    <x v="1"/>
    <x v="4"/>
    <x v="1"/>
    <x v="4"/>
  </r>
  <r>
    <x v="0"/>
    <x v="0"/>
    <x v="2"/>
    <x v="13"/>
    <x v="25"/>
    <x v="24"/>
    <x v="0"/>
    <x v="5"/>
    <x v="0"/>
    <x v="7"/>
    <x v="19"/>
    <x v="17"/>
    <x v="15"/>
  </r>
  <r>
    <x v="0"/>
    <x v="0"/>
    <x v="3"/>
    <x v="2"/>
    <x v="1"/>
    <x v="2"/>
    <x v="0"/>
    <x v="5"/>
    <x v="3"/>
    <x v="14"/>
    <x v="1"/>
    <x v="5"/>
    <x v="18"/>
  </r>
  <r>
    <x v="0"/>
    <x v="0"/>
    <x v="3"/>
    <x v="8"/>
    <x v="8"/>
    <x v="8"/>
    <x v="0"/>
    <x v="5"/>
    <x v="3"/>
    <x v="28"/>
    <x v="8"/>
    <x v="14"/>
    <x v="36"/>
  </r>
  <r>
    <x v="0"/>
    <x v="0"/>
    <x v="3"/>
    <x v="11"/>
    <x v="1"/>
    <x v="2"/>
    <x v="0"/>
    <x v="5"/>
    <x v="3"/>
    <x v="22"/>
    <x v="1"/>
    <x v="8"/>
    <x v="29"/>
  </r>
  <r>
    <x v="0"/>
    <x v="0"/>
    <x v="3"/>
    <x v="16"/>
    <x v="29"/>
    <x v="26"/>
    <x v="0"/>
    <x v="5"/>
    <x v="1"/>
    <x v="26"/>
    <x v="28"/>
    <x v="35"/>
    <x v="35"/>
  </r>
  <r>
    <x v="0"/>
    <x v="0"/>
    <x v="4"/>
    <x v="8"/>
    <x v="32"/>
    <x v="29"/>
    <x v="0"/>
    <x v="5"/>
    <x v="3"/>
    <x v="32"/>
    <x v="32"/>
    <x v="38"/>
    <x v="39"/>
  </r>
  <r>
    <x v="0"/>
    <x v="0"/>
    <x v="5"/>
    <x v="0"/>
    <x v="17"/>
    <x v="16"/>
    <x v="0"/>
    <x v="5"/>
    <x v="3"/>
    <x v="33"/>
    <x v="15"/>
    <x v="28"/>
    <x v="40"/>
  </r>
  <r>
    <x v="0"/>
    <x v="0"/>
    <x v="5"/>
    <x v="8"/>
    <x v="16"/>
    <x v="15"/>
    <x v="0"/>
    <x v="5"/>
    <x v="3"/>
    <x v="21"/>
    <x v="14"/>
    <x v="20"/>
    <x v="24"/>
  </r>
  <r>
    <x v="0"/>
    <x v="0"/>
    <x v="5"/>
    <x v="10"/>
    <x v="1"/>
    <x v="2"/>
    <x v="0"/>
    <x v="5"/>
    <x v="3"/>
    <x v="15"/>
    <x v="1"/>
    <x v="6"/>
    <x v="19"/>
  </r>
  <r>
    <x v="0"/>
    <x v="0"/>
    <x v="5"/>
    <x v="12"/>
    <x v="1"/>
    <x v="2"/>
    <x v="0"/>
    <x v="5"/>
    <x v="3"/>
    <x v="17"/>
    <x v="1"/>
    <x v="7"/>
    <x v="20"/>
  </r>
  <r>
    <x v="1"/>
    <x v="0"/>
    <x v="17"/>
    <x v="8"/>
    <x v="12"/>
    <x v="12"/>
    <x v="0"/>
    <x v="5"/>
    <x v="5"/>
    <x v="30"/>
    <x v="13"/>
    <x v="25"/>
    <x v="31"/>
  </r>
  <r>
    <x v="1"/>
    <x v="0"/>
    <x v="17"/>
    <x v="14"/>
    <x v="23"/>
    <x v="21"/>
    <x v="0"/>
    <x v="5"/>
    <x v="5"/>
    <x v="29"/>
    <x v="26"/>
    <x v="31"/>
    <x v="30"/>
  </r>
  <r>
    <x v="1"/>
    <x v="0"/>
    <x v="16"/>
    <x v="3"/>
    <x v="11"/>
    <x v="11"/>
    <x v="0"/>
    <x v="5"/>
    <x v="5"/>
    <x v="34"/>
    <x v="12"/>
    <x v="26"/>
    <x v="32"/>
  </r>
  <r>
    <x v="1"/>
    <x v="0"/>
    <x v="16"/>
    <x v="5"/>
    <x v="18"/>
    <x v="17"/>
    <x v="0"/>
    <x v="5"/>
    <x v="5"/>
    <x v="16"/>
    <x v="21"/>
    <x v="19"/>
    <x v="14"/>
  </r>
  <r>
    <x v="1"/>
    <x v="0"/>
    <x v="16"/>
    <x v="7"/>
    <x v="7"/>
    <x v="7"/>
    <x v="0"/>
    <x v="5"/>
    <x v="5"/>
    <x v="12"/>
    <x v="9"/>
    <x v="10"/>
    <x v="13"/>
  </r>
  <r>
    <x v="1"/>
    <x v="0"/>
    <x v="16"/>
    <x v="14"/>
    <x v="9"/>
    <x v="9"/>
    <x v="0"/>
    <x v="5"/>
    <x v="5"/>
    <x v="25"/>
    <x v="10"/>
    <x v="13"/>
    <x v="22"/>
  </r>
  <r>
    <x v="1"/>
    <x v="1"/>
    <x v="6"/>
    <x v="15"/>
    <x v="13"/>
    <x v="13"/>
    <x v="0"/>
    <x v="5"/>
    <x v="6"/>
    <x v="6"/>
    <x v="17"/>
    <x v="11"/>
    <x v="6"/>
  </r>
  <r>
    <x v="1"/>
    <x v="1"/>
    <x v="7"/>
    <x v="15"/>
    <x v="26"/>
    <x v="22"/>
    <x v="3"/>
    <x v="3"/>
    <x v="6"/>
    <x v="11"/>
    <x v="34"/>
    <x v="21"/>
    <x v="8"/>
  </r>
  <r>
    <x v="1"/>
    <x v="1"/>
    <x v="12"/>
    <x v="4"/>
    <x v="34"/>
    <x v="31"/>
    <x v="0"/>
    <x v="5"/>
    <x v="6"/>
    <x v="10"/>
    <x v="37"/>
    <x v="29"/>
    <x v="9"/>
  </r>
  <r>
    <x v="1"/>
    <x v="1"/>
    <x v="14"/>
    <x v="4"/>
    <x v="15"/>
    <x v="14"/>
    <x v="0"/>
    <x v="5"/>
    <x v="6"/>
    <x v="24"/>
    <x v="20"/>
    <x v="24"/>
    <x v="16"/>
  </r>
  <r>
    <x v="1"/>
    <x v="1"/>
    <x v="14"/>
    <x v="15"/>
    <x v="20"/>
    <x v="19"/>
    <x v="0"/>
    <x v="5"/>
    <x v="6"/>
    <x v="36"/>
    <x v="24"/>
    <x v="34"/>
    <x v="34"/>
  </r>
  <r>
    <x v="1"/>
    <x v="1"/>
    <x v="15"/>
    <x v="6"/>
    <x v="33"/>
    <x v="30"/>
    <x v="0"/>
    <x v="5"/>
    <x v="6"/>
    <x v="27"/>
    <x v="36"/>
    <x v="37"/>
    <x v="21"/>
  </r>
  <r>
    <x v="1"/>
    <x v="1"/>
    <x v="15"/>
    <x v="17"/>
    <x v="0"/>
    <x v="1"/>
    <x v="0"/>
    <x v="5"/>
    <x v="6"/>
    <x v="31"/>
    <x v="3"/>
    <x v="9"/>
    <x v="28"/>
  </r>
  <r>
    <x v="1"/>
    <x v="1"/>
    <x v="18"/>
    <x v="6"/>
    <x v="14"/>
    <x v="0"/>
    <x v="4"/>
    <x v="1"/>
    <x v="6"/>
    <x v="0"/>
    <x v="18"/>
    <x v="0"/>
    <x v="1"/>
  </r>
  <r>
    <x v="1"/>
    <x v="1"/>
    <x v="18"/>
    <x v="7"/>
    <x v="5"/>
    <x v="5"/>
    <x v="0"/>
    <x v="5"/>
    <x v="6"/>
    <x v="2"/>
    <x v="6"/>
    <x v="4"/>
    <x v="3"/>
  </r>
  <r>
    <x v="1"/>
    <x v="1"/>
    <x v="18"/>
    <x v="15"/>
    <x v="4"/>
    <x v="0"/>
    <x v="2"/>
    <x v="2"/>
    <x v="6"/>
    <x v="0"/>
    <x v="5"/>
    <x v="0"/>
    <x v="2"/>
  </r>
  <r>
    <x v="1"/>
    <x v="1"/>
    <x v="18"/>
    <x v="17"/>
    <x v="6"/>
    <x v="6"/>
    <x v="0"/>
    <x v="5"/>
    <x v="6"/>
    <x v="35"/>
    <x v="7"/>
    <x v="12"/>
    <x v="33"/>
  </r>
  <r>
    <x v="2"/>
    <x v="1"/>
    <x v="10"/>
    <x v="8"/>
    <x v="27"/>
    <x v="0"/>
    <x v="5"/>
    <x v="0"/>
    <x v="6"/>
    <x v="0"/>
    <x v="35"/>
    <x v="0"/>
    <x v="0"/>
  </r>
  <r>
    <x v="2"/>
    <x v="1"/>
    <x v="11"/>
    <x v="8"/>
    <x v="22"/>
    <x v="17"/>
    <x v="1"/>
    <x v="4"/>
    <x v="6"/>
    <x v="38"/>
    <x v="27"/>
    <x v="36"/>
    <x v="37"/>
  </r>
  <r>
    <x v="2"/>
    <x v="1"/>
    <x v="19"/>
    <x v="8"/>
    <x v="18"/>
    <x v="17"/>
    <x v="0"/>
    <x v="5"/>
    <x v="6"/>
    <x v="37"/>
    <x v="23"/>
    <x v="33"/>
    <x v="38"/>
  </r>
  <r>
    <x v="3"/>
    <x v="0"/>
    <x v="8"/>
    <x v="1"/>
    <x v="30"/>
    <x v="27"/>
    <x v="0"/>
    <x v="5"/>
    <x v="4"/>
    <x v="3"/>
    <x v="33"/>
    <x v="15"/>
    <x v="5"/>
  </r>
  <r>
    <x v="3"/>
    <x v="0"/>
    <x v="8"/>
    <x v="16"/>
    <x v="21"/>
    <x v="20"/>
    <x v="0"/>
    <x v="5"/>
    <x v="4"/>
    <x v="20"/>
    <x v="22"/>
    <x v="27"/>
    <x v="17"/>
  </r>
  <r>
    <x v="3"/>
    <x v="0"/>
    <x v="9"/>
    <x v="1"/>
    <x v="28"/>
    <x v="25"/>
    <x v="0"/>
    <x v="5"/>
    <x v="4"/>
    <x v="9"/>
    <x v="30"/>
    <x v="23"/>
    <x v="12"/>
  </r>
  <r>
    <x v="3"/>
    <x v="0"/>
    <x v="9"/>
    <x v="13"/>
    <x v="24"/>
    <x v="23"/>
    <x v="0"/>
    <x v="5"/>
    <x v="4"/>
    <x v="8"/>
    <x v="25"/>
    <x v="18"/>
    <x v="10"/>
  </r>
  <r>
    <x v="3"/>
    <x v="0"/>
    <x v="13"/>
    <x v="16"/>
    <x v="10"/>
    <x v="10"/>
    <x v="0"/>
    <x v="5"/>
    <x v="4"/>
    <x v="23"/>
    <x v="11"/>
    <x v="16"/>
    <x v="23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3.xml"/>
</Relationships>
</file>

<file path=xl/pivotTables/_rels/pivotTable4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5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4.xml"/>
</Relationships>
</file>

<file path=xl/pivotTables/_rels/pivotTable6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7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5.xml"/>
</Relationships>
</file>

<file path=xl/pivotTables/_rels/pivotTable8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5.xml"/>
</Relationships>
</file>

<file path=xl/pivotTables/_rels/pivotTable9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6.xml"/>
</Relationships>
</file>

<file path=xl/pivotTables/_rels/pivotTable10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Сводная таблица2" cacheId="1" applyNumberFormats="0" applyBorderFormats="0" applyFontFormats="0" applyPatternFormats="0" applyAlignmentFormats="0" applyWidthHeightFormats="0" dataCaption="Values" showDrill="1" useAutoFormatting="0" itemPrintTitles="1" indent="0" outline="0" outlineData="0" compact="0" compactData="0">
  <location ref="A3:H16" firstHeaderRow="1" firstDataRow="2" firstDataCol="4"/>
  <pivotFields count="34"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dataField="1" compact="0" showAll="0" outline="0"/>
    <pivotField compact="0" showAll="0" outline="0"/>
    <pivotField dataField="1" compact="0" showAll="0" outline="0"/>
    <pivotField compact="0" showAll="0" outline="0"/>
    <pivotField axis="axisRow" compact="0" showAll="0" outline="0">
      <items count="4">
        <item x="0"/>
        <item x="2"/>
        <item x="1"/>
        <item t="default"/>
      </items>
    </pivotField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axis="axisRow" compact="0" showAll="0" defaultSubtotal="0" outline="0">
      <items count="4">
        <item x="3"/>
        <item x="2"/>
        <item x="0"/>
        <item x="1"/>
      </items>
    </pivotField>
    <pivotField compact="0" showAll="0" outline="0"/>
    <pivotField dataField="1" compact="0" showAll="0" outline="0"/>
    <pivotField axis="axisRow" compact="0" showAll="0" defaultSubtotal="0" outline="0">
      <items count="1">
        <item x="0"/>
      </items>
    </pivotField>
    <pivotField compact="0" showAll="0" outline="0"/>
    <pivotField compact="0" showAll="0" outline="0"/>
    <pivotField axis="axisRow" compact="0" showAll="0" defaultSubtotal="0" outline="0">
      <items count="6">
        <item x="0"/>
        <item x="1"/>
        <item x="2"/>
        <item x="3"/>
        <item x="4"/>
        <item x="5"/>
      </items>
    </pivotField>
    <pivotField dataField="1"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</pivotFields>
  <rowFields count="4">
    <field x="22"/>
    <field x="25"/>
    <field x="19"/>
    <field x="10"/>
  </rowFields>
  <rowItems count="12">
    <i>
      <x v="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 v="11"/>
    </i>
  </rowItems>
  <colFields count="1">
    <field x="-2"/>
  </colFields>
  <colItems count="1">
    <i t="grand">
      <x v="0"/>
    </i>
  </colItems>
  <dataFields count="4">
    <dataField name=" Площадь уборки, га" fld="21" subtotal="sum" numFmtId="165"/>
    <dataField name="Физический вес, кг" fld="6" subtotal="sum" numFmtId="190"/>
    <dataField name="Зачетный вес, кг" fld="8" subtotal="sum" numFmtId="190"/>
    <dataField name="в т.ч. Продажа, кг" fld="26" subtotal="sum" numFmtId="165"/>
  </dataFields>
  <formats count="49">
    <format dxfId="29">
      <pivotArea dataOnly="0" labelOnly="1" outline="0" fieldPosition="0">
        <references count="1">
          <reference field="22" count="1">
            <x v="1"/>
          </reference>
        </references>
      </pivotArea>
    </format>
    <format dxfId="30">
      <pivotArea outline="0" fieldPosition="0">
        <references count="1">
          <reference field="4294967294" count="1">
            <x v="1"/>
          </reference>
        </references>
      </pivotArea>
    </format>
    <format dxfId="31">
      <pivotArea outline="0" fieldPosition="0">
        <references count="1">
          <reference field="4294967294" count="1">
            <x v="2"/>
          </reference>
        </references>
      </pivotArea>
    </format>
    <format dxfId="32">
      <pivotArea dataOnly="0" labelOnly="1" outline="0" fieldPosition="0"/>
    </format>
    <format dxfId="33">
      <pivotArea dataOnly="0" labelOnly="1" outline="0" fieldPosition="0">
        <references count="1">
          <reference field="4294967294" count="1">
            <x v="0"/>
            <x v="1"/>
            <x v="2"/>
          </reference>
        </references>
      </pivotArea>
    </format>
    <format dxfId="34">
      <pivotArea dataOnly="0" labelOnly="1" outline="0" fieldPosition="0"/>
    </format>
    <format dxfId="35">
      <pivotArea dataOnly="0" labelOnly="1" outline="0" fieldPosition="3"/>
    </format>
    <format dxfId="36">
      <pivotArea dataOnly="0" labelOnly="1" outline="0" fieldPosition="0">
        <references count="1">
          <reference field="4294967294" count="1">
            <x v="0"/>
            <x v="1"/>
            <x v="2"/>
          </reference>
        </references>
      </pivotArea>
    </format>
    <format dxfId="37">
      <pivotArea dataOnly="0" labelOnly="1" outline="0" fieldPosition="0"/>
    </format>
    <format dxfId="38">
      <pivotArea dataOnly="0" labelOnly="1" outline="0" fieldPosition="3"/>
    </format>
    <format dxfId="39">
      <pivotArea dataOnly="0" labelOnly="1" outline="0" fieldPosition="0">
        <references count="1">
          <reference field="4294967294" count="1">
            <x v="0"/>
            <x v="1"/>
            <x v="2"/>
          </reference>
        </references>
      </pivotArea>
    </format>
    <format dxfId="40">
      <pivotArea outline="0" fieldPosition="0">
        <references count="1">
          <reference field="4294967294" count="1">
            <x v="3"/>
          </reference>
        </references>
      </pivotArea>
    </format>
    <format dxfId="41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42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43">
      <pivotArea dataOnly="0" outline="0" fieldPosition="0"/>
    </format>
    <format dxfId="44">
      <pivotArea outline="0" fieldPosition="0"/>
    </format>
    <format dxfId="45">
      <pivotArea dataOnly="0" labelOnly="1" outline="0" fieldPosition="0"/>
    </format>
    <format dxfId="46">
      <pivotArea dataOnly="0" labelOnly="1" outline="0" fieldPosition="0"/>
    </format>
    <format dxfId="47">
      <pivotArea dataOnly="0" labelOnly="1" outline="0" fieldPosition="0"/>
    </format>
    <format dxfId="48">
      <pivotArea dataOnly="0" labelOnly="1" outline="0" fieldPosition="1"/>
    </format>
    <format dxfId="49">
      <pivotArea dataOnly="0" labelOnly="1" outline="0" fieldPosition="0"/>
    </format>
    <format dxfId="50">
      <pivotArea dataOnly="0" labelOnly="1" outline="0" fieldPosition="0"/>
    </format>
    <format dxfId="51">
      <pivotArea dataOnly="0" labelOnly="1" outline="0" fieldPosition="0">
        <references count="1">
          <reference field="4294967294" count="1">
            <x v="0"/>
            <x v="1"/>
            <x v="2"/>
            <x v="3"/>
          </reference>
        </references>
      </pivotArea>
    </format>
    <format dxfId="52">
      <pivotArea outline="0" fieldPosition="0">
        <references count="1">
          <reference field="4294967294" count="1">
            <x v="4"/>
          </reference>
        </references>
      </pivotArea>
    </format>
    <format dxfId="53">
      <pivotArea dataOnly="0" labelOnly="1" outline="0" fieldPosition="1"/>
    </format>
    <format dxfId="54">
      <pivotArea dataOnly="0" labelOnly="1" outline="0" fieldPosition="1"/>
    </format>
    <format dxfId="55">
      <pivotArea dataOnly="0" labelOnly="1" outline="0" fieldPosition="1"/>
    </format>
    <format dxfId="56">
      <pivotArea outline="0" fieldPosition="0">
        <references count="1">
          <reference field="4294967294" count="1">
            <x v="5"/>
          </reference>
        </references>
      </pivotArea>
    </format>
    <format dxfId="57">
      <pivotArea dataOnly="0" labelOnly="1" outline="0" fieldPosition="0"/>
    </format>
    <format dxfId="58">
      <pivotArea dataOnly="0" labelOnly="1" outline="0" fieldPosition="2"/>
    </format>
    <format dxfId="59">
      <pivotArea dataOnly="0" labelOnly="1" outline="0" fieldPosition="0">
        <references count="1">
          <reference field="4294967294" count="1">
            <x v="0"/>
            <x v="1"/>
            <x v="2"/>
            <x v="3"/>
            <x v="4"/>
            <x v="5"/>
          </reference>
        </references>
      </pivotArea>
    </format>
    <format dxfId="60">
      <pivotArea dataOnly="0" labelOnly="1" outline="0" fieldPosition="0"/>
    </format>
    <format dxfId="61">
      <pivotArea dataOnly="0" labelOnly="1" outline="0" fieldPosition="2"/>
    </format>
    <format dxfId="62">
      <pivotArea dataOnly="0" labelOnly="1" outline="0" fieldPosition="0">
        <references count="1">
          <reference field="4294967294" count="1">
            <x v="0"/>
            <x v="1"/>
            <x v="2"/>
            <x v="3"/>
            <x v="4"/>
            <x v="5"/>
          </reference>
        </references>
      </pivotArea>
    </format>
    <format dxfId="63">
      <pivotArea dataOnly="0" labelOnly="1" outline="0" fieldPosition="0"/>
    </format>
    <format dxfId="64">
      <pivotArea dataOnly="0" labelOnly="1" outline="0" fieldPosition="2"/>
    </format>
    <format dxfId="65">
      <pivotArea dataOnly="0" labelOnly="1" outline="0" fieldPosition="0">
        <references count="1">
          <reference field="4294967294" count="1">
            <x v="0"/>
            <x v="1"/>
            <x v="2"/>
            <x v="3"/>
            <x v="4"/>
            <x v="5"/>
          </reference>
        </references>
      </pivotArea>
    </format>
    <format dxfId="66">
      <pivotArea dataOnly="0" outline="0" fieldPosition="0"/>
    </format>
    <format dxfId="67">
      <pivotArea outline="0" fieldPosition="0"/>
    </format>
    <format dxfId="68">
      <pivotArea dataOnly="0" labelOnly="1" outline="0" fieldPosition="0"/>
    </format>
    <format dxfId="69">
      <pivotArea dataOnly="0" labelOnly="1" outline="0" fieldPosition="0"/>
    </format>
    <format dxfId="70">
      <pivotArea dataOnly="0" labelOnly="1" outline="0" fieldPosition="0"/>
    </format>
    <format dxfId="71">
      <pivotArea dataOnly="0" labelOnly="1" outline="0" fieldPosition="0"/>
    </format>
    <format dxfId="72">
      <pivotArea dataOnly="0" labelOnly="1" outline="0" fieldPosition="2"/>
    </format>
    <format dxfId="73">
      <pivotArea dataOnly="0" labelOnly="1" outline="0" fieldPosition="3"/>
    </format>
    <format dxfId="74">
      <pivotArea dataOnly="0" labelOnly="1" outline="0" fieldPosition="0">
        <references count="1">
          <reference field="22" count="1"/>
        </references>
      </pivotArea>
    </format>
    <format dxfId="75">
      <pivotArea dataOnly="0" labelOnly="1" outline="0" fieldPosition="0"/>
    </format>
    <format dxfId="76">
      <pivotArea dataOnly="0" labelOnly="1" outline="0" fieldPosition="0">
        <references count="1">
          <reference field="4294967294" count="1">
            <x v="0"/>
            <x v="1"/>
            <x v="2"/>
            <x v="3"/>
            <x v="4"/>
            <x v="5"/>
          </reference>
        </references>
      </pivotArea>
    </format>
    <format dxfId="77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5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Сводная таблица1" cacheId="2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63:E68" firstHeaderRow="0" firstDataRow="1" firstDataCol="1"/>
  <pivotFields count="9"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dataField="1" showAll="0"/>
    <pivotField showAll="0"/>
    <pivotField dataField="1" showAll="0"/>
    <pivotField dataField="1" showAll="0"/>
    <pivotField showAll="0"/>
    <pivotField showAll="0"/>
  </pivotFields>
  <rowFields count="1">
    <field x="0"/>
  </rowFields>
  <rowItems count="5">
    <i>
      <x v="0"/>
    </i>
    <i>
      <x v="1"/>
    </i>
    <i>
      <x v="2"/>
    </i>
    <i>
      <x v="3"/>
    </i>
    <i t="grand">
      <x v="4"/>
    </i>
  </rowItems>
  <colFields count="1">
    <field x="-2"/>
  </colFields>
  <colItems count="1">
    <i t="grand">
      <x v="0"/>
    </i>
  </colItems>
  <dataFields count="4">
    <dataField name=" ПЛАН, т" fld="2" subtotal="sum" numFmtId="164"/>
    <dataField name=" ФАКТ, т" fld="3" subtotal="sum" numFmtId="164"/>
    <dataField name=" ПЛАН, га" fld="5" subtotal="sum" numFmtId="187"/>
    <dataField name=" ФАКТ, га" fld="6" subtotal="sum" numFmtId="165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Сводная таблица7" cacheId="3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66:E75" firstHeaderRow="0" firstDataRow="1" firstDataCol="1"/>
  <pivotFields count="9"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  <pivotField dataField="1" showAll="0"/>
    <pivotField showAll="0"/>
    <pivotField dataField="1" showAll="0"/>
    <pivotField dataField="1" showAll="0"/>
    <pivotField showAll="0"/>
    <pivotField showAll="0"/>
  </pivotFields>
  <rowFields count="2">
    <field x="0"/>
    <field x="1"/>
  </rowFields>
  <rowItems count="9">
    <i>
      <x v="0"/>
    </i>
    <i>
      <x v="1"/>
    </i>
    <i>
      <x v="2"/>
    </i>
    <i>
      <x v="3"/>
    </i>
    <i>
      <x v="4"/>
    </i>
    <i>
      <x v="5"/>
    </i>
    <i>
      <x v="6"/>
    </i>
    <i>
      <x v="7"/>
    </i>
    <i t="grand">
      <x v="8"/>
    </i>
  </rowItems>
  <colFields count="1">
    <field x="-2"/>
  </colFields>
  <colItems count="1">
    <i t="grand">
      <x v="0"/>
    </i>
  </colItems>
  <dataFields count="4">
    <dataField name=" ПЛАН, т" fld="2" subtotal="sum" numFmtId="164"/>
    <dataField name=" ФАКТ, т" fld="3" subtotal="sum" numFmtId="164"/>
    <dataField name=" ПЛАН, га" fld="5" subtotal="sum" numFmtId="185"/>
    <dataField name=" ФАКТ, га" fld="6" subtotal="sum" numFmtId="165"/>
  </dataFields>
  <formats count="2">
    <format dxfId="78">
      <pivotArea outline="0" fieldPosition="0">
        <references count="1">
          <reference field="4294967294" count="1" selected="0">
            <x v="4"/>
          </reference>
        </references>
      </pivotArea>
    </format>
    <format dxfId="79">
      <pivotArea outline="0" fieldPosition="0">
        <references count="1">
          <reference field="4294967294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showDrill="1" useAutoFormatting="0" itemPrintTitles="1" indent="0" outline="0" outlineData="0" compact="0" compactData="0">
  <location ref="A3:F6" firstHeaderRow="1" firstDataRow="2" firstDataCol="4" rowPageCount="1" colPageCount="1"/>
  <pivotFields count="34">
    <pivotField compact="0" showAll="0" outline="0"/>
    <pivotField compact="0" showAll="0" outline="0"/>
    <pivotField compact="0" showAll="0" outline="0"/>
    <pivotField compact="0" showAll="0" outline="0"/>
    <pivotField axis="axisRow" compact="0" showAll="0" defaultSubtotal="0" outline="0">
      <items count="1">
        <item x="0"/>
      </items>
    </pivotField>
    <pivotField compact="0" showAll="0" outline="0"/>
    <pivotField dataField="1" compact="0" showAll="0" outline="0"/>
    <pivotField compact="0" showAll="0" outline="0"/>
    <pivotField dataField="1" compact="0" showAll="0" outline="0"/>
    <pivotField compact="0" showAll="0" outline="0"/>
    <pivotField axis="axisRow" compact="0" showAll="0" outline="0">
      <items count="4">
        <item x="0"/>
        <item x="2"/>
        <item x="1"/>
        <item t="default"/>
      </items>
    </pivotField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axis="axisRow" compact="0" showAll="0" outline="0">
      <items count="5">
        <item x="3"/>
        <item x="2"/>
        <item x="0"/>
        <item x="1"/>
        <item t="default"/>
      </items>
    </pivotField>
    <pivotField compact="0" showAll="0" outline="0"/>
    <pivotField compact="0" showAll="0" outline="0"/>
    <pivotField axis="axisRow" compact="0" showAll="0" outline="0">
      <items count="2">
        <item x="0"/>
        <item t="default"/>
      </items>
    </pivotField>
    <pivotField compact="0" showAll="0" outline="0"/>
    <pivotField compact="0" showAll="0" outline="0"/>
    <pivotField compact="0" showAll="0" outline="0"/>
    <pivotField axis="axisPage" compact="0" showAll="0" outline="0">
      <items count="6">
        <item x="4"/>
        <item h="1" x="2"/>
        <item h="1" x="3"/>
        <item h="1" x="0"/>
        <item h="1" x="1"/>
        <item t="default"/>
      </items>
    </pivotField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</pivotFields>
  <rowFields count="4">
    <field x="4"/>
    <field x="22"/>
    <field x="19"/>
    <field x="10"/>
  </rowFields>
  <rowItems count="2">
    <i>
      <x v="0"/>
    </i>
    <i t="grand">
      <x v="1"/>
    </i>
  </rowItems>
  <colFields count="1">
    <field x="-2"/>
  </colFields>
  <colItems count="1">
    <i t="grand">
      <x v="0"/>
    </i>
  </colItems>
  <pageFields count="1">
    <pageField fld="26" hier="-1"/>
  </pageFields>
  <dataFields count="2">
    <dataField name="Физический вес, кг" fld="6" subtotal="sum" numFmtId="190"/>
    <dataField name="Зачетный вес, кг" fld="8" subtotal="sum" numFmtId="190"/>
  </dataFields>
  <formats count="43">
    <format dxfId="80">
      <pivotArea dataOnly="0" labelOnly="1" outline="0" fieldPosition="0">
        <references count="1">
          <reference field="22" count="1">
            <x v="1"/>
          </reference>
        </references>
      </pivotArea>
    </format>
    <format dxfId="81">
      <pivotArea outline="0" fieldPosition="0">
        <references count="1">
          <reference field="4294967294" count="1">
            <x v="0"/>
          </reference>
        </references>
      </pivotArea>
    </format>
    <format dxfId="82">
      <pivotArea outline="0" fieldPosition="0">
        <references count="1">
          <reference field="4294967294" count="1">
            <x v="1"/>
          </reference>
        </references>
      </pivotArea>
    </format>
    <format dxfId="83">
      <pivotArea dataOnly="0" labelOnly="1" outline="0" fieldPosition="2"/>
    </format>
    <format dxfId="84">
      <pivotArea dataOnly="0" labelOnly="1" outline="0" fieldPosition="0">
        <references count="1">
          <reference field="4294967294" count="1">
            <x v="0"/>
            <x v="1"/>
          </reference>
        </references>
      </pivotArea>
    </format>
    <format dxfId="85">
      <pivotArea dataOnly="0" labelOnly="1" outline="0" fieldPosition="2"/>
    </format>
    <format dxfId="86">
      <pivotArea dataOnly="0" labelOnly="1" outline="0" fieldPosition="4"/>
    </format>
    <format dxfId="87">
      <pivotArea dataOnly="0" labelOnly="1" outline="0" fieldPosition="0">
        <references count="1">
          <reference field="4294967294" count="1">
            <x v="0"/>
            <x v="1"/>
          </reference>
        </references>
      </pivotArea>
    </format>
    <format dxfId="88">
      <pivotArea dataOnly="0" labelOnly="1" outline="0" fieldPosition="2"/>
    </format>
    <format dxfId="89">
      <pivotArea dataOnly="0" labelOnly="1" outline="0" fieldPosition="4"/>
    </format>
    <format dxfId="90">
      <pivotArea dataOnly="0" labelOnly="1" outline="0" fieldPosition="0">
        <references count="1">
          <reference field="4294967294" count="1">
            <x v="0"/>
            <x v="1"/>
          </reference>
        </references>
      </pivotArea>
    </format>
    <format dxfId="91">
      <pivotArea dataOnly="0" outline="0" fieldPosition="0"/>
    </format>
    <format dxfId="92">
      <pivotArea outline="0" fieldPosition="0"/>
    </format>
    <format dxfId="93">
      <pivotArea dataOnly="0" labelOnly="1" outline="0" fieldPosition="0"/>
    </format>
    <format dxfId="94">
      <pivotArea dataOnly="0" labelOnly="1" outline="0" fieldPosition="0"/>
    </format>
    <format dxfId="95">
      <pivotArea dataOnly="0" labelOnly="1" outline="0" fieldPosition="0"/>
    </format>
    <format dxfId="96">
      <pivotArea dataOnly="0" labelOnly="1" outline="0"/>
    </format>
    <format dxfId="97">
      <pivotArea dataOnly="0" labelOnly="1" outline="0" fieldPosition="2"/>
    </format>
    <format dxfId="98">
      <pivotArea dataOnly="0" labelOnly="1" outline="0" fieldPosition="0"/>
    </format>
    <format dxfId="99">
      <pivotArea dataOnly="0" labelOnly="1" outline="0" fieldPosition="0">
        <references count="1">
          <reference field="4294967294" count="1">
            <x v="0"/>
            <x v="1"/>
          </reference>
        </references>
      </pivotArea>
    </format>
    <format dxfId="100">
      <pivotArea dataOnly="0" labelOnly="1" outline="0"/>
    </format>
    <format dxfId="101">
      <pivotArea dataOnly="0" labelOnly="1" outline="0"/>
    </format>
    <format dxfId="102">
      <pivotArea dataOnly="0" labelOnly="1" outline="0"/>
    </format>
    <format dxfId="103">
      <pivotArea dataOnly="0" labelOnly="1" outline="0" fieldPosition="2"/>
    </format>
    <format dxfId="104">
      <pivotArea dataOnly="0" labelOnly="1" outline="0" fieldPosition="3"/>
    </format>
    <format dxfId="105">
      <pivotArea dataOnly="0" labelOnly="1" outline="0" fieldPosition="0">
        <references count="1">
          <reference field="4294967294" count="1">
            <x v="0"/>
            <x v="1"/>
          </reference>
        </references>
      </pivotArea>
    </format>
    <format dxfId="106">
      <pivotArea dataOnly="0" labelOnly="1" outline="0" fieldPosition="2"/>
    </format>
    <format dxfId="107">
      <pivotArea dataOnly="0" labelOnly="1" outline="0" fieldPosition="3"/>
    </format>
    <format dxfId="108">
      <pivotArea dataOnly="0" labelOnly="1" outline="0" fieldPosition="0">
        <references count="1">
          <reference field="4294967294" count="1">
            <x v="0"/>
            <x v="1"/>
          </reference>
        </references>
      </pivotArea>
    </format>
    <format dxfId="109">
      <pivotArea dataOnly="0" labelOnly="1" outline="0" fieldPosition="2"/>
    </format>
    <format dxfId="110">
      <pivotArea dataOnly="0" labelOnly="1" outline="0" fieldPosition="3"/>
    </format>
    <format dxfId="111">
      <pivotArea dataOnly="0" labelOnly="1" outline="0" fieldPosition="0">
        <references count="1">
          <reference field="4294967294" count="1">
            <x v="0"/>
            <x v="1"/>
          </reference>
        </references>
      </pivotArea>
    </format>
    <format dxfId="112">
      <pivotArea dataOnly="0" outline="0" fieldPosition="0"/>
    </format>
    <format dxfId="113">
      <pivotArea outline="0" fieldPosition="0"/>
    </format>
    <format dxfId="114">
      <pivotArea dataOnly="0" labelOnly="1" outline="0" fieldPosition="0"/>
    </format>
    <format dxfId="115">
      <pivotArea dataOnly="0" labelOnly="1" outline="0" fieldPosition="0"/>
    </format>
    <format dxfId="116">
      <pivotArea dataOnly="0" labelOnly="1" outline="0" fieldPosition="0"/>
    </format>
    <format dxfId="117">
      <pivotArea dataOnly="0" labelOnly="1" outline="0" fieldPosition="2"/>
    </format>
    <format dxfId="118">
      <pivotArea dataOnly="0" labelOnly="1" outline="0" fieldPosition="3"/>
    </format>
    <format dxfId="119">
      <pivotArea dataOnly="0" labelOnly="1" outline="0" fieldPosition="4"/>
    </format>
    <format dxfId="120">
      <pivotArea dataOnly="0" labelOnly="1" outline="0" fieldPosition="0">
        <references count="1">
          <reference field="22" count="1"/>
        </references>
      </pivotArea>
    </format>
    <format dxfId="121">
      <pivotArea dataOnly="0" labelOnly="1" outline="0" fieldPosition="0"/>
    </format>
    <format dxfId="122">
      <pivotArea dataOnly="0" labelOnly="1" outline="0" fieldPosition="0">
        <references count="1">
          <reference field="4294967294" count="1">
            <x v="0"/>
            <x v="1"/>
          </reference>
        </references>
      </pivotArea>
    </format>
  </formats>
  <pivotTableStyleInfo name="PivotStyleLight15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Сводная таблица8" cacheId="4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I4:I5" firstHeaderRow="1" firstDataRow="1" firstDataCol="0"/>
  <pivotFields count="2">
    <pivotField showAll="0"/>
    <pivotField dataField="1" showAll="0"/>
  </pivotFields>
  <rowItems count="1">
    <i t="grand">
      <x v="0"/>
    </i>
  </rowItems>
  <colItems count="1">
    <i t="grand">
      <x v="0"/>
    </i>
  </colItems>
  <dataFields count="1">
    <dataField name=" Физический вес, тонны" fld="1" subtotal="sum" numFmtId="164"/>
  </dataField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Сводная таблица3" cacheId="1" applyNumberFormats="0" applyBorderFormats="0" applyFontFormats="0" applyPatternFormats="0" applyAlignmentFormats="0" applyWidthHeightFormats="0" dataCaption="Values" showDrill="1" useAutoFormatting="0" itemPrintTitles="1" indent="0" outline="0" outlineData="0" compact="0" compactData="0">
  <location ref="A3:B4" firstHeaderRow="1" firstDataRow="1" firstDataCol="1" rowPageCount="1" colPageCount="1"/>
  <pivotFields count="34">
    <pivotField compact="0" showAll="0" outline="0"/>
    <pivotField compact="0" showAll="0" outline="0"/>
    <pivotField compact="0" showAll="0" outline="0"/>
    <pivotField compact="0" showAll="0" outline="0"/>
    <pivotField axis="axisRow" compact="0" showAll="0" defaultSubtotal="0" outline="0">
      <items count="1">
        <item x="0"/>
      </items>
    </pivotField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axis="axisPage" compact="0" showAll="0" outline="0">
      <items count="6">
        <item h="1" x="4"/>
        <item h="1" x="2"/>
        <item h="1" x="3"/>
        <item h="1" x="0"/>
        <item h="1" x="1"/>
        <item t="default"/>
      </items>
    </pivotField>
    <pivotField compact="0" showAll="0" outline="0"/>
    <pivotField compact="0" showAll="0" outline="0"/>
    <pivotField axis="axisCol" compact="0" showAll="0" outline="0">
      <items count="3">
        <item x="0"/>
        <item x="1"/>
        <item t="default"/>
      </items>
    </pivotField>
    <pivotField compact="0" showAll="0" outline="0"/>
    <pivotField compact="0" showAll="0" outline="0"/>
    <pivotField compact="0" showAll="0" outline="0"/>
    <pivotField compact="0" showAll="0" outline="0"/>
  </pivotFields>
  <rowFields count="1">
    <field x="4"/>
  </rowFields>
  <rowItems count="1">
    <i t="grand">
      <x v="0"/>
    </i>
  </rowItems>
  <colFields count="1">
    <field x="29"/>
  </colFields>
  <colItems count="1">
    <i t="grand">
      <x v="0"/>
    </i>
  </colItems>
  <pageFields count="1">
    <pageField fld="26" hier="-1"/>
  </pageFields>
  <formats count="2">
    <format dxfId="123">
      <pivotArea fieldPosition="0">
        <references count="1">
          <reference field="4" count="1">
            <x v="1"/>
          </reference>
        </references>
      </pivotArea>
    </format>
    <format dxfId="124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</pivotTableDefinition>
</file>

<file path=xl/pivotTables/pivotTable7.xml><?xml version="1.0" encoding="utf-8"?>
<pivotTableDefinition xmlns="http://schemas.openxmlformats.org/spreadsheetml/2006/main" name="Сводная таблица6" cacheId="5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4:E60" firstHeaderRow="1" firstDataRow="2" firstDataCol="1" rowPageCount="1" colPageCount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compact="0" showAll="0"/>
    <pivotField showAll="0"/>
    <pivotField showAll="0"/>
    <pivotField showAll="0"/>
    <pivotField showAll="0"/>
    <pivotField showAll="0"/>
    <pivotField axis="axisRow" showAll="0">
      <items count="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axis="axisPage" showAll="0">
      <items count="3">
        <item h="1" x="0"/>
        <item x="1"/>
        <item t="default"/>
      </items>
    </pivotField>
  </pivotFields>
  <rowFields count="1">
    <field x="23"/>
  </rowFields>
  <rowItems count="55">
    <i>
      <x v="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 t="grand">
      <x v="54"/>
    </i>
  </rowItems>
  <colFields count="1">
    <field x="16"/>
  </colFields>
  <colItems count="4">
    <i>
      <x v="0"/>
    </i>
    <i>
      <x v="1"/>
    </i>
    <i>
      <x v="2"/>
    </i>
    <i t="grand">
      <x v="3"/>
    </i>
  </colItems>
  <pageFields count="1">
    <pageField fld="24" hier="-1"/>
  </pageFields>
  <formats count="14">
    <format dxfId="125">
      <pivotArea outline="0" fieldPosition="0">
        <references count="1">
          <reference field="4294967294" count="1">
            <x v="2"/>
          </reference>
        </references>
      </pivotArea>
    </format>
    <format dxfId="126">
      <pivotArea dataOnly="0" labelOnly="1" outline="0" fieldPosition="0"/>
    </format>
    <format dxfId="127">
      <pivotArea dataOnly="0" labelOnly="1" outline="0" fieldPosition="0">
        <references count="2">
          <reference field="4294967294" count="1">
            <x v="0"/>
            <x v="1"/>
            <x v="2"/>
          </reference>
          <reference field="16" count="1" selected="0">
            <x v="0"/>
          </reference>
        </references>
      </pivotArea>
    </format>
    <format dxfId="128">
      <pivotArea dataOnly="0" labelOnly="1" outline="0" fieldPosition="0">
        <references count="2">
          <reference field="4294967294" count="1">
            <x v="0"/>
            <x v="1"/>
            <x v="2"/>
          </reference>
          <reference field="16" count="1" selected="0">
            <x v="1"/>
          </reference>
        </references>
      </pivotArea>
    </format>
    <format dxfId="129">
      <pivotArea dataOnly="0" labelOnly="1" outline="0" fieldPosition="0">
        <references count="2">
          <reference field="4294967294" count="1">
            <x v="0"/>
            <x v="1"/>
            <x v="2"/>
          </reference>
          <reference field="16" count="1" selected="0">
            <x v="2"/>
          </reference>
        </references>
      </pivotArea>
    </format>
    <format dxfId="130">
      <pivotArea dataOnly="0" labelOnly="1" outline="0" fieldPosition="0"/>
    </format>
    <format dxfId="131">
      <pivotArea dataOnly="0" labelOnly="1" outline="0" fieldPosition="0">
        <references count="2">
          <reference field="4294967294" count="1">
            <x v="0"/>
            <x v="1"/>
            <x v="2"/>
          </reference>
          <reference field="16" count="1" selected="0">
            <x v="0"/>
          </reference>
        </references>
      </pivotArea>
    </format>
    <format dxfId="132">
      <pivotArea dataOnly="0" labelOnly="1" outline="0" fieldPosition="0">
        <references count="2">
          <reference field="4294967294" count="1">
            <x v="0"/>
            <x v="1"/>
            <x v="2"/>
          </reference>
          <reference field="16" count="1" selected="0">
            <x v="1"/>
          </reference>
        </references>
      </pivotArea>
    </format>
    <format dxfId="133">
      <pivotArea dataOnly="0" labelOnly="1" outline="0" fieldPosition="0">
        <references count="2">
          <reference field="4294967294" count="1">
            <x v="0"/>
            <x v="1"/>
            <x v="2"/>
          </reference>
          <reference field="16" count="1" selected="0">
            <x v="2"/>
          </reference>
        </references>
      </pivotArea>
    </format>
    <format dxfId="134">
      <pivotArea dataOnly="0" labelOnly="1" outline="0" fieldPosition="0"/>
    </format>
    <format dxfId="135">
      <pivotArea dataOnly="0" labelOnly="1" outline="0" fieldPosition="0">
        <references count="2">
          <reference field="4294967294" count="1">
            <x v="0"/>
            <x v="1"/>
            <x v="2"/>
          </reference>
          <reference field="16" count="1" selected="0">
            <x v="0"/>
          </reference>
        </references>
      </pivotArea>
    </format>
    <format dxfId="136">
      <pivotArea dataOnly="0" labelOnly="1" outline="0" fieldPosition="0">
        <references count="2">
          <reference field="4294967294" count="1">
            <x v="0"/>
            <x v="1"/>
            <x v="2"/>
          </reference>
          <reference field="16" count="1" selected="0">
            <x v="1"/>
          </reference>
        </references>
      </pivotArea>
    </format>
    <format dxfId="137">
      <pivotArea dataOnly="0" labelOnly="1" outline="0" fieldPosition="0">
        <references count="2">
          <reference field="4294967294" count="1">
            <x v="0"/>
            <x v="1"/>
            <x v="2"/>
          </reference>
          <reference field="16" count="1" selected="0">
            <x v="2"/>
          </reference>
        </references>
      </pivotArea>
    </format>
    <format dxfId="138">
      <pivotArea fieldPosition="0">
        <references count="3">
          <reference field="4294967294" count="1" selected="0">
            <x v="0"/>
            <x v="1"/>
            <x v="2"/>
          </reference>
          <reference field="16" count="1" selected="0">
            <x v="1"/>
          </reference>
          <reference field="22" count="1"/>
        </references>
      </pivotArea>
    </format>
  </formats>
  <pivotTableStyleInfo name="PivotStyleLight15" showRowHeaders="1" showColHeaders="1" showRowStripes="0" showColStripes="0" showLastColumn="1"/>
</pivotTableDefinition>
</file>

<file path=xl/pivotTables/pivotTable8.xml><?xml version="1.0" encoding="utf-8"?>
<pivotTableDefinition xmlns="http://schemas.openxmlformats.org/spreadsheetml/2006/main" name="DataPilot2" cacheId="5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4:D6" firstHeaderRow="1" firstDataRow="2" firstDataCol="0" rowPageCount="1" colPageCount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Col" showAll="0">
      <items count="5">
        <item x="0"/>
        <item x="1"/>
        <item x="2"/>
        <item x="3"/>
        <item t="default"/>
      </items>
    </pivotField>
    <pivotField compact="0" showAll="0"/>
    <pivotField showAll="0"/>
    <pivotField showAll="0"/>
    <pivotField showAll="0"/>
    <pivotField showAll="0"/>
    <pivotField showAll="0"/>
    <pivotField showAll="0"/>
    <pivotField axis="axisPage" showAll="0">
      <items count="3">
        <item h="1" x="0"/>
        <item x="1"/>
        <item t="default"/>
      </items>
    </pivotField>
  </pivotFields>
  <rowItems count="1">
    <i t="grand">
      <x v="0"/>
    </i>
  </rowItems>
  <colFields count="1">
    <field x="16"/>
  </colFields>
  <colItems count="4">
    <i>
      <x v="0"/>
    </i>
    <i>
      <x v="1"/>
    </i>
    <i>
      <x v="2"/>
    </i>
    <i t="grand">
      <x v="3"/>
    </i>
  </colItems>
  <pageFields count="1">
    <pageField fld="24" hier="-1"/>
  </pageFields>
  <dataFields count="1">
    <dataField name=" Вес нетто, кг" fld="14" subtotal="sum" numFmtId="165"/>
  </dataFields>
  <formats count="4">
    <format dxfId="139">
      <pivotArea dataOnly="0" labelOnly="1" outline="0"/>
    </format>
    <format dxfId="140">
      <pivotArea dataOnly="0" labelOnly="1" outline="0"/>
    </format>
    <format dxfId="141">
      <pivotArea dataOnly="0" labelOnly="1" outline="0"/>
    </format>
    <format dxfId="142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5" showRowHeaders="1" showColHeaders="1" showRowStripes="0" showColStripes="0" showLastColumn="1"/>
</pivotTableDefinition>
</file>

<file path=xl/pivotTables/pivotTable9.xml><?xml version="1.0" encoding="utf-8"?>
<pivotTableDefinition xmlns="http://schemas.openxmlformats.org/spreadsheetml/2006/main" name="Сводная таблица14" cacheId="6" applyNumberFormats="0" applyBorderFormats="0" applyFontFormats="0" applyPatternFormats="0" applyAlignmentFormats="0" applyWidthHeightFormats="0" dataCaption="Values" showDrill="1" useAutoFormatting="0" itemPrintTitles="1" indent="0" outline="0" outlineData="0" compact="0" compactData="0">
  <location ref="A3:C22" firstHeaderRow="1" firstDataRow="1" firstDataCol="2"/>
  <pivotFields count="13">
    <pivotField axis="axisRow" compact="0" showAll="0" outline="0">
      <items count="5">
        <item x="0"/>
        <item x="1"/>
        <item x="2"/>
        <item x="3"/>
        <item t="default"/>
      </items>
    </pivotField>
    <pivotField compact="0" showAll="0" outline="0"/>
    <pivotField compact="0" showAll="0" outline="0"/>
    <pivotField axis="axisRow" compact="0" showAll="0" outline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compact="0" showAll="0" outline="0"/>
    <pivotField dataField="1"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</pivotFields>
  <rowFields count="2">
    <field x="3"/>
    <field x="0"/>
  </rowFields>
  <rowItems count="19">
    <i>
      <x v="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 v="18"/>
    </i>
  </rowItems>
  <colItems count="1">
    <i t="grand">
      <x v="0"/>
    </i>
  </colItems>
  <dataFields count="1">
    <dataField name=" Площадь уборки, га" fld="5" subtotal="sum" numFmtId="165"/>
  </dataFields>
  <formats count="9">
    <format dxfId="143">
      <pivotArea dataOnly="0" labelOnly="1" outline="0" fieldPosition="0"/>
    </format>
    <format dxfId="144">
      <pivotArea dataOnly="0" labelOnly="1" outline="0" fieldPosition="1"/>
    </format>
    <format dxfId="145">
      <pivotArea dataOnly="0" labelOnly="1" outline="0" fieldPosition="0">
        <references count="1">
          <reference field="4294967294" count="1">
            <x v="0"/>
            <x v="1"/>
            <x v="2"/>
          </reference>
        </references>
      </pivotArea>
    </format>
    <format dxfId="146">
      <pivotArea dataOnly="0" labelOnly="1" outline="0" fieldPosition="0"/>
    </format>
    <format dxfId="147">
      <pivotArea dataOnly="0" labelOnly="1" outline="0" fieldPosition="1"/>
    </format>
    <format dxfId="148">
      <pivotArea dataOnly="0" labelOnly="1" outline="0" fieldPosition="0">
        <references count="1">
          <reference field="4294967294" count="1">
            <x v="0"/>
            <x v="1"/>
            <x v="2"/>
          </reference>
        </references>
      </pivotArea>
    </format>
    <format dxfId="149">
      <pivotArea dataOnly="0" labelOnly="1" outline="0" fieldPosition="0"/>
    </format>
    <format dxfId="150">
      <pivotArea dataOnly="0" labelOnly="1" outline="0" fieldPosition="1"/>
    </format>
    <format dxfId="151">
      <pivotArea dataOnly="0" labelOnly="1" outline="0" fieldPosition="0">
        <references count="1">
          <reference field="4294967294" count="1">
            <x v="0"/>
            <x v="1"/>
            <x v="2"/>
          </reference>
        </references>
      </pivotArea>
    </format>
  </formats>
  <pivotTableStyleInfo name="PivotStyleLight15" showRowHeaders="1" showColHeaders="1" showRowStripes="0" showColStripes="0" showLastColumn="1"/>
</pivotTableDefinition>
</file>

<file path=xl/pivotTables/pivotTable10.xml><?xml version="1.0" encoding="utf-8"?>
<pivotTableDefinition xmlns="http://schemas.openxmlformats.org/spreadsheetml/2006/main" name="DataPilot3" cacheId="1" applyNumberFormats="0" applyBorderFormats="0" applyFontFormats="0" applyPatternFormats="0" applyAlignmentFormats="0" applyWidthHeightFormats="0" dataCaption="Values" showDrill="1" useAutoFormatting="0" itemPrintTitles="1" indent="0" outline="0" outlineData="0" compact="0" compactData="0">
  <location ref="A3:E8" firstHeaderRow="1" firstDataRow="2" firstDataCol="2"/>
  <pivotFields count="34"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dataField="1" compact="0" showAll="0" outline="0"/>
    <pivotField compact="0" showAll="0" outline="0"/>
    <pivotField dataField="1"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axis="axisRow" compact="0" showAll="0" outline="0">
      <items count="4">
        <item x="0"/>
        <item x="1"/>
        <item x="2"/>
        <item t="default"/>
      </items>
    </pivotField>
    <pivotField dataField="1" compact="0" showAll="0" outline="0"/>
    <pivotField axis="axisRow" compact="0" showAll="0" defaultSubtotal="0" outline="0">
      <items count="1">
        <item x="0"/>
      </items>
    </pivotField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</pivotFields>
  <rowFields count="2">
    <field x="20"/>
    <field x="22"/>
  </rowFields>
  <rowItems count="4">
    <i>
      <x v="0"/>
    </i>
    <i>
      <x v="1"/>
    </i>
    <i>
      <x v="2"/>
    </i>
    <i t="grand">
      <x v="3"/>
    </i>
  </rowItems>
  <colFields count="1">
    <field x="-2"/>
  </colFields>
  <colItems count="1">
    <i t="grand">
      <x v="0"/>
    </i>
  </colItems>
  <dataFields count="3">
    <dataField name=" Площадь уборки, га" fld="21" subtotal="sum" numFmtId="165"/>
    <dataField name="Физический вес, кг" fld="6" subtotal="sum" numFmtId="190"/>
    <dataField name="Зачетный вес, кг" fld="8" subtotal="sum" numFmtId="190"/>
  </dataFields>
  <formats count="54">
    <format dxfId="152">
      <pivotArea dataOnly="0" labelOnly="1" outline="0" fieldPosition="0">
        <references count="1">
          <reference field="22" count="1">
            <x v="1"/>
          </reference>
        </references>
      </pivotArea>
    </format>
    <format dxfId="153">
      <pivotArea outline="0" fieldPosition="0">
        <references count="1">
          <reference field="4294967294" count="1">
            <x v="1"/>
          </reference>
        </references>
      </pivotArea>
    </format>
    <format dxfId="154">
      <pivotArea outline="0" fieldPosition="0">
        <references count="1">
          <reference field="4294967294" count="1">
            <x v="2"/>
          </reference>
        </references>
      </pivotArea>
    </format>
    <format dxfId="155">
      <pivotArea dataOnly="0" labelOnly="1" outline="0" fieldPosition="1"/>
    </format>
    <format dxfId="156">
      <pivotArea dataOnly="0" labelOnly="1" outline="0" fieldPosition="0">
        <references count="1">
          <reference field="4294967294" count="1">
            <x v="0"/>
            <x v="1"/>
            <x v="2"/>
          </reference>
        </references>
      </pivotArea>
    </format>
    <format dxfId="157">
      <pivotArea dataOnly="0" labelOnly="1" outline="0" fieldPosition="1"/>
    </format>
    <format dxfId="158">
      <pivotArea dataOnly="0" labelOnly="1" outline="0"/>
    </format>
    <format dxfId="159">
      <pivotArea dataOnly="0" labelOnly="1" outline="0" fieldPosition="0">
        <references count="1">
          <reference field="4294967294" count="1">
            <x v="0"/>
            <x v="1"/>
            <x v="2"/>
          </reference>
        </references>
      </pivotArea>
    </format>
    <format dxfId="160">
      <pivotArea dataOnly="0" labelOnly="1" outline="0" fieldPosition="1"/>
    </format>
    <format dxfId="161">
      <pivotArea dataOnly="0" labelOnly="1" outline="0"/>
    </format>
    <format dxfId="162">
      <pivotArea dataOnly="0" labelOnly="1" outline="0" fieldPosition="0">
        <references count="1">
          <reference field="4294967294" count="1">
            <x v="0"/>
            <x v="1"/>
            <x v="2"/>
          </reference>
        </references>
      </pivotArea>
    </format>
    <format dxfId="163">
      <pivotArea dataOnly="0" outline="0" fieldPosition="0"/>
    </format>
    <format dxfId="164">
      <pivotArea outline="0" fieldPosition="0"/>
    </format>
    <format dxfId="165">
      <pivotArea dataOnly="0" labelOnly="1" outline="0" fieldPosition="0"/>
    </format>
    <format dxfId="166">
      <pivotArea dataOnly="0" labelOnly="1" outline="0" fieldPosition="0"/>
    </format>
    <format dxfId="167">
      <pivotArea dataOnly="0" labelOnly="1" outline="0" fieldPosition="0"/>
    </format>
    <format dxfId="168">
      <pivotArea dataOnly="0" labelOnly="1" outline="0"/>
    </format>
    <format dxfId="169">
      <pivotArea dataOnly="0" labelOnly="1" outline="0" fieldPosition="1"/>
    </format>
    <format dxfId="170">
      <pivotArea dataOnly="0" labelOnly="1" outline="0" fieldPosition="0"/>
    </format>
    <format dxfId="171">
      <pivotArea dataOnly="0" labelOnly="1" outline="0" fieldPosition="0">
        <references count="1">
          <reference field="4294967294" count="1">
            <x v="0"/>
            <x v="1"/>
            <x v="2"/>
          </reference>
        </references>
      </pivotArea>
    </format>
    <format dxfId="172">
      <pivotArea outline="0" fieldPosition="0">
        <references count="1">
          <reference field="4294967294" count="1">
            <x v="3"/>
          </reference>
        </references>
      </pivotArea>
    </format>
    <format dxfId="173">
      <pivotArea dataOnly="0" labelOnly="1" outline="0"/>
    </format>
    <format dxfId="174">
      <pivotArea dataOnly="0" labelOnly="1" outline="0"/>
    </format>
    <format dxfId="175">
      <pivotArea dataOnly="0" labelOnly="1" outline="0"/>
    </format>
    <format dxfId="176">
      <pivotArea outline="0" fieldPosition="0">
        <references count="1">
          <reference field="4294967294" count="1">
            <x v="4"/>
          </reference>
        </references>
      </pivotArea>
    </format>
    <format dxfId="177">
      <pivotArea dataOnly="0" labelOnly="1" outline="0" fieldPosition="1"/>
    </format>
    <format dxfId="178">
      <pivotArea dataOnly="0" labelOnly="1" outline="0"/>
    </format>
    <format dxfId="179">
      <pivotArea dataOnly="0" labelOnly="1" outline="0" fieldPosition="0">
        <references count="1">
          <reference field="4294967294" count="1">
            <x v="0"/>
            <x v="1"/>
            <x v="2"/>
            <x v="3"/>
            <x v="4"/>
          </reference>
        </references>
      </pivotArea>
    </format>
    <format dxfId="180">
      <pivotArea dataOnly="0" labelOnly="1" outline="0" fieldPosition="1"/>
    </format>
    <format dxfId="181">
      <pivotArea dataOnly="0" labelOnly="1" outline="0"/>
    </format>
    <format dxfId="182">
      <pivotArea dataOnly="0" labelOnly="1" outline="0" fieldPosition="0">
        <references count="1">
          <reference field="4294967294" count="1">
            <x v="0"/>
            <x v="1"/>
            <x v="2"/>
            <x v="3"/>
            <x v="4"/>
          </reference>
        </references>
      </pivotArea>
    </format>
    <format dxfId="183">
      <pivotArea dataOnly="0" labelOnly="1" outline="0" fieldPosition="1"/>
    </format>
    <format dxfId="184">
      <pivotArea dataOnly="0" labelOnly="1" outline="0"/>
    </format>
    <format dxfId="185">
      <pivotArea dataOnly="0" labelOnly="1" outline="0" fieldPosition="0">
        <references count="1">
          <reference field="4294967294" count="1">
            <x v="0"/>
            <x v="1"/>
            <x v="2"/>
            <x v="3"/>
            <x v="4"/>
          </reference>
        </references>
      </pivotArea>
    </format>
    <format dxfId="186">
      <pivotArea dataOnly="0" outline="0" fieldPosition="0"/>
    </format>
    <format dxfId="187">
      <pivotArea outline="0" fieldPosition="0"/>
    </format>
    <format dxfId="188">
      <pivotArea dataOnly="0" labelOnly="1" outline="0" fieldPosition="0"/>
    </format>
    <format dxfId="189">
      <pivotArea dataOnly="0" labelOnly="1" outline="0" fieldPosition="0"/>
    </format>
    <format dxfId="190">
      <pivotArea dataOnly="0" labelOnly="1" outline="0" fieldPosition="0"/>
    </format>
    <format dxfId="191">
      <pivotArea dataOnly="0" labelOnly="1" outline="0" fieldPosition="1"/>
    </format>
    <format dxfId="192">
      <pivotArea dataOnly="0" labelOnly="1" outline="0"/>
    </format>
    <format dxfId="193">
      <pivotArea dataOnly="0" labelOnly="1" outline="0"/>
    </format>
    <format dxfId="194">
      <pivotArea dataOnly="0" labelOnly="1" outline="0" fieldPosition="0">
        <references count="1">
          <reference field="22" count="1"/>
        </references>
      </pivotArea>
    </format>
    <format dxfId="195">
      <pivotArea dataOnly="0" labelOnly="1" outline="0" fieldPosition="0"/>
    </format>
    <format dxfId="196">
      <pivotArea dataOnly="0" labelOnly="1" outline="0" fieldPosition="0">
        <references count="1">
          <reference field="4294967294" count="1">
            <x v="0"/>
            <x v="1"/>
            <x v="2"/>
            <x v="3"/>
            <x v="4"/>
          </reference>
        </references>
      </pivotArea>
    </format>
    <format dxfId="197">
      <pivotArea outline="0" fieldPosition="0">
        <references count="1">
          <reference field="4294967294" count="1">
            <x v="0"/>
          </reference>
        </references>
      </pivotArea>
    </format>
    <format dxfId="198">
      <pivotArea dataOnly="0" labelOnly="1" outline="0" fieldPosition="0"/>
    </format>
    <format dxfId="199">
      <pivotArea dataOnly="0" labelOnly="1" outline="0" fieldPosition="1"/>
    </format>
    <format dxfId="200">
      <pivotArea dataOnly="0" labelOnly="1" outline="0" fieldPosition="0">
        <references count="1">
          <reference field="4294967294" count="1">
            <x v="0"/>
            <x v="1"/>
            <x v="2"/>
            <x v="3"/>
            <x v="4"/>
          </reference>
        </references>
      </pivotArea>
    </format>
    <format dxfId="201">
      <pivotArea dataOnly="0" labelOnly="1" outline="0" fieldPosition="0"/>
    </format>
    <format dxfId="202">
      <pivotArea dataOnly="0" labelOnly="1" outline="0" fieldPosition="1"/>
    </format>
    <format dxfId="203">
      <pivotArea dataOnly="0" labelOnly="1" outline="0" fieldPosition="0">
        <references count="1">
          <reference field="4294967294" count="1">
            <x v="0"/>
            <x v="1"/>
            <x v="2"/>
            <x v="3"/>
            <x v="4"/>
          </reference>
        </references>
      </pivotArea>
    </format>
    <format dxfId="204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205">
      <pivotArea dataOnly="0" labelOnly="1" outline="0" fieldPosition="0">
        <references count="1">
          <reference field="4294967294" count="1">
            <x v="3"/>
          </reference>
        </references>
      </pivotArea>
    </format>
  </formats>
  <pivotTableStyleInfo name="PivotStyleLight15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Таблица1" displayName="Таблица1" ref="D26:D32" headerRowCount="1" totalsRowCount="0" totalsRowShown="0">
  <autoFilter ref="D26:D32"/>
  <tableColumns count="1">
    <tableColumn id="1" name="Распределение сырья по финометру"/>
  </tableColumns>
</table>
</file>

<file path=xl/tables/table2.xml><?xml version="1.0" encoding="utf-8"?>
<table xmlns="http://schemas.openxmlformats.org/spreadsheetml/2006/main" id="2" name="Таблица111" displayName="Таблица111" ref="D26:D32" headerRowCount="1" totalsRowCount="0" totalsRowShown="0">
  <autoFilter ref="D26:D32"/>
  <tableColumns count="1">
    <tableColumn id="1" name="Распределение сырья по финометру"/>
  </tableColumns>
</table>
</file>

<file path=xl/tables/table3.xml><?xml version="1.0" encoding="utf-8"?>
<table xmlns="http://schemas.openxmlformats.org/spreadsheetml/2006/main" id="3" name="Таблица13" displayName="Таблица13" ref="A3:AH6" headerRowCount="1" totalsRowCount="0" totalsRowShown="0">
  <autoFilter ref="A3:AH6"/>
  <tableColumns count="34">
    <tableColumn id="1" name="Показатель"/>
    <tableColumn id="2" name="Количество"/>
    <tableColumn id="3" name="Значение&#10;финометра"/>
    <tableColumn id="4" name="Регистратор.Номер"/>
    <tableColumn id="5" name="Регистратор.Дата"/>
    <tableColumn id="6" name="Регистратор.Вес брутто"/>
    <tableColumn id="7" name="Регистратор.Вес нетто"/>
    <tableColumn id="8" name="Регистратор.Вес тары"/>
    <tableColumn id="9" name="Регистратор.Вес чистый"/>
    <tableColumn id="10" name="Регистратор.Контрагент"/>
    <tableColumn id="11" name="Регистратор.Номенклатура"/>
    <tableColumn id="12" name="Регистратор.Комбайнеры.Поле.Наименование"/>
    <tableColumn id="13" name="Регистратор.Водитель"/>
    <tableColumn id="14" name="Регистратор.Время прибытия"/>
    <tableColumn id="15" name="Регистратор.Время убытия"/>
    <tableColumn id="16" name="Регистратор.Комбайнеры.Комбайнер.Наименование"/>
    <tableColumn id="17" name="Регистратор.Номера талонов"/>
    <tableColumn id="18" name="Регистратор.Номер машины"/>
    <tableColumn id="19" name="Регистратор.Номер прицепа"/>
    <tableColumn id="20" name="Поле"/>
    <tableColumn id="21" name="Сорт уточн"/>
    <tableColumn id="22" name="Площадь уборки, га"/>
    <tableColumn id="23" name="Культура"/>
    <tableColumn id="24" name="Орошение"/>
    <tableColumn id="25" name="Смена"/>
    <tableColumn id="26" name="Дата отчета"/>
    <tableColumn id="27" name="Продажа"/>
    <tableColumn id="28" name="Примечание"/>
    <tableColumn id="29" name="Финометр"/>
    <tableColumn id="30" name="Характеристика"/>
    <tableColumn id="31" name="№ акта"/>
    <tableColumn id="32" name="Дата акта"/>
    <tableColumn id="33" name="Вх №"/>
    <tableColumn id="34" name="Степень зрелости вспом"/>
  </tableColumns>
</table>
</file>

<file path=xl/tables/table4.xml><?xml version="1.0" encoding="utf-8"?>
<table xmlns="http://schemas.openxmlformats.org/spreadsheetml/2006/main" id="4" name="Таблица18" displayName="Таблица18" ref="A1:Y1503" headerRowCount="1" totalsRowCount="1" totalsRowShown="1">
  <autoFilter ref="A1:Y1503">
    <filterColumn colId="16">
      <filters>
        <filter val="2026"/>
      </filters>
    </filterColumn>
  </autoFilter>
  <tableColumns count="25">
    <tableColumn id="1" name="Документ"/>
    <tableColumn id="2" name="Хар-ка"/>
    <tableColumn id="3" name="Номер взвешивания"/>
    <tableColumn id="4" name="Номер вх.  док."/>
    <tableColumn id="5" name="Контрагент"/>
    <tableColumn id="6" name="Водитель"/>
    <tableColumn id="7" name="Автомобиль"/>
    <tableColumn id="8" name="Номер поля"/>
    <tableColumn id="9" name="Поле"/>
    <tableColumn id="10" name="Сорт"/>
    <tableColumn id="11" name="Исх. номенклатура"/>
    <tableColumn id="12" name="Вес брутто"/>
    <tableColumn id="13" name="Вес тары"/>
    <tableColumn id="14" name="% отходов сверх допуска"/>
    <tableColumn id="15" name="Вес нетто" totalsRowFunction="sum"/>
    <tableColumn id="16" name="Зачетный вес" totalsRowFunction="sum"/>
    <tableColumn id="17" name="Год урожая"/>
    <tableColumn id="18" name="Номер акта"/>
    <tableColumn id="19" name="Дата акта"/>
    <tableColumn id="20" name="Отход"/>
    <tableColumn id="21" name="Отход %"/>
    <tableColumn id="22" name="Месяц"/>
    <tableColumn id="23" name="Число"/>
    <tableColumn id="24" name="Дата"/>
    <tableColumn id="25" name="учет"/>
  </tableColumns>
</table>
</file>

<file path=xl/tables/table5.xml><?xml version="1.0" encoding="utf-8"?>
<table xmlns="http://schemas.openxmlformats.org/spreadsheetml/2006/main" id="5" name="Таблица2" displayName="Таблица2" ref="D3:D11" headerRowCount="1" totalsRowCount="0" totalsRowShown="0">
  <autoFilter ref="D3:D11"/>
  <tableColumns count="1">
    <tableColumn id="1" name="Выполнение плана по сбору"/>
  </tableColumns>
</table>
</file>

<file path=xl/tables/table6.xml><?xml version="1.0" encoding="utf-8"?>
<table xmlns="http://schemas.openxmlformats.org/spreadsheetml/2006/main" id="6" name="Таблица212" displayName="Таблица212" ref="D3:D11" headerRowCount="1" totalsRowCount="0" totalsRowShown="0">
  <autoFilter ref="D3:D11"/>
  <tableColumns count="1">
    <tableColumn id="1" name="Выполнение плана по сбору"/>
  </tableColumns>
</table>
</file>

<file path=xl/tables/table7.xml><?xml version="1.0" encoding="utf-8"?>
<table xmlns="http://schemas.openxmlformats.org/spreadsheetml/2006/main" id="7" name="Таблица3" displayName="Таблица3" ref="A1:AH114" headerRowCount="1" totalsRowCount="1" totalsRowShown="1">
  <autoFilter ref="A1:AH114">
    <filterColumn colId="25">
      <filters>
        <dateGroupItem year="2026" month="06" day="09" dateTimeGrouping="day"/>
      </filters>
    </filterColumn>
  </autoFilter>
  <tableColumns count="34">
    <tableColumn id="1" name="Показатель"/>
    <tableColumn id="2" name="Количество" totalsRowFunction="sum"/>
    <tableColumn id="3" name="Значение&#10;финометра" totalsRowFunction="custom"/>
    <tableColumn id="4" name="Регистратор.Номер"/>
    <tableColumn id="5" name="Регистратор.Дата"/>
    <tableColumn id="6" name="Регистратор.Вес брутто" totalsRowFunction="sum"/>
    <tableColumn id="7" name="Регистратор.Вес нетто" totalsRowFunction="sum"/>
    <tableColumn id="8" name="Регистратор.Вес тары" totalsRowFunction="sum"/>
    <tableColumn id="9" name="Регистратор.Вес чистый"/>
    <tableColumn id="10" name="Регистратор.Контрагент"/>
    <tableColumn id="11" name="Регистратор.Номенклатура"/>
    <tableColumn id="12" name="Регистратор.Комбайнеры.Поле.Наименование"/>
    <tableColumn id="13" name="Регистратор.Водитель"/>
    <tableColumn id="14" name="Регистратор.Время прибытия"/>
    <tableColumn id="15" name="Регистратор.Время убытия"/>
    <tableColumn id="16" name="Регистратор.Комбайнеры.Комбайнер.Наименование"/>
    <tableColumn id="17" name="Регистратор.Номера талонов"/>
    <tableColumn id="18" name="Регистратор.Номер машины"/>
    <tableColumn id="19" name="Регистратор.Номер прицепа"/>
    <tableColumn id="20" name="Поле"/>
    <tableColumn id="21" name="Сорт уточн"/>
    <tableColumn id="22" name="Площадь уборки, га" totalsRowFunction="sum"/>
    <tableColumn id="23" name="Культура"/>
    <tableColumn id="24" name="Орошение"/>
    <tableColumn id="25" name="Смена"/>
    <tableColumn id="26" name="Дата отчета"/>
    <tableColumn id="27" name="Продажа" totalsRowFunction="sum"/>
    <tableColumn id="28" name="Примечание"/>
    <tableColumn id="29" name="Финометр"/>
    <tableColumn id="30" name="Характеристика"/>
    <tableColumn id="31" name="№ акта"/>
    <tableColumn id="32" name="Дата акта"/>
    <tableColumn id="33" name="Вх №"/>
    <tableColumn id="34" name="Степень зрелости вспом"/>
  </tableColumns>
</table>
</file>

<file path=xl/tables/table8.xml><?xml version="1.0" encoding="utf-8"?>
<table xmlns="http://schemas.openxmlformats.org/spreadsheetml/2006/main" id="8" name="Таблица310" displayName="Таблица310" ref="A1:AN595" headerRowCount="1" totalsRowCount="1" totalsRowShown="1">
  <autoFilter ref="A1:AN595"/>
  <tableColumns count="40">
    <tableColumn id="1" name="Показатель"/>
    <tableColumn id="2" name="Количество" totalsRowFunction="sum"/>
    <tableColumn id="3" name="Значение&#10;финометра" totalsRowFunction="average"/>
    <tableColumn id="4" name="Регистратор.Номер"/>
    <tableColumn id="5" name="Регистратор.Дата"/>
    <tableColumn id="6" name="Регистратор.Вес брутто" totalsRowFunction="sum"/>
    <tableColumn id="7" name="Регистратор.Вес нетто" totalsRowFunction="sum"/>
    <tableColumn id="8" name="Регистратор.Вес тары" totalsRowFunction="sum"/>
    <tableColumn id="9" name="Регистратор.Вес чистый" totalsRowFunction="sum"/>
    <tableColumn id="10" name="Регистратор.Контрагент"/>
    <tableColumn id="11" name="Регистратор.Номенклатура"/>
    <tableColumn id="12" name="Регистратор.Комбайнеры.Поле.Наименование"/>
    <tableColumn id="13" name="Регистратор.Водитель"/>
    <tableColumn id="14" name="Регистратор.Время прибытия"/>
    <tableColumn id="15" name="Регистратор.Время убытия"/>
    <tableColumn id="16" name="Регистратор.Комбайнеры.Комбайнер.Наименование"/>
    <tableColumn id="17" name="Регистратор.Номера талонов"/>
    <tableColumn id="18" name="Регистратор.Номер машины"/>
    <tableColumn id="19" name="Регистратор.Номер прицепа"/>
    <tableColumn id="20" name="Поле"/>
    <tableColumn id="21" name="Сорт уточн"/>
    <tableColumn id="22" name="Площадь уборки, га" totalsRowFunction="sum"/>
    <tableColumn id="23" name="Культура"/>
    <tableColumn id="24" name="Орошение"/>
    <tableColumn id="25" name="Смена"/>
    <tableColumn id="26" name="Дата отчета"/>
    <tableColumn id="27" name="Продажа" totalsRowFunction="sum"/>
    <tableColumn id="28" name="Примечание"/>
    <tableColumn id="29" name="Финометр"/>
    <tableColumn id="30" name="Характеристика"/>
    <tableColumn id="31" name="№ акта"/>
    <tableColumn id="32" name="Дата акта"/>
    <tableColumn id="33" name="Вх №"/>
    <tableColumn id="34" name="Степень зрелости вспом"/>
    <tableColumn id="35" name="Поле до корр"/>
    <tableColumn id="36" name="Сорт до корр"/>
    <tableColumn id="37" name="Культура до корр"/>
    <tableColumn id="38" name="Площадь уборки до корр" totalsRowFunction="sum"/>
    <tableColumn id="39" name="Отличие"/>
    <tableColumn id="40" name="Разница по площади" totalsRowFunction="sum"/>
  </tableColumns>
</table>
</file>

<file path=xl/tables/table9.xml><?xml version="1.0" encoding="utf-8"?>
<table xmlns="http://schemas.openxmlformats.org/spreadsheetml/2006/main" id="9" name="Таблица4" displayName="Таблица4" ref="A54:I62" headerRowCount="1" totalsRowCount="0" totalsRowShown="0">
  <autoFilter ref="A54:I62"/>
  <tableColumns count="9">
    <tableColumn id="1" name="Культура"/>
    <tableColumn id="2" name="Орошение"/>
    <tableColumn id="3" name="ПЛАН, т"/>
    <tableColumn id="4" name="ФАКТ, т"/>
    <tableColumn id="5" name="Исполнение плана по валу, %"/>
    <tableColumn id="6" name="ПЛАН, га"/>
    <tableColumn id="7" name="ФАКТ, га"/>
    <tableColumn id="8" name="Исполнение плана по площади, %"/>
    <tableColumn id="9" name="Урожайность, т/га"/>
  </tableColumns>
</table>
</file>

<file path=xl/tables/table10.xml><?xml version="1.0" encoding="utf-8"?>
<table xmlns="http://schemas.openxmlformats.org/spreadsheetml/2006/main" id="10" name="Таблица413" displayName="Таблица413" ref="A54:I58" headerRowCount="1" totalsRowCount="0" totalsRowShown="0">
  <autoFilter ref="A54:I58"/>
  <tableColumns count="9">
    <tableColumn id="1" name="Культура"/>
    <tableColumn id="2" name="Орошение"/>
    <tableColumn id="3" name="ПЛАН, т"/>
    <tableColumn id="4" name="ФАКТ, т"/>
    <tableColumn id="5" name="Исполнение плана по валу, %"/>
    <tableColumn id="6" name="ПЛАН, га"/>
    <tableColumn id="7" name="ФАКТ, га"/>
    <tableColumn id="8" name="Исполнение плана по площади, %"/>
    <tableColumn id="9" name="Урожайность, т/га"/>
  </tableColumns>
</table>
</file>

<file path=xl/tables/table11.xml><?xml version="1.0" encoding="utf-8"?>
<table xmlns="http://schemas.openxmlformats.org/spreadsheetml/2006/main" id="11" name="Таблица5" displayName="Таблица5" ref="A1:M42" headerRowCount="1" totalsRowCount="0" totalsRowShown="0">
  <autoFilter ref="A1:M42"/>
  <tableColumns count="13">
    <tableColumn id="1" name="Контрагент"/>
    <tableColumn id="2" name="Полив"/>
    <tableColumn id="3" name="Номер поля"/>
    <tableColumn id="4" name="Сорт"/>
    <tableColumn id="5" name="Площадь сева"/>
    <tableColumn id="6" name="Площадь уборки"/>
    <tableColumn id="7" name="Остаток площади"/>
    <tableColumn id="8" name="Закрытие, %"/>
    <tableColumn id="9" name="Урожайность плановая, тн./га"/>
    <tableColumn id="10" name="Урожайность фактическая, тн./га"/>
    <tableColumn id="11" name="Валовый сбор плановый"/>
    <tableColumn id="12" name="Валовый сбор фактический"/>
    <tableColumn id="13" name="Выполнение плана, %"/>
  </tableColumns>
</table>
</file>

<file path=xl/tables/table12.xml><?xml version="1.0" encoding="utf-8"?>
<table xmlns="http://schemas.openxmlformats.org/spreadsheetml/2006/main" id="12" name="Таблица57" displayName="Таблица57" ref="A1:R595" headerRowCount="1" totalsRowCount="1" totalsRowShown="1">
  <autoFilter ref="A1:R595"/>
  <tableColumns count="18">
    <tableColumn id="1" name="Документ"/>
    <tableColumn id="2" name="Номер взвешивания"/>
    <tableColumn id="3" name="Номер вх.  док."/>
    <tableColumn id="4" name="Контрагент"/>
    <tableColumn id="5" name="Водитель"/>
    <tableColumn id="6" name="Автомобиль"/>
    <tableColumn id="7" name="Номер поля"/>
    <tableColumn id="8" name="Хар-ка"/>
    <tableColumn id="9" name="Исх. номенклатура"/>
    <tableColumn id="10" name="Вес брутто"/>
    <tableColumn id="11" name="Вес тары"/>
    <tableColumn id="12" name="% отходов сверх допуска"/>
    <tableColumn id="13" name="Вес нетто" totalsRowFunction="sum"/>
    <tableColumn id="14" name="Зачетный вес" totalsRowFunction="sum"/>
    <tableColumn id="15" name="Характеристика"/>
    <tableColumn id="16" name="№ акта"/>
    <tableColumn id="17" name="Дата акта"/>
    <tableColumn id="18" name="Время"/>
  </tableColumns>
</table>
</file>

<file path=xl/tables/table13.xml><?xml version="1.0" encoding="utf-8"?>
<table xmlns="http://schemas.openxmlformats.org/spreadsheetml/2006/main" id="13" name="Таблица8" displayName="Таблица8" ref="A1:Y151" headerRowCount="1" totalsRowCount="0" totalsRowShown="0">
  <autoFilter ref="A1:Y151"/>
  <tableColumns count="25">
    <tableColumn id="1" name="Регистратор"/>
    <tableColumn id="2" name="Механизатор"/>
    <tableColumn id="3" name="Техника"/>
    <tableColumn id="4" name="Оборудование"/>
    <tableColumn id="5" name="Вид работы"/>
    <tableColumn id="6" name="Характеристика работы"/>
    <tableColumn id="7" name="Поле"/>
    <tableColumn id="8" name="Год урожая"/>
    <tableColumn id="9" name="Культура"/>
    <tableColumn id="10" name="Тип затрат"/>
    <tableColumn id="11" name="Аналитика расходов"/>
    <tableColumn id="12" name="Гектаров"/>
    <tableColumn id="13" name="Тонн"/>
    <tableColumn id="14" name="Отработано дней"/>
    <tableColumn id="15" name="Часов По факту"/>
    <tableColumn id="16" name="Часов По норме"/>
    <tableColumn id="17" name="Смен"/>
    <tableColumn id="18" name="Основная з/п, руб"/>
    <tableColumn id="19" name="Дополнительная з/п, руб"/>
    <tableColumn id="20" name="Доплата за ночные часы"/>
    <tableColumn id="21" name="Доплата за праздничные часы"/>
    <tableColumn id="22" name="Доплата за вредность"/>
    <tableColumn id="23" name="Итого з/п, руб"/>
    <tableColumn id="24" name="Фактический расход ГСМ"/>
    <tableColumn id="25" name="Нормативный расход ГСМ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2.xml"/><Relationship Id="rId4" Type="http://schemas.openxmlformats.org/officeDocument/2006/relationships/table" Target="../tables/table6.xml"/><Relationship Id="rId5" Type="http://schemas.openxmlformats.org/officeDocument/2006/relationships/table" Target="../tables/table10.xml"/><Relationship Id="rId6" Type="http://schemas.openxmlformats.org/officeDocument/2006/relationships/pivotTable" Target="../pivotTables/pivotTable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1.xml"/><Relationship Id="rId4" Type="http://schemas.openxmlformats.org/officeDocument/2006/relationships/table" Target="../tables/table5.xml"/><Relationship Id="rId5" Type="http://schemas.openxmlformats.org/officeDocument/2006/relationships/table" Target="../tables/table9.xml"/><Relationship Id="rId6" Type="http://schemas.openxmlformats.org/officeDocument/2006/relationships/pivotTable" Target="../pivotTables/pivotTable3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pivotTable" Target="../pivotTables/pivotTable4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ivotTable" Target="../pivotTables/pivotTable5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pivotTable" Target="../pivotTables/pivotTable6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3.vml"/><Relationship Id="rId3" Type="http://schemas.openxmlformats.org/officeDocument/2006/relationships/table" Target="../tables/table8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pivotTable" Target="../pivotTables/pivotTable7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pivotTable" Target="../pivotTables/pivotTable8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table" Target="../tables/table13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pivotTable" Target="../pivotTables/pivotTable9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pivotTable" Target="../pivotTables/pivotTable10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AG40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M40" activeCellId="0" sqref="M40"/>
    </sheetView>
  </sheetViews>
  <sheetFormatPr defaultColWidth="9.1484375" defaultRowHeight="14.25" customHeight="true" zeroHeight="false" outlineLevelRow="0" outlineLevelCol="0"/>
  <cols>
    <col collapsed="false" customWidth="true" hidden="false" outlineLevel="0" max="1" min="1" style="1" width="2.71"/>
    <col collapsed="false" customWidth="true" hidden="false" outlineLevel="0" max="2" min="2" style="1" width="4"/>
    <col collapsed="false" customWidth="true" hidden="false" outlineLevel="0" max="5" min="3" style="2" width="4"/>
    <col collapsed="false" customWidth="true" hidden="false" outlineLevel="0" max="8" min="6" style="1" width="4"/>
    <col collapsed="false" customWidth="true" hidden="false" outlineLevel="0" max="9" min="9" style="2" width="3.57"/>
    <col collapsed="false" customWidth="true" hidden="false" outlineLevel="0" max="10" min="10" style="1" width="14"/>
    <col collapsed="false" customWidth="true" hidden="false" outlineLevel="0" max="11" min="11" style="1" width="13.86"/>
    <col collapsed="false" customWidth="false" hidden="false" outlineLevel="0" max="22" min="12" style="1" width="9.14"/>
    <col collapsed="false" customWidth="true" hidden="false" outlineLevel="0" max="23" min="23" style="1" width="15.71"/>
    <col collapsed="false" customWidth="true" hidden="false" outlineLevel="0" max="24" min="24" style="1" width="10.14"/>
    <col collapsed="false" customWidth="true" hidden="false" outlineLevel="0" max="25" min="25" style="1" width="14.71"/>
    <col collapsed="false" customWidth="true" hidden="false" outlineLevel="0" max="26" min="26" style="1" width="2"/>
    <col collapsed="false" customWidth="false" hidden="false" outlineLevel="0" max="32" min="27" style="1" width="9.14"/>
    <col collapsed="false" customWidth="true" hidden="false" outlineLevel="0" max="33" min="33" style="1" width="4.57"/>
    <col collapsed="false" customWidth="false" hidden="false" outlineLevel="0" max="16384" min="34" style="1" width="9.14"/>
  </cols>
  <sheetData>
    <row r="2" s="3" customFormat="true" ht="29.15" hidden="false" customHeight="false" outlineLevel="0" collapsed="false">
      <c r="B2" s="4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</row>
    <row r="4" s="5" customFormat="true" ht="14.25" hidden="false" customHeight="false" outlineLevel="0" collapsed="false"/>
    <row r="5" customFormat="false" ht="14.25" hidden="false" customHeight="false" outlineLevel="0" collapsed="false">
      <c r="L5" s="5"/>
    </row>
    <row r="6" customFormat="false" ht="14.25" hidden="false" customHeight="false" outlineLevel="0" collapsed="false">
      <c r="L6" s="5"/>
    </row>
    <row r="7" customFormat="false" ht="14.25" hidden="false" customHeight="false" outlineLevel="0" collapsed="false">
      <c r="L7" s="5"/>
    </row>
    <row r="8" customFormat="false" ht="14.25" hidden="false" customHeight="false" outlineLevel="0" collapsed="false">
      <c r="L8" s="5"/>
    </row>
    <row r="18" customFormat="false" ht="19.5" hidden="false" customHeight="false" outlineLevel="0" collapsed="false">
      <c r="W18" s="6"/>
      <c r="X18" s="6"/>
      <c r="Y18" s="6"/>
      <c r="Z18" s="6"/>
      <c r="AA18" s="6"/>
      <c r="AB18" s="6"/>
    </row>
    <row r="19" customFormat="false" ht="14.25" hidden="false" customHeight="false" outlineLevel="0" collapsed="false">
      <c r="B19" s="7" t="s">
        <v>1</v>
      </c>
      <c r="C19" s="7"/>
      <c r="D19" s="7"/>
      <c r="E19" s="7"/>
      <c r="F19" s="7"/>
      <c r="G19" s="7"/>
      <c r="H19" s="7"/>
    </row>
    <row r="20" customFormat="false" ht="15" hidden="false" customHeight="false" outlineLevel="0" collapsed="false">
      <c r="B20" s="8" t="s">
        <v>2</v>
      </c>
      <c r="C20" s="8" t="s">
        <v>3</v>
      </c>
      <c r="D20" s="8" t="s">
        <v>4</v>
      </c>
      <c r="E20" s="8" t="s">
        <v>5</v>
      </c>
      <c r="F20" s="8" t="s">
        <v>6</v>
      </c>
      <c r="G20" s="8" t="s">
        <v>7</v>
      </c>
      <c r="H20" s="8" t="s">
        <v>8</v>
      </c>
      <c r="W20" s="9"/>
      <c r="X20" s="10"/>
      <c r="Y20" s="11"/>
      <c r="Z20" s="10"/>
      <c r="AA20" s="10"/>
      <c r="AB20" s="10"/>
    </row>
    <row r="21" customFormat="false" ht="15" hidden="false" customHeight="false" outlineLevel="0" collapsed="false">
      <c r="B21" s="12" t="n">
        <v>1</v>
      </c>
      <c r="C21" s="12" t="n">
        <f aca="false">B21+1</f>
        <v>2</v>
      </c>
      <c r="D21" s="12" t="n">
        <f aca="false">C21+1</f>
        <v>3</v>
      </c>
      <c r="E21" s="12" t="n">
        <f aca="false">D21+1</f>
        <v>4</v>
      </c>
      <c r="F21" s="12" t="n">
        <f aca="false">E21+1</f>
        <v>5</v>
      </c>
      <c r="G21" s="12" t="n">
        <f aca="false">F21+1</f>
        <v>6</v>
      </c>
      <c r="H21" s="12" t="n">
        <f aca="false">G21+1</f>
        <v>7</v>
      </c>
      <c r="W21" s="10"/>
      <c r="X21" s="10"/>
      <c r="Y21" s="13"/>
      <c r="Z21" s="10"/>
      <c r="AA21" s="10"/>
      <c r="AB21" s="10"/>
    </row>
    <row r="22" customFormat="false" ht="15" hidden="false" customHeight="false" outlineLevel="0" collapsed="false">
      <c r="B22" s="12" t="n">
        <f aca="false">H21+1</f>
        <v>8</v>
      </c>
      <c r="C22" s="12" t="n">
        <f aca="false">B22+1</f>
        <v>9</v>
      </c>
      <c r="D22" s="12" t="n">
        <f aca="false">C22+1</f>
        <v>10</v>
      </c>
      <c r="E22" s="12" t="n">
        <f aca="false">D22+1</f>
        <v>11</v>
      </c>
      <c r="F22" s="12" t="n">
        <f aca="false">E22+1</f>
        <v>12</v>
      </c>
      <c r="G22" s="12" t="n">
        <f aca="false">F22+1</f>
        <v>13</v>
      </c>
      <c r="H22" s="12" t="n">
        <f aca="false">G22+1</f>
        <v>14</v>
      </c>
      <c r="W22" s="9"/>
      <c r="X22" s="10"/>
      <c r="Y22" s="13"/>
      <c r="Z22" s="10"/>
      <c r="AA22" s="10"/>
      <c r="AB22" s="10"/>
    </row>
    <row r="23" customFormat="false" ht="15" hidden="false" customHeight="false" outlineLevel="0" collapsed="false">
      <c r="B23" s="12" t="n">
        <f aca="false">H22+1</f>
        <v>15</v>
      </c>
      <c r="C23" s="12" t="n">
        <f aca="false">B23+1</f>
        <v>16</v>
      </c>
      <c r="D23" s="12" t="n">
        <f aca="false">C23+1</f>
        <v>17</v>
      </c>
      <c r="E23" s="12" t="n">
        <f aca="false">D23+1</f>
        <v>18</v>
      </c>
      <c r="F23" s="12" t="n">
        <f aca="false">E23+1</f>
        <v>19</v>
      </c>
      <c r="G23" s="12" t="n">
        <f aca="false">F23+1</f>
        <v>20</v>
      </c>
      <c r="H23" s="12" t="n">
        <f aca="false">G23+1</f>
        <v>21</v>
      </c>
      <c r="W23" s="10"/>
      <c r="X23" s="10"/>
      <c r="Y23" s="13"/>
      <c r="Z23" s="10"/>
      <c r="AA23" s="10"/>
      <c r="AB23" s="10"/>
      <c r="AD23" s="14"/>
    </row>
    <row r="24" customFormat="false" ht="15" hidden="false" customHeight="false" outlineLevel="0" collapsed="false">
      <c r="B24" s="12" t="n">
        <f aca="false">H23+1</f>
        <v>22</v>
      </c>
      <c r="C24" s="12" t="n">
        <f aca="false">B24+1</f>
        <v>23</v>
      </c>
      <c r="D24" s="12" t="n">
        <f aca="false">C24+1</f>
        <v>24</v>
      </c>
      <c r="E24" s="12" t="n">
        <f aca="false">D24+1</f>
        <v>25</v>
      </c>
      <c r="F24" s="12" t="n">
        <f aca="false">E24+1</f>
        <v>26</v>
      </c>
      <c r="G24" s="12" t="n">
        <f aca="false">F24+1</f>
        <v>27</v>
      </c>
      <c r="H24" s="12" t="n">
        <f aca="false">G24+1</f>
        <v>28</v>
      </c>
      <c r="W24" s="9"/>
      <c r="X24" s="10"/>
      <c r="Y24" s="13"/>
      <c r="Z24" s="10"/>
      <c r="AA24" s="10"/>
      <c r="AB24" s="10"/>
    </row>
    <row r="25" customFormat="false" ht="15" hidden="false" customHeight="false" outlineLevel="0" collapsed="false">
      <c r="B25" s="12" t="n">
        <f aca="false">H24+1</f>
        <v>29</v>
      </c>
      <c r="C25" s="12" t="n">
        <f aca="false">B25+1</f>
        <v>30</v>
      </c>
      <c r="D25" s="12"/>
      <c r="E25" s="12"/>
      <c r="F25" s="12"/>
      <c r="G25" s="12"/>
      <c r="H25" s="12"/>
      <c r="W25" s="9"/>
      <c r="X25" s="10"/>
      <c r="Y25" s="13"/>
      <c r="Z25" s="10"/>
      <c r="AA25" s="10"/>
      <c r="AB25" s="10"/>
      <c r="AC25" s="14"/>
    </row>
    <row r="26" customFormat="false" ht="15" hidden="false" customHeight="false" outlineLevel="0" collapsed="false">
      <c r="B26" s="7" t="s">
        <v>9</v>
      </c>
      <c r="C26" s="7"/>
      <c r="D26" s="7"/>
      <c r="E26" s="7"/>
      <c r="F26" s="7"/>
      <c r="G26" s="7"/>
      <c r="H26" s="7"/>
      <c r="W26" s="9"/>
      <c r="X26" s="10"/>
      <c r="Y26" s="13"/>
      <c r="Z26" s="10"/>
      <c r="AA26" s="10"/>
      <c r="AB26" s="10"/>
    </row>
    <row r="27" customFormat="false" ht="15" hidden="false" customHeight="false" outlineLevel="0" collapsed="false">
      <c r="B27" s="12"/>
      <c r="C27" s="12"/>
      <c r="D27" s="12" t="n">
        <f aca="false">1</f>
        <v>1</v>
      </c>
      <c r="E27" s="12" t="n">
        <f aca="false">D27+1</f>
        <v>2</v>
      </c>
      <c r="F27" s="12" t="n">
        <f aca="false">E27+1</f>
        <v>3</v>
      </c>
      <c r="G27" s="12" t="n">
        <f aca="false">F27+1</f>
        <v>4</v>
      </c>
      <c r="H27" s="12" t="n">
        <f aca="false">G27+1</f>
        <v>5</v>
      </c>
      <c r="W27" s="10"/>
      <c r="X27" s="10"/>
      <c r="Y27" s="13"/>
      <c r="Z27" s="10"/>
      <c r="AA27" s="10"/>
      <c r="AB27" s="10"/>
    </row>
    <row r="28" customFormat="false" ht="15" hidden="false" customHeight="false" outlineLevel="0" collapsed="false">
      <c r="B28" s="12" t="n">
        <f aca="false">H27+1</f>
        <v>6</v>
      </c>
      <c r="C28" s="12" t="n">
        <f aca="false">B28+1</f>
        <v>7</v>
      </c>
      <c r="D28" s="12" t="n">
        <f aca="false">C28+1</f>
        <v>8</v>
      </c>
      <c r="E28" s="12" t="n">
        <f aca="false">D28+1</f>
        <v>9</v>
      </c>
      <c r="F28" s="12" t="n">
        <f aca="false">E28+1</f>
        <v>10</v>
      </c>
      <c r="G28" s="12" t="n">
        <f aca="false">F28+1</f>
        <v>11</v>
      </c>
      <c r="H28" s="12" t="n">
        <f aca="false">G28+1</f>
        <v>12</v>
      </c>
      <c r="W28" s="9"/>
      <c r="X28" s="10"/>
      <c r="Y28" s="13"/>
      <c r="Z28" s="10"/>
      <c r="AA28" s="10"/>
      <c r="AB28" s="10"/>
    </row>
    <row r="29" customFormat="false" ht="17.35" hidden="false" customHeight="false" outlineLevel="0" collapsed="false">
      <c r="B29" s="12" t="n">
        <f aca="false">H28+1</f>
        <v>13</v>
      </c>
      <c r="C29" s="12" t="n">
        <f aca="false">B29+1</f>
        <v>14</v>
      </c>
      <c r="D29" s="12" t="n">
        <f aca="false">C29+1</f>
        <v>15</v>
      </c>
      <c r="E29" s="12" t="n">
        <f aca="false">D29+1</f>
        <v>16</v>
      </c>
      <c r="F29" s="12" t="n">
        <f aca="false">E29+1</f>
        <v>17</v>
      </c>
      <c r="G29" s="12" t="n">
        <f aca="false">F29+1</f>
        <v>18</v>
      </c>
      <c r="H29" s="12" t="n">
        <f aca="false">G29+1</f>
        <v>19</v>
      </c>
      <c r="W29" s="15"/>
      <c r="X29" s="16"/>
      <c r="Y29" s="17"/>
      <c r="Z29" s="16"/>
      <c r="AA29" s="16"/>
      <c r="AB29" s="16"/>
    </row>
    <row r="30" customFormat="false" ht="17.35" hidden="false" customHeight="false" outlineLevel="0" collapsed="false">
      <c r="W30" s="9"/>
      <c r="X30" s="16"/>
      <c r="Y30" s="17"/>
      <c r="Z30" s="16"/>
      <c r="AA30" s="16"/>
      <c r="AB30" s="16"/>
    </row>
    <row r="31" customFormat="false" ht="17.35" hidden="false" customHeight="false" outlineLevel="0" collapsed="false">
      <c r="B31" s="1" t="s">
        <v>10</v>
      </c>
      <c r="E31" s="18" t="n">
        <v>7</v>
      </c>
      <c r="W31" s="9"/>
      <c r="X31" s="16"/>
      <c r="Y31" s="17"/>
      <c r="Z31" s="16"/>
      <c r="AA31" s="16"/>
      <c r="AB31" s="16"/>
    </row>
    <row r="32" customFormat="false" ht="15" hidden="false" customHeight="false" outlineLevel="0" collapsed="false">
      <c r="W32" s="9"/>
      <c r="X32" s="10"/>
      <c r="Y32" s="13"/>
      <c r="Z32" s="10"/>
      <c r="AA32" s="10"/>
      <c r="AB32" s="10"/>
    </row>
    <row r="33" customFormat="false" ht="17.35" hidden="false" customHeight="false" outlineLevel="0" collapsed="false">
      <c r="W33" s="15"/>
      <c r="X33" s="16"/>
      <c r="Y33" s="15"/>
      <c r="Z33" s="16"/>
      <c r="AA33" s="16"/>
      <c r="AB33" s="16"/>
    </row>
    <row r="34" customFormat="false" ht="17.35" hidden="false" customHeight="false" outlineLevel="0" collapsed="false">
      <c r="X34" s="16"/>
      <c r="Y34" s="15"/>
      <c r="Z34" s="16"/>
      <c r="AA34" s="16"/>
      <c r="AB34" s="16"/>
    </row>
    <row r="35" customFormat="false" ht="17.35" hidden="false" customHeight="false" outlineLevel="0" collapsed="false">
      <c r="W35" s="16"/>
      <c r="X35" s="16"/>
      <c r="Y35" s="16"/>
      <c r="Z35" s="16"/>
      <c r="AA35" s="16"/>
      <c r="AB35" s="16"/>
    </row>
    <row r="36" customFormat="false" ht="17.35" hidden="false" customHeight="false" outlineLevel="0" collapsed="false">
      <c r="W36" s="16"/>
      <c r="X36" s="16"/>
      <c r="Y36" s="16"/>
      <c r="Z36" s="16"/>
      <c r="AA36" s="16"/>
      <c r="AB36" s="16"/>
    </row>
    <row r="40" customFormat="false" ht="14.25" hidden="false" customHeight="false" outlineLevel="0" collapsed="false">
      <c r="J40" s="2"/>
    </row>
  </sheetData>
  <mergeCells count="3">
    <mergeCell ref="B2:AG2"/>
    <mergeCell ref="B19:H19"/>
    <mergeCell ref="B26:H26"/>
  </mergeCells>
  <conditionalFormatting sqref="B22:C22">
    <cfRule type="expression" priority="2" aboveAverage="0" equalAverage="0" bottom="0" percent="0" rank="0" text="" dxfId="0">
      <formula>B22&lt;TODAY()</formula>
    </cfRule>
  </conditionalFormatting>
  <conditionalFormatting sqref="D21:E21 G21:H21">
    <cfRule type="expression" priority="3" aboveAverage="0" equalAverage="0" bottom="0" percent="0" rank="0" text="" dxfId="1">
      <formula>D21&lt;TODAY()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3.71"/>
    <col collapsed="false" customWidth="true" hidden="false" outlineLevel="0" max="2" min="2" style="0" width="13.86"/>
    <col collapsed="false" customWidth="true" hidden="false" outlineLevel="0" max="3" min="3" style="0" width="22.86"/>
    <col collapsed="false" customWidth="true" hidden="false" outlineLevel="0" max="4" min="4" style="0" width="21.57"/>
    <col collapsed="false" customWidth="true" hidden="false" outlineLevel="0" max="5" min="5" style="0" width="19.57"/>
    <col collapsed="false" customWidth="true" hidden="false" outlineLevel="0" max="6" min="6" style="0" width="25.14"/>
    <col collapsed="false" customWidth="true" hidden="false" outlineLevel="0" max="7" min="7" style="0" width="24.14"/>
    <col collapsed="false" customWidth="true" hidden="false" outlineLevel="0" max="8" min="8" style="0" width="23.42"/>
    <col collapsed="false" customWidth="true" hidden="false" outlineLevel="0" max="9" min="9" style="0" width="25.57"/>
    <col collapsed="false" customWidth="true" hidden="false" outlineLevel="0" max="10" min="10" style="0" width="25.71"/>
    <col collapsed="false" customWidth="true" hidden="false" outlineLevel="0" max="11" min="11" style="0" width="29"/>
    <col collapsed="false" customWidth="true" hidden="false" outlineLevel="0" max="12" min="12" style="0" width="48"/>
    <col collapsed="false" customWidth="true" hidden="false" outlineLevel="0" max="13" min="13" style="0" width="31.71"/>
    <col collapsed="false" customWidth="true" hidden="false" outlineLevel="0" max="14" min="14" style="0" width="31.15"/>
    <col collapsed="false" customWidth="true" hidden="false" outlineLevel="0" max="15" min="15" style="0" width="28.71"/>
    <col collapsed="false" customWidth="true" hidden="false" outlineLevel="0" max="16" min="16" style="0" width="54.14"/>
    <col collapsed="false" customWidth="true" hidden="false" outlineLevel="0" max="17" min="17" style="0" width="30.71"/>
    <col collapsed="false" customWidth="true" hidden="false" outlineLevel="0" max="18" min="18" style="0" width="30.29"/>
    <col collapsed="false" customWidth="true" hidden="false" outlineLevel="0" max="19" min="19" style="0" width="30.14"/>
    <col collapsed="false" customWidth="true" hidden="false" outlineLevel="0" max="20" min="20" style="0" width="9.29"/>
    <col collapsed="false" customWidth="true" hidden="false" outlineLevel="0" max="21" min="21" style="0" width="13.15"/>
    <col collapsed="false" customWidth="true" hidden="false" outlineLevel="0" max="22" min="22" style="0" width="21.85"/>
    <col collapsed="false" customWidth="true" hidden="false" outlineLevel="0" max="23" min="23" style="0" width="12.15"/>
    <col collapsed="false" customWidth="true" hidden="false" outlineLevel="0" max="24" min="24" style="0" width="13.15"/>
    <col collapsed="false" customWidth="true" hidden="false" outlineLevel="0" max="25" min="25" style="0" width="9.29"/>
    <col collapsed="false" customWidth="true" hidden="false" outlineLevel="0" max="26" min="26" style="0" width="14"/>
    <col collapsed="false" customWidth="true" hidden="false" outlineLevel="0" max="27" min="27" style="0" width="11.71"/>
    <col collapsed="false" customWidth="true" hidden="false" outlineLevel="0" max="28" min="28" style="0" width="15"/>
    <col collapsed="false" customWidth="true" hidden="false" outlineLevel="0" max="29" min="29" style="0" width="13"/>
    <col collapsed="false" customWidth="true" hidden="false" outlineLevel="0" max="30" min="30" style="0" width="17.86"/>
    <col collapsed="false" customWidth="true" hidden="false" outlineLevel="0" max="31" min="31" style="0" width="9.86"/>
    <col collapsed="false" customWidth="true" hidden="false" outlineLevel="0" max="32" min="32" style="0" width="11.85"/>
    <col collapsed="false" customWidth="true" hidden="false" outlineLevel="0" max="33" min="33" style="0" width="9.29"/>
    <col collapsed="false" customWidth="true" hidden="false" outlineLevel="0" max="34" min="34" style="0" width="26.15"/>
  </cols>
  <sheetData>
    <row r="1" customFormat="false" ht="15" hidden="false" customHeight="false" outlineLevel="0" collapsed="false">
      <c r="A1" s="19" t="s">
        <v>11</v>
      </c>
    </row>
    <row r="3" customFormat="false" ht="23.85" hidden="false" customHeight="false" outlineLevel="0" collapsed="false">
      <c r="A3" s="20" t="s">
        <v>12</v>
      </c>
      <c r="B3" s="20" t="s">
        <v>13</v>
      </c>
      <c r="C3" s="21" t="s">
        <v>14</v>
      </c>
      <c r="D3" s="20" t="s">
        <v>15</v>
      </c>
      <c r="E3" s="20" t="s">
        <v>16</v>
      </c>
      <c r="F3" s="20" t="s">
        <v>17</v>
      </c>
      <c r="G3" s="20" t="s">
        <v>18</v>
      </c>
      <c r="H3" s="20" t="s">
        <v>19</v>
      </c>
      <c r="I3" s="20" t="s">
        <v>20</v>
      </c>
      <c r="J3" s="20" t="s">
        <v>21</v>
      </c>
      <c r="K3" s="20" t="s">
        <v>22</v>
      </c>
      <c r="L3" s="20" t="s">
        <v>23</v>
      </c>
      <c r="M3" s="20" t="s">
        <v>24</v>
      </c>
      <c r="N3" s="20" t="s">
        <v>25</v>
      </c>
      <c r="O3" s="20" t="s">
        <v>26</v>
      </c>
      <c r="P3" s="20" t="s">
        <v>27</v>
      </c>
      <c r="Q3" s="20" t="s">
        <v>28</v>
      </c>
      <c r="R3" s="20" t="s">
        <v>29</v>
      </c>
      <c r="S3" s="20" t="s">
        <v>30</v>
      </c>
      <c r="T3" s="20" t="s">
        <v>31</v>
      </c>
      <c r="U3" s="20" t="s">
        <v>32</v>
      </c>
      <c r="V3" s="20" t="s">
        <v>33</v>
      </c>
      <c r="W3" s="20" t="s">
        <v>34</v>
      </c>
      <c r="X3" s="20" t="s">
        <v>35</v>
      </c>
      <c r="Y3" s="20" t="s">
        <v>36</v>
      </c>
      <c r="Z3" s="20" t="s">
        <v>37</v>
      </c>
      <c r="AA3" s="20" t="s">
        <v>38</v>
      </c>
      <c r="AB3" s="20" t="s">
        <v>39</v>
      </c>
      <c r="AC3" s="20" t="s">
        <v>40</v>
      </c>
      <c r="AD3" s="20" t="s">
        <v>41</v>
      </c>
      <c r="AE3" s="20" t="s">
        <v>42</v>
      </c>
      <c r="AF3" s="20" t="s">
        <v>43</v>
      </c>
      <c r="AG3" s="20" t="s">
        <v>44</v>
      </c>
      <c r="AH3" s="20" t="s">
        <v>45</v>
      </c>
    </row>
    <row r="4" customFormat="false" ht="15" hidden="false" customHeight="false" outlineLevel="0" collapsed="false">
      <c r="C4" s="0" t="n">
        <v>50</v>
      </c>
      <c r="D4" s="0" t="n">
        <v>157</v>
      </c>
      <c r="G4" s="0" t="n">
        <v>7110</v>
      </c>
      <c r="I4" s="0" t="n">
        <v>5510.3</v>
      </c>
      <c r="J4" s="0" t="s">
        <v>46</v>
      </c>
      <c r="K4" s="0" t="s">
        <v>47</v>
      </c>
      <c r="M4" s="0" t="s">
        <v>48</v>
      </c>
      <c r="R4" s="0" t="s">
        <v>49</v>
      </c>
      <c r="T4" s="0" t="s">
        <v>50</v>
      </c>
      <c r="U4" s="0" t="s">
        <v>47</v>
      </c>
      <c r="W4" s="0" t="s">
        <v>51</v>
      </c>
      <c r="X4" s="0" t="s">
        <v>52</v>
      </c>
      <c r="Y4" s="0" t="n">
        <v>6</v>
      </c>
      <c r="Z4" s="22" t="n">
        <v>46182</v>
      </c>
      <c r="AC4" s="0" t="s">
        <v>53</v>
      </c>
      <c r="AD4" s="0" t="s">
        <v>54</v>
      </c>
      <c r="AE4" s="0" t="n">
        <v>103</v>
      </c>
      <c r="AF4" s="22" t="n">
        <v>46182</v>
      </c>
      <c r="AH4" s="0" t="n">
        <v>50</v>
      </c>
    </row>
    <row r="5" customFormat="false" ht="15" hidden="false" customHeight="false" outlineLevel="0" collapsed="false">
      <c r="C5" s="0" t="n">
        <v>50</v>
      </c>
      <c r="D5" s="0" t="n">
        <v>156</v>
      </c>
      <c r="G5" s="0" t="n">
        <v>13160</v>
      </c>
      <c r="I5" s="0" t="n">
        <v>9935.8</v>
      </c>
      <c r="J5" s="0" t="s">
        <v>46</v>
      </c>
      <c r="K5" s="0" t="s">
        <v>47</v>
      </c>
      <c r="M5" s="0" t="s">
        <v>55</v>
      </c>
      <c r="R5" s="0" t="s">
        <v>56</v>
      </c>
      <c r="T5" s="0" t="s">
        <v>50</v>
      </c>
      <c r="U5" s="0" t="s">
        <v>47</v>
      </c>
      <c r="W5" s="0" t="s">
        <v>51</v>
      </c>
      <c r="X5" s="0" t="s">
        <v>52</v>
      </c>
      <c r="Y5" s="0" t="n">
        <v>6</v>
      </c>
      <c r="Z5" s="22" t="n">
        <v>46182</v>
      </c>
      <c r="AC5" s="0" t="s">
        <v>53</v>
      </c>
      <c r="AD5" s="0" t="s">
        <v>54</v>
      </c>
      <c r="AE5" s="0" t="n">
        <v>102</v>
      </c>
      <c r="AF5" s="22" t="n">
        <v>46182</v>
      </c>
      <c r="AH5" s="0" t="n">
        <v>50</v>
      </c>
    </row>
    <row r="6" customFormat="false" ht="15" hidden="false" customHeight="false" outlineLevel="0" collapsed="false">
      <c r="C6" s="0" t="n">
        <v>48</v>
      </c>
      <c r="D6" s="0" t="n">
        <v>155</v>
      </c>
      <c r="G6" s="0" t="n">
        <v>13230</v>
      </c>
      <c r="I6" s="0" t="n">
        <v>9988.7</v>
      </c>
      <c r="J6" s="0" t="s">
        <v>46</v>
      </c>
      <c r="K6" s="0" t="s">
        <v>47</v>
      </c>
      <c r="M6" s="0" t="s">
        <v>57</v>
      </c>
      <c r="R6" s="0" t="s">
        <v>58</v>
      </c>
      <c r="T6" s="0" t="s">
        <v>50</v>
      </c>
      <c r="U6" s="0" t="s">
        <v>47</v>
      </c>
      <c r="W6" s="0" t="s">
        <v>51</v>
      </c>
      <c r="X6" s="0" t="s">
        <v>52</v>
      </c>
      <c r="Y6" s="0" t="n">
        <v>6</v>
      </c>
      <c r="Z6" s="22" t="n">
        <v>46182</v>
      </c>
      <c r="AC6" s="0" t="s">
        <v>53</v>
      </c>
      <c r="AD6" s="0" t="s">
        <v>54</v>
      </c>
      <c r="AE6" s="0" t="n">
        <v>101</v>
      </c>
      <c r="AF6" s="22" t="n">
        <v>46182</v>
      </c>
      <c r="AH6" s="0" t="n">
        <v>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9" activeCellId="0" sqref="B19"/>
    </sheetView>
  </sheetViews>
  <sheetFormatPr defaultColWidth="9.1484375" defaultRowHeight="15" customHeight="true" zeroHeight="false" outlineLevelRow="0" outlineLevelCol="0"/>
  <cols>
    <col collapsed="false" customWidth="true" hidden="false" outlineLevel="0" max="1" min="1" style="23" width="17.29"/>
    <col collapsed="false" customWidth="true" hidden="false" outlineLevel="0" max="2" min="2" style="23" width="20.57"/>
    <col collapsed="false" customWidth="true" hidden="false" outlineLevel="0" max="3" min="3" style="23" width="13"/>
    <col collapsed="false" customWidth="true" hidden="false" outlineLevel="0" max="4" min="4" style="23" width="12.29"/>
    <col collapsed="false" customWidth="true" hidden="false" outlineLevel="0" max="5" min="5" style="23" width="15.29"/>
    <col collapsed="false" customWidth="true" hidden="false" outlineLevel="0" max="6" min="6" style="23" width="12.71"/>
    <col collapsed="false" customWidth="true" hidden="false" outlineLevel="0" max="7" min="7" style="23" width="15.85"/>
    <col collapsed="false" customWidth="true" hidden="false" outlineLevel="0" max="8" min="8" style="23" width="19.29"/>
    <col collapsed="false" customWidth="true" hidden="false" outlineLevel="0" max="9" min="9" style="23" width="17.42"/>
    <col collapsed="false" customWidth="true" hidden="false" outlineLevel="0" max="10" min="10" style="23" width="17.29"/>
    <col collapsed="false" customWidth="false" hidden="false" outlineLevel="0" max="11" min="11" style="23" width="9.14"/>
    <col collapsed="false" customWidth="true" hidden="false" outlineLevel="0" max="12" min="12" style="23" width="12.57"/>
    <col collapsed="false" customWidth="true" hidden="false" outlineLevel="0" max="15" min="13" style="23" width="11.29"/>
    <col collapsed="false" customWidth="false" hidden="false" outlineLevel="0" max="16384" min="16" style="23" width="9.14"/>
  </cols>
  <sheetData>
    <row r="1" customFormat="false" ht="19.5" hidden="false" customHeight="true" outlineLevel="0" collapsed="false">
      <c r="A1" s="24" t="s">
        <v>59</v>
      </c>
      <c r="C1" s="25" t="n">
        <v>46182</v>
      </c>
    </row>
    <row r="3" s="32" customFormat="true" ht="15" hidden="true" customHeight="false" outlineLevel="0" collapsed="false">
      <c r="A3" s="26"/>
      <c r="B3" s="27"/>
      <c r="C3" s="27"/>
      <c r="D3" s="28"/>
      <c r="E3" s="29" t="s">
        <v>60</v>
      </c>
      <c r="F3" s="30"/>
      <c r="G3" s="30"/>
      <c r="H3" s="31"/>
      <c r="I3" s="0"/>
      <c r="J3" s="0"/>
    </row>
    <row r="4" customFormat="false" ht="15" hidden="false" customHeight="false" outlineLevel="0" collapsed="false">
      <c r="A4" s="33" t="s">
        <v>34</v>
      </c>
      <c r="B4" s="34" t="s">
        <v>37</v>
      </c>
      <c r="C4" s="34" t="s">
        <v>31</v>
      </c>
      <c r="D4" s="34" t="s">
        <v>22</v>
      </c>
      <c r="E4" s="35" t="s">
        <v>61</v>
      </c>
      <c r="F4" s="36" t="s">
        <v>62</v>
      </c>
      <c r="G4" s="36" t="s">
        <v>63</v>
      </c>
      <c r="H4" s="37" t="s">
        <v>64</v>
      </c>
      <c r="I4" s="0"/>
      <c r="J4" s="0"/>
    </row>
    <row r="5" customFormat="false" ht="15" hidden="false" customHeight="false" outlineLevel="0" collapsed="false">
      <c r="A5" s="38" t="s">
        <v>51</v>
      </c>
      <c r="B5" s="39" t="n">
        <v>46176</v>
      </c>
      <c r="C5" s="40" t="s">
        <v>65</v>
      </c>
      <c r="D5" s="41" t="s">
        <v>66</v>
      </c>
      <c r="E5" s="42" t="n">
        <v>36</v>
      </c>
      <c r="F5" s="43" t="n">
        <v>191510</v>
      </c>
      <c r="G5" s="43" t="n">
        <v>151574.5</v>
      </c>
      <c r="H5" s="44"/>
      <c r="I5" s="0"/>
      <c r="J5" s="0"/>
    </row>
    <row r="6" customFormat="false" ht="15" hidden="false" customHeight="false" outlineLevel="0" collapsed="false">
      <c r="A6" s="45"/>
      <c r="B6" s="46" t="n">
        <v>46177</v>
      </c>
      <c r="C6" s="40" t="s">
        <v>65</v>
      </c>
      <c r="D6" s="41" t="s">
        <v>66</v>
      </c>
      <c r="E6" s="42" t="n">
        <v>20</v>
      </c>
      <c r="F6" s="43" t="n">
        <v>111250</v>
      </c>
      <c r="G6" s="43" t="n">
        <v>90266.7</v>
      </c>
      <c r="H6" s="44"/>
      <c r="I6" s="0"/>
      <c r="J6" s="0"/>
      <c r="M6" s="47"/>
      <c r="N6" s="47"/>
      <c r="O6" s="47"/>
    </row>
    <row r="7" customFormat="false" ht="15" hidden="false" customHeight="false" outlineLevel="0" collapsed="false">
      <c r="A7" s="45"/>
      <c r="B7" s="48"/>
      <c r="C7" s="40" t="s">
        <v>50</v>
      </c>
      <c r="D7" s="41" t="s">
        <v>47</v>
      </c>
      <c r="E7" s="42" t="n">
        <v>2</v>
      </c>
      <c r="F7" s="43" t="n">
        <v>6120</v>
      </c>
      <c r="G7" s="43" t="n">
        <v>4039.2</v>
      </c>
      <c r="H7" s="44"/>
      <c r="I7" s="0"/>
      <c r="J7" s="0"/>
    </row>
    <row r="8" customFormat="false" ht="15" hidden="false" customHeight="false" outlineLevel="0" collapsed="false">
      <c r="A8" s="45"/>
      <c r="B8" s="46" t="n">
        <v>46179</v>
      </c>
      <c r="C8" s="40" t="s">
        <v>65</v>
      </c>
      <c r="D8" s="41" t="s">
        <v>66</v>
      </c>
      <c r="E8" s="42" t="n">
        <v>42</v>
      </c>
      <c r="F8" s="43" t="n">
        <v>244270</v>
      </c>
      <c r="G8" s="43" t="n">
        <v>195974.1</v>
      </c>
      <c r="H8" s="44"/>
      <c r="I8" s="0"/>
      <c r="J8" s="0"/>
    </row>
    <row r="9" customFormat="false" ht="15" hidden="false" customHeight="false" outlineLevel="0" collapsed="false">
      <c r="A9" s="45"/>
      <c r="B9" s="48"/>
      <c r="C9" s="40" t="s">
        <v>67</v>
      </c>
      <c r="D9" s="41" t="s">
        <v>66</v>
      </c>
      <c r="E9" s="42" t="n">
        <v>5</v>
      </c>
      <c r="F9" s="43" t="n">
        <v>24650</v>
      </c>
      <c r="G9" s="43" t="n">
        <v>20918.3</v>
      </c>
      <c r="H9" s="44"/>
      <c r="I9" s="0"/>
      <c r="J9" s="0"/>
    </row>
    <row r="10" customFormat="false" ht="15" hidden="false" customHeight="false" outlineLevel="0" collapsed="false">
      <c r="A10" s="45"/>
      <c r="B10" s="46" t="n">
        <v>46180</v>
      </c>
      <c r="C10" s="40" t="s">
        <v>65</v>
      </c>
      <c r="D10" s="41" t="s">
        <v>66</v>
      </c>
      <c r="E10" s="42" t="n">
        <v>13</v>
      </c>
      <c r="F10" s="43" t="n">
        <v>61380</v>
      </c>
      <c r="G10" s="43" t="n">
        <v>49780.1</v>
      </c>
      <c r="H10" s="44"/>
      <c r="I10" s="0"/>
      <c r="J10" s="0"/>
    </row>
    <row r="11" customFormat="false" ht="15" hidden="false" customHeight="false" outlineLevel="0" collapsed="false">
      <c r="A11" s="45"/>
      <c r="B11" s="48"/>
      <c r="C11" s="40" t="s">
        <v>50</v>
      </c>
      <c r="D11" s="41" t="s">
        <v>47</v>
      </c>
      <c r="E11" s="42" t="n">
        <v>30</v>
      </c>
      <c r="F11" s="43" t="n">
        <v>160930</v>
      </c>
      <c r="G11" s="43" t="n">
        <v>130624.7</v>
      </c>
      <c r="H11" s="44"/>
      <c r="I11" s="0"/>
      <c r="J11" s="0"/>
    </row>
    <row r="12" customFormat="false" ht="15" hidden="false" customHeight="false" outlineLevel="0" collapsed="false">
      <c r="A12" s="45"/>
      <c r="B12" s="39" t="n">
        <v>46181</v>
      </c>
      <c r="C12" s="40" t="s">
        <v>50</v>
      </c>
      <c r="D12" s="41" t="s">
        <v>47</v>
      </c>
      <c r="E12" s="42" t="n">
        <v>41</v>
      </c>
      <c r="F12" s="43" t="n">
        <v>246500</v>
      </c>
      <c r="G12" s="43" t="n">
        <v>202267.4</v>
      </c>
      <c r="H12" s="44"/>
      <c r="I12" s="0"/>
      <c r="J12" s="0"/>
    </row>
    <row r="13" customFormat="false" ht="15" hidden="false" customHeight="false" outlineLevel="0" collapsed="false">
      <c r="A13" s="45"/>
      <c r="B13" s="46" t="n">
        <v>46182</v>
      </c>
      <c r="C13" s="40" t="s">
        <v>50</v>
      </c>
      <c r="D13" s="41" t="s">
        <v>47</v>
      </c>
      <c r="E13" s="42" t="n">
        <v>6</v>
      </c>
      <c r="F13" s="43" t="n">
        <v>33500</v>
      </c>
      <c r="G13" s="43" t="n">
        <v>25434.8</v>
      </c>
      <c r="H13" s="44"/>
      <c r="I13" s="0"/>
      <c r="J13" s="0"/>
    </row>
    <row r="14" customFormat="false" ht="15" hidden="false" customHeight="false" outlineLevel="0" collapsed="false">
      <c r="A14" s="45"/>
      <c r="B14" s="49"/>
      <c r="C14" s="40" t="s">
        <v>67</v>
      </c>
      <c r="D14" s="41" t="s">
        <v>68</v>
      </c>
      <c r="E14" s="42" t="n">
        <v>31</v>
      </c>
      <c r="F14" s="43" t="n">
        <v>206840</v>
      </c>
      <c r="G14" s="43" t="n">
        <v>180195.1</v>
      </c>
      <c r="H14" s="44" t="n">
        <v>32930</v>
      </c>
      <c r="I14" s="0"/>
      <c r="J14" s="0"/>
    </row>
    <row r="15" customFormat="false" ht="15" hidden="false" customHeight="false" outlineLevel="0" collapsed="false">
      <c r="A15" s="50"/>
      <c r="B15" s="48"/>
      <c r="C15" s="40" t="s">
        <v>69</v>
      </c>
      <c r="D15" s="41" t="s">
        <v>68</v>
      </c>
      <c r="E15" s="42" t="n">
        <v>9</v>
      </c>
      <c r="F15" s="43" t="n">
        <v>69350</v>
      </c>
      <c r="G15" s="43" t="n">
        <v>64079.6</v>
      </c>
      <c r="H15" s="44" t="n">
        <v>26130</v>
      </c>
      <c r="I15" s="0"/>
      <c r="J15" s="0"/>
    </row>
    <row r="16" customFormat="false" ht="15" hidden="false" customHeight="false" outlineLevel="0" collapsed="false">
      <c r="A16" s="51" t="s">
        <v>70</v>
      </c>
      <c r="B16" s="52"/>
      <c r="C16" s="53"/>
      <c r="D16" s="54"/>
      <c r="E16" s="55" t="n">
        <v>235</v>
      </c>
      <c r="F16" s="56" t="n">
        <v>1356300</v>
      </c>
      <c r="G16" s="56" t="n">
        <v>1115154.5</v>
      </c>
      <c r="H16" s="57" t="n">
        <v>59060</v>
      </c>
      <c r="I16" s="0"/>
      <c r="J16" s="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5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A106" activeCellId="0" sqref="A106"/>
    </sheetView>
  </sheetViews>
  <sheetFormatPr defaultColWidth="9.00390625" defaultRowHeight="12" customHeight="true" zeroHeight="false" outlineLevelRow="3" outlineLevelCol="0"/>
  <cols>
    <col collapsed="false" customWidth="true" hidden="false" outlineLevel="0" max="1" min="1" style="58" width="7.71"/>
    <col collapsed="false" customWidth="true" hidden="false" outlineLevel="0" max="2" min="2" style="58" width="14.71"/>
    <col collapsed="false" customWidth="true" hidden="false" outlineLevel="0" max="3" min="3" style="58" width="16.29"/>
    <col collapsed="false" customWidth="true" hidden="false" outlineLevel="0" max="4" min="4" style="58" width="10"/>
    <col collapsed="false" customWidth="true" hidden="false" outlineLevel="0" max="5" min="5" style="58" width="8.86"/>
    <col collapsed="false" customWidth="true" hidden="false" outlineLevel="0" max="6" min="6" style="58" width="1.14"/>
    <col collapsed="false" customWidth="true" hidden="false" outlineLevel="0" max="7" min="7" style="58" width="12.57"/>
    <col collapsed="false" customWidth="false" hidden="false" outlineLevel="0" max="16384" min="8" style="59" width="9"/>
  </cols>
  <sheetData>
    <row r="1" s="58" customFormat="true" ht="12" hidden="false" customHeight="true" outlineLevel="0" collapsed="false"/>
    <row r="2" customFormat="false" ht="12" hidden="false" customHeight="true" outlineLevel="0" collapsed="false">
      <c r="A2" s="60" t="s">
        <v>71</v>
      </c>
      <c r="B2" s="60"/>
      <c r="C2" s="60"/>
      <c r="D2" s="60"/>
      <c r="E2" s="60"/>
      <c r="F2" s="60"/>
      <c r="G2" s="60"/>
    </row>
    <row r="3" s="58" customFormat="true" ht="12" hidden="false" customHeight="true" outlineLevel="0" collapsed="false"/>
    <row r="4" customFormat="false" ht="12" hidden="false" customHeight="true" outlineLevel="1" collapsed="false">
      <c r="A4" s="61" t="s">
        <v>72</v>
      </c>
      <c r="B4" s="62" t="s">
        <v>73</v>
      </c>
      <c r="C4" s="62"/>
      <c r="D4" s="62"/>
      <c r="E4" s="62"/>
      <c r="F4" s="62"/>
      <c r="G4" s="62"/>
    </row>
    <row r="5" s="58" customFormat="true" ht="12" hidden="false" customHeight="true" outlineLevel="0" collapsed="false"/>
    <row r="6" customFormat="false" ht="12" hidden="false" customHeight="true" outlineLevel="0" collapsed="false">
      <c r="A6" s="63" t="s">
        <v>74</v>
      </c>
      <c r="B6" s="63"/>
      <c r="C6" s="63"/>
      <c r="D6" s="63" t="s">
        <v>75</v>
      </c>
      <c r="E6" s="63" t="s">
        <v>76</v>
      </c>
      <c r="F6" s="63"/>
    </row>
    <row r="7" customFormat="false" ht="12" hidden="false" customHeight="true" outlineLevel="0" collapsed="false">
      <c r="A7" s="63" t="s">
        <v>77</v>
      </c>
      <c r="B7" s="63"/>
      <c r="C7" s="63"/>
      <c r="D7" s="63"/>
      <c r="E7" s="63"/>
      <c r="F7" s="63"/>
    </row>
    <row r="8" customFormat="false" ht="12" hidden="false" customHeight="true" outlineLevel="0" collapsed="false">
      <c r="A8" s="63" t="s">
        <v>34</v>
      </c>
      <c r="B8" s="63"/>
      <c r="C8" s="63"/>
      <c r="D8" s="63"/>
      <c r="E8" s="63"/>
      <c r="F8" s="63"/>
    </row>
    <row r="9" customFormat="false" ht="12" hidden="false" customHeight="true" outlineLevel="0" collapsed="false">
      <c r="A9" s="63" t="s">
        <v>31</v>
      </c>
      <c r="B9" s="63"/>
      <c r="C9" s="63"/>
      <c r="D9" s="63"/>
      <c r="E9" s="63"/>
      <c r="F9" s="63"/>
    </row>
    <row r="10" customFormat="false" ht="12" hidden="false" customHeight="true" outlineLevel="0" collapsed="false">
      <c r="A10" s="64" t="s">
        <v>78</v>
      </c>
      <c r="B10" s="64"/>
      <c r="C10" s="64"/>
      <c r="D10" s="65" t="n">
        <v>8282.66</v>
      </c>
      <c r="E10" s="65" t="n">
        <v>8282.66</v>
      </c>
      <c r="F10" s="65"/>
    </row>
    <row r="11" customFormat="false" ht="12" hidden="false" customHeight="true" outlineLevel="1" collapsed="false">
      <c r="A11" s="66" t="s">
        <v>79</v>
      </c>
      <c r="B11" s="66"/>
      <c r="C11" s="66"/>
      <c r="D11" s="67" t="n">
        <v>5345</v>
      </c>
      <c r="E11" s="67" t="n">
        <v>5345</v>
      </c>
      <c r="F11" s="67"/>
    </row>
    <row r="12" s="58" customFormat="true" ht="12" hidden="false" customHeight="true" outlineLevel="2" collapsed="false">
      <c r="A12" s="68" t="s">
        <v>80</v>
      </c>
      <c r="B12" s="68"/>
      <c r="C12" s="68"/>
      <c r="D12" s="69" t="n">
        <v>237</v>
      </c>
      <c r="E12" s="69" t="n">
        <v>237</v>
      </c>
      <c r="F12" s="69"/>
    </row>
    <row r="13" s="58" customFormat="true" ht="12" hidden="true" customHeight="true" outlineLevel="3" collapsed="false">
      <c r="A13" s="70" t="s">
        <v>81</v>
      </c>
      <c r="B13" s="70"/>
      <c r="C13" s="70"/>
      <c r="D13" s="71" t="n">
        <v>5</v>
      </c>
      <c r="E13" s="71" t="n">
        <v>5</v>
      </c>
      <c r="F13" s="71"/>
    </row>
    <row r="14" s="58" customFormat="true" ht="12" hidden="true" customHeight="true" outlineLevel="3" collapsed="false">
      <c r="A14" s="70" t="s">
        <v>82</v>
      </c>
      <c r="B14" s="70"/>
      <c r="C14" s="70"/>
      <c r="D14" s="71" t="n">
        <v>35</v>
      </c>
      <c r="E14" s="71" t="n">
        <v>35</v>
      </c>
      <c r="F14" s="71"/>
    </row>
    <row r="15" s="58" customFormat="true" ht="12" hidden="true" customHeight="true" outlineLevel="3" collapsed="false">
      <c r="A15" s="70" t="s">
        <v>83</v>
      </c>
      <c r="B15" s="70"/>
      <c r="C15" s="70"/>
      <c r="D15" s="71" t="n">
        <v>9</v>
      </c>
      <c r="E15" s="71" t="n">
        <v>9</v>
      </c>
      <c r="F15" s="71"/>
    </row>
    <row r="16" s="58" customFormat="true" ht="12" hidden="true" customHeight="true" outlineLevel="3" collapsed="false">
      <c r="A16" s="70" t="s">
        <v>84</v>
      </c>
      <c r="B16" s="70"/>
      <c r="C16" s="70"/>
      <c r="D16" s="71" t="n">
        <v>18</v>
      </c>
      <c r="E16" s="71" t="n">
        <v>18</v>
      </c>
      <c r="F16" s="71"/>
    </row>
    <row r="17" s="58" customFormat="true" ht="12" hidden="true" customHeight="true" outlineLevel="3" collapsed="false">
      <c r="A17" s="70" t="s">
        <v>85</v>
      </c>
      <c r="B17" s="70"/>
      <c r="C17" s="70"/>
      <c r="D17" s="71" t="n">
        <v>17</v>
      </c>
      <c r="E17" s="71" t="n">
        <v>17</v>
      </c>
      <c r="F17" s="71"/>
    </row>
    <row r="18" s="58" customFormat="true" ht="12" hidden="true" customHeight="true" outlineLevel="3" collapsed="false">
      <c r="A18" s="70" t="s">
        <v>86</v>
      </c>
      <c r="B18" s="70"/>
      <c r="C18" s="70"/>
      <c r="D18" s="71" t="n">
        <v>7</v>
      </c>
      <c r="E18" s="71" t="n">
        <v>7</v>
      </c>
      <c r="F18" s="71"/>
    </row>
    <row r="19" s="58" customFormat="true" ht="12" hidden="true" customHeight="true" outlineLevel="3" collapsed="false">
      <c r="A19" s="70" t="s">
        <v>87</v>
      </c>
      <c r="B19" s="70"/>
      <c r="C19" s="70"/>
      <c r="D19" s="71" t="n">
        <v>77</v>
      </c>
      <c r="E19" s="71" t="n">
        <v>77</v>
      </c>
      <c r="F19" s="71"/>
    </row>
    <row r="20" s="58" customFormat="true" ht="12" hidden="true" customHeight="true" outlineLevel="3" collapsed="false">
      <c r="A20" s="70" t="s">
        <v>88</v>
      </c>
      <c r="B20" s="70"/>
      <c r="C20" s="70"/>
      <c r="D20" s="71" t="n">
        <v>69</v>
      </c>
      <c r="E20" s="71" t="n">
        <v>69</v>
      </c>
      <c r="F20" s="71"/>
    </row>
    <row r="21" s="58" customFormat="true" ht="12" hidden="false" customHeight="true" outlineLevel="2" collapsed="true">
      <c r="A21" s="68" t="s">
        <v>89</v>
      </c>
      <c r="B21" s="68"/>
      <c r="C21" s="68"/>
      <c r="D21" s="69" t="n">
        <v>910</v>
      </c>
      <c r="E21" s="69" t="n">
        <v>910</v>
      </c>
      <c r="F21" s="69"/>
    </row>
    <row r="22" s="58" customFormat="true" ht="12" hidden="true" customHeight="true" outlineLevel="3" collapsed="false">
      <c r="A22" s="70" t="s">
        <v>90</v>
      </c>
      <c r="B22" s="70"/>
      <c r="C22" s="70"/>
      <c r="D22" s="71" t="n">
        <v>99</v>
      </c>
      <c r="E22" s="71" t="n">
        <v>99</v>
      </c>
      <c r="F22" s="71"/>
    </row>
    <row r="23" s="58" customFormat="true" ht="12" hidden="true" customHeight="true" outlineLevel="3" collapsed="false">
      <c r="A23" s="70" t="s">
        <v>91</v>
      </c>
      <c r="B23" s="70"/>
      <c r="C23" s="70"/>
      <c r="D23" s="71" t="n">
        <v>56</v>
      </c>
      <c r="E23" s="71" t="n">
        <v>56</v>
      </c>
      <c r="F23" s="71"/>
    </row>
    <row r="24" s="58" customFormat="true" ht="12" hidden="true" customHeight="true" outlineLevel="3" collapsed="false">
      <c r="A24" s="70" t="s">
        <v>92</v>
      </c>
      <c r="B24" s="70"/>
      <c r="C24" s="70"/>
      <c r="D24" s="71" t="n">
        <v>55</v>
      </c>
      <c r="E24" s="71" t="n">
        <v>55</v>
      </c>
      <c r="F24" s="71"/>
    </row>
    <row r="25" s="58" customFormat="true" ht="12" hidden="true" customHeight="true" outlineLevel="3" collapsed="false">
      <c r="A25" s="70" t="s">
        <v>93</v>
      </c>
      <c r="B25" s="70"/>
      <c r="C25" s="70"/>
      <c r="D25" s="71" t="n">
        <v>73</v>
      </c>
      <c r="E25" s="71" t="n">
        <v>73</v>
      </c>
      <c r="F25" s="71"/>
    </row>
    <row r="26" s="58" customFormat="true" ht="12" hidden="true" customHeight="true" outlineLevel="3" collapsed="false">
      <c r="A26" s="70" t="s">
        <v>94</v>
      </c>
      <c r="B26" s="70"/>
      <c r="C26" s="70"/>
      <c r="D26" s="71" t="n">
        <v>198</v>
      </c>
      <c r="E26" s="71" t="n">
        <v>198</v>
      </c>
      <c r="F26" s="71"/>
    </row>
    <row r="27" s="58" customFormat="true" ht="12" hidden="true" customHeight="true" outlineLevel="3" collapsed="false">
      <c r="A27" s="70" t="s">
        <v>95</v>
      </c>
      <c r="B27" s="70"/>
      <c r="C27" s="70"/>
      <c r="D27" s="71" t="n">
        <v>108</v>
      </c>
      <c r="E27" s="71" t="n">
        <v>108</v>
      </c>
      <c r="F27" s="71"/>
    </row>
    <row r="28" s="58" customFormat="true" ht="12" hidden="true" customHeight="true" outlineLevel="3" collapsed="false">
      <c r="A28" s="70" t="s">
        <v>96</v>
      </c>
      <c r="B28" s="70"/>
      <c r="C28" s="70"/>
      <c r="D28" s="71" t="n">
        <v>98</v>
      </c>
      <c r="E28" s="71" t="n">
        <v>98</v>
      </c>
      <c r="F28" s="71"/>
    </row>
    <row r="29" s="58" customFormat="true" ht="12" hidden="true" customHeight="true" outlineLevel="3" collapsed="false">
      <c r="A29" s="70" t="s">
        <v>97</v>
      </c>
      <c r="B29" s="70"/>
      <c r="C29" s="70"/>
      <c r="D29" s="71" t="n">
        <v>80</v>
      </c>
      <c r="E29" s="71" t="n">
        <v>80</v>
      </c>
      <c r="F29" s="71"/>
    </row>
    <row r="30" s="58" customFormat="true" ht="12" hidden="true" customHeight="true" outlineLevel="3" collapsed="false">
      <c r="A30" s="70" t="s">
        <v>98</v>
      </c>
      <c r="B30" s="70"/>
      <c r="C30" s="70"/>
      <c r="D30" s="71" t="n">
        <v>51</v>
      </c>
      <c r="E30" s="71" t="n">
        <v>51</v>
      </c>
      <c r="F30" s="71"/>
    </row>
    <row r="31" s="58" customFormat="true" ht="12" hidden="true" customHeight="true" outlineLevel="3" collapsed="false">
      <c r="A31" s="70" t="s">
        <v>99</v>
      </c>
      <c r="B31" s="70"/>
      <c r="C31" s="70"/>
      <c r="D31" s="71" t="n">
        <v>92</v>
      </c>
      <c r="E31" s="71" t="n">
        <v>92</v>
      </c>
      <c r="F31" s="71"/>
    </row>
    <row r="32" s="58" customFormat="true" ht="12" hidden="false" customHeight="true" outlineLevel="2" collapsed="true">
      <c r="A32" s="68" t="s">
        <v>100</v>
      </c>
      <c r="B32" s="68"/>
      <c r="C32" s="68"/>
      <c r="D32" s="69" t="n">
        <v>149</v>
      </c>
      <c r="E32" s="69" t="n">
        <v>149</v>
      </c>
      <c r="F32" s="69"/>
    </row>
    <row r="33" s="58" customFormat="true" ht="12" hidden="true" customHeight="true" outlineLevel="3" collapsed="false">
      <c r="A33" s="70" t="s">
        <v>101</v>
      </c>
      <c r="B33" s="70"/>
      <c r="C33" s="70"/>
      <c r="D33" s="71" t="n">
        <v>58</v>
      </c>
      <c r="E33" s="71" t="n">
        <v>58</v>
      </c>
      <c r="F33" s="71"/>
    </row>
    <row r="34" s="58" customFormat="true" ht="12" hidden="true" customHeight="true" outlineLevel="3" collapsed="false">
      <c r="A34" s="70" t="s">
        <v>102</v>
      </c>
      <c r="B34" s="70"/>
      <c r="C34" s="70"/>
      <c r="D34" s="71" t="n">
        <v>46</v>
      </c>
      <c r="E34" s="71" t="n">
        <v>46</v>
      </c>
      <c r="F34" s="71"/>
    </row>
    <row r="35" s="58" customFormat="true" ht="12" hidden="true" customHeight="true" outlineLevel="3" collapsed="false">
      <c r="A35" s="70" t="s">
        <v>103</v>
      </c>
      <c r="B35" s="70"/>
      <c r="C35" s="70"/>
      <c r="D35" s="71" t="n">
        <v>45</v>
      </c>
      <c r="E35" s="71" t="n">
        <v>45</v>
      </c>
      <c r="F35" s="71"/>
    </row>
    <row r="36" s="58" customFormat="true" ht="12" hidden="false" customHeight="true" outlineLevel="2" collapsed="true">
      <c r="A36" s="68" t="s">
        <v>104</v>
      </c>
      <c r="B36" s="68"/>
      <c r="C36" s="68"/>
      <c r="D36" s="72" t="n">
        <v>3798</v>
      </c>
      <c r="E36" s="72" t="n">
        <v>3798</v>
      </c>
      <c r="F36" s="72"/>
    </row>
    <row r="37" s="58" customFormat="true" ht="12" hidden="true" customHeight="true" outlineLevel="3" collapsed="false">
      <c r="A37" s="70" t="s">
        <v>105</v>
      </c>
      <c r="B37" s="70"/>
      <c r="C37" s="70"/>
      <c r="D37" s="71" t="n">
        <v>92</v>
      </c>
      <c r="E37" s="71" t="n">
        <v>92</v>
      </c>
      <c r="F37" s="71"/>
    </row>
    <row r="38" s="58" customFormat="true" ht="12" hidden="true" customHeight="true" outlineLevel="3" collapsed="false">
      <c r="A38" s="70" t="s">
        <v>106</v>
      </c>
      <c r="B38" s="70"/>
      <c r="C38" s="70"/>
      <c r="D38" s="71" t="n">
        <v>32</v>
      </c>
      <c r="E38" s="71" t="n">
        <v>32</v>
      </c>
      <c r="F38" s="71"/>
    </row>
    <row r="39" s="58" customFormat="true" ht="12" hidden="true" customHeight="true" outlineLevel="3" collapsed="false">
      <c r="A39" s="70" t="s">
        <v>107</v>
      </c>
      <c r="B39" s="70"/>
      <c r="C39" s="70"/>
      <c r="D39" s="71" t="n">
        <v>25</v>
      </c>
      <c r="E39" s="71" t="n">
        <v>25</v>
      </c>
      <c r="F39" s="71"/>
    </row>
    <row r="40" s="58" customFormat="true" ht="12" hidden="true" customHeight="true" outlineLevel="3" collapsed="false">
      <c r="A40" s="70" t="s">
        <v>108</v>
      </c>
      <c r="B40" s="70"/>
      <c r="C40" s="70"/>
      <c r="D40" s="71" t="n">
        <v>14</v>
      </c>
      <c r="E40" s="71" t="n">
        <v>14</v>
      </c>
      <c r="F40" s="71"/>
    </row>
    <row r="41" s="58" customFormat="true" ht="12" hidden="true" customHeight="true" outlineLevel="3" collapsed="false">
      <c r="A41" s="70" t="s">
        <v>109</v>
      </c>
      <c r="B41" s="70"/>
      <c r="C41" s="70"/>
      <c r="D41" s="71" t="n">
        <v>47</v>
      </c>
      <c r="E41" s="71" t="n">
        <v>47</v>
      </c>
      <c r="F41" s="71"/>
    </row>
    <row r="42" s="58" customFormat="true" ht="12" hidden="true" customHeight="true" outlineLevel="3" collapsed="false">
      <c r="A42" s="70" t="s">
        <v>110</v>
      </c>
      <c r="B42" s="70"/>
      <c r="C42" s="70"/>
      <c r="D42" s="71" t="n">
        <v>41</v>
      </c>
      <c r="E42" s="71" t="n">
        <v>41</v>
      </c>
      <c r="F42" s="71"/>
    </row>
    <row r="43" s="58" customFormat="true" ht="12" hidden="true" customHeight="true" outlineLevel="3" collapsed="false">
      <c r="A43" s="70" t="s">
        <v>111</v>
      </c>
      <c r="B43" s="70"/>
      <c r="C43" s="70"/>
      <c r="D43" s="71" t="n">
        <v>41</v>
      </c>
      <c r="E43" s="71" t="n">
        <v>41</v>
      </c>
      <c r="F43" s="71"/>
    </row>
    <row r="44" s="58" customFormat="true" ht="12" hidden="true" customHeight="true" outlineLevel="3" collapsed="false">
      <c r="A44" s="70" t="s">
        <v>112</v>
      </c>
      <c r="B44" s="70"/>
      <c r="C44" s="70"/>
      <c r="D44" s="71" t="n">
        <v>55</v>
      </c>
      <c r="E44" s="71" t="n">
        <v>55</v>
      </c>
      <c r="F44" s="71"/>
    </row>
    <row r="45" s="58" customFormat="true" ht="12" hidden="true" customHeight="true" outlineLevel="3" collapsed="false">
      <c r="A45" s="70" t="s">
        <v>113</v>
      </c>
      <c r="B45" s="70"/>
      <c r="C45" s="70"/>
      <c r="D45" s="71" t="n">
        <v>55</v>
      </c>
      <c r="E45" s="71" t="n">
        <v>55</v>
      </c>
      <c r="F45" s="71"/>
    </row>
    <row r="46" s="58" customFormat="true" ht="12" hidden="true" customHeight="true" outlineLevel="3" collapsed="false">
      <c r="A46" s="70" t="s">
        <v>114</v>
      </c>
      <c r="B46" s="70"/>
      <c r="C46" s="70"/>
      <c r="D46" s="71" t="n">
        <v>36</v>
      </c>
      <c r="E46" s="71" t="n">
        <v>36</v>
      </c>
      <c r="F46" s="71"/>
    </row>
    <row r="47" s="58" customFormat="true" ht="12" hidden="true" customHeight="true" outlineLevel="3" collapsed="false">
      <c r="A47" s="70" t="s">
        <v>115</v>
      </c>
      <c r="B47" s="70"/>
      <c r="C47" s="70"/>
      <c r="D47" s="71" t="n">
        <v>15</v>
      </c>
      <c r="E47" s="71" t="n">
        <v>15</v>
      </c>
      <c r="F47" s="71"/>
    </row>
    <row r="48" s="58" customFormat="true" ht="12" hidden="true" customHeight="true" outlineLevel="3" collapsed="false">
      <c r="A48" s="70" t="s">
        <v>116</v>
      </c>
      <c r="B48" s="70"/>
      <c r="C48" s="70"/>
      <c r="D48" s="71" t="n">
        <v>59</v>
      </c>
      <c r="E48" s="71" t="n">
        <v>59</v>
      </c>
      <c r="F48" s="71"/>
    </row>
    <row r="49" s="58" customFormat="true" ht="12" hidden="true" customHeight="true" outlineLevel="3" collapsed="false">
      <c r="A49" s="70" t="s">
        <v>117</v>
      </c>
      <c r="B49" s="70"/>
      <c r="C49" s="70"/>
      <c r="D49" s="71" t="n">
        <v>54</v>
      </c>
      <c r="E49" s="71" t="n">
        <v>54</v>
      </c>
      <c r="F49" s="71"/>
    </row>
    <row r="50" s="58" customFormat="true" ht="12" hidden="true" customHeight="true" outlineLevel="3" collapsed="false">
      <c r="A50" s="70" t="s">
        <v>118</v>
      </c>
      <c r="B50" s="70"/>
      <c r="C50" s="70"/>
      <c r="D50" s="71" t="n">
        <v>78</v>
      </c>
      <c r="E50" s="71" t="n">
        <v>78</v>
      </c>
      <c r="F50" s="71"/>
    </row>
    <row r="51" s="58" customFormat="true" ht="12" hidden="true" customHeight="true" outlineLevel="3" collapsed="false">
      <c r="A51" s="70" t="s">
        <v>119</v>
      </c>
      <c r="B51" s="70"/>
      <c r="C51" s="70"/>
      <c r="D51" s="71" t="n">
        <v>119</v>
      </c>
      <c r="E51" s="71" t="n">
        <v>119</v>
      </c>
      <c r="F51" s="71"/>
    </row>
    <row r="52" s="58" customFormat="true" ht="12" hidden="true" customHeight="true" outlineLevel="3" collapsed="false">
      <c r="A52" s="70" t="s">
        <v>120</v>
      </c>
      <c r="B52" s="70"/>
      <c r="C52" s="70"/>
      <c r="D52" s="71" t="n">
        <v>73</v>
      </c>
      <c r="E52" s="71" t="n">
        <v>73</v>
      </c>
      <c r="F52" s="71"/>
    </row>
    <row r="53" s="58" customFormat="true" ht="12" hidden="true" customHeight="true" outlineLevel="3" collapsed="false">
      <c r="A53" s="70" t="s">
        <v>121</v>
      </c>
      <c r="B53" s="70"/>
      <c r="C53" s="70"/>
      <c r="D53" s="71" t="n">
        <v>71</v>
      </c>
      <c r="E53" s="71" t="n">
        <v>71</v>
      </c>
      <c r="F53" s="71"/>
    </row>
    <row r="54" s="58" customFormat="true" ht="12" hidden="true" customHeight="true" outlineLevel="3" collapsed="false">
      <c r="A54" s="70" t="s">
        <v>122</v>
      </c>
      <c r="B54" s="70"/>
      <c r="C54" s="70"/>
      <c r="D54" s="71" t="n">
        <v>72</v>
      </c>
      <c r="E54" s="71" t="n">
        <v>72</v>
      </c>
      <c r="F54" s="71"/>
    </row>
    <row r="55" s="58" customFormat="true" ht="12" hidden="true" customHeight="true" outlineLevel="3" collapsed="false">
      <c r="A55" s="70" t="s">
        <v>123</v>
      </c>
      <c r="B55" s="70"/>
      <c r="C55" s="70"/>
      <c r="D55" s="71" t="n">
        <v>53</v>
      </c>
      <c r="E55" s="71" t="n">
        <v>53</v>
      </c>
      <c r="F55" s="71"/>
    </row>
    <row r="56" s="58" customFormat="true" ht="12" hidden="true" customHeight="true" outlineLevel="3" collapsed="false">
      <c r="A56" s="70" t="s">
        <v>124</v>
      </c>
      <c r="B56" s="70"/>
      <c r="C56" s="70"/>
      <c r="D56" s="71" t="n">
        <v>83</v>
      </c>
      <c r="E56" s="71" t="n">
        <v>83</v>
      </c>
      <c r="F56" s="71"/>
    </row>
    <row r="57" s="58" customFormat="true" ht="12" hidden="true" customHeight="true" outlineLevel="3" collapsed="false">
      <c r="A57" s="70" t="s">
        <v>125</v>
      </c>
      <c r="B57" s="70"/>
      <c r="C57" s="70"/>
      <c r="D57" s="71" t="n">
        <v>201</v>
      </c>
      <c r="E57" s="71" t="n">
        <v>201</v>
      </c>
      <c r="F57" s="71"/>
    </row>
    <row r="58" s="58" customFormat="true" ht="12" hidden="true" customHeight="true" outlineLevel="3" collapsed="false">
      <c r="A58" s="70" t="s">
        <v>126</v>
      </c>
      <c r="B58" s="70"/>
      <c r="C58" s="70"/>
      <c r="D58" s="71" t="n">
        <v>46</v>
      </c>
      <c r="E58" s="71" t="n">
        <v>46</v>
      </c>
      <c r="F58" s="71"/>
    </row>
    <row r="59" s="58" customFormat="true" ht="12" hidden="true" customHeight="true" outlineLevel="3" collapsed="false">
      <c r="A59" s="70" t="s">
        <v>127</v>
      </c>
      <c r="B59" s="70"/>
      <c r="C59" s="70"/>
      <c r="D59" s="71" t="n">
        <v>80</v>
      </c>
      <c r="E59" s="71" t="n">
        <v>80</v>
      </c>
      <c r="F59" s="71"/>
    </row>
    <row r="60" s="58" customFormat="true" ht="12" hidden="true" customHeight="true" outlineLevel="3" collapsed="false">
      <c r="A60" s="70" t="s">
        <v>128</v>
      </c>
      <c r="B60" s="70"/>
      <c r="C60" s="70"/>
      <c r="D60" s="71" t="n">
        <v>101</v>
      </c>
      <c r="E60" s="71" t="n">
        <v>101</v>
      </c>
      <c r="F60" s="71"/>
    </row>
    <row r="61" s="58" customFormat="true" ht="12" hidden="true" customHeight="true" outlineLevel="3" collapsed="false">
      <c r="A61" s="70" t="s">
        <v>129</v>
      </c>
      <c r="B61" s="70"/>
      <c r="C61" s="70"/>
      <c r="D61" s="71" t="n">
        <v>86</v>
      </c>
      <c r="E61" s="71" t="n">
        <v>86</v>
      </c>
      <c r="F61" s="71"/>
    </row>
    <row r="62" s="58" customFormat="true" ht="12" hidden="true" customHeight="true" outlineLevel="3" collapsed="false">
      <c r="A62" s="70" t="s">
        <v>130</v>
      </c>
      <c r="B62" s="70"/>
      <c r="C62" s="70"/>
      <c r="D62" s="71" t="n">
        <v>131</v>
      </c>
      <c r="E62" s="71" t="n">
        <v>131</v>
      </c>
      <c r="F62" s="71"/>
    </row>
    <row r="63" s="58" customFormat="true" ht="12" hidden="true" customHeight="true" outlineLevel="3" collapsed="false">
      <c r="A63" s="70" t="s">
        <v>131</v>
      </c>
      <c r="B63" s="70"/>
      <c r="C63" s="70"/>
      <c r="D63" s="71" t="n">
        <v>107</v>
      </c>
      <c r="E63" s="71" t="n">
        <v>107</v>
      </c>
      <c r="F63" s="71"/>
    </row>
    <row r="64" s="58" customFormat="true" ht="12" hidden="true" customHeight="true" outlineLevel="3" collapsed="false">
      <c r="A64" s="70" t="s">
        <v>132</v>
      </c>
      <c r="B64" s="70"/>
      <c r="C64" s="70"/>
      <c r="D64" s="71" t="n">
        <v>84</v>
      </c>
      <c r="E64" s="71" t="n">
        <v>84</v>
      </c>
      <c r="F64" s="71"/>
    </row>
    <row r="65" s="58" customFormat="true" ht="12" hidden="true" customHeight="true" outlineLevel="3" collapsed="false">
      <c r="A65" s="70" t="s">
        <v>133</v>
      </c>
      <c r="B65" s="70"/>
      <c r="C65" s="70"/>
      <c r="D65" s="71" t="n">
        <v>84</v>
      </c>
      <c r="E65" s="71" t="n">
        <v>84</v>
      </c>
      <c r="F65" s="71"/>
    </row>
    <row r="66" s="58" customFormat="true" ht="12" hidden="true" customHeight="true" outlineLevel="3" collapsed="false">
      <c r="A66" s="70" t="s">
        <v>134</v>
      </c>
      <c r="B66" s="70"/>
      <c r="C66" s="70"/>
      <c r="D66" s="71" t="n">
        <v>86</v>
      </c>
      <c r="E66" s="71" t="n">
        <v>86</v>
      </c>
      <c r="F66" s="71"/>
    </row>
    <row r="67" s="58" customFormat="true" ht="12" hidden="true" customHeight="true" outlineLevel="3" collapsed="false">
      <c r="A67" s="70" t="s">
        <v>135</v>
      </c>
      <c r="B67" s="70"/>
      <c r="C67" s="70"/>
      <c r="D67" s="71" t="n">
        <v>95</v>
      </c>
      <c r="E67" s="71" t="n">
        <v>95</v>
      </c>
      <c r="F67" s="71"/>
    </row>
    <row r="68" s="58" customFormat="true" ht="12" hidden="true" customHeight="true" outlineLevel="3" collapsed="false">
      <c r="A68" s="70" t="s">
        <v>136</v>
      </c>
      <c r="B68" s="70"/>
      <c r="C68" s="70"/>
      <c r="D68" s="71" t="n">
        <v>90</v>
      </c>
      <c r="E68" s="71" t="n">
        <v>90</v>
      </c>
      <c r="F68" s="71"/>
    </row>
    <row r="69" s="58" customFormat="true" ht="12" hidden="true" customHeight="true" outlineLevel="3" collapsed="false">
      <c r="A69" s="70" t="s">
        <v>137</v>
      </c>
      <c r="B69" s="70"/>
      <c r="C69" s="70"/>
      <c r="D69" s="71" t="n">
        <v>91</v>
      </c>
      <c r="E69" s="71" t="n">
        <v>91</v>
      </c>
      <c r="F69" s="71"/>
    </row>
    <row r="70" s="58" customFormat="true" ht="12" hidden="true" customHeight="true" outlineLevel="3" collapsed="false">
      <c r="A70" s="70" t="s">
        <v>138</v>
      </c>
      <c r="B70" s="70"/>
      <c r="C70" s="70"/>
      <c r="D70" s="71" t="n">
        <v>3</v>
      </c>
      <c r="E70" s="71" t="n">
        <v>3</v>
      </c>
      <c r="F70" s="71"/>
    </row>
    <row r="71" s="58" customFormat="true" ht="12" hidden="true" customHeight="true" outlineLevel="3" collapsed="false">
      <c r="A71" s="70" t="s">
        <v>139</v>
      </c>
      <c r="B71" s="70"/>
      <c r="C71" s="70"/>
      <c r="D71" s="71" t="n">
        <v>5</v>
      </c>
      <c r="E71" s="71" t="n">
        <v>5</v>
      </c>
      <c r="F71" s="71"/>
    </row>
    <row r="72" s="58" customFormat="true" ht="12" hidden="true" customHeight="true" outlineLevel="3" collapsed="false">
      <c r="A72" s="70" t="s">
        <v>140</v>
      </c>
      <c r="B72" s="70"/>
      <c r="C72" s="70"/>
      <c r="D72" s="71" t="n">
        <v>14</v>
      </c>
      <c r="E72" s="71" t="n">
        <v>14</v>
      </c>
      <c r="F72" s="71"/>
    </row>
    <row r="73" s="58" customFormat="true" ht="12" hidden="true" customHeight="true" outlineLevel="3" collapsed="false">
      <c r="A73" s="70" t="s">
        <v>141</v>
      </c>
      <c r="B73" s="70"/>
      <c r="C73" s="70"/>
      <c r="D73" s="71" t="n">
        <v>85</v>
      </c>
      <c r="E73" s="71" t="n">
        <v>85</v>
      </c>
      <c r="F73" s="71"/>
    </row>
    <row r="74" s="58" customFormat="true" ht="12" hidden="true" customHeight="true" outlineLevel="3" collapsed="false">
      <c r="A74" s="70" t="s">
        <v>142</v>
      </c>
      <c r="B74" s="70"/>
      <c r="C74" s="70"/>
      <c r="D74" s="71" t="n">
        <v>93</v>
      </c>
      <c r="E74" s="71" t="n">
        <v>93</v>
      </c>
      <c r="F74" s="71"/>
    </row>
    <row r="75" s="58" customFormat="true" ht="12" hidden="true" customHeight="true" outlineLevel="3" collapsed="false">
      <c r="A75" s="70" t="s">
        <v>143</v>
      </c>
      <c r="B75" s="70"/>
      <c r="C75" s="70"/>
      <c r="D75" s="71" t="n">
        <v>101</v>
      </c>
      <c r="E75" s="71" t="n">
        <v>101</v>
      </c>
      <c r="F75" s="71"/>
    </row>
    <row r="76" s="58" customFormat="true" ht="12" hidden="true" customHeight="true" outlineLevel="3" collapsed="false">
      <c r="A76" s="70" t="s">
        <v>144</v>
      </c>
      <c r="B76" s="70"/>
      <c r="C76" s="70"/>
      <c r="D76" s="71" t="n">
        <v>96</v>
      </c>
      <c r="E76" s="71" t="n">
        <v>96</v>
      </c>
      <c r="F76" s="71"/>
    </row>
    <row r="77" s="58" customFormat="true" ht="12" hidden="true" customHeight="true" outlineLevel="3" collapsed="false">
      <c r="A77" s="70" t="s">
        <v>145</v>
      </c>
      <c r="B77" s="70"/>
      <c r="C77" s="70"/>
      <c r="D77" s="71" t="n">
        <v>90</v>
      </c>
      <c r="E77" s="71" t="n">
        <v>90</v>
      </c>
      <c r="F77" s="71"/>
    </row>
    <row r="78" s="58" customFormat="true" ht="12" hidden="true" customHeight="true" outlineLevel="3" collapsed="false">
      <c r="A78" s="70" t="s">
        <v>146</v>
      </c>
      <c r="B78" s="70"/>
      <c r="C78" s="70"/>
      <c r="D78" s="71" t="n">
        <v>92</v>
      </c>
      <c r="E78" s="71" t="n">
        <v>92</v>
      </c>
      <c r="F78" s="71"/>
    </row>
    <row r="79" s="58" customFormat="true" ht="12" hidden="true" customHeight="true" outlineLevel="3" collapsed="false">
      <c r="A79" s="70" t="s">
        <v>147</v>
      </c>
      <c r="B79" s="70"/>
      <c r="C79" s="70"/>
      <c r="D79" s="71" t="n">
        <v>93</v>
      </c>
      <c r="E79" s="71" t="n">
        <v>93</v>
      </c>
      <c r="F79" s="71"/>
    </row>
    <row r="80" s="58" customFormat="true" ht="12" hidden="true" customHeight="true" outlineLevel="3" collapsed="false">
      <c r="A80" s="70" t="s">
        <v>148</v>
      </c>
      <c r="B80" s="70"/>
      <c r="C80" s="70"/>
      <c r="D80" s="71" t="n">
        <v>97</v>
      </c>
      <c r="E80" s="71" t="n">
        <v>97</v>
      </c>
      <c r="F80" s="71"/>
    </row>
    <row r="81" s="58" customFormat="true" ht="12" hidden="true" customHeight="true" outlineLevel="3" collapsed="false">
      <c r="A81" s="70" t="s">
        <v>149</v>
      </c>
      <c r="B81" s="70"/>
      <c r="C81" s="70"/>
      <c r="D81" s="71" t="n">
        <v>45</v>
      </c>
      <c r="E81" s="71" t="n">
        <v>45</v>
      </c>
      <c r="F81" s="71"/>
    </row>
    <row r="82" s="58" customFormat="true" ht="12" hidden="true" customHeight="true" outlineLevel="3" collapsed="false">
      <c r="A82" s="70" t="s">
        <v>150</v>
      </c>
      <c r="B82" s="70"/>
      <c r="C82" s="70"/>
      <c r="D82" s="71" t="n">
        <v>53</v>
      </c>
      <c r="E82" s="71" t="n">
        <v>53</v>
      </c>
      <c r="F82" s="71"/>
    </row>
    <row r="83" s="58" customFormat="true" ht="12" hidden="true" customHeight="true" outlineLevel="3" collapsed="false">
      <c r="A83" s="70" t="s">
        <v>151</v>
      </c>
      <c r="B83" s="70"/>
      <c r="C83" s="70"/>
      <c r="D83" s="71" t="n">
        <v>135</v>
      </c>
      <c r="E83" s="71" t="n">
        <v>135</v>
      </c>
      <c r="F83" s="71"/>
    </row>
    <row r="84" s="58" customFormat="true" ht="12" hidden="true" customHeight="true" outlineLevel="3" collapsed="false">
      <c r="A84" s="70" t="s">
        <v>152</v>
      </c>
      <c r="B84" s="70"/>
      <c r="C84" s="70"/>
      <c r="D84" s="71" t="n">
        <v>24</v>
      </c>
      <c r="E84" s="71" t="n">
        <v>24</v>
      </c>
      <c r="F84" s="71"/>
    </row>
    <row r="85" s="58" customFormat="true" ht="12" hidden="true" customHeight="true" outlineLevel="3" collapsed="false">
      <c r="A85" s="70" t="s">
        <v>153</v>
      </c>
      <c r="B85" s="70"/>
      <c r="C85" s="70"/>
      <c r="D85" s="71" t="n">
        <v>22</v>
      </c>
      <c r="E85" s="71" t="n">
        <v>22</v>
      </c>
      <c r="F85" s="71"/>
    </row>
    <row r="86" s="58" customFormat="true" ht="12" hidden="true" customHeight="true" outlineLevel="3" collapsed="false">
      <c r="A86" s="70" t="s">
        <v>154</v>
      </c>
      <c r="B86" s="70"/>
      <c r="C86" s="70"/>
      <c r="D86" s="71" t="n">
        <v>83</v>
      </c>
      <c r="E86" s="71" t="n">
        <v>83</v>
      </c>
      <c r="F86" s="71"/>
    </row>
    <row r="87" s="58" customFormat="true" ht="12" hidden="true" customHeight="true" outlineLevel="3" collapsed="false">
      <c r="A87" s="70" t="s">
        <v>155</v>
      </c>
      <c r="B87" s="70"/>
      <c r="C87" s="70"/>
      <c r="D87" s="71" t="n">
        <v>60</v>
      </c>
      <c r="E87" s="71" t="n">
        <v>60</v>
      </c>
      <c r="F87" s="71"/>
    </row>
    <row r="88" s="58" customFormat="true" ht="12" hidden="true" customHeight="true" outlineLevel="3" collapsed="false">
      <c r="A88" s="70" t="s">
        <v>156</v>
      </c>
      <c r="B88" s="70"/>
      <c r="C88" s="70"/>
      <c r="D88" s="71" t="n">
        <v>71</v>
      </c>
      <c r="E88" s="71" t="n">
        <v>71</v>
      </c>
      <c r="F88" s="71"/>
    </row>
    <row r="89" s="58" customFormat="true" ht="12" hidden="true" customHeight="true" outlineLevel="3" collapsed="false">
      <c r="A89" s="70" t="s">
        <v>157</v>
      </c>
      <c r="B89" s="70"/>
      <c r="C89" s="70"/>
      <c r="D89" s="71" t="n">
        <v>40</v>
      </c>
      <c r="E89" s="71" t="n">
        <v>40</v>
      </c>
      <c r="F89" s="71"/>
    </row>
    <row r="90" s="58" customFormat="true" ht="12" hidden="true" customHeight="true" outlineLevel="3" collapsed="false">
      <c r="A90" s="70" t="s">
        <v>158</v>
      </c>
      <c r="B90" s="70"/>
      <c r="C90" s="70"/>
      <c r="D90" s="71" t="n">
        <v>49</v>
      </c>
      <c r="E90" s="71" t="n">
        <v>49</v>
      </c>
      <c r="F90" s="71"/>
    </row>
    <row r="91" s="58" customFormat="true" ht="12" hidden="true" customHeight="true" outlineLevel="3" collapsed="false">
      <c r="A91" s="70" t="s">
        <v>159</v>
      </c>
      <c r="B91" s="70"/>
      <c r="C91" s="70"/>
      <c r="D91" s="71" t="n">
        <v>20</v>
      </c>
      <c r="E91" s="71" t="n">
        <v>20</v>
      </c>
      <c r="F91" s="71"/>
    </row>
    <row r="92" s="58" customFormat="true" ht="12" hidden="true" customHeight="true" outlineLevel="3" collapsed="false">
      <c r="A92" s="70" t="s">
        <v>160</v>
      </c>
      <c r="B92" s="70"/>
      <c r="C92" s="70"/>
      <c r="D92" s="71" t="n">
        <v>8</v>
      </c>
      <c r="E92" s="71" t="n">
        <v>8</v>
      </c>
      <c r="F92" s="71"/>
    </row>
    <row r="93" s="58" customFormat="true" ht="12" hidden="true" customHeight="true" outlineLevel="3" collapsed="false">
      <c r="A93" s="70" t="s">
        <v>161</v>
      </c>
      <c r="B93" s="70"/>
      <c r="C93" s="70"/>
      <c r="D93" s="71" t="n">
        <v>13</v>
      </c>
      <c r="E93" s="71" t="n">
        <v>13</v>
      </c>
      <c r="F93" s="71"/>
    </row>
    <row r="94" s="58" customFormat="true" ht="12" hidden="true" customHeight="true" outlineLevel="3" collapsed="false">
      <c r="A94" s="70" t="s">
        <v>162</v>
      </c>
      <c r="B94" s="70"/>
      <c r="C94" s="70"/>
      <c r="D94" s="71" t="n">
        <v>9</v>
      </c>
      <c r="E94" s="71" t="n">
        <v>9</v>
      </c>
      <c r="F94" s="71"/>
    </row>
    <row r="95" s="58" customFormat="true" ht="12" hidden="false" customHeight="true" outlineLevel="2" collapsed="true">
      <c r="A95" s="68" t="s">
        <v>163</v>
      </c>
      <c r="B95" s="68"/>
      <c r="C95" s="68"/>
      <c r="D95" s="69" t="n">
        <v>251</v>
      </c>
      <c r="E95" s="69" t="n">
        <v>251</v>
      </c>
      <c r="F95" s="69"/>
    </row>
    <row r="96" s="58" customFormat="true" ht="12" hidden="true" customHeight="true" outlineLevel="3" collapsed="false">
      <c r="A96" s="70" t="s">
        <v>84</v>
      </c>
      <c r="B96" s="70"/>
      <c r="C96" s="70"/>
      <c r="D96" s="71" t="n">
        <v>15</v>
      </c>
      <c r="E96" s="71" t="n">
        <v>15</v>
      </c>
      <c r="F96" s="71"/>
    </row>
    <row r="97" s="58" customFormat="true" ht="12" hidden="true" customHeight="true" outlineLevel="3" collapsed="false">
      <c r="A97" s="70" t="s">
        <v>138</v>
      </c>
      <c r="B97" s="70"/>
      <c r="C97" s="70"/>
      <c r="D97" s="71" t="n">
        <v>88</v>
      </c>
      <c r="E97" s="71" t="n">
        <v>88</v>
      </c>
      <c r="F97" s="71"/>
    </row>
    <row r="98" s="58" customFormat="true" ht="12" hidden="true" customHeight="true" outlineLevel="3" collapsed="false">
      <c r="A98" s="70" t="s">
        <v>139</v>
      </c>
      <c r="B98" s="70"/>
      <c r="C98" s="70"/>
      <c r="D98" s="71" t="n">
        <v>76</v>
      </c>
      <c r="E98" s="71" t="n">
        <v>76</v>
      </c>
      <c r="F98" s="71"/>
    </row>
    <row r="99" s="58" customFormat="true" ht="12" hidden="true" customHeight="true" outlineLevel="3" collapsed="false">
      <c r="A99" s="70" t="s">
        <v>164</v>
      </c>
      <c r="B99" s="70"/>
      <c r="C99" s="70"/>
      <c r="D99" s="71" t="n">
        <v>44</v>
      </c>
      <c r="E99" s="71" t="n">
        <v>44</v>
      </c>
      <c r="F99" s="71"/>
    </row>
    <row r="100" s="58" customFormat="true" ht="12" hidden="true" customHeight="true" outlineLevel="3" collapsed="false">
      <c r="A100" s="70" t="s">
        <v>165</v>
      </c>
      <c r="B100" s="70"/>
      <c r="C100" s="70"/>
      <c r="D100" s="71" t="n">
        <v>28</v>
      </c>
      <c r="E100" s="71" t="n">
        <v>28</v>
      </c>
      <c r="F100" s="71"/>
    </row>
    <row r="101" customFormat="false" ht="12" hidden="false" customHeight="true" outlineLevel="1" collapsed="false">
      <c r="A101" s="66" t="s">
        <v>166</v>
      </c>
      <c r="B101" s="66"/>
      <c r="C101" s="66"/>
      <c r="D101" s="73" t="n">
        <v>2937.66</v>
      </c>
      <c r="E101" s="73" t="n">
        <v>2937.66</v>
      </c>
      <c r="F101" s="73"/>
    </row>
    <row r="102" customFormat="false" ht="12" hidden="false" customHeight="true" outlineLevel="2" collapsed="false">
      <c r="A102" s="74" t="s">
        <v>167</v>
      </c>
      <c r="B102" s="74"/>
      <c r="C102" s="74"/>
      <c r="D102" s="75" t="n">
        <v>778</v>
      </c>
      <c r="E102" s="75" t="n">
        <v>778</v>
      </c>
      <c r="F102" s="75"/>
    </row>
    <row r="103" customFormat="false" ht="12" hidden="false" customHeight="true" outlineLevel="3" collapsed="false">
      <c r="A103" s="70" t="s">
        <v>168</v>
      </c>
      <c r="B103" s="70"/>
      <c r="C103" s="70"/>
      <c r="D103" s="71" t="n">
        <v>11</v>
      </c>
      <c r="E103" s="71" t="n">
        <v>11</v>
      </c>
      <c r="F103" s="71"/>
    </row>
    <row r="104" customFormat="false" ht="12" hidden="false" customHeight="true" outlineLevel="3" collapsed="false">
      <c r="A104" s="70" t="s">
        <v>169</v>
      </c>
      <c r="B104" s="70"/>
      <c r="C104" s="70"/>
      <c r="D104" s="71" t="n">
        <v>56</v>
      </c>
      <c r="E104" s="71" t="n">
        <v>56</v>
      </c>
      <c r="F104" s="71"/>
    </row>
    <row r="105" customFormat="false" ht="12" hidden="false" customHeight="true" outlineLevel="3" collapsed="false">
      <c r="A105" s="70" t="s">
        <v>170</v>
      </c>
      <c r="B105" s="70"/>
      <c r="C105" s="70"/>
      <c r="D105" s="71" t="n">
        <v>14</v>
      </c>
      <c r="E105" s="71" t="n">
        <v>14</v>
      </c>
      <c r="F105" s="71"/>
    </row>
    <row r="106" customFormat="false" ht="12" hidden="false" customHeight="true" outlineLevel="3" collapsed="false">
      <c r="A106" s="70" t="s">
        <v>171</v>
      </c>
      <c r="B106" s="70"/>
      <c r="C106" s="70"/>
      <c r="D106" s="71" t="n">
        <v>40</v>
      </c>
      <c r="E106" s="71" t="n">
        <v>40</v>
      </c>
      <c r="F106" s="71"/>
    </row>
    <row r="107" customFormat="false" ht="12" hidden="false" customHeight="true" outlineLevel="3" collapsed="false">
      <c r="A107" s="70" t="s">
        <v>172</v>
      </c>
      <c r="B107" s="70"/>
      <c r="C107" s="70"/>
      <c r="D107" s="71" t="n">
        <v>4</v>
      </c>
      <c r="E107" s="71" t="n">
        <v>4</v>
      </c>
      <c r="F107" s="71"/>
    </row>
    <row r="108" customFormat="false" ht="12" hidden="false" customHeight="true" outlineLevel="3" collapsed="false">
      <c r="A108" s="70" t="s">
        <v>173</v>
      </c>
      <c r="B108" s="70"/>
      <c r="C108" s="70"/>
      <c r="D108" s="71" t="n">
        <v>63</v>
      </c>
      <c r="E108" s="71" t="n">
        <v>63</v>
      </c>
      <c r="F108" s="71"/>
    </row>
    <row r="109" customFormat="false" ht="12" hidden="false" customHeight="true" outlineLevel="3" collapsed="false">
      <c r="A109" s="70" t="s">
        <v>174</v>
      </c>
      <c r="B109" s="70"/>
      <c r="C109" s="70"/>
      <c r="D109" s="71" t="n">
        <v>47</v>
      </c>
      <c r="E109" s="71" t="n">
        <v>47</v>
      </c>
      <c r="F109" s="71"/>
    </row>
    <row r="110" customFormat="false" ht="12" hidden="false" customHeight="true" outlineLevel="3" collapsed="false">
      <c r="A110" s="70" t="s">
        <v>67</v>
      </c>
      <c r="B110" s="70"/>
      <c r="C110" s="70"/>
      <c r="D110" s="71" t="n">
        <v>36</v>
      </c>
      <c r="E110" s="71" t="n">
        <v>36</v>
      </c>
      <c r="F110" s="71"/>
    </row>
    <row r="111" customFormat="false" ht="12" hidden="false" customHeight="true" outlineLevel="3" collapsed="false">
      <c r="A111" s="70" t="s">
        <v>69</v>
      </c>
      <c r="B111" s="70"/>
      <c r="C111" s="70"/>
      <c r="D111" s="71" t="n">
        <v>41</v>
      </c>
      <c r="E111" s="71" t="n">
        <v>41</v>
      </c>
      <c r="F111" s="71"/>
    </row>
    <row r="112" customFormat="false" ht="12" hidden="false" customHeight="true" outlineLevel="3" collapsed="false">
      <c r="A112" s="70" t="s">
        <v>175</v>
      </c>
      <c r="B112" s="70"/>
      <c r="C112" s="70"/>
      <c r="D112" s="71" t="n">
        <v>39</v>
      </c>
      <c r="E112" s="71" t="n">
        <v>39</v>
      </c>
      <c r="F112" s="71"/>
    </row>
    <row r="113" customFormat="false" ht="12" hidden="false" customHeight="true" outlineLevel="3" collapsed="false">
      <c r="A113" s="70" t="s">
        <v>50</v>
      </c>
      <c r="B113" s="70"/>
      <c r="C113" s="70"/>
      <c r="D113" s="71" t="n">
        <v>79</v>
      </c>
      <c r="E113" s="71" t="n">
        <v>79</v>
      </c>
      <c r="F113" s="71"/>
    </row>
    <row r="114" customFormat="false" ht="12" hidden="false" customHeight="true" outlineLevel="3" collapsed="false">
      <c r="A114" s="70" t="s">
        <v>176</v>
      </c>
      <c r="B114" s="70"/>
      <c r="C114" s="70"/>
      <c r="D114" s="71" t="n">
        <v>38</v>
      </c>
      <c r="E114" s="71" t="n">
        <v>38</v>
      </c>
      <c r="F114" s="71"/>
    </row>
    <row r="115" customFormat="false" ht="12" hidden="false" customHeight="true" outlineLevel="3" collapsed="false">
      <c r="A115" s="70" t="s">
        <v>65</v>
      </c>
      <c r="B115" s="70"/>
      <c r="C115" s="70"/>
      <c r="D115" s="71" t="n">
        <v>111</v>
      </c>
      <c r="E115" s="71" t="n">
        <v>111</v>
      </c>
      <c r="F115" s="71"/>
    </row>
    <row r="116" customFormat="false" ht="12" hidden="false" customHeight="true" outlineLevel="3" collapsed="false">
      <c r="A116" s="70" t="s">
        <v>177</v>
      </c>
      <c r="B116" s="70"/>
      <c r="C116" s="70"/>
      <c r="D116" s="71" t="n">
        <v>63</v>
      </c>
      <c r="E116" s="71" t="n">
        <v>63</v>
      </c>
      <c r="F116" s="71"/>
    </row>
    <row r="117" customFormat="false" ht="12" hidden="false" customHeight="true" outlineLevel="3" collapsed="false">
      <c r="A117" s="70" t="s">
        <v>178</v>
      </c>
      <c r="B117" s="70"/>
      <c r="C117" s="70"/>
      <c r="D117" s="71" t="n">
        <v>41</v>
      </c>
      <c r="E117" s="71" t="n">
        <v>41</v>
      </c>
      <c r="F117" s="71"/>
    </row>
    <row r="118" customFormat="false" ht="12" hidden="false" customHeight="true" outlineLevel="3" collapsed="false">
      <c r="A118" s="70" t="s">
        <v>179</v>
      </c>
      <c r="B118" s="70"/>
      <c r="C118" s="70"/>
      <c r="D118" s="71" t="n">
        <v>14</v>
      </c>
      <c r="E118" s="71" t="n">
        <v>14</v>
      </c>
      <c r="F118" s="71"/>
    </row>
    <row r="119" customFormat="false" ht="12" hidden="false" customHeight="true" outlineLevel="3" collapsed="false">
      <c r="A119" s="70" t="s">
        <v>180</v>
      </c>
      <c r="B119" s="70"/>
      <c r="C119" s="70"/>
      <c r="D119" s="71" t="n">
        <v>24</v>
      </c>
      <c r="E119" s="71" t="n">
        <v>24</v>
      </c>
      <c r="F119" s="71"/>
    </row>
    <row r="120" customFormat="false" ht="12" hidden="false" customHeight="true" outlineLevel="3" collapsed="false">
      <c r="A120" s="70" t="s">
        <v>181</v>
      </c>
      <c r="B120" s="70"/>
      <c r="C120" s="70"/>
      <c r="D120" s="71" t="n">
        <v>57</v>
      </c>
      <c r="E120" s="71" t="n">
        <v>57</v>
      </c>
      <c r="F120" s="71"/>
    </row>
    <row r="121" customFormat="false" ht="12" hidden="false" customHeight="true" outlineLevel="2" collapsed="false">
      <c r="A121" s="68" t="s">
        <v>182</v>
      </c>
      <c r="B121" s="68"/>
      <c r="C121" s="68"/>
      <c r="D121" s="69" t="n">
        <v>420</v>
      </c>
      <c r="E121" s="69" t="n">
        <v>420</v>
      </c>
      <c r="F121" s="69"/>
    </row>
    <row r="122" customFormat="false" ht="12" hidden="true" customHeight="true" outlineLevel="3" collapsed="false">
      <c r="A122" s="70" t="s">
        <v>168</v>
      </c>
      <c r="B122" s="70"/>
      <c r="C122" s="70"/>
      <c r="D122" s="71" t="n">
        <v>49</v>
      </c>
      <c r="E122" s="71" t="n">
        <v>49</v>
      </c>
      <c r="F122" s="71"/>
    </row>
    <row r="123" customFormat="false" ht="12" hidden="true" customHeight="true" outlineLevel="3" collapsed="false">
      <c r="A123" s="70" t="s">
        <v>183</v>
      </c>
      <c r="B123" s="70"/>
      <c r="C123" s="70"/>
      <c r="D123" s="71" t="n">
        <v>102</v>
      </c>
      <c r="E123" s="71" t="n">
        <v>102</v>
      </c>
      <c r="F123" s="71"/>
    </row>
    <row r="124" customFormat="false" ht="12" hidden="true" customHeight="true" outlineLevel="3" collapsed="false">
      <c r="A124" s="70" t="s">
        <v>184</v>
      </c>
      <c r="B124" s="70"/>
      <c r="C124" s="70"/>
      <c r="D124" s="71" t="n">
        <v>20</v>
      </c>
      <c r="E124" s="71" t="n">
        <v>20</v>
      </c>
      <c r="F124" s="71"/>
    </row>
    <row r="125" customFormat="false" ht="12" hidden="true" customHeight="true" outlineLevel="3" collapsed="false">
      <c r="A125" s="70" t="s">
        <v>185</v>
      </c>
      <c r="B125" s="70"/>
      <c r="C125" s="70"/>
      <c r="D125" s="71" t="n">
        <v>62</v>
      </c>
      <c r="E125" s="71" t="n">
        <v>62</v>
      </c>
      <c r="F125" s="71"/>
    </row>
    <row r="126" customFormat="false" ht="12" hidden="true" customHeight="true" outlineLevel="3" collapsed="false">
      <c r="A126" s="70" t="s">
        <v>186</v>
      </c>
      <c r="B126" s="70"/>
      <c r="C126" s="70"/>
      <c r="D126" s="71" t="n">
        <v>55</v>
      </c>
      <c r="E126" s="71" t="n">
        <v>55</v>
      </c>
      <c r="F126" s="71"/>
    </row>
    <row r="127" customFormat="false" ht="12" hidden="true" customHeight="true" outlineLevel="3" collapsed="false">
      <c r="A127" s="70" t="s">
        <v>187</v>
      </c>
      <c r="B127" s="70"/>
      <c r="C127" s="70"/>
      <c r="D127" s="71" t="n">
        <v>39</v>
      </c>
      <c r="E127" s="71" t="n">
        <v>39</v>
      </c>
      <c r="F127" s="71"/>
    </row>
    <row r="128" customFormat="false" ht="12" hidden="true" customHeight="true" outlineLevel="3" collapsed="false">
      <c r="A128" s="70" t="s">
        <v>188</v>
      </c>
      <c r="B128" s="70"/>
      <c r="C128" s="70"/>
      <c r="D128" s="71" t="n">
        <v>54</v>
      </c>
      <c r="E128" s="71" t="n">
        <v>54</v>
      </c>
      <c r="F128" s="71"/>
    </row>
    <row r="129" customFormat="false" ht="12" hidden="true" customHeight="true" outlineLevel="3" collapsed="false">
      <c r="A129" s="70" t="s">
        <v>189</v>
      </c>
      <c r="B129" s="70"/>
      <c r="C129" s="70"/>
      <c r="D129" s="71" t="n">
        <v>19</v>
      </c>
      <c r="E129" s="71" t="n">
        <v>19</v>
      </c>
      <c r="F129" s="71"/>
    </row>
    <row r="130" customFormat="false" ht="12" hidden="true" customHeight="true" outlineLevel="3" collapsed="false">
      <c r="A130" s="70" t="s">
        <v>190</v>
      </c>
      <c r="B130" s="70"/>
      <c r="C130" s="70"/>
      <c r="D130" s="71" t="n">
        <v>20</v>
      </c>
      <c r="E130" s="71" t="n">
        <v>20</v>
      </c>
      <c r="F130" s="71"/>
    </row>
    <row r="131" customFormat="false" ht="12" hidden="false" customHeight="true" outlineLevel="2" collapsed="true">
      <c r="A131" s="68" t="s">
        <v>191</v>
      </c>
      <c r="B131" s="68"/>
      <c r="C131" s="68"/>
      <c r="D131" s="69" t="n">
        <v>269</v>
      </c>
      <c r="E131" s="69" t="n">
        <v>269</v>
      </c>
      <c r="F131" s="69"/>
    </row>
    <row r="132" s="58" customFormat="true" ht="12" hidden="true" customHeight="true" outlineLevel="3" collapsed="false">
      <c r="A132" s="70" t="s">
        <v>192</v>
      </c>
      <c r="B132" s="70"/>
      <c r="C132" s="70"/>
      <c r="D132" s="76" t="n">
        <v>76.64</v>
      </c>
      <c r="E132" s="76" t="n">
        <v>76.64</v>
      </c>
      <c r="F132" s="76"/>
    </row>
    <row r="133" s="58" customFormat="true" ht="12" hidden="true" customHeight="true" outlineLevel="3" collapsed="false">
      <c r="A133" s="70" t="s">
        <v>193</v>
      </c>
      <c r="B133" s="70"/>
      <c r="C133" s="70"/>
      <c r="D133" s="76" t="n">
        <v>63.51</v>
      </c>
      <c r="E133" s="76" t="n">
        <v>63.51</v>
      </c>
      <c r="F133" s="76"/>
    </row>
    <row r="134" s="58" customFormat="true" ht="12" hidden="true" customHeight="true" outlineLevel="3" collapsed="false">
      <c r="A134" s="70" t="s">
        <v>194</v>
      </c>
      <c r="B134" s="70"/>
      <c r="C134" s="70"/>
      <c r="D134" s="76" t="n">
        <v>128.85</v>
      </c>
      <c r="E134" s="76" t="n">
        <v>128.85</v>
      </c>
      <c r="F134" s="76"/>
    </row>
    <row r="135" customFormat="false" ht="12" hidden="false" customHeight="true" outlineLevel="2" collapsed="true">
      <c r="A135" s="68" t="s">
        <v>195</v>
      </c>
      <c r="B135" s="68"/>
      <c r="C135" s="68"/>
      <c r="D135" s="77" t="n">
        <v>440.16</v>
      </c>
      <c r="E135" s="77" t="n">
        <v>440.16</v>
      </c>
      <c r="F135" s="77"/>
    </row>
    <row r="136" s="58" customFormat="true" ht="12" hidden="true" customHeight="true" outlineLevel="3" collapsed="false">
      <c r="A136" s="70" t="s">
        <v>196</v>
      </c>
      <c r="B136" s="70"/>
      <c r="C136" s="70"/>
      <c r="D136" s="78" t="n">
        <v>38.6</v>
      </c>
      <c r="E136" s="78" t="n">
        <v>38.6</v>
      </c>
      <c r="F136" s="78"/>
    </row>
    <row r="137" s="58" customFormat="true" ht="12" hidden="true" customHeight="true" outlineLevel="3" collapsed="false">
      <c r="A137" s="70" t="s">
        <v>197</v>
      </c>
      <c r="B137" s="70"/>
      <c r="C137" s="70"/>
      <c r="D137" s="71" t="n">
        <v>55</v>
      </c>
      <c r="E137" s="71" t="n">
        <v>55</v>
      </c>
      <c r="F137" s="71"/>
    </row>
    <row r="138" s="58" customFormat="true" ht="12" hidden="true" customHeight="true" outlineLevel="3" collapsed="false">
      <c r="A138" s="70" t="s">
        <v>198</v>
      </c>
      <c r="B138" s="70"/>
      <c r="C138" s="70"/>
      <c r="D138" s="78" t="n">
        <v>94.1</v>
      </c>
      <c r="E138" s="78" t="n">
        <v>94.1</v>
      </c>
      <c r="F138" s="78"/>
    </row>
    <row r="139" s="58" customFormat="true" ht="12" hidden="true" customHeight="true" outlineLevel="3" collapsed="false">
      <c r="A139" s="70" t="s">
        <v>199</v>
      </c>
      <c r="B139" s="70"/>
      <c r="C139" s="70"/>
      <c r="D139" s="78" t="n">
        <v>93.9</v>
      </c>
      <c r="E139" s="78" t="n">
        <v>93.9</v>
      </c>
      <c r="F139" s="78"/>
    </row>
    <row r="140" s="58" customFormat="true" ht="12" hidden="true" customHeight="true" outlineLevel="3" collapsed="false">
      <c r="A140" s="70" t="s">
        <v>200</v>
      </c>
      <c r="B140" s="70"/>
      <c r="C140" s="70"/>
      <c r="D140" s="76" t="n">
        <v>102.44</v>
      </c>
      <c r="E140" s="76" t="n">
        <v>102.44</v>
      </c>
      <c r="F140" s="76"/>
    </row>
    <row r="141" s="58" customFormat="true" ht="12" hidden="true" customHeight="true" outlineLevel="3" collapsed="false">
      <c r="A141" s="70" t="s">
        <v>201</v>
      </c>
      <c r="B141" s="70"/>
      <c r="C141" s="70"/>
      <c r="D141" s="76" t="n">
        <v>56.12</v>
      </c>
      <c r="E141" s="76" t="n">
        <v>56.12</v>
      </c>
      <c r="F141" s="76"/>
    </row>
    <row r="142" customFormat="false" ht="12" hidden="false" customHeight="true" outlineLevel="2" collapsed="true">
      <c r="A142" s="68" t="s">
        <v>202</v>
      </c>
      <c r="B142" s="68"/>
      <c r="C142" s="68"/>
      <c r="D142" s="69" t="n">
        <v>270</v>
      </c>
      <c r="E142" s="69" t="n">
        <v>270</v>
      </c>
      <c r="F142" s="69"/>
    </row>
    <row r="143" customFormat="false" ht="12" hidden="true" customHeight="true" outlineLevel="3" collapsed="false">
      <c r="A143" s="70" t="s">
        <v>203</v>
      </c>
      <c r="B143" s="70"/>
      <c r="C143" s="70"/>
      <c r="D143" s="71" t="n">
        <v>58</v>
      </c>
      <c r="E143" s="71" t="n">
        <v>58</v>
      </c>
      <c r="F143" s="71"/>
    </row>
    <row r="144" customFormat="false" ht="12" hidden="true" customHeight="true" outlineLevel="3" collapsed="false">
      <c r="A144" s="70" t="s">
        <v>204</v>
      </c>
      <c r="B144" s="70"/>
      <c r="C144" s="70"/>
      <c r="D144" s="71" t="n">
        <v>20</v>
      </c>
      <c r="E144" s="71" t="n">
        <v>20</v>
      </c>
      <c r="F144" s="71"/>
    </row>
    <row r="145" customFormat="false" ht="12" hidden="true" customHeight="true" outlineLevel="3" collapsed="false">
      <c r="A145" s="70" t="s">
        <v>172</v>
      </c>
      <c r="B145" s="70"/>
      <c r="C145" s="70"/>
      <c r="D145" s="71" t="n">
        <v>59</v>
      </c>
      <c r="E145" s="71" t="n">
        <v>59</v>
      </c>
      <c r="F145" s="71"/>
    </row>
    <row r="146" customFormat="false" ht="12" hidden="true" customHeight="true" outlineLevel="3" collapsed="false">
      <c r="A146" s="70" t="s">
        <v>205</v>
      </c>
      <c r="B146" s="70"/>
      <c r="C146" s="70"/>
      <c r="D146" s="71" t="n">
        <v>55</v>
      </c>
      <c r="E146" s="71" t="n">
        <v>55</v>
      </c>
      <c r="F146" s="71"/>
    </row>
    <row r="147" customFormat="false" ht="12" hidden="true" customHeight="true" outlineLevel="3" collapsed="false">
      <c r="A147" s="70" t="s">
        <v>206</v>
      </c>
      <c r="B147" s="70"/>
      <c r="C147" s="70"/>
      <c r="D147" s="71" t="n">
        <v>39</v>
      </c>
      <c r="E147" s="71" t="n">
        <v>39</v>
      </c>
      <c r="F147" s="71"/>
    </row>
    <row r="148" customFormat="false" ht="12" hidden="true" customHeight="true" outlineLevel="3" collapsed="false">
      <c r="A148" s="70" t="s">
        <v>207</v>
      </c>
      <c r="B148" s="70"/>
      <c r="C148" s="70"/>
      <c r="D148" s="78" t="n">
        <v>19.1</v>
      </c>
      <c r="E148" s="78" t="n">
        <v>19.1</v>
      </c>
      <c r="F148" s="78"/>
    </row>
    <row r="149" customFormat="false" ht="12" hidden="true" customHeight="true" outlineLevel="3" collapsed="false">
      <c r="A149" s="70" t="s">
        <v>208</v>
      </c>
      <c r="B149" s="70"/>
      <c r="C149" s="70"/>
      <c r="D149" s="78" t="n">
        <v>19.9</v>
      </c>
      <c r="E149" s="78" t="n">
        <v>19.9</v>
      </c>
      <c r="F149" s="78"/>
    </row>
    <row r="150" customFormat="false" ht="12" hidden="false" customHeight="true" outlineLevel="2" collapsed="true">
      <c r="A150" s="68" t="s">
        <v>209</v>
      </c>
      <c r="B150" s="68"/>
      <c r="C150" s="68"/>
      <c r="D150" s="69" t="n">
        <v>198</v>
      </c>
      <c r="E150" s="69" t="n">
        <v>198</v>
      </c>
      <c r="F150" s="69"/>
    </row>
    <row r="151" s="58" customFormat="true" ht="12" hidden="true" customHeight="true" outlineLevel="3" collapsed="false">
      <c r="A151" s="70" t="s">
        <v>210</v>
      </c>
      <c r="B151" s="70"/>
      <c r="C151" s="70"/>
      <c r="D151" s="71" t="n">
        <v>47</v>
      </c>
      <c r="E151" s="71" t="n">
        <v>47</v>
      </c>
      <c r="F151" s="71"/>
    </row>
    <row r="152" s="58" customFormat="true" ht="12" hidden="true" customHeight="true" outlineLevel="3" collapsed="false">
      <c r="A152" s="70" t="s">
        <v>211</v>
      </c>
      <c r="B152" s="70"/>
      <c r="C152" s="70"/>
      <c r="D152" s="71" t="n">
        <v>31</v>
      </c>
      <c r="E152" s="71" t="n">
        <v>31</v>
      </c>
      <c r="F152" s="71"/>
    </row>
    <row r="153" s="58" customFormat="true" ht="12" hidden="true" customHeight="true" outlineLevel="3" collapsed="false">
      <c r="A153" s="70" t="s">
        <v>212</v>
      </c>
      <c r="B153" s="70"/>
      <c r="C153" s="70"/>
      <c r="D153" s="71" t="n">
        <v>30</v>
      </c>
      <c r="E153" s="71" t="n">
        <v>30</v>
      </c>
      <c r="F153" s="71"/>
    </row>
    <row r="154" s="58" customFormat="true" ht="12" hidden="true" customHeight="true" outlineLevel="3" collapsed="false">
      <c r="A154" s="70" t="s">
        <v>213</v>
      </c>
      <c r="B154" s="70"/>
      <c r="C154" s="70"/>
      <c r="D154" s="71" t="n">
        <v>90</v>
      </c>
      <c r="E154" s="71" t="n">
        <v>90</v>
      </c>
      <c r="F154" s="71"/>
    </row>
    <row r="155" customFormat="false" ht="12" hidden="false" customHeight="true" outlineLevel="2" collapsed="true">
      <c r="A155" s="68" t="s">
        <v>214</v>
      </c>
      <c r="B155" s="68"/>
      <c r="C155" s="68"/>
      <c r="D155" s="79" t="n">
        <v>562.5</v>
      </c>
      <c r="E155" s="79" t="n">
        <v>562.5</v>
      </c>
      <c r="F155" s="79"/>
    </row>
    <row r="156" s="58" customFormat="true" ht="12" hidden="true" customHeight="true" outlineLevel="3" collapsed="false">
      <c r="A156" s="70" t="s">
        <v>215</v>
      </c>
      <c r="B156" s="70"/>
      <c r="C156" s="70"/>
      <c r="D156" s="78" t="n">
        <v>35.9</v>
      </c>
      <c r="E156" s="78" t="n">
        <v>35.9</v>
      </c>
      <c r="F156" s="78"/>
    </row>
    <row r="157" s="58" customFormat="true" ht="12" hidden="true" customHeight="true" outlineLevel="3" collapsed="false">
      <c r="A157" s="70" t="s">
        <v>216</v>
      </c>
      <c r="B157" s="70"/>
      <c r="C157" s="70"/>
      <c r="D157" s="71" t="n">
        <v>73</v>
      </c>
      <c r="E157" s="71" t="n">
        <v>73</v>
      </c>
      <c r="F157" s="71"/>
    </row>
    <row r="158" s="58" customFormat="true" ht="12" hidden="true" customHeight="true" outlineLevel="3" collapsed="false">
      <c r="A158" s="70" t="s">
        <v>196</v>
      </c>
      <c r="B158" s="70"/>
      <c r="C158" s="70"/>
      <c r="D158" s="78" t="n">
        <v>38.6</v>
      </c>
      <c r="E158" s="78" t="n">
        <v>38.6</v>
      </c>
      <c r="F158" s="78"/>
    </row>
    <row r="159" s="58" customFormat="true" ht="12" hidden="true" customHeight="true" outlineLevel="3" collapsed="false">
      <c r="A159" s="70" t="s">
        <v>197</v>
      </c>
      <c r="B159" s="70"/>
      <c r="C159" s="70"/>
      <c r="D159" s="71" t="n">
        <v>55</v>
      </c>
      <c r="E159" s="71" t="n">
        <v>55</v>
      </c>
      <c r="F159" s="71"/>
    </row>
    <row r="160" s="58" customFormat="true" ht="12" hidden="true" customHeight="true" outlineLevel="3" collapsed="false">
      <c r="A160" s="70" t="s">
        <v>217</v>
      </c>
      <c r="B160" s="70"/>
      <c r="C160" s="70"/>
      <c r="D160" s="71" t="n">
        <v>80</v>
      </c>
      <c r="E160" s="71" t="n">
        <v>80</v>
      </c>
      <c r="F160" s="71"/>
    </row>
    <row r="161" s="58" customFormat="true" ht="12" hidden="true" customHeight="true" outlineLevel="3" collapsed="false">
      <c r="A161" s="70" t="s">
        <v>198</v>
      </c>
      <c r="B161" s="70"/>
      <c r="C161" s="70"/>
      <c r="D161" s="71" t="n">
        <v>75</v>
      </c>
      <c r="E161" s="71" t="n">
        <v>75</v>
      </c>
      <c r="F161" s="71"/>
    </row>
    <row r="162" s="58" customFormat="true" ht="12" hidden="true" customHeight="true" outlineLevel="3" collapsed="false">
      <c r="A162" s="70" t="s">
        <v>199</v>
      </c>
      <c r="B162" s="70"/>
      <c r="C162" s="70"/>
      <c r="D162" s="71" t="n">
        <v>80</v>
      </c>
      <c r="E162" s="71" t="n">
        <v>80</v>
      </c>
      <c r="F162" s="71"/>
    </row>
    <row r="163" s="58" customFormat="true" ht="12" hidden="true" customHeight="true" outlineLevel="3" collapsed="false">
      <c r="A163" s="70" t="s">
        <v>200</v>
      </c>
      <c r="B163" s="70"/>
      <c r="C163" s="70"/>
      <c r="D163" s="71" t="n">
        <v>80</v>
      </c>
      <c r="E163" s="71" t="n">
        <v>80</v>
      </c>
      <c r="F163" s="71"/>
    </row>
    <row r="164" s="58" customFormat="true" ht="12" hidden="true" customHeight="true" outlineLevel="3" collapsed="false">
      <c r="A164" s="70" t="s">
        <v>201</v>
      </c>
      <c r="B164" s="70"/>
      <c r="C164" s="70"/>
      <c r="D164" s="71" t="n">
        <v>45</v>
      </c>
      <c r="E164" s="71" t="n">
        <v>45</v>
      </c>
      <c r="F164" s="71"/>
    </row>
    <row r="165" customFormat="false" ht="12" hidden="false" customHeight="true" outlineLevel="0" collapsed="false">
      <c r="A165" s="80" t="s">
        <v>218</v>
      </c>
      <c r="B165" s="80"/>
      <c r="C165" s="80"/>
      <c r="D165" s="81" t="n">
        <v>8282.66</v>
      </c>
      <c r="E165" s="81" t="n">
        <v>8282.66</v>
      </c>
      <c r="F165" s="81"/>
    </row>
  </sheetData>
  <mergeCells count="319">
    <mergeCell ref="B4:G4"/>
    <mergeCell ref="A6:C6"/>
    <mergeCell ref="D6:D9"/>
    <mergeCell ref="E6:F9"/>
    <mergeCell ref="A7:C7"/>
    <mergeCell ref="A8:C8"/>
    <mergeCell ref="A9:C9"/>
    <mergeCell ref="A10:C10"/>
    <mergeCell ref="E10:F10"/>
    <mergeCell ref="A11:C11"/>
    <mergeCell ref="E11:F11"/>
    <mergeCell ref="A12:C12"/>
    <mergeCell ref="E12:F12"/>
    <mergeCell ref="A13:C13"/>
    <mergeCell ref="E13:F13"/>
    <mergeCell ref="A14:C14"/>
    <mergeCell ref="E14:F14"/>
    <mergeCell ref="A15:C15"/>
    <mergeCell ref="E15:F15"/>
    <mergeCell ref="A16:C16"/>
    <mergeCell ref="E16:F16"/>
    <mergeCell ref="A17:C17"/>
    <mergeCell ref="E17:F17"/>
    <mergeCell ref="A18:C18"/>
    <mergeCell ref="E18:F18"/>
    <mergeCell ref="A19:C19"/>
    <mergeCell ref="E19:F19"/>
    <mergeCell ref="A20:C20"/>
    <mergeCell ref="E20:F20"/>
    <mergeCell ref="A21:C21"/>
    <mergeCell ref="E21:F21"/>
    <mergeCell ref="A22:C22"/>
    <mergeCell ref="E22:F22"/>
    <mergeCell ref="A23:C23"/>
    <mergeCell ref="E23:F23"/>
    <mergeCell ref="A24:C24"/>
    <mergeCell ref="E24:F24"/>
    <mergeCell ref="A25:C25"/>
    <mergeCell ref="E25:F25"/>
    <mergeCell ref="A26:C26"/>
    <mergeCell ref="E26:F26"/>
    <mergeCell ref="A27:C27"/>
    <mergeCell ref="E27:F27"/>
    <mergeCell ref="A28:C28"/>
    <mergeCell ref="E28:F28"/>
    <mergeCell ref="A29:C29"/>
    <mergeCell ref="E29:F29"/>
    <mergeCell ref="A30:C30"/>
    <mergeCell ref="E30:F30"/>
    <mergeCell ref="A31:C31"/>
    <mergeCell ref="E31:F31"/>
    <mergeCell ref="A32:C32"/>
    <mergeCell ref="E32:F32"/>
    <mergeCell ref="A33:C33"/>
    <mergeCell ref="E33:F33"/>
    <mergeCell ref="A34:C34"/>
    <mergeCell ref="E34:F34"/>
    <mergeCell ref="A35:C35"/>
    <mergeCell ref="E35:F35"/>
    <mergeCell ref="A36:C36"/>
    <mergeCell ref="E36:F36"/>
    <mergeCell ref="A37:C37"/>
    <mergeCell ref="E37:F37"/>
    <mergeCell ref="A38:C38"/>
    <mergeCell ref="E38:F38"/>
    <mergeCell ref="A39:C39"/>
    <mergeCell ref="E39:F39"/>
    <mergeCell ref="A40:C40"/>
    <mergeCell ref="E40:F40"/>
    <mergeCell ref="A41:C41"/>
    <mergeCell ref="E41:F41"/>
    <mergeCell ref="A42:C42"/>
    <mergeCell ref="E42:F42"/>
    <mergeCell ref="A43:C43"/>
    <mergeCell ref="E43:F43"/>
    <mergeCell ref="A44:C44"/>
    <mergeCell ref="E44:F44"/>
    <mergeCell ref="A45:C45"/>
    <mergeCell ref="E45:F45"/>
    <mergeCell ref="A46:C46"/>
    <mergeCell ref="E46:F46"/>
    <mergeCell ref="A47:C47"/>
    <mergeCell ref="E47:F47"/>
    <mergeCell ref="A48:C48"/>
    <mergeCell ref="E48:F48"/>
    <mergeCell ref="A49:C49"/>
    <mergeCell ref="E49:F49"/>
    <mergeCell ref="A50:C50"/>
    <mergeCell ref="E50:F50"/>
    <mergeCell ref="A51:C51"/>
    <mergeCell ref="E51:F51"/>
    <mergeCell ref="A52:C52"/>
    <mergeCell ref="E52:F52"/>
    <mergeCell ref="A53:C53"/>
    <mergeCell ref="E53:F53"/>
    <mergeCell ref="A54:C54"/>
    <mergeCell ref="E54:F54"/>
    <mergeCell ref="A55:C55"/>
    <mergeCell ref="E55:F55"/>
    <mergeCell ref="A56:C56"/>
    <mergeCell ref="E56:F56"/>
    <mergeCell ref="A57:C57"/>
    <mergeCell ref="E57:F57"/>
    <mergeCell ref="A58:C58"/>
    <mergeCell ref="E58:F58"/>
    <mergeCell ref="A59:C59"/>
    <mergeCell ref="E59:F59"/>
    <mergeCell ref="A60:C60"/>
    <mergeCell ref="E60:F60"/>
    <mergeCell ref="A61:C61"/>
    <mergeCell ref="E61:F61"/>
    <mergeCell ref="A62:C62"/>
    <mergeCell ref="E62:F62"/>
    <mergeCell ref="A63:C63"/>
    <mergeCell ref="E63:F63"/>
    <mergeCell ref="A64:C64"/>
    <mergeCell ref="E64:F64"/>
    <mergeCell ref="A65:C65"/>
    <mergeCell ref="E65:F65"/>
    <mergeCell ref="A66:C66"/>
    <mergeCell ref="E66:F66"/>
    <mergeCell ref="A67:C67"/>
    <mergeCell ref="E67:F67"/>
    <mergeCell ref="A68:C68"/>
    <mergeCell ref="E68:F68"/>
    <mergeCell ref="A69:C69"/>
    <mergeCell ref="E69:F69"/>
    <mergeCell ref="A70:C70"/>
    <mergeCell ref="E70:F70"/>
    <mergeCell ref="A71:C71"/>
    <mergeCell ref="E71:F71"/>
    <mergeCell ref="A72:C72"/>
    <mergeCell ref="E72:F72"/>
    <mergeCell ref="A73:C73"/>
    <mergeCell ref="E73:F73"/>
    <mergeCell ref="A74:C74"/>
    <mergeCell ref="E74:F74"/>
    <mergeCell ref="A75:C75"/>
    <mergeCell ref="E75:F75"/>
    <mergeCell ref="A76:C76"/>
    <mergeCell ref="E76:F76"/>
    <mergeCell ref="A77:C77"/>
    <mergeCell ref="E77:F77"/>
    <mergeCell ref="A78:C78"/>
    <mergeCell ref="E78:F78"/>
    <mergeCell ref="A79:C79"/>
    <mergeCell ref="E79:F79"/>
    <mergeCell ref="A80:C80"/>
    <mergeCell ref="E80:F80"/>
    <mergeCell ref="A81:C81"/>
    <mergeCell ref="E81:F81"/>
    <mergeCell ref="A82:C82"/>
    <mergeCell ref="E82:F82"/>
    <mergeCell ref="A83:C83"/>
    <mergeCell ref="E83:F83"/>
    <mergeCell ref="A84:C84"/>
    <mergeCell ref="E84:F84"/>
    <mergeCell ref="A85:C85"/>
    <mergeCell ref="E85:F85"/>
    <mergeCell ref="A86:C86"/>
    <mergeCell ref="E86:F86"/>
    <mergeCell ref="A87:C87"/>
    <mergeCell ref="E87:F87"/>
    <mergeCell ref="A88:C88"/>
    <mergeCell ref="E88:F88"/>
    <mergeCell ref="A89:C89"/>
    <mergeCell ref="E89:F89"/>
    <mergeCell ref="A90:C90"/>
    <mergeCell ref="E90:F90"/>
    <mergeCell ref="A91:C91"/>
    <mergeCell ref="E91:F91"/>
    <mergeCell ref="A92:C92"/>
    <mergeCell ref="E92:F92"/>
    <mergeCell ref="A93:C93"/>
    <mergeCell ref="E93:F93"/>
    <mergeCell ref="A94:C94"/>
    <mergeCell ref="E94:F94"/>
    <mergeCell ref="A95:C95"/>
    <mergeCell ref="E95:F95"/>
    <mergeCell ref="A96:C96"/>
    <mergeCell ref="E96:F96"/>
    <mergeCell ref="A97:C97"/>
    <mergeCell ref="E97:F97"/>
    <mergeCell ref="A98:C98"/>
    <mergeCell ref="E98:F98"/>
    <mergeCell ref="A99:C99"/>
    <mergeCell ref="E99:F99"/>
    <mergeCell ref="A100:C100"/>
    <mergeCell ref="E100:F100"/>
    <mergeCell ref="A101:C101"/>
    <mergeCell ref="E101:F101"/>
    <mergeCell ref="A102:C102"/>
    <mergeCell ref="E102:F102"/>
    <mergeCell ref="A103:C103"/>
    <mergeCell ref="E103:F103"/>
    <mergeCell ref="A104:C104"/>
    <mergeCell ref="E104:F104"/>
    <mergeCell ref="A105:C105"/>
    <mergeCell ref="E105:F105"/>
    <mergeCell ref="A106:C106"/>
    <mergeCell ref="E106:F106"/>
    <mergeCell ref="A107:C107"/>
    <mergeCell ref="E107:F107"/>
    <mergeCell ref="A108:C108"/>
    <mergeCell ref="E108:F108"/>
    <mergeCell ref="A109:C109"/>
    <mergeCell ref="E109:F109"/>
    <mergeCell ref="A110:C110"/>
    <mergeCell ref="E110:F110"/>
    <mergeCell ref="A111:C111"/>
    <mergeCell ref="E111:F111"/>
    <mergeCell ref="A112:C112"/>
    <mergeCell ref="E112:F112"/>
    <mergeCell ref="A113:C113"/>
    <mergeCell ref="E113:F113"/>
    <mergeCell ref="A114:C114"/>
    <mergeCell ref="E114:F114"/>
    <mergeCell ref="A115:C115"/>
    <mergeCell ref="E115:F115"/>
    <mergeCell ref="A116:C116"/>
    <mergeCell ref="E116:F116"/>
    <mergeCell ref="A117:C117"/>
    <mergeCell ref="E117:F117"/>
    <mergeCell ref="A118:C118"/>
    <mergeCell ref="E118:F118"/>
    <mergeCell ref="A119:C119"/>
    <mergeCell ref="E119:F119"/>
    <mergeCell ref="A120:C120"/>
    <mergeCell ref="E120:F120"/>
    <mergeCell ref="A121:C121"/>
    <mergeCell ref="E121:F121"/>
    <mergeCell ref="A122:C122"/>
    <mergeCell ref="E122:F122"/>
    <mergeCell ref="A123:C123"/>
    <mergeCell ref="E123:F123"/>
    <mergeCell ref="A124:C124"/>
    <mergeCell ref="E124:F124"/>
    <mergeCell ref="A125:C125"/>
    <mergeCell ref="E125:F125"/>
    <mergeCell ref="A126:C126"/>
    <mergeCell ref="E126:F126"/>
    <mergeCell ref="A127:C127"/>
    <mergeCell ref="E127:F127"/>
    <mergeCell ref="A128:C128"/>
    <mergeCell ref="E128:F128"/>
    <mergeCell ref="A129:C129"/>
    <mergeCell ref="E129:F129"/>
    <mergeCell ref="A130:C130"/>
    <mergeCell ref="E130:F130"/>
    <mergeCell ref="A131:C131"/>
    <mergeCell ref="E131:F131"/>
    <mergeCell ref="A132:C132"/>
    <mergeCell ref="E132:F132"/>
    <mergeCell ref="A133:C133"/>
    <mergeCell ref="E133:F133"/>
    <mergeCell ref="A134:C134"/>
    <mergeCell ref="E134:F134"/>
    <mergeCell ref="A135:C135"/>
    <mergeCell ref="E135:F135"/>
    <mergeCell ref="A136:C136"/>
    <mergeCell ref="E136:F136"/>
    <mergeCell ref="A137:C137"/>
    <mergeCell ref="E137:F137"/>
    <mergeCell ref="A138:C138"/>
    <mergeCell ref="E138:F138"/>
    <mergeCell ref="A139:C139"/>
    <mergeCell ref="E139:F139"/>
    <mergeCell ref="A140:C140"/>
    <mergeCell ref="E140:F140"/>
    <mergeCell ref="A141:C141"/>
    <mergeCell ref="E141:F141"/>
    <mergeCell ref="A142:C142"/>
    <mergeCell ref="E142:F142"/>
    <mergeCell ref="A143:C143"/>
    <mergeCell ref="E143:F143"/>
    <mergeCell ref="A144:C144"/>
    <mergeCell ref="E144:F144"/>
    <mergeCell ref="A145:C145"/>
    <mergeCell ref="E145:F145"/>
    <mergeCell ref="A146:C146"/>
    <mergeCell ref="E146:F146"/>
    <mergeCell ref="A147:C147"/>
    <mergeCell ref="E147:F147"/>
    <mergeCell ref="A148:C148"/>
    <mergeCell ref="E148:F148"/>
    <mergeCell ref="A149:C149"/>
    <mergeCell ref="E149:F149"/>
    <mergeCell ref="A150:C150"/>
    <mergeCell ref="E150:F150"/>
    <mergeCell ref="A151:C151"/>
    <mergeCell ref="E151:F151"/>
    <mergeCell ref="A152:C152"/>
    <mergeCell ref="E152:F152"/>
    <mergeCell ref="A153:C153"/>
    <mergeCell ref="E153:F153"/>
    <mergeCell ref="A154:C154"/>
    <mergeCell ref="E154:F154"/>
    <mergeCell ref="A155:C155"/>
    <mergeCell ref="E155:F155"/>
    <mergeCell ref="A156:C156"/>
    <mergeCell ref="E156:F156"/>
    <mergeCell ref="A157:C157"/>
    <mergeCell ref="E157:F157"/>
    <mergeCell ref="A158:C158"/>
    <mergeCell ref="E158:F158"/>
    <mergeCell ref="A159:C159"/>
    <mergeCell ref="E159:F159"/>
    <mergeCell ref="A160:C160"/>
    <mergeCell ref="E160:F160"/>
    <mergeCell ref="A161:C161"/>
    <mergeCell ref="E161:F161"/>
    <mergeCell ref="A162:C162"/>
    <mergeCell ref="E162:F162"/>
    <mergeCell ref="A163:C163"/>
    <mergeCell ref="E163:F163"/>
    <mergeCell ref="A164:C164"/>
    <mergeCell ref="E164:F164"/>
    <mergeCell ref="A165:C165"/>
    <mergeCell ref="E165:F16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J61"/>
  <sheetViews>
    <sheetView showFormulas="false" showGridLines="fals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D38" activeCellId="0" sqref="D38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2.14"/>
    <col collapsed="false" customWidth="true" hidden="false" outlineLevel="0" max="3" min="3" style="0" width="35.57"/>
    <col collapsed="false" customWidth="true" hidden="false" outlineLevel="0" max="4" min="4" style="0" width="15.42"/>
    <col collapsed="false" customWidth="true" hidden="false" outlineLevel="0" max="5" min="5" style="0" width="20.71"/>
    <col collapsed="false" customWidth="true" hidden="false" outlineLevel="0" max="6" min="6" style="0" width="23.14"/>
  </cols>
  <sheetData>
    <row r="3" customFormat="false" ht="15" hidden="false" customHeight="false" outlineLevel="0" collapsed="false">
      <c r="D3" s="20" t="s">
        <v>219</v>
      </c>
    </row>
    <row r="4" customFormat="false" ht="15" hidden="false" customHeight="false" outlineLevel="0" collapsed="false">
      <c r="A4" s="20" t="s">
        <v>31</v>
      </c>
      <c r="B4" s="20" t="s">
        <v>220</v>
      </c>
      <c r="C4" s="20" t="s">
        <v>221</v>
      </c>
      <c r="D4" s="0" t="s">
        <v>222</v>
      </c>
      <c r="E4" s="0" t="s">
        <v>223</v>
      </c>
      <c r="F4" s="0" t="s">
        <v>224</v>
      </c>
    </row>
    <row r="5" customFormat="false" ht="15" hidden="false" customHeight="false" outlineLevel="0" collapsed="false">
      <c r="A5" s="0" t="s">
        <v>168</v>
      </c>
      <c r="B5" s="0" t="s">
        <v>225</v>
      </c>
      <c r="C5" s="0" t="s">
        <v>226</v>
      </c>
      <c r="D5" s="82" t="n">
        <v>11</v>
      </c>
      <c r="E5" s="0" t="n">
        <v>16</v>
      </c>
      <c r="F5" s="0" t="n">
        <v>1.5</v>
      </c>
    </row>
    <row r="6" customFormat="false" ht="15" hidden="false" customHeight="false" outlineLevel="0" collapsed="false">
      <c r="B6" s="0" t="s">
        <v>227</v>
      </c>
      <c r="C6" s="0" t="s">
        <v>228</v>
      </c>
      <c r="D6" s="82" t="n">
        <v>11</v>
      </c>
      <c r="E6" s="0" t="n">
        <v>20</v>
      </c>
      <c r="F6" s="0" t="n">
        <v>1.5</v>
      </c>
    </row>
    <row r="7" customFormat="false" ht="15" hidden="false" customHeight="false" outlineLevel="0" collapsed="false">
      <c r="B7" s="0" t="s">
        <v>229</v>
      </c>
      <c r="C7" s="0" t="s">
        <v>230</v>
      </c>
      <c r="D7" s="82" t="n">
        <v>11</v>
      </c>
      <c r="E7" s="0" t="n">
        <v>2000</v>
      </c>
      <c r="F7" s="0" t="n">
        <v>8</v>
      </c>
    </row>
    <row r="8" customFormat="false" ht="15" hidden="false" customHeight="false" outlineLevel="0" collapsed="false">
      <c r="A8" s="0" t="s">
        <v>231</v>
      </c>
      <c r="D8" s="82" t="n">
        <v>11</v>
      </c>
      <c r="E8" s="0" t="n">
        <v>2036</v>
      </c>
      <c r="F8" s="0" t="n">
        <v>11</v>
      </c>
      <c r="H8" s="82" t="n">
        <f aca="false">D8-F8</f>
        <v>0</v>
      </c>
    </row>
    <row r="9" customFormat="false" ht="15" hidden="false" customHeight="false" outlineLevel="0" collapsed="false">
      <c r="A9" s="0" t="s">
        <v>169</v>
      </c>
      <c r="B9" s="0" t="s">
        <v>225</v>
      </c>
      <c r="C9" s="0" t="s">
        <v>226</v>
      </c>
      <c r="D9" s="82" t="n">
        <v>56</v>
      </c>
      <c r="E9" s="0" t="n">
        <v>20</v>
      </c>
      <c r="F9" s="0" t="n">
        <v>1.5</v>
      </c>
      <c r="H9" s="82"/>
    </row>
    <row r="10" customFormat="false" ht="15" hidden="false" customHeight="false" outlineLevel="0" collapsed="false">
      <c r="B10" s="0" t="s">
        <v>227</v>
      </c>
      <c r="C10" s="0" t="s">
        <v>232</v>
      </c>
      <c r="D10" s="82" t="n">
        <v>56</v>
      </c>
      <c r="E10" s="0" t="n">
        <v>285</v>
      </c>
      <c r="F10" s="0" t="n">
        <v>24</v>
      </c>
      <c r="H10" s="82"/>
    </row>
    <row r="11" customFormat="false" ht="15" hidden="false" customHeight="false" outlineLevel="0" collapsed="false">
      <c r="C11" s="0" t="s">
        <v>233</v>
      </c>
      <c r="D11" s="82" t="n">
        <v>56</v>
      </c>
      <c r="E11" s="0" t="n">
        <v>353</v>
      </c>
      <c r="F11" s="0" t="n">
        <v>30.5</v>
      </c>
      <c r="H11" s="82"/>
    </row>
    <row r="12" customFormat="false" ht="15" hidden="false" customHeight="false" outlineLevel="0" collapsed="false">
      <c r="A12" s="0" t="s">
        <v>234</v>
      </c>
      <c r="D12" s="82" t="n">
        <v>56</v>
      </c>
      <c r="E12" s="0" t="n">
        <v>658</v>
      </c>
      <c r="F12" s="0" t="n">
        <v>56</v>
      </c>
      <c r="H12" s="82" t="n">
        <f aca="false">D12-F12</f>
        <v>0</v>
      </c>
    </row>
    <row r="13" customFormat="false" ht="15" hidden="false" customHeight="false" outlineLevel="0" collapsed="false">
      <c r="A13" s="0" t="s">
        <v>170</v>
      </c>
      <c r="B13" s="0" t="s">
        <v>227</v>
      </c>
      <c r="C13" s="0" t="s">
        <v>235</v>
      </c>
      <c r="D13" s="82" t="n">
        <v>14</v>
      </c>
      <c r="E13" s="0" t="n">
        <v>177</v>
      </c>
      <c r="F13" s="0" t="n">
        <v>14</v>
      </c>
      <c r="H13" s="82"/>
    </row>
    <row r="14" customFormat="false" ht="15" hidden="false" customHeight="false" outlineLevel="0" collapsed="false">
      <c r="A14" s="0" t="s">
        <v>236</v>
      </c>
      <c r="D14" s="82" t="n">
        <v>14</v>
      </c>
      <c r="E14" s="0" t="n">
        <v>177</v>
      </c>
      <c r="F14" s="0" t="n">
        <v>14</v>
      </c>
      <c r="H14" s="82" t="n">
        <f aca="false">D14-F14</f>
        <v>0</v>
      </c>
    </row>
    <row r="15" customFormat="false" ht="15" hidden="false" customHeight="false" outlineLevel="0" collapsed="false">
      <c r="A15" s="0" t="s">
        <v>171</v>
      </c>
      <c r="B15" s="0" t="s">
        <v>227</v>
      </c>
      <c r="C15" s="0" t="s">
        <v>235</v>
      </c>
      <c r="D15" s="82" t="n">
        <v>40</v>
      </c>
      <c r="E15" s="0" t="n">
        <v>126</v>
      </c>
      <c r="F15" s="0" t="n">
        <v>10</v>
      </c>
      <c r="H15" s="82"/>
    </row>
    <row r="16" customFormat="false" ht="15" hidden="false" customHeight="false" outlineLevel="0" collapsed="false">
      <c r="C16" s="0" t="s">
        <v>237</v>
      </c>
      <c r="D16" s="82" t="n">
        <v>40</v>
      </c>
      <c r="E16" s="0" t="n">
        <v>390</v>
      </c>
      <c r="F16" s="0" t="n">
        <v>30</v>
      </c>
      <c r="H16" s="82"/>
    </row>
    <row r="17" customFormat="false" ht="15" hidden="false" customHeight="false" outlineLevel="0" collapsed="false">
      <c r="A17" s="0" t="s">
        <v>238</v>
      </c>
      <c r="D17" s="82" t="n">
        <v>40</v>
      </c>
      <c r="E17" s="0" t="n">
        <v>516</v>
      </c>
      <c r="F17" s="0" t="n">
        <v>40</v>
      </c>
      <c r="H17" s="82" t="n">
        <f aca="false">D17-F17</f>
        <v>0</v>
      </c>
    </row>
    <row r="18" customFormat="false" ht="15" hidden="false" customHeight="false" outlineLevel="0" collapsed="false">
      <c r="A18" s="0" t="s">
        <v>172</v>
      </c>
      <c r="B18" s="0" t="s">
        <v>225</v>
      </c>
      <c r="C18" s="0" t="s">
        <v>226</v>
      </c>
      <c r="D18" s="82" t="n">
        <v>4</v>
      </c>
      <c r="E18" s="0" t="n">
        <v>52</v>
      </c>
      <c r="F18" s="0" t="n">
        <v>4</v>
      </c>
      <c r="H18" s="82"/>
    </row>
    <row r="19" customFormat="false" ht="15" hidden="false" customHeight="false" outlineLevel="0" collapsed="false">
      <c r="A19" s="0" t="s">
        <v>239</v>
      </c>
      <c r="D19" s="82" t="n">
        <v>4</v>
      </c>
      <c r="E19" s="0" t="n">
        <v>52</v>
      </c>
      <c r="F19" s="0" t="n">
        <v>4</v>
      </c>
      <c r="H19" s="82" t="n">
        <f aca="false">D19-F19</f>
        <v>0</v>
      </c>
    </row>
    <row r="20" customFormat="false" ht="15" hidden="false" customHeight="false" outlineLevel="0" collapsed="false">
      <c r="A20" s="0" t="s">
        <v>173</v>
      </c>
      <c r="B20" s="0" t="s">
        <v>227</v>
      </c>
      <c r="C20" s="0" t="s">
        <v>228</v>
      </c>
      <c r="D20" s="82" t="n">
        <v>63</v>
      </c>
      <c r="E20" s="0" t="n">
        <v>220</v>
      </c>
      <c r="F20" s="0" t="n">
        <v>21</v>
      </c>
      <c r="H20" s="82"/>
    </row>
    <row r="21" customFormat="false" ht="15" hidden="false" customHeight="false" outlineLevel="0" collapsed="false">
      <c r="C21" s="0" t="s">
        <v>237</v>
      </c>
      <c r="D21" s="82" t="n">
        <v>63</v>
      </c>
      <c r="E21" s="0" t="n">
        <v>515</v>
      </c>
      <c r="F21" s="0" t="n">
        <v>42</v>
      </c>
      <c r="H21" s="82"/>
    </row>
    <row r="22" customFormat="false" ht="15" hidden="false" customHeight="false" outlineLevel="0" collapsed="false">
      <c r="A22" s="0" t="s">
        <v>240</v>
      </c>
      <c r="D22" s="82" t="n">
        <v>63</v>
      </c>
      <c r="E22" s="0" t="n">
        <v>735</v>
      </c>
      <c r="F22" s="0" t="n">
        <v>63</v>
      </c>
      <c r="H22" s="82" t="n">
        <f aca="false">D22-F22</f>
        <v>0</v>
      </c>
    </row>
    <row r="23" customFormat="false" ht="15" hidden="false" customHeight="false" outlineLevel="0" collapsed="false">
      <c r="A23" s="83" t="s">
        <v>174</v>
      </c>
      <c r="B23" s="83" t="s">
        <v>227</v>
      </c>
      <c r="C23" s="83" t="s">
        <v>241</v>
      </c>
      <c r="D23" s="84" t="n">
        <v>47</v>
      </c>
      <c r="E23" s="83" t="n">
        <v>160</v>
      </c>
      <c r="F23" s="83" t="n">
        <v>47</v>
      </c>
      <c r="G23" s="83"/>
      <c r="H23" s="84"/>
      <c r="J23" s="0" t="s">
        <v>242</v>
      </c>
    </row>
    <row r="24" customFormat="false" ht="15" hidden="false" customHeight="false" outlineLevel="0" collapsed="false">
      <c r="C24" s="0" t="s">
        <v>243</v>
      </c>
      <c r="D24" s="82" t="n">
        <v>47</v>
      </c>
      <c r="E24" s="0" t="n">
        <v>377</v>
      </c>
      <c r="F24" s="0" t="n">
        <v>36</v>
      </c>
      <c r="H24" s="82"/>
    </row>
    <row r="25" customFormat="false" ht="15" hidden="false" customHeight="false" outlineLevel="0" collapsed="false">
      <c r="C25" s="0" t="s">
        <v>244</v>
      </c>
      <c r="D25" s="82" t="n">
        <v>47</v>
      </c>
      <c r="E25" s="0" t="n">
        <v>120</v>
      </c>
      <c r="F25" s="0" t="n">
        <v>11</v>
      </c>
      <c r="H25" s="82"/>
    </row>
    <row r="26" customFormat="false" ht="15" hidden="false" customHeight="false" outlineLevel="0" collapsed="false">
      <c r="A26" s="83" t="s">
        <v>245</v>
      </c>
      <c r="B26" s="83"/>
      <c r="C26" s="83"/>
      <c r="D26" s="84" t="n">
        <v>47</v>
      </c>
      <c r="E26" s="83" t="n">
        <v>657</v>
      </c>
      <c r="F26" s="83" t="n">
        <v>94</v>
      </c>
      <c r="G26" s="83"/>
      <c r="H26" s="84" t="n">
        <f aca="false">D26-F26</f>
        <v>-47</v>
      </c>
    </row>
    <row r="27" customFormat="false" ht="15" hidden="false" customHeight="false" outlineLevel="0" collapsed="false">
      <c r="A27" s="0" t="s">
        <v>67</v>
      </c>
      <c r="B27" s="0" t="s">
        <v>225</v>
      </c>
      <c r="C27" s="0" t="s">
        <v>246</v>
      </c>
      <c r="D27" s="82" t="n">
        <v>36</v>
      </c>
      <c r="E27" s="0" t="n">
        <v>426</v>
      </c>
      <c r="F27" s="0" t="n">
        <v>31</v>
      </c>
      <c r="H27" s="82"/>
    </row>
    <row r="28" customFormat="false" ht="15" hidden="false" customHeight="false" outlineLevel="0" collapsed="false">
      <c r="B28" s="0" t="s">
        <v>227</v>
      </c>
      <c r="C28" s="0" t="s">
        <v>247</v>
      </c>
      <c r="D28" s="82" t="n">
        <v>36</v>
      </c>
      <c r="E28" s="0" t="n">
        <v>90</v>
      </c>
      <c r="F28" s="0" t="n">
        <v>5</v>
      </c>
      <c r="H28" s="82"/>
    </row>
    <row r="29" customFormat="false" ht="15" hidden="false" customHeight="false" outlineLevel="0" collapsed="false">
      <c r="A29" s="0" t="s">
        <v>248</v>
      </c>
      <c r="D29" s="82" t="n">
        <v>36</v>
      </c>
      <c r="E29" s="0" t="n">
        <v>516</v>
      </c>
      <c r="F29" s="0" t="n">
        <v>36</v>
      </c>
      <c r="H29" s="82" t="n">
        <f aca="false">D29-F29</f>
        <v>0</v>
      </c>
    </row>
    <row r="30" customFormat="false" ht="15" hidden="false" customHeight="false" outlineLevel="0" collapsed="false">
      <c r="A30" s="0" t="s">
        <v>69</v>
      </c>
      <c r="B30" s="0" t="s">
        <v>225</v>
      </c>
      <c r="C30" s="0" t="s">
        <v>246</v>
      </c>
      <c r="D30" s="82" t="n">
        <v>41</v>
      </c>
      <c r="E30" s="0" t="n">
        <v>274</v>
      </c>
      <c r="F30" s="0" t="n">
        <v>20</v>
      </c>
      <c r="H30" s="82"/>
    </row>
    <row r="31" customFormat="false" ht="15" hidden="false" customHeight="false" outlineLevel="0" collapsed="false">
      <c r="B31" s="0" t="s">
        <v>227</v>
      </c>
      <c r="C31" s="0" t="s">
        <v>249</v>
      </c>
      <c r="D31" s="82" t="n">
        <v>41</v>
      </c>
      <c r="E31" s="0" t="n">
        <v>289</v>
      </c>
      <c r="F31" s="0" t="n">
        <v>21</v>
      </c>
      <c r="H31" s="82"/>
    </row>
    <row r="32" customFormat="false" ht="15" hidden="false" customHeight="false" outlineLevel="0" collapsed="false">
      <c r="A32" s="0" t="s">
        <v>250</v>
      </c>
      <c r="D32" s="82" t="n">
        <v>41</v>
      </c>
      <c r="E32" s="0" t="n">
        <v>563</v>
      </c>
      <c r="F32" s="0" t="n">
        <v>41</v>
      </c>
      <c r="H32" s="82" t="n">
        <f aca="false">D32-F32</f>
        <v>0</v>
      </c>
    </row>
    <row r="33" customFormat="false" ht="15" hidden="false" customHeight="false" outlineLevel="0" collapsed="false">
      <c r="A33" s="0" t="s">
        <v>175</v>
      </c>
      <c r="B33" s="0" t="s">
        <v>227</v>
      </c>
      <c r="C33" s="0" t="s">
        <v>249</v>
      </c>
      <c r="D33" s="82" t="n">
        <v>39</v>
      </c>
      <c r="E33" s="0" t="n">
        <v>523</v>
      </c>
      <c r="F33" s="0" t="n">
        <v>39</v>
      </c>
      <c r="H33" s="82"/>
    </row>
    <row r="34" customFormat="false" ht="15" hidden="false" customHeight="false" outlineLevel="0" collapsed="false">
      <c r="A34" s="0" t="s">
        <v>251</v>
      </c>
      <c r="D34" s="82" t="n">
        <v>39</v>
      </c>
      <c r="E34" s="0" t="n">
        <v>523</v>
      </c>
      <c r="F34" s="0" t="n">
        <v>39</v>
      </c>
      <c r="H34" s="82" t="n">
        <f aca="false">D34-F34</f>
        <v>0</v>
      </c>
    </row>
    <row r="35" customFormat="false" ht="15" hidden="false" customHeight="false" outlineLevel="0" collapsed="false">
      <c r="A35" s="0" t="s">
        <v>50</v>
      </c>
      <c r="B35" s="0" t="s">
        <v>227</v>
      </c>
      <c r="C35" s="0" t="s">
        <v>232</v>
      </c>
      <c r="D35" s="82" t="n">
        <v>79</v>
      </c>
      <c r="E35" s="0" t="n">
        <v>270</v>
      </c>
      <c r="F35" s="0" t="n">
        <v>34</v>
      </c>
      <c r="H35" s="82"/>
    </row>
    <row r="36" customFormat="false" ht="15" hidden="false" customHeight="false" outlineLevel="0" collapsed="false">
      <c r="C36" s="0" t="s">
        <v>235</v>
      </c>
      <c r="D36" s="82" t="n">
        <v>79</v>
      </c>
      <c r="E36" s="0" t="n">
        <v>359</v>
      </c>
      <c r="F36" s="0" t="n">
        <v>45</v>
      </c>
      <c r="H36" s="82"/>
    </row>
    <row r="37" customFormat="false" ht="15" hidden="false" customHeight="false" outlineLevel="0" collapsed="false">
      <c r="B37" s="0" t="s">
        <v>229</v>
      </c>
      <c r="C37" s="0" t="s">
        <v>252</v>
      </c>
      <c r="D37" s="82" t="n">
        <v>79</v>
      </c>
      <c r="E37" s="0" t="n">
        <v>8410</v>
      </c>
      <c r="F37" s="0" t="n">
        <v>79</v>
      </c>
      <c r="H37" s="82"/>
      <c r="J37" s="0" t="s">
        <v>253</v>
      </c>
    </row>
    <row r="38" customFormat="false" ht="15" hidden="false" customHeight="false" outlineLevel="0" collapsed="false">
      <c r="A38" s="0" t="s">
        <v>254</v>
      </c>
      <c r="D38" s="82" t="n">
        <v>79</v>
      </c>
      <c r="E38" s="0" t="n">
        <v>9039</v>
      </c>
      <c r="F38" s="0" t="n">
        <v>158</v>
      </c>
      <c r="H38" s="82" t="n">
        <f aca="false">D38-F38</f>
        <v>-79</v>
      </c>
    </row>
    <row r="39" customFormat="false" ht="15" hidden="false" customHeight="false" outlineLevel="0" collapsed="false">
      <c r="A39" s="0" t="s">
        <v>176</v>
      </c>
      <c r="B39" s="0" t="s">
        <v>227</v>
      </c>
      <c r="C39" s="0" t="s">
        <v>235</v>
      </c>
      <c r="D39" s="82" t="n">
        <v>38</v>
      </c>
      <c r="E39" s="0" t="n">
        <v>302</v>
      </c>
      <c r="F39" s="0" t="n">
        <v>38</v>
      </c>
      <c r="H39" s="82"/>
    </row>
    <row r="40" customFormat="false" ht="15" hidden="false" customHeight="false" outlineLevel="0" collapsed="false">
      <c r="B40" s="0" t="s">
        <v>229</v>
      </c>
      <c r="C40" s="0" t="s">
        <v>252</v>
      </c>
      <c r="D40" s="82" t="n">
        <v>38</v>
      </c>
      <c r="E40" s="0" t="n">
        <v>4040</v>
      </c>
      <c r="F40" s="0" t="n">
        <v>38</v>
      </c>
      <c r="H40" s="82"/>
      <c r="J40" s="0" t="s">
        <v>253</v>
      </c>
    </row>
    <row r="41" customFormat="false" ht="15" hidden="false" customHeight="false" outlineLevel="0" collapsed="false">
      <c r="A41" s="0" t="s">
        <v>255</v>
      </c>
      <c r="D41" s="82" t="n">
        <v>38</v>
      </c>
      <c r="E41" s="0" t="n">
        <v>4342</v>
      </c>
      <c r="F41" s="0" t="n">
        <v>76</v>
      </c>
      <c r="H41" s="82" t="n">
        <f aca="false">D41-F41</f>
        <v>-38</v>
      </c>
    </row>
    <row r="42" customFormat="false" ht="15" hidden="false" customHeight="false" outlineLevel="0" collapsed="false">
      <c r="A42" s="0" t="s">
        <v>65</v>
      </c>
      <c r="B42" s="0" t="s">
        <v>227</v>
      </c>
      <c r="C42" s="0" t="s">
        <v>256</v>
      </c>
      <c r="D42" s="82" t="n">
        <v>111</v>
      </c>
      <c r="E42" s="0" t="n">
        <v>700</v>
      </c>
      <c r="F42" s="0" t="n">
        <v>62</v>
      </c>
      <c r="H42" s="82"/>
    </row>
    <row r="43" customFormat="false" ht="15" hidden="false" customHeight="false" outlineLevel="0" collapsed="false">
      <c r="C43" s="0" t="s">
        <v>257</v>
      </c>
      <c r="D43" s="82" t="n">
        <v>111</v>
      </c>
      <c r="E43" s="0" t="n">
        <v>560</v>
      </c>
      <c r="F43" s="0" t="n">
        <v>39</v>
      </c>
      <c r="H43" s="82"/>
    </row>
    <row r="44" customFormat="false" ht="15" hidden="false" customHeight="false" outlineLevel="0" collapsed="false">
      <c r="C44" s="0" t="s">
        <v>247</v>
      </c>
      <c r="D44" s="82" t="n">
        <v>111</v>
      </c>
      <c r="E44" s="0" t="n">
        <v>180</v>
      </c>
      <c r="F44" s="0" t="n">
        <v>10</v>
      </c>
      <c r="H44" s="82"/>
    </row>
    <row r="45" customFormat="false" ht="15" hidden="false" customHeight="false" outlineLevel="0" collapsed="false">
      <c r="A45" s="0" t="s">
        <v>258</v>
      </c>
      <c r="D45" s="82" t="n">
        <v>111</v>
      </c>
      <c r="E45" s="0" t="n">
        <v>1440</v>
      </c>
      <c r="F45" s="0" t="n">
        <v>111</v>
      </c>
      <c r="H45" s="82" t="n">
        <f aca="false">D45-F45</f>
        <v>0</v>
      </c>
    </row>
    <row r="46" customFormat="false" ht="15" hidden="false" customHeight="false" outlineLevel="0" collapsed="false">
      <c r="A46" s="0" t="s">
        <v>177</v>
      </c>
      <c r="B46" s="0" t="s">
        <v>227</v>
      </c>
      <c r="C46" s="0" t="s">
        <v>232</v>
      </c>
      <c r="D46" s="82" t="n">
        <v>63</v>
      </c>
      <c r="E46" s="0" t="n">
        <v>503</v>
      </c>
      <c r="F46" s="0" t="n">
        <v>63</v>
      </c>
      <c r="H46" s="82"/>
    </row>
    <row r="47" customFormat="false" ht="15" hidden="false" customHeight="false" outlineLevel="0" collapsed="false">
      <c r="B47" s="0" t="s">
        <v>229</v>
      </c>
      <c r="C47" s="0" t="s">
        <v>252</v>
      </c>
      <c r="D47" s="82" t="n">
        <v>63</v>
      </c>
      <c r="E47" s="0" t="n">
        <v>6700</v>
      </c>
      <c r="F47" s="0" t="n">
        <v>63</v>
      </c>
      <c r="H47" s="82"/>
      <c r="J47" s="0" t="s">
        <v>253</v>
      </c>
    </row>
    <row r="48" customFormat="false" ht="15" hidden="false" customHeight="false" outlineLevel="0" collapsed="false">
      <c r="A48" s="0" t="s">
        <v>259</v>
      </c>
      <c r="D48" s="82" t="n">
        <v>63</v>
      </c>
      <c r="E48" s="0" t="n">
        <v>7203</v>
      </c>
      <c r="F48" s="0" t="n">
        <v>126</v>
      </c>
      <c r="H48" s="82" t="n">
        <f aca="false">D48-F48</f>
        <v>-63</v>
      </c>
    </row>
    <row r="49" customFormat="false" ht="15" hidden="false" customHeight="false" outlineLevel="0" collapsed="false">
      <c r="A49" s="0" t="s">
        <v>178</v>
      </c>
      <c r="B49" s="0" t="s">
        <v>227</v>
      </c>
      <c r="C49" s="0" t="s">
        <v>235</v>
      </c>
      <c r="D49" s="82" t="n">
        <v>41</v>
      </c>
      <c r="E49" s="0" t="n">
        <v>325</v>
      </c>
      <c r="F49" s="0" t="n">
        <v>41</v>
      </c>
      <c r="H49" s="82"/>
    </row>
    <row r="50" customFormat="false" ht="15" hidden="false" customHeight="false" outlineLevel="0" collapsed="false">
      <c r="B50" s="0" t="s">
        <v>229</v>
      </c>
      <c r="C50" s="0" t="s">
        <v>252</v>
      </c>
      <c r="D50" s="82" t="n">
        <v>41</v>
      </c>
      <c r="E50" s="0" t="n">
        <v>4360</v>
      </c>
      <c r="F50" s="0" t="n">
        <v>41</v>
      </c>
      <c r="H50" s="82"/>
      <c r="J50" s="0" t="s">
        <v>253</v>
      </c>
    </row>
    <row r="51" customFormat="false" ht="15" hidden="false" customHeight="false" outlineLevel="0" collapsed="false">
      <c r="A51" s="0" t="s">
        <v>260</v>
      </c>
      <c r="D51" s="82" t="n">
        <v>41</v>
      </c>
      <c r="E51" s="0" t="n">
        <v>4685</v>
      </c>
      <c r="F51" s="0" t="n">
        <v>82</v>
      </c>
      <c r="H51" s="82" t="n">
        <f aca="false">D51-F51</f>
        <v>-41</v>
      </c>
    </row>
    <row r="52" customFormat="false" ht="15" hidden="false" customHeight="false" outlineLevel="0" collapsed="false">
      <c r="A52" s="0" t="s">
        <v>179</v>
      </c>
      <c r="B52" s="0" t="s">
        <v>227</v>
      </c>
      <c r="C52" s="0" t="s">
        <v>235</v>
      </c>
      <c r="D52" s="82" t="n">
        <v>14</v>
      </c>
      <c r="E52" s="0" t="n">
        <v>111</v>
      </c>
      <c r="F52" s="0" t="n">
        <v>14</v>
      </c>
      <c r="H52" s="82"/>
    </row>
    <row r="53" customFormat="false" ht="15" hidden="false" customHeight="false" outlineLevel="0" collapsed="false">
      <c r="B53" s="0" t="s">
        <v>229</v>
      </c>
      <c r="C53" s="0" t="s">
        <v>252</v>
      </c>
      <c r="D53" s="82" t="n">
        <v>14</v>
      </c>
      <c r="E53" s="0" t="n">
        <v>1490</v>
      </c>
      <c r="F53" s="0" t="n">
        <v>14</v>
      </c>
      <c r="H53" s="82"/>
      <c r="J53" s="0" t="s">
        <v>253</v>
      </c>
    </row>
    <row r="54" customFormat="false" ht="15" hidden="false" customHeight="false" outlineLevel="0" collapsed="false">
      <c r="A54" s="0" t="s">
        <v>261</v>
      </c>
      <c r="D54" s="82" t="n">
        <v>14</v>
      </c>
      <c r="E54" s="0" t="n">
        <v>1601</v>
      </c>
      <c r="F54" s="0" t="n">
        <v>28</v>
      </c>
      <c r="H54" s="82" t="n">
        <f aca="false">D54-F54</f>
        <v>-14</v>
      </c>
    </row>
    <row r="55" customFormat="false" ht="15" hidden="false" customHeight="false" outlineLevel="0" collapsed="false">
      <c r="A55" s="0" t="s">
        <v>180</v>
      </c>
      <c r="B55" s="0" t="s">
        <v>227</v>
      </c>
      <c r="C55" s="0" t="s">
        <v>249</v>
      </c>
      <c r="D55" s="82" t="n">
        <v>24</v>
      </c>
      <c r="E55" s="0" t="n">
        <v>296</v>
      </c>
      <c r="F55" s="0" t="n">
        <v>24</v>
      </c>
      <c r="H55" s="82"/>
    </row>
    <row r="56" customFormat="false" ht="15" hidden="false" customHeight="false" outlineLevel="0" collapsed="false">
      <c r="A56" s="0" t="s">
        <v>262</v>
      </c>
      <c r="D56" s="82" t="n">
        <v>24</v>
      </c>
      <c r="E56" s="0" t="n">
        <v>296</v>
      </c>
      <c r="F56" s="0" t="n">
        <v>24</v>
      </c>
      <c r="H56" s="82" t="n">
        <f aca="false">D56-F56</f>
        <v>0</v>
      </c>
    </row>
    <row r="57" customFormat="false" ht="15" hidden="false" customHeight="false" outlineLevel="0" collapsed="false">
      <c r="A57" s="0" t="s">
        <v>181</v>
      </c>
      <c r="B57" s="0" t="s">
        <v>227</v>
      </c>
      <c r="C57" s="0" t="s">
        <v>232</v>
      </c>
      <c r="D57" s="82" t="n">
        <v>57</v>
      </c>
      <c r="E57" s="0" t="n">
        <v>202</v>
      </c>
      <c r="F57" s="0" t="n">
        <v>17.3</v>
      </c>
      <c r="H57" s="82"/>
    </row>
    <row r="58" customFormat="false" ht="15" hidden="false" customHeight="false" outlineLevel="0" collapsed="false">
      <c r="C58" s="0" t="s">
        <v>233</v>
      </c>
      <c r="D58" s="82" t="n">
        <v>57</v>
      </c>
      <c r="E58" s="0" t="n">
        <v>487</v>
      </c>
      <c r="F58" s="0" t="n">
        <v>34.7</v>
      </c>
      <c r="H58" s="82"/>
    </row>
    <row r="59" customFormat="false" ht="15" hidden="false" customHeight="false" outlineLevel="0" collapsed="false">
      <c r="C59" s="0" t="s">
        <v>249</v>
      </c>
      <c r="D59" s="82" t="n">
        <v>57</v>
      </c>
      <c r="E59" s="0" t="n">
        <v>62</v>
      </c>
      <c r="F59" s="0" t="n">
        <v>5</v>
      </c>
      <c r="H59" s="82"/>
    </row>
    <row r="60" customFormat="false" ht="15" hidden="false" customHeight="false" outlineLevel="0" collapsed="false">
      <c r="A60" s="0" t="s">
        <v>263</v>
      </c>
      <c r="D60" s="82" t="n">
        <v>57</v>
      </c>
      <c r="E60" s="0" t="n">
        <v>751</v>
      </c>
      <c r="F60" s="0" t="n">
        <v>57</v>
      </c>
      <c r="H60" s="82" t="n">
        <f aca="false">D60-F60</f>
        <v>0</v>
      </c>
    </row>
    <row r="61" customFormat="false" ht="15" hidden="false" customHeight="false" outlineLevel="0" collapsed="false">
      <c r="A61" s="0" t="s">
        <v>264</v>
      </c>
      <c r="D61" s="85" t="n">
        <v>48.3157894736842</v>
      </c>
      <c r="E61" s="0" t="n">
        <v>35790</v>
      </c>
      <c r="F61" s="0" t="n">
        <v>1060</v>
      </c>
      <c r="H61" s="8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8.6796875" defaultRowHeight="15" customHeight="true" zeroHeight="false" outlineLevelRow="1" outlineLevelCol="0"/>
  <cols>
    <col collapsed="false" customWidth="true" hidden="false" outlineLevel="0" max="1" min="1" style="0" width="18.71"/>
    <col collapsed="false" customWidth="true" hidden="false" outlineLevel="0" max="2" min="2" style="0" width="10.85"/>
    <col collapsed="false" customWidth="true" hidden="false" outlineLevel="0" max="3" min="3" style="0" width="8.29"/>
    <col collapsed="false" customWidth="true" hidden="false" outlineLevel="0" max="4" min="4" style="0" width="29.14"/>
    <col collapsed="false" customWidth="true" hidden="false" outlineLevel="0" max="5" min="5" style="0" width="9.29"/>
    <col collapsed="false" customWidth="true" hidden="false" outlineLevel="0" max="6" min="6" style="0" width="12.57"/>
    <col collapsed="false" customWidth="true" hidden="false" outlineLevel="0" max="7" min="7" style="0" width="24"/>
    <col collapsed="false" customWidth="true" hidden="false" outlineLevel="0" max="8" min="8" style="0" width="17.86"/>
    <col collapsed="false" customWidth="true" hidden="false" outlineLevel="0" max="9" min="9" style="0" width="18.29"/>
    <col collapsed="false" customWidth="true" hidden="false" outlineLevel="0" max="10" min="10" style="0" width="12.29"/>
    <col collapsed="false" customWidth="true" hidden="false" outlineLevel="0" max="11" min="11" style="0" width="10.71"/>
    <col collapsed="false" customWidth="true" hidden="false" outlineLevel="0" max="12" min="12" style="0" width="18.29"/>
    <col collapsed="false" customWidth="true" hidden="false" outlineLevel="0" max="13" min="13" style="0" width="13.15"/>
  </cols>
  <sheetData>
    <row r="1" customFormat="false" ht="15" hidden="false" customHeight="false" outlineLevel="0" collapsed="false">
      <c r="K1" s="86" t="s">
        <v>265</v>
      </c>
      <c r="L1" s="86"/>
    </row>
    <row r="2" customFormat="false" ht="15" hidden="false" customHeight="false" outlineLevel="0" collapsed="false">
      <c r="A2" s="87" t="s">
        <v>266</v>
      </c>
      <c r="B2" s="0" t="s">
        <v>267</v>
      </c>
      <c r="D2" s="87" t="n">
        <v>5</v>
      </c>
      <c r="E2" s="87"/>
      <c r="I2" s="87" t="n">
        <v>8</v>
      </c>
      <c r="J2" s="87"/>
    </row>
    <row r="3" customFormat="false" ht="15" hidden="false" customHeight="false" outlineLevel="0" collapsed="false">
      <c r="A3" s="24" t="s">
        <v>268</v>
      </c>
      <c r="D3" s="24" t="s">
        <v>269</v>
      </c>
      <c r="E3" s="24" t="s">
        <v>270</v>
      </c>
      <c r="F3" s="24" t="s">
        <v>271</v>
      </c>
      <c r="G3" s="24" t="s">
        <v>272</v>
      </c>
      <c r="I3" s="24" t="s">
        <v>273</v>
      </c>
      <c r="J3" s="24"/>
      <c r="K3" s="24" t="s">
        <v>274</v>
      </c>
      <c r="L3" s="24" t="s">
        <v>275</v>
      </c>
      <c r="M3" s="24" t="s">
        <v>40</v>
      </c>
    </row>
    <row r="4" customFormat="false" ht="15" hidden="false" customHeight="false" outlineLevel="0" collapsed="false">
      <c r="A4" s="0" t="s">
        <v>270</v>
      </c>
      <c r="B4" s="88" t="n">
        <f aca="false">C59</f>
        <v>9535.8</v>
      </c>
      <c r="D4" s="0" t="s">
        <v>51</v>
      </c>
      <c r="E4" s="89" t="n">
        <f aca="false">C55</f>
        <v>3890</v>
      </c>
      <c r="F4" s="88" t="n">
        <f aca="false">D55</f>
        <v>1356.3</v>
      </c>
      <c r="G4" s="90" t="n">
        <f aca="false">IFERROR(F4/E4, )</f>
        <v>0.34866323907455</v>
      </c>
      <c r="I4" s="0" t="n">
        <v>1</v>
      </c>
      <c r="J4" s="22" t="n">
        <v>46176</v>
      </c>
      <c r="K4" s="91" t="n">
        <f aca="false">IFERROR(SUMIF('Реестр уборки 2026'!Z:Z,J4,'Реестр уборки 2026'!G:G)/1000, )</f>
        <v>191.51</v>
      </c>
      <c r="L4" s="92" t="n">
        <f aca="false">IFERROR(AVERAGEIF('Реестр уборки 2026'!Z:Z,'Данные 2026'!J4,'Реестр уборки 2026'!C:C),)</f>
        <v>52.2857142857143</v>
      </c>
      <c r="M4" s="93" t="s">
        <v>276</v>
      </c>
    </row>
    <row r="5" customFormat="false" ht="15" hidden="false" customHeight="false" outlineLevel="0" collapsed="false">
      <c r="A5" s="0" t="s">
        <v>271</v>
      </c>
      <c r="B5" s="88" t="n">
        <f aca="false">D59</f>
        <v>1356.3</v>
      </c>
      <c r="D5" s="0" t="s">
        <v>277</v>
      </c>
      <c r="E5" s="89" t="n">
        <f aca="false">C56</f>
        <v>2100</v>
      </c>
      <c r="F5" s="88" t="n">
        <f aca="false">D56</f>
        <v>0</v>
      </c>
      <c r="G5" s="90" t="n">
        <f aca="false">IFERROR(F5/E5, )</f>
        <v>0</v>
      </c>
      <c r="I5" s="0" t="n">
        <v>2</v>
      </c>
      <c r="J5" s="22" t="n">
        <f aca="false">J4+1</f>
        <v>46177</v>
      </c>
      <c r="K5" s="91" t="n">
        <f aca="false">IFERROR(SUMIF('Реестр уборки 2026'!Z:Z,J5,'Реестр уборки 2026'!G:G)/1000, )</f>
        <v>117.37</v>
      </c>
      <c r="L5" s="92" t="n">
        <f aca="false">IFERROR(AVERAGEIF('Реестр уборки 2026'!Z:Z,'Данные 2026'!J5,'Реестр уборки 2026'!C:C),)</f>
        <v>52</v>
      </c>
      <c r="M5" s="93" t="s">
        <v>276</v>
      </c>
    </row>
    <row r="6" customFormat="false" ht="15" hidden="false" customHeight="false" outlineLevel="0" collapsed="false">
      <c r="A6" s="24" t="s">
        <v>272</v>
      </c>
      <c r="B6" s="94" t="n">
        <f aca="false">E59</f>
        <v>0.142232429371421</v>
      </c>
      <c r="D6" s="0" t="s">
        <v>278</v>
      </c>
      <c r="E6" s="89" t="n">
        <f aca="false">C57</f>
        <v>1345</v>
      </c>
      <c r="F6" s="88" t="n">
        <f aca="false">D57</f>
        <v>0</v>
      </c>
      <c r="G6" s="90" t="n">
        <f aca="false">IFERROR(F6/E6, )</f>
        <v>0</v>
      </c>
      <c r="I6" s="0" t="n">
        <v>3</v>
      </c>
      <c r="J6" s="22" t="n">
        <f aca="false">J5+1</f>
        <v>46178</v>
      </c>
      <c r="K6" s="91"/>
      <c r="L6" s="92"/>
      <c r="M6" s="93" t="s">
        <v>276</v>
      </c>
    </row>
    <row r="7" customFormat="false" ht="15" hidden="false" customHeight="false" outlineLevel="0" collapsed="false">
      <c r="D7" s="0" t="s">
        <v>279</v>
      </c>
      <c r="E7" s="89" t="n">
        <f aca="false">C58</f>
        <v>2200.8</v>
      </c>
      <c r="F7" s="88" t="n">
        <f aca="false">D58</f>
        <v>0</v>
      </c>
      <c r="G7" s="90" t="n">
        <f aca="false">IFERROR(F7/E7, )</f>
        <v>0</v>
      </c>
      <c r="I7" s="0" t="n">
        <v>4</v>
      </c>
      <c r="J7" s="22" t="n">
        <f aca="false">J6+1</f>
        <v>46179</v>
      </c>
      <c r="K7" s="91" t="n">
        <f aca="false">IFERROR(SUMIF('Реестр уборки 2026'!Z:Z,J7,'Реестр уборки 2026'!G:G)/1000, )</f>
        <v>268.92</v>
      </c>
      <c r="L7" s="92" t="n">
        <f aca="false">IFERROR(AVERAGEIF('Реестр уборки 2026'!Z:Z,'Данные 2026'!J7,'Реестр уборки 2026'!C:C),)</f>
        <v>47.8260869565217</v>
      </c>
      <c r="M7" s="93" t="s">
        <v>276</v>
      </c>
    </row>
    <row r="8" customFormat="false" ht="15" hidden="false" customHeight="false" outlineLevel="0" collapsed="false">
      <c r="A8" s="95" t="s">
        <v>280</v>
      </c>
      <c r="B8" s="96"/>
      <c r="E8" s="97"/>
      <c r="F8" s="88"/>
      <c r="G8" s="90"/>
      <c r="I8" s="0" t="n">
        <v>5</v>
      </c>
      <c r="J8" s="22" t="n">
        <f aca="false">J7+1</f>
        <v>46180</v>
      </c>
      <c r="K8" s="91" t="n">
        <f aca="false">IFERROR(SUMIF('Реестр уборки 2026'!Z:Z,J8,'Реестр уборки 2026'!G:G)/1000, )</f>
        <v>222.31</v>
      </c>
      <c r="L8" s="92" t="n">
        <f aca="false">IFERROR(AVERAGEIF('Реестр уборки 2026'!Z:Z,'Данные 2026'!J8,'Реестр уборки 2026'!C:C),)</f>
        <v>51.2</v>
      </c>
      <c r="M8" s="93" t="s">
        <v>276</v>
      </c>
    </row>
    <row r="9" customFormat="false" ht="15" hidden="false" customHeight="false" outlineLevel="0" collapsed="false">
      <c r="A9" s="98" t="s">
        <v>281</v>
      </c>
      <c r="B9" s="96"/>
      <c r="E9" s="97"/>
      <c r="F9" s="88"/>
      <c r="G9" s="90"/>
      <c r="I9" s="0" t="n">
        <v>6</v>
      </c>
      <c r="J9" s="22" t="n">
        <f aca="false">J8+1</f>
        <v>46181</v>
      </c>
      <c r="K9" s="91" t="n">
        <f aca="false">IFERROR(SUMIF('Реестр уборки 2026'!Z:Z,J9,'Реестр уборки 2026'!G:G)/1000, )</f>
        <v>246.5</v>
      </c>
      <c r="L9" s="92" t="n">
        <f aca="false">IFERROR(AVERAGEIF('Реестр уборки 2026'!Z:Z,'Данные 2026'!J9,'Реестр уборки 2026'!C:C),)</f>
        <v>49.55</v>
      </c>
      <c r="M9" s="93" t="s">
        <v>276</v>
      </c>
    </row>
    <row r="10" customFormat="false" ht="15" hidden="false" customHeight="false" outlineLevel="0" collapsed="false">
      <c r="A10" s="96" t="s">
        <v>270</v>
      </c>
      <c r="B10" s="99"/>
      <c r="E10" s="97"/>
      <c r="F10" s="88"/>
      <c r="G10" s="90"/>
      <c r="I10" s="0" t="n">
        <v>7</v>
      </c>
      <c r="J10" s="22" t="n">
        <f aca="false">J9+1</f>
        <v>46182</v>
      </c>
      <c r="K10" s="91" t="n">
        <f aca="false">IFERROR(SUMIF('Реестр уборки 2026'!Z:Z,J10,'Реестр уборки 2026'!G:G)/1000, )</f>
        <v>309.69</v>
      </c>
      <c r="L10" s="92" t="n">
        <f aca="false">AVERAGEIF('Реестр уборки 2026'!Z88:Z109,'Данные 2026'!J10,'Реестр уборки 2026'!C88:C109)</f>
        <v>53.2727272727273</v>
      </c>
      <c r="M10" s="93" t="s">
        <v>276</v>
      </c>
    </row>
    <row r="11" customFormat="false" ht="15" hidden="false" customHeight="false" outlineLevel="0" collapsed="false">
      <c r="A11" s="96" t="s">
        <v>271</v>
      </c>
      <c r="B11" s="99"/>
      <c r="E11" s="89"/>
      <c r="F11" s="88"/>
      <c r="G11" s="90"/>
      <c r="I11" s="0" t="n">
        <v>8</v>
      </c>
      <c r="J11" s="22" t="n">
        <f aca="false">J10+1</f>
        <v>46183</v>
      </c>
      <c r="K11" s="91"/>
      <c r="L11" s="92"/>
      <c r="M11" s="93" t="s">
        <v>276</v>
      </c>
    </row>
    <row r="12" customFormat="false" ht="15" hidden="false" customHeight="false" outlineLevel="0" collapsed="false">
      <c r="E12" s="100" t="n">
        <f aca="false">SUM(E4:E11)</f>
        <v>9535.8</v>
      </c>
      <c r="F12" s="100" t="n">
        <f aca="false">SUM(F4:F11)</f>
        <v>1356.3</v>
      </c>
      <c r="G12" s="101" t="n">
        <f aca="false">IFERROR(F12/E12, )</f>
        <v>0.142232429371421</v>
      </c>
      <c r="I12" s="0" t="n">
        <v>9</v>
      </c>
      <c r="J12" s="22" t="n">
        <f aca="false">J11+1</f>
        <v>46184</v>
      </c>
      <c r="K12" s="91"/>
      <c r="L12" s="92"/>
      <c r="M12" s="93" t="s">
        <v>276</v>
      </c>
    </row>
    <row r="13" customFormat="false" ht="15" hidden="false" customHeight="false" outlineLevel="0" collapsed="false">
      <c r="A13" s="87" t="n">
        <v>2</v>
      </c>
      <c r="D13" s="87" t="n">
        <v>6</v>
      </c>
      <c r="E13" s="87"/>
      <c r="I13" s="0" t="n">
        <v>10</v>
      </c>
      <c r="J13" s="22" t="n">
        <f aca="false">J12+1</f>
        <v>46185</v>
      </c>
      <c r="K13" s="91"/>
      <c r="L13" s="92"/>
      <c r="M13" s="93" t="s">
        <v>276</v>
      </c>
    </row>
    <row r="14" customFormat="false" ht="15" hidden="false" customHeight="false" outlineLevel="0" collapsed="false">
      <c r="A14" s="24" t="s">
        <v>282</v>
      </c>
      <c r="D14" s="24" t="s">
        <v>269</v>
      </c>
      <c r="E14" s="24"/>
      <c r="F14" s="47" t="s">
        <v>283</v>
      </c>
      <c r="G14" s="47" t="s">
        <v>284</v>
      </c>
      <c r="I14" s="0" t="n">
        <v>11</v>
      </c>
      <c r="J14" s="22" t="n">
        <f aca="false">J13+1</f>
        <v>46186</v>
      </c>
      <c r="K14" s="91"/>
      <c r="L14" s="92"/>
      <c r="M14" s="93" t="s">
        <v>276</v>
      </c>
    </row>
    <row r="15" customFormat="false" ht="15" hidden="false" customHeight="false" outlineLevel="0" collapsed="false">
      <c r="A15" s="0" t="s">
        <v>285</v>
      </c>
      <c r="B15" s="102" t="n">
        <f aca="false">F59</f>
        <v>1907.16</v>
      </c>
      <c r="D15" s="103" t="n">
        <v>2019</v>
      </c>
      <c r="E15" s="103"/>
      <c r="F15" s="104" t="n">
        <v>3.3</v>
      </c>
      <c r="G15" s="89" t="n">
        <v>6813</v>
      </c>
      <c r="I15" s="0" t="n">
        <v>12</v>
      </c>
      <c r="J15" s="22" t="n">
        <f aca="false">J14+1</f>
        <v>46187</v>
      </c>
      <c r="K15" s="91"/>
      <c r="L15" s="92"/>
      <c r="M15" s="93" t="s">
        <v>276</v>
      </c>
    </row>
    <row r="16" customFormat="false" ht="15" hidden="false" customHeight="false" outlineLevel="0" collapsed="false">
      <c r="A16" s="0" t="s">
        <v>286</v>
      </c>
      <c r="B16" s="102" t="n">
        <f aca="false">G59</f>
        <v>235</v>
      </c>
      <c r="D16" s="103" t="n">
        <v>2020</v>
      </c>
      <c r="E16" s="103"/>
      <c r="F16" s="104" t="n">
        <v>4.6</v>
      </c>
      <c r="G16" s="89" t="n">
        <v>12761</v>
      </c>
      <c r="H16" s="47"/>
      <c r="I16" s="0" t="n">
        <v>13</v>
      </c>
      <c r="J16" s="22" t="n">
        <f aca="false">J15+1</f>
        <v>46188</v>
      </c>
      <c r="K16" s="91"/>
      <c r="L16" s="92"/>
      <c r="M16" s="93" t="s">
        <v>276</v>
      </c>
    </row>
    <row r="17" customFormat="false" ht="15" hidden="false" customHeight="false" outlineLevel="0" collapsed="false">
      <c r="A17" s="0" t="s">
        <v>287</v>
      </c>
      <c r="B17" s="102" t="n">
        <f aca="false">B15-B16</f>
        <v>1672.16</v>
      </c>
      <c r="D17" s="103" t="n">
        <v>2021</v>
      </c>
      <c r="E17" s="103"/>
      <c r="F17" s="104" t="n">
        <v>4.2</v>
      </c>
      <c r="G17" s="89" t="n">
        <v>10161</v>
      </c>
      <c r="I17" s="0" t="n">
        <v>14</v>
      </c>
      <c r="J17" s="22" t="n">
        <f aca="false">J16+1</f>
        <v>46189</v>
      </c>
      <c r="K17" s="91"/>
      <c r="L17" s="92"/>
      <c r="M17" s="93" t="s">
        <v>276</v>
      </c>
    </row>
    <row r="18" customFormat="false" ht="15" hidden="false" customHeight="false" outlineLevel="0" collapsed="false">
      <c r="A18" s="0" t="s">
        <v>272</v>
      </c>
      <c r="B18" s="94" t="n">
        <f aca="false">B16/B15</f>
        <v>0.123219866188469</v>
      </c>
      <c r="D18" s="103" t="n">
        <v>2022</v>
      </c>
      <c r="E18" s="103"/>
      <c r="F18" s="104" t="n">
        <v>3</v>
      </c>
      <c r="G18" s="89" t="n">
        <v>6505</v>
      </c>
      <c r="I18" s="0" t="n">
        <v>15</v>
      </c>
      <c r="J18" s="22" t="n">
        <f aca="false">J17+1</f>
        <v>46190</v>
      </c>
      <c r="K18" s="91"/>
      <c r="L18" s="92"/>
      <c r="M18" s="93" t="s">
        <v>276</v>
      </c>
    </row>
    <row r="19" customFormat="false" ht="15" hidden="false" customHeight="false" outlineLevel="0" collapsed="false">
      <c r="A19" s="0" t="s">
        <v>288</v>
      </c>
      <c r="B19" s="102"/>
      <c r="D19" s="103" t="n">
        <v>2023</v>
      </c>
      <c r="E19" s="103"/>
      <c r="F19" s="104" t="n">
        <v>5.6</v>
      </c>
      <c r="G19" s="89" t="n">
        <v>6656</v>
      </c>
      <c r="I19" s="0" t="n">
        <v>16</v>
      </c>
      <c r="J19" s="22" t="n">
        <f aca="false">J18+1</f>
        <v>46191</v>
      </c>
      <c r="K19" s="91"/>
      <c r="L19" s="92"/>
      <c r="M19" s="93" t="s">
        <v>276</v>
      </c>
    </row>
    <row r="20" customFormat="false" ht="15" hidden="false" customHeight="false" outlineLevel="0" collapsed="false">
      <c r="A20" s="0" t="s">
        <v>289</v>
      </c>
      <c r="B20" s="105"/>
      <c r="D20" s="103" t="n">
        <v>2024</v>
      </c>
      <c r="E20" s="103"/>
      <c r="F20" s="104" t="n">
        <v>2.7</v>
      </c>
      <c r="G20" s="89" t="n">
        <v>4371.9</v>
      </c>
      <c r="I20" s="0" t="n">
        <v>17</v>
      </c>
      <c r="J20" s="22" t="n">
        <f aca="false">J19+1</f>
        <v>46192</v>
      </c>
      <c r="K20" s="91"/>
      <c r="L20" s="92"/>
      <c r="M20" s="93" t="s">
        <v>276</v>
      </c>
    </row>
    <row r="21" customFormat="false" ht="15" hidden="false" customHeight="false" outlineLevel="0" collapsed="false">
      <c r="A21" s="106" t="s">
        <v>290</v>
      </c>
      <c r="D21" s="103" t="n">
        <v>2025</v>
      </c>
      <c r="E21" s="103"/>
      <c r="F21" s="104" t="n">
        <v>4.78356421006016</v>
      </c>
      <c r="G21" s="89" t="n">
        <v>7098.14</v>
      </c>
      <c r="I21" s="0" t="n">
        <v>18</v>
      </c>
      <c r="J21" s="22" t="n">
        <f aca="false">J20+1</f>
        <v>46193</v>
      </c>
      <c r="K21" s="91"/>
      <c r="L21" s="92"/>
      <c r="M21" s="93" t="s">
        <v>276</v>
      </c>
    </row>
    <row r="22" customFormat="false" ht="15" hidden="false" customHeight="false" outlineLevel="0" collapsed="false">
      <c r="A22" s="24" t="s">
        <v>291</v>
      </c>
      <c r="D22" s="103" t="n">
        <v>2026</v>
      </c>
      <c r="E22" s="103"/>
      <c r="F22" s="107" t="n">
        <f aca="false">B24</f>
        <v>5.77148936170213</v>
      </c>
      <c r="G22" s="108" t="n">
        <f aca="false">F12</f>
        <v>1356.3</v>
      </c>
      <c r="I22" s="0" t="n">
        <v>19</v>
      </c>
      <c r="J22" s="22" t="n">
        <f aca="false">J21+1</f>
        <v>46194</v>
      </c>
      <c r="K22" s="91"/>
      <c r="L22" s="92"/>
      <c r="M22" s="93" t="s">
        <v>276</v>
      </c>
    </row>
    <row r="23" customFormat="false" ht="15" hidden="false" customHeight="false" outlineLevel="0" collapsed="false">
      <c r="A23" s="0" t="s">
        <v>292</v>
      </c>
      <c r="B23" s="104" t="n">
        <f aca="false">IFERROR(B4/B15, )</f>
        <v>5</v>
      </c>
      <c r="F23" s="47"/>
      <c r="I23" s="0" t="n">
        <v>20</v>
      </c>
      <c r="J23" s="22" t="n">
        <f aca="false">J22+1</f>
        <v>46195</v>
      </c>
      <c r="K23" s="91"/>
      <c r="L23" s="92"/>
      <c r="M23" s="93" t="s">
        <v>276</v>
      </c>
    </row>
    <row r="24" customFormat="false" ht="15" hidden="false" customHeight="false" outlineLevel="0" collapsed="false">
      <c r="A24" s="0" t="s">
        <v>293</v>
      </c>
      <c r="B24" s="104" t="n">
        <f aca="false">IFERROR(B5/B16, )</f>
        <v>5.77148936170213</v>
      </c>
      <c r="I24" s="0" t="n">
        <v>21</v>
      </c>
      <c r="J24" s="22" t="n">
        <f aca="false">J23+1</f>
        <v>46196</v>
      </c>
      <c r="K24" s="91"/>
      <c r="L24" s="92"/>
      <c r="M24" s="93" t="s">
        <v>276</v>
      </c>
    </row>
    <row r="25" customFormat="false" ht="15" hidden="false" customHeight="false" outlineLevel="0" collapsed="false">
      <c r="D25" s="87" t="n">
        <v>7</v>
      </c>
      <c r="E25" s="87"/>
      <c r="I25" s="0" t="n">
        <v>22</v>
      </c>
      <c r="J25" s="22" t="n">
        <f aca="false">J24+1</f>
        <v>46197</v>
      </c>
      <c r="K25" s="91"/>
      <c r="L25" s="92"/>
      <c r="M25" s="93" t="s">
        <v>276</v>
      </c>
    </row>
    <row r="26" customFormat="false" ht="15" hidden="false" customHeight="false" outlineLevel="0" collapsed="false">
      <c r="A26" s="109" t="s">
        <v>294</v>
      </c>
      <c r="B26" s="96"/>
      <c r="D26" s="24" t="s">
        <v>295</v>
      </c>
      <c r="E26" s="24"/>
      <c r="F26" s="47" t="s">
        <v>296</v>
      </c>
      <c r="G26" s="47" t="s">
        <v>297</v>
      </c>
      <c r="I26" s="0" t="n">
        <v>23</v>
      </c>
      <c r="J26" s="22" t="n">
        <f aca="false">J25+1</f>
        <v>46198</v>
      </c>
      <c r="K26" s="91"/>
      <c r="L26" s="92"/>
      <c r="M26" s="93" t="s">
        <v>276</v>
      </c>
    </row>
    <row r="27" customFormat="false" ht="15" hidden="false" customHeight="false" outlineLevel="0" collapsed="false">
      <c r="A27" s="98" t="s">
        <v>298</v>
      </c>
      <c r="B27" s="96"/>
      <c r="C27" s="0" t="s">
        <v>299</v>
      </c>
      <c r="D27" s="110" t="s">
        <v>299</v>
      </c>
      <c r="E27" s="110"/>
      <c r="F27" s="88" t="n">
        <f aca="false">SUMIF('Реестр уборки 2026'!AC:AC,Таблица111[[#This Row],[Распределение сырья по финометру]],'Реестр уборки 2026'!G:G)/1000</f>
        <v>0</v>
      </c>
      <c r="G27" s="111" t="n">
        <f aca="false">IFERROR(F27/$F$33, )</f>
        <v>0</v>
      </c>
      <c r="I27" s="0" t="n">
        <v>24</v>
      </c>
      <c r="J27" s="22" t="n">
        <f aca="false">J26+1</f>
        <v>46199</v>
      </c>
      <c r="K27" s="91"/>
      <c r="L27" s="92"/>
      <c r="M27" s="93" t="s">
        <v>276</v>
      </c>
    </row>
    <row r="28" customFormat="false" ht="15" hidden="false" customHeight="false" outlineLevel="0" collapsed="false">
      <c r="A28" s="96" t="s">
        <v>292</v>
      </c>
      <c r="B28" s="96" t="n">
        <f aca="false">IFERROR(B10/B15, 0)</f>
        <v>0</v>
      </c>
      <c r="C28" s="0" t="s">
        <v>300</v>
      </c>
      <c r="D28" s="110" t="s">
        <v>53</v>
      </c>
      <c r="E28" s="110"/>
      <c r="F28" s="88" t="n">
        <f aca="false">SUMIF('Реестр уборки 2026'!AC:AC,Таблица111[[#This Row],[Распределение сырья по финометру]],'Реестр уборки 2026'!G:G)/1000</f>
        <v>787.55</v>
      </c>
      <c r="G28" s="112" t="n">
        <f aca="false">IFERROR(F28/$F$33, )</f>
        <v>0.580660620806606</v>
      </c>
      <c r="I28" s="0" t="n">
        <v>25</v>
      </c>
      <c r="J28" s="22" t="n">
        <f aca="false">J27+1</f>
        <v>46200</v>
      </c>
      <c r="K28" s="91"/>
      <c r="L28" s="92"/>
      <c r="M28" s="93" t="s">
        <v>276</v>
      </c>
    </row>
    <row r="29" customFormat="false" ht="15" hidden="false" customHeight="false" outlineLevel="0" collapsed="false">
      <c r="A29" s="96" t="s">
        <v>293</v>
      </c>
      <c r="B29" s="96" t="n">
        <f aca="false">IFERROR(B11/B16, 0)</f>
        <v>0</v>
      </c>
      <c r="C29" s="0" t="s">
        <v>301</v>
      </c>
      <c r="D29" s="110" t="s">
        <v>302</v>
      </c>
      <c r="E29" s="110"/>
      <c r="F29" s="88" t="n">
        <f aca="false">SUMIF('Реестр уборки 2026'!AC:AC,Таблица111[[#This Row],[Распределение сырья по финометру]],'Реестр уборки 2026'!G:G)/1000</f>
        <v>509.69</v>
      </c>
      <c r="G29" s="112" t="n">
        <f aca="false">IFERROR(F29/$F$33, )</f>
        <v>0.375794440757944</v>
      </c>
      <c r="I29" s="0" t="n">
        <v>26</v>
      </c>
      <c r="J29" s="22" t="n">
        <f aca="false">J28+1</f>
        <v>46201</v>
      </c>
      <c r="K29" s="91"/>
      <c r="L29" s="92"/>
      <c r="M29" s="93" t="s">
        <v>276</v>
      </c>
    </row>
    <row r="30" customFormat="false" ht="15" hidden="false" customHeight="false" outlineLevel="0" collapsed="false">
      <c r="C30" s="0" t="s">
        <v>303</v>
      </c>
      <c r="D30" s="110" t="s">
        <v>304</v>
      </c>
      <c r="E30" s="110"/>
      <c r="F30" s="88" t="n">
        <f aca="false">SUMIF('Реестр уборки 2026'!AC:AC,Таблица111[[#This Row],[Распределение сырья по финометру]],'Реестр уборки 2026'!G:G)/1000</f>
        <v>0</v>
      </c>
      <c r="G30" s="112" t="n">
        <f aca="false">IFERROR(F30/$F$33, )</f>
        <v>0</v>
      </c>
      <c r="I30" s="0" t="n">
        <v>27</v>
      </c>
      <c r="J30" s="22" t="n">
        <f aca="false">J29+1</f>
        <v>46202</v>
      </c>
      <c r="K30" s="91"/>
      <c r="L30" s="92"/>
      <c r="M30" s="93" t="s">
        <v>276</v>
      </c>
    </row>
    <row r="31" customFormat="false" ht="15" hidden="false" customHeight="false" outlineLevel="0" collapsed="false">
      <c r="A31" s="113"/>
      <c r="D31" s="110" t="s">
        <v>305</v>
      </c>
      <c r="F31" s="88" t="n">
        <f aca="false">SUMIF('Реестр уборки 2026'!AC:AC,Таблица111[[#This Row],[Распределение сырья по финометру]],'Реестр уборки 2026'!G:G)/1000</f>
        <v>0</v>
      </c>
      <c r="G31" s="112" t="n">
        <f aca="false">IFERROR(F31/$F$33, )</f>
        <v>0</v>
      </c>
      <c r="I31" s="0" t="n">
        <v>28</v>
      </c>
      <c r="J31" s="22" t="n">
        <f aca="false">J30+1</f>
        <v>46203</v>
      </c>
      <c r="K31" s="91"/>
      <c r="L31" s="92"/>
      <c r="M31" s="93" t="s">
        <v>276</v>
      </c>
    </row>
    <row r="32" customFormat="false" ht="15" hidden="false" customHeight="false" outlineLevel="0" collapsed="false">
      <c r="A32" s="87" t="n">
        <v>4</v>
      </c>
      <c r="B32" s="87"/>
      <c r="D32" s="110" t="s">
        <v>276</v>
      </c>
      <c r="F32" s="88" t="n">
        <f aca="false">SUMIF('Реестр уборки 2026'!AC:AC,Таблица111[[#This Row],[Распределение сырья по финометру]],'Реестр уборки 2026'!G:G)/1000</f>
        <v>59.06</v>
      </c>
      <c r="G32" s="111" t="n">
        <f aca="false">IFERROR(F32/$F$33, )</f>
        <v>0.0435449384354494</v>
      </c>
      <c r="I32" s="0" t="n">
        <v>29</v>
      </c>
      <c r="J32" s="22" t="n">
        <f aca="false">J31+1</f>
        <v>46204</v>
      </c>
      <c r="K32" s="91"/>
      <c r="L32" s="92"/>
      <c r="M32" s="93" t="s">
        <v>276</v>
      </c>
    </row>
    <row r="33" customFormat="false" ht="15" hidden="false" customHeight="false" outlineLevel="0" collapsed="false">
      <c r="A33" s="24" t="s">
        <v>306</v>
      </c>
      <c r="B33" s="24"/>
      <c r="F33" s="114" t="n">
        <f aca="false">SUM(F27:F32)</f>
        <v>1356.3</v>
      </c>
      <c r="G33" s="115" t="n">
        <f aca="false">SUM(G27:G32)</f>
        <v>1</v>
      </c>
      <c r="I33" s="0" t="n">
        <v>30</v>
      </c>
      <c r="J33" s="22" t="n">
        <f aca="false">J32+1</f>
        <v>46205</v>
      </c>
      <c r="K33" s="91"/>
      <c r="L33" s="92"/>
      <c r="M33" s="93" t="s">
        <v>276</v>
      </c>
    </row>
    <row r="34" customFormat="false" ht="15" hidden="false" customHeight="false" outlineLevel="0" collapsed="false">
      <c r="A34" s="0" t="s">
        <v>307</v>
      </c>
      <c r="B34" s="88" t="n">
        <f aca="false">B37-B35-B36</f>
        <v>1297.24</v>
      </c>
      <c r="I34" s="0" t="n">
        <v>31</v>
      </c>
      <c r="J34" s="22" t="n">
        <f aca="false">J33+1</f>
        <v>46206</v>
      </c>
      <c r="K34" s="91"/>
      <c r="L34" s="92"/>
      <c r="M34" s="93" t="s">
        <v>276</v>
      </c>
    </row>
    <row r="35" customFormat="false" ht="15" hidden="false" customHeight="false" outlineLevel="0" collapsed="false">
      <c r="A35" s="0" t="s">
        <v>308</v>
      </c>
      <c r="B35" s="88" t="n">
        <v>0</v>
      </c>
      <c r="I35" s="0" t="n">
        <v>32</v>
      </c>
      <c r="J35" s="22" t="n">
        <f aca="false">J34+1</f>
        <v>46207</v>
      </c>
      <c r="K35" s="91"/>
      <c r="L35" s="92"/>
      <c r="M35" s="93" t="s">
        <v>276</v>
      </c>
    </row>
    <row r="36" customFormat="false" ht="15" hidden="false" customHeight="false" outlineLevel="0" collapsed="false">
      <c r="A36" s="0" t="s">
        <v>309</v>
      </c>
      <c r="B36" s="88" t="n">
        <f aca="false">59060/1000</f>
        <v>59.06</v>
      </c>
      <c r="C36" s="116" t="n">
        <v>0</v>
      </c>
      <c r="D36" s="0" t="s">
        <v>310</v>
      </c>
      <c r="I36" s="0" t="n">
        <v>33</v>
      </c>
      <c r="J36" s="22" t="n">
        <f aca="false">J35+1</f>
        <v>46208</v>
      </c>
      <c r="K36" s="91"/>
      <c r="L36" s="92"/>
      <c r="M36" s="93" t="s">
        <v>276</v>
      </c>
    </row>
    <row r="37" customFormat="false" ht="15" hidden="false" customHeight="false" outlineLevel="0" collapsed="false">
      <c r="A37" s="0" t="s">
        <v>311</v>
      </c>
      <c r="B37" s="88" t="n">
        <f aca="false">F12</f>
        <v>1356.3</v>
      </c>
      <c r="I37" s="0" t="n">
        <v>34</v>
      </c>
      <c r="J37" s="22" t="n">
        <f aca="false">J36+1</f>
        <v>46209</v>
      </c>
      <c r="K37" s="91"/>
      <c r="L37" s="92"/>
      <c r="M37" s="93" t="s">
        <v>276</v>
      </c>
    </row>
    <row r="38" customFormat="false" ht="15" hidden="false" customHeight="false" outlineLevel="0" collapsed="false">
      <c r="A38" s="0" t="s">
        <v>312</v>
      </c>
      <c r="B38" s="88" t="n">
        <v>0</v>
      </c>
      <c r="I38" s="0" t="n">
        <v>35</v>
      </c>
      <c r="J38" s="22" t="n">
        <f aca="false">J37+1</f>
        <v>46210</v>
      </c>
      <c r="K38" s="91"/>
      <c r="L38" s="92"/>
      <c r="M38" s="93" t="s">
        <v>276</v>
      </c>
    </row>
    <row r="39" customFormat="false" ht="15" hidden="false" customHeight="false" outlineLevel="0" collapsed="false">
      <c r="I39" s="0" t="n">
        <v>36</v>
      </c>
      <c r="J39" s="22" t="n">
        <f aca="false">J38+1</f>
        <v>46211</v>
      </c>
      <c r="K39" s="91"/>
      <c r="L39" s="92"/>
      <c r="M39" s="93" t="s">
        <v>276</v>
      </c>
    </row>
    <row r="40" customFormat="false" ht="15" hidden="false" customHeight="false" outlineLevel="0" collapsed="false">
      <c r="I40" s="0" t="n">
        <v>37</v>
      </c>
      <c r="J40" s="22" t="n">
        <f aca="false">J39+1</f>
        <v>46212</v>
      </c>
      <c r="K40" s="91"/>
      <c r="L40" s="92"/>
      <c r="M40" s="93" t="s">
        <v>276</v>
      </c>
    </row>
    <row r="41" s="117" customFormat="true" ht="14.25" hidden="false" customHeight="true" outlineLevel="0" collapsed="false">
      <c r="I41" s="117" t="n">
        <v>38</v>
      </c>
      <c r="J41" s="22" t="n">
        <f aca="false">J40+1</f>
        <v>46213</v>
      </c>
      <c r="K41" s="91"/>
      <c r="L41" s="92"/>
      <c r="M41" s="93" t="s">
        <v>276</v>
      </c>
    </row>
    <row r="42" customFormat="false" ht="15" hidden="false" customHeight="false" outlineLevel="0" collapsed="false">
      <c r="I42" s="0" t="n">
        <v>39</v>
      </c>
      <c r="J42" s="22" t="n">
        <f aca="false">J41+1</f>
        <v>46214</v>
      </c>
      <c r="K42" s="91"/>
      <c r="L42" s="92"/>
      <c r="M42" s="93" t="s">
        <v>276</v>
      </c>
    </row>
    <row r="43" customFormat="false" ht="15" hidden="false" customHeight="false" outlineLevel="0" collapsed="false">
      <c r="I43" s="0" t="n">
        <v>40</v>
      </c>
      <c r="J43" s="22" t="n">
        <f aca="false">J42+1</f>
        <v>46215</v>
      </c>
      <c r="K43" s="91"/>
      <c r="L43" s="92"/>
      <c r="M43" s="93" t="s">
        <v>276</v>
      </c>
    </row>
    <row r="44" customFormat="false" ht="15" hidden="false" customHeight="false" outlineLevel="0" collapsed="false">
      <c r="I44" s="0" t="n">
        <v>41</v>
      </c>
      <c r="J44" s="22" t="n">
        <f aca="false">J43+1</f>
        <v>46216</v>
      </c>
      <c r="K44" s="91"/>
      <c r="L44" s="92"/>
      <c r="M44" s="93" t="s">
        <v>276</v>
      </c>
    </row>
    <row r="45" customFormat="false" ht="15" hidden="false" customHeight="false" outlineLevel="0" collapsed="false">
      <c r="I45" s="0" t="n">
        <v>42</v>
      </c>
      <c r="J45" s="22" t="n">
        <f aca="false">J44+1</f>
        <v>46217</v>
      </c>
      <c r="K45" s="91"/>
      <c r="L45" s="92"/>
      <c r="M45" s="93" t="s">
        <v>276</v>
      </c>
    </row>
    <row r="46" customFormat="false" ht="15" hidden="false" customHeight="false" outlineLevel="0" collapsed="false">
      <c r="I46" s="0" t="n">
        <v>43</v>
      </c>
      <c r="J46" s="22" t="n">
        <f aca="false">J45+1</f>
        <v>46218</v>
      </c>
      <c r="K46" s="91"/>
      <c r="L46" s="92"/>
      <c r="M46" s="93" t="s">
        <v>276</v>
      </c>
    </row>
    <row r="47" customFormat="false" ht="15" hidden="false" customHeight="false" outlineLevel="0" collapsed="false">
      <c r="I47" s="0" t="n">
        <v>44</v>
      </c>
      <c r="J47" s="22" t="n">
        <f aca="false">J46+1</f>
        <v>46219</v>
      </c>
      <c r="K47" s="91"/>
      <c r="L47" s="92"/>
      <c r="M47" s="93" t="s">
        <v>276</v>
      </c>
    </row>
    <row r="48" customFormat="false" ht="15" hidden="false" customHeight="false" outlineLevel="0" collapsed="false">
      <c r="I48" s="0" t="n">
        <v>45</v>
      </c>
      <c r="J48" s="22" t="n">
        <f aca="false">J47+1</f>
        <v>46220</v>
      </c>
      <c r="K48" s="91"/>
      <c r="L48" s="92"/>
      <c r="M48" s="93" t="s">
        <v>276</v>
      </c>
    </row>
    <row r="49" customFormat="false" ht="15" hidden="false" customHeight="false" outlineLevel="0" collapsed="false">
      <c r="K49" s="100" t="n">
        <f aca="false">SUM(K4:K48)</f>
        <v>1356.3</v>
      </c>
    </row>
    <row r="50" customFormat="false" ht="15" hidden="true" customHeight="false" outlineLevel="1" collapsed="false">
      <c r="K50" s="100"/>
    </row>
    <row r="51" customFormat="false" ht="15" hidden="true" customHeight="false" outlineLevel="1" collapsed="false">
      <c r="J51" s="117"/>
      <c r="K51" s="117"/>
      <c r="L51" s="117"/>
      <c r="M51" s="117"/>
    </row>
    <row r="52" customFormat="false" ht="15" hidden="true" customHeight="false" outlineLevel="1" collapsed="false"/>
    <row r="53" customFormat="false" ht="15" hidden="true" customHeight="false" outlineLevel="1" collapsed="false"/>
    <row r="54" customFormat="false" ht="68.65" hidden="false" customHeight="false" outlineLevel="0" collapsed="false">
      <c r="A54" s="118" t="s">
        <v>34</v>
      </c>
      <c r="B54" s="118" t="s">
        <v>35</v>
      </c>
      <c r="C54" s="118" t="s">
        <v>270</v>
      </c>
      <c r="D54" s="118" t="s">
        <v>271</v>
      </c>
      <c r="E54" s="118" t="s">
        <v>313</v>
      </c>
      <c r="F54" s="119" t="s">
        <v>285</v>
      </c>
      <c r="G54" s="119" t="s">
        <v>286</v>
      </c>
      <c r="H54" s="119" t="s">
        <v>314</v>
      </c>
      <c r="I54" s="119" t="s">
        <v>283</v>
      </c>
    </row>
    <row r="55" customFormat="false" ht="15" hidden="false" customHeight="false" outlineLevel="0" collapsed="false">
      <c r="A55" s="0" t="s">
        <v>51</v>
      </c>
      <c r="B55" s="0" t="s">
        <v>52</v>
      </c>
      <c r="C55" s="120" t="n">
        <f aca="false">Таблица413[[#This Row],[ПЛАН, га]]*5</f>
        <v>3890</v>
      </c>
      <c r="D55" s="121" t="n">
        <f aca="false">SUMIF('Реестр уборки 2026'!W:W,Таблица413[[#This Row],[Культура]],'Реестр уборки 2026'!G:G)/1000</f>
        <v>1356.3</v>
      </c>
      <c r="E55" s="90" t="n">
        <f aca="false">IFERROR(D55/C55, )</f>
        <v>0.34866323907455</v>
      </c>
      <c r="F55" s="122" t="n">
        <v>778</v>
      </c>
      <c r="G55" s="123" t="n">
        <f aca="false">SUMIF('Реестр уборки 2026'!W:W,Таблица413[[#This Row],[Культура]],'Реестр уборки 2026'!V:V)</f>
        <v>235</v>
      </c>
      <c r="H55" s="90" t="n">
        <f aca="false">IFERROR(G55/F55, )</f>
        <v>0.302056555269923</v>
      </c>
      <c r="I55" s="104" t="n">
        <f aca="false">IFERROR(Таблица413[[#This Row],[ФАКТ, т]]/Таблица413[[#This Row],[ФАКТ, га]],)</f>
        <v>5.77148936170213</v>
      </c>
    </row>
    <row r="56" customFormat="false" ht="15" hidden="false" customHeight="false" outlineLevel="0" collapsed="false">
      <c r="A56" s="0" t="s">
        <v>277</v>
      </c>
      <c r="B56" s="0" t="s">
        <v>315</v>
      </c>
      <c r="C56" s="120" t="n">
        <v>2100</v>
      </c>
      <c r="D56" s="121" t="n">
        <f aca="false">SUMIF('Реестр уборки 2026'!W:W,Таблица413[[#This Row],[Культура]],'Реестр уборки 2026'!G:G)/1000</f>
        <v>0</v>
      </c>
      <c r="E56" s="90" t="n">
        <f aca="false">IFERROR(D56/C56, )</f>
        <v>0</v>
      </c>
      <c r="F56" s="122" t="n">
        <v>420</v>
      </c>
      <c r="G56" s="123" t="n">
        <f aca="false">SUMIF('Реестр уборки 2026'!W:W,Таблица413[[#This Row],[Культура]],'Реестр уборки 2026'!V:V)</f>
        <v>0</v>
      </c>
      <c r="H56" s="90" t="n">
        <f aca="false">IFERROR(G56/F56, )</f>
        <v>0</v>
      </c>
      <c r="I56" s="104" t="n">
        <f aca="false">IFERROR(Таблица413[[#This Row],[ФАКТ, т]]/Таблица413[[#This Row],[ФАКТ, га]],)</f>
        <v>0</v>
      </c>
    </row>
    <row r="57" customFormat="false" ht="15" hidden="false" customHeight="false" outlineLevel="0" collapsed="false">
      <c r="A57" s="0" t="s">
        <v>278</v>
      </c>
      <c r="B57" s="0" t="s">
        <v>315</v>
      </c>
      <c r="C57" s="120" t="n">
        <v>1345</v>
      </c>
      <c r="D57" s="121" t="n">
        <f aca="false">SUMIF('Реестр уборки 2026'!W:W,Таблица413[[#This Row],[Культура]],'Реестр уборки 2026'!G:G)/1000</f>
        <v>0</v>
      </c>
      <c r="E57" s="90" t="n">
        <f aca="false">IFERROR(D57/C57, )</f>
        <v>0</v>
      </c>
      <c r="F57" s="124" t="n">
        <v>269</v>
      </c>
      <c r="G57" s="123" t="n">
        <f aca="false">SUMIF('Реестр уборки 2026'!W:W,Таблица413[[#This Row],[Культура]],'Реестр уборки 2026'!V:V)</f>
        <v>0</v>
      </c>
      <c r="H57" s="90" t="n">
        <f aca="false">IFERROR(G57/F57, )</f>
        <v>0</v>
      </c>
      <c r="I57" s="104" t="n">
        <f aca="false">IFERROR(Таблица413[[#This Row],[ФАКТ, т]]/Таблица413[[#This Row],[ФАКТ, га]],)</f>
        <v>0</v>
      </c>
    </row>
    <row r="58" customFormat="false" ht="15" hidden="false" customHeight="false" outlineLevel="0" collapsed="false">
      <c r="A58" s="0" t="s">
        <v>279</v>
      </c>
      <c r="B58" s="0" t="s">
        <v>315</v>
      </c>
      <c r="C58" s="120" t="n">
        <v>2200.8</v>
      </c>
      <c r="D58" s="121" t="n">
        <f aca="false">SUMIF('Реестр уборки 2026'!W:W,Таблица413[[#This Row],[Культура]],'Реестр уборки 2026'!G:G)/1000</f>
        <v>0</v>
      </c>
      <c r="E58" s="90" t="n">
        <f aca="false">IFERROR(D58/C58, )</f>
        <v>0</v>
      </c>
      <c r="F58" s="125" t="n">
        <v>440.16</v>
      </c>
      <c r="G58" s="123" t="n">
        <f aca="false">SUMIF('Реестр уборки 2026'!W:W,Таблица413[[#This Row],[Культура]],'Реестр уборки 2026'!V:V)</f>
        <v>0</v>
      </c>
      <c r="H58" s="90" t="n">
        <f aca="false">IFERROR(G58/F58, )</f>
        <v>0</v>
      </c>
      <c r="I58" s="104" t="n">
        <f aca="false">IFERROR(Таблица413[[#This Row],[ФАКТ, т]]/Таблица413[[#This Row],[ФАКТ, га]],)</f>
        <v>0</v>
      </c>
    </row>
    <row r="59" customFormat="false" ht="15" hidden="false" customHeight="false" outlineLevel="0" collapsed="false">
      <c r="C59" s="100" t="n">
        <f aca="false">SUBTOTAL(109,C55:C58)</f>
        <v>9535.8</v>
      </c>
      <c r="D59" s="100" t="n">
        <f aca="false">SUBTOTAL(109,D55:D58)</f>
        <v>1356.3</v>
      </c>
      <c r="E59" s="101" t="n">
        <f aca="false">D59/C59</f>
        <v>0.142232429371421</v>
      </c>
      <c r="F59" s="126" t="n">
        <f aca="false">SUBTOTAL(109,F55:F58)</f>
        <v>1907.16</v>
      </c>
      <c r="G59" s="127" t="n">
        <f aca="false">SUBTOTAL(109,G55:G58)</f>
        <v>235</v>
      </c>
      <c r="H59" s="101" t="n">
        <f aca="false">IFERROR(G59/F59, )</f>
        <v>0.123219866188469</v>
      </c>
      <c r="I59" s="104" t="n">
        <f aca="false">D59/G59</f>
        <v>5.77148936170213</v>
      </c>
    </row>
    <row r="60" customFormat="false" ht="15" hidden="false" customHeight="false" outlineLevel="0" collapsed="false">
      <c r="G60" s="82"/>
    </row>
    <row r="61" customFormat="false" ht="15" hidden="false" customHeight="false" outlineLevel="0" collapsed="false">
      <c r="G61" s="82"/>
    </row>
    <row r="63" customFormat="false" ht="15" hidden="false" customHeight="false" outlineLevel="0" collapsed="false">
      <c r="A63" s="128" t="s">
        <v>34</v>
      </c>
      <c r="B63" s="129" t="s">
        <v>316</v>
      </c>
      <c r="C63" s="130" t="s">
        <v>317</v>
      </c>
      <c r="D63" s="130" t="s">
        <v>318</v>
      </c>
      <c r="E63" s="131" t="s">
        <v>319</v>
      </c>
    </row>
    <row r="64" customFormat="false" ht="15" hidden="false" customHeight="false" outlineLevel="0" collapsed="false">
      <c r="A64" s="132" t="s">
        <v>278</v>
      </c>
      <c r="B64" s="133" t="n">
        <v>1345</v>
      </c>
      <c r="C64" s="134" t="n">
        <v>0</v>
      </c>
      <c r="D64" s="135" t="n">
        <v>269</v>
      </c>
      <c r="E64" s="136" t="n">
        <v>0</v>
      </c>
    </row>
    <row r="65" customFormat="false" ht="15" hidden="false" customHeight="false" outlineLevel="0" collapsed="false">
      <c r="A65" s="45" t="s">
        <v>51</v>
      </c>
      <c r="B65" s="137" t="n">
        <v>3890</v>
      </c>
      <c r="C65" s="138" t="n">
        <v>1356.3</v>
      </c>
      <c r="D65" s="139" t="n">
        <v>778</v>
      </c>
      <c r="E65" s="140" t="n">
        <v>235</v>
      </c>
    </row>
    <row r="66" customFormat="false" ht="15" hidden="false" customHeight="false" outlineLevel="0" collapsed="false">
      <c r="A66" s="45" t="s">
        <v>277</v>
      </c>
      <c r="B66" s="137" t="n">
        <v>2100</v>
      </c>
      <c r="C66" s="138" t="n">
        <v>0</v>
      </c>
      <c r="D66" s="139" t="n">
        <v>420</v>
      </c>
      <c r="E66" s="140" t="n">
        <v>0</v>
      </c>
    </row>
    <row r="67" customFormat="false" ht="15" hidden="false" customHeight="false" outlineLevel="0" collapsed="false">
      <c r="A67" s="45" t="s">
        <v>279</v>
      </c>
      <c r="B67" s="141" t="n">
        <v>2200.8</v>
      </c>
      <c r="C67" s="142" t="n">
        <v>0</v>
      </c>
      <c r="D67" s="143" t="n">
        <v>440.16</v>
      </c>
      <c r="E67" s="144" t="n">
        <v>0</v>
      </c>
    </row>
    <row r="68" customFormat="false" ht="15" hidden="false" customHeight="false" outlineLevel="0" collapsed="false">
      <c r="A68" s="145" t="s">
        <v>70</v>
      </c>
      <c r="B68" s="146" t="n">
        <v>9535.8</v>
      </c>
      <c r="C68" s="147" t="n">
        <v>1356.3</v>
      </c>
      <c r="D68" s="148" t="n">
        <v>1907.16</v>
      </c>
      <c r="E68" s="149" t="n">
        <v>235</v>
      </c>
    </row>
  </sheetData>
  <dataValidations count="1">
    <dataValidation allowBlank="false" errorStyle="stop" operator="between" showDropDown="false" showErrorMessage="true" showInputMessage="true" sqref="M4:M48" type="list">
      <formula1>$D$27:$D$32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AG3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J36" activeCellId="0" sqref="AJ36"/>
    </sheetView>
  </sheetViews>
  <sheetFormatPr defaultColWidth="9.1484375" defaultRowHeight="14.25" customHeight="true" zeroHeight="false" outlineLevelRow="0" outlineLevelCol="0"/>
  <cols>
    <col collapsed="false" customWidth="true" hidden="false" outlineLevel="0" max="1" min="1" style="1" width="2.71"/>
    <col collapsed="false" customWidth="true" hidden="false" outlineLevel="0" max="2" min="2" style="1" width="4"/>
    <col collapsed="false" customWidth="true" hidden="false" outlineLevel="0" max="5" min="3" style="2" width="4"/>
    <col collapsed="false" customWidth="true" hidden="false" outlineLevel="0" max="8" min="6" style="1" width="4"/>
    <col collapsed="false" customWidth="true" hidden="false" outlineLevel="0" max="9" min="9" style="2" width="3.57"/>
    <col collapsed="false" customWidth="true" hidden="false" outlineLevel="0" max="10" min="10" style="1" width="14"/>
    <col collapsed="false" customWidth="true" hidden="false" outlineLevel="0" max="11" min="11" style="1" width="13.86"/>
    <col collapsed="false" customWidth="false" hidden="false" outlineLevel="0" max="22" min="12" style="1" width="9.14"/>
    <col collapsed="false" customWidth="true" hidden="false" outlineLevel="0" max="23" min="23" style="1" width="15.71"/>
    <col collapsed="false" customWidth="true" hidden="false" outlineLevel="0" max="24" min="24" style="1" width="10.14"/>
    <col collapsed="false" customWidth="true" hidden="false" outlineLevel="0" max="25" min="25" style="1" width="14.71"/>
    <col collapsed="false" customWidth="true" hidden="false" outlineLevel="0" max="26" min="26" style="1" width="2"/>
    <col collapsed="false" customWidth="false" hidden="false" outlineLevel="0" max="32" min="27" style="1" width="9.14"/>
    <col collapsed="false" customWidth="true" hidden="false" outlineLevel="0" max="33" min="33" style="1" width="4.57"/>
    <col collapsed="false" customWidth="false" hidden="false" outlineLevel="0" max="16384" min="34" style="1" width="9.14"/>
  </cols>
  <sheetData>
    <row r="2" s="3" customFormat="true" ht="29.15" hidden="false" customHeight="false" outlineLevel="0" collapsed="false">
      <c r="B2" s="4" t="s">
        <v>320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</row>
    <row r="4" s="5" customFormat="true" ht="14.25" hidden="false" customHeight="false" outlineLevel="0" collapsed="false"/>
    <row r="5" customFormat="false" ht="14.25" hidden="false" customHeight="false" outlineLevel="0" collapsed="false">
      <c r="L5" s="5"/>
    </row>
    <row r="6" customFormat="false" ht="14.25" hidden="false" customHeight="false" outlineLevel="0" collapsed="false">
      <c r="L6" s="5"/>
    </row>
    <row r="7" customFormat="false" ht="14.25" hidden="false" customHeight="false" outlineLevel="0" collapsed="false">
      <c r="L7" s="5"/>
    </row>
    <row r="8" customFormat="false" ht="14.25" hidden="false" customHeight="false" outlineLevel="0" collapsed="false">
      <c r="L8" s="5"/>
    </row>
    <row r="18" customFormat="false" ht="19.5" hidden="false" customHeight="false" outlineLevel="0" collapsed="false">
      <c r="W18" s="6"/>
      <c r="X18" s="6"/>
      <c r="Y18" s="6"/>
      <c r="Z18" s="6"/>
      <c r="AA18" s="6"/>
      <c r="AB18" s="6"/>
    </row>
    <row r="20" customFormat="false" ht="15" hidden="false" customHeight="false" outlineLevel="0" collapsed="false">
      <c r="W20" s="9"/>
      <c r="X20" s="10"/>
      <c r="Y20" s="11"/>
      <c r="Z20" s="10"/>
      <c r="AA20" s="10"/>
      <c r="AB20" s="10"/>
    </row>
    <row r="21" customFormat="false" ht="15" hidden="false" customHeight="false" outlineLevel="0" collapsed="false">
      <c r="W21" s="10"/>
      <c r="X21" s="10"/>
      <c r="Y21" s="13"/>
      <c r="Z21" s="10"/>
      <c r="AA21" s="10"/>
      <c r="AB21" s="10"/>
    </row>
    <row r="22" customFormat="false" ht="15" hidden="false" customHeight="false" outlineLevel="0" collapsed="false">
      <c r="W22" s="9"/>
      <c r="X22" s="10"/>
      <c r="Y22" s="13"/>
      <c r="Z22" s="10"/>
      <c r="AA22" s="10"/>
      <c r="AB22" s="10"/>
    </row>
    <row r="23" customFormat="false" ht="15" hidden="false" customHeight="false" outlineLevel="0" collapsed="false">
      <c r="W23" s="10"/>
      <c r="X23" s="10"/>
      <c r="Y23" s="13"/>
      <c r="Z23" s="10"/>
      <c r="AA23" s="10"/>
      <c r="AB23" s="10"/>
      <c r="AD23" s="14"/>
    </row>
    <row r="24" customFormat="false" ht="15" hidden="false" customHeight="false" outlineLevel="0" collapsed="false">
      <c r="B24" s="150" t="s">
        <v>321</v>
      </c>
      <c r="C24" s="150"/>
      <c r="D24" s="150"/>
      <c r="E24" s="150"/>
      <c r="F24" s="150"/>
      <c r="G24" s="150"/>
      <c r="H24" s="150"/>
      <c r="W24" s="9"/>
      <c r="X24" s="10"/>
      <c r="Y24" s="13"/>
      <c r="Z24" s="10"/>
      <c r="AA24" s="10"/>
      <c r="AB24" s="10"/>
    </row>
    <row r="25" customFormat="false" ht="15" hidden="false" customHeight="false" outlineLevel="0" collapsed="false">
      <c r="B25" s="8" t="s">
        <v>2</v>
      </c>
      <c r="C25" s="8" t="s">
        <v>3</v>
      </c>
      <c r="D25" s="8" t="s">
        <v>4</v>
      </c>
      <c r="E25" s="8" t="s">
        <v>5</v>
      </c>
      <c r="F25" s="8" t="s">
        <v>6</v>
      </c>
      <c r="G25" s="8" t="s">
        <v>7</v>
      </c>
      <c r="H25" s="8" t="s">
        <v>8</v>
      </c>
      <c r="W25" s="9"/>
      <c r="X25" s="10"/>
      <c r="Y25" s="13"/>
      <c r="Z25" s="10"/>
      <c r="AA25" s="10"/>
      <c r="AB25" s="10"/>
      <c r="AC25" s="14"/>
    </row>
    <row r="26" customFormat="false" ht="15" hidden="false" customHeight="false" outlineLevel="0" collapsed="false">
      <c r="B26" s="12"/>
      <c r="C26" s="12" t="n">
        <v>45804</v>
      </c>
      <c r="D26" s="12" t="n">
        <f aca="false">C26+1</f>
        <v>45805</v>
      </c>
      <c r="E26" s="12" t="n">
        <f aca="false">D26+1</f>
        <v>45806</v>
      </c>
      <c r="F26" s="12" t="n">
        <f aca="false">E26+1</f>
        <v>45807</v>
      </c>
      <c r="G26" s="12" t="n">
        <f aca="false">F26+1</f>
        <v>45808</v>
      </c>
      <c r="H26" s="12"/>
      <c r="W26" s="9"/>
      <c r="X26" s="10"/>
      <c r="Y26" s="13"/>
      <c r="Z26" s="10"/>
      <c r="AA26" s="10"/>
      <c r="AB26" s="10"/>
    </row>
    <row r="27" customFormat="false" ht="15" hidden="false" customHeight="false" outlineLevel="0" collapsed="false">
      <c r="B27" s="7" t="s">
        <v>1</v>
      </c>
      <c r="C27" s="7"/>
      <c r="D27" s="7"/>
      <c r="E27" s="7"/>
      <c r="F27" s="7"/>
      <c r="G27" s="7"/>
      <c r="H27" s="7"/>
      <c r="W27" s="10"/>
      <c r="X27" s="10"/>
      <c r="Y27" s="13"/>
      <c r="Z27" s="10"/>
      <c r="AA27" s="10"/>
      <c r="AB27" s="10"/>
    </row>
    <row r="28" customFormat="false" ht="15" hidden="false" customHeight="false" outlineLevel="0" collapsed="false">
      <c r="B28" s="12"/>
      <c r="C28" s="12"/>
      <c r="D28" s="12"/>
      <c r="E28" s="12"/>
      <c r="F28" s="12"/>
      <c r="G28" s="12"/>
      <c r="H28" s="12" t="n">
        <f aca="false">G26+1</f>
        <v>45809</v>
      </c>
      <c r="W28" s="9"/>
      <c r="X28" s="10"/>
      <c r="Y28" s="13"/>
      <c r="Z28" s="10"/>
      <c r="AA28" s="10"/>
      <c r="AB28" s="10"/>
    </row>
    <row r="29" customFormat="false" ht="17.35" hidden="false" customHeight="false" outlineLevel="0" collapsed="false">
      <c r="B29" s="12" t="n">
        <f aca="false">H28+1</f>
        <v>45810</v>
      </c>
      <c r="C29" s="12" t="n">
        <f aca="false">B29+1</f>
        <v>45811</v>
      </c>
      <c r="D29" s="12" t="n">
        <f aca="false">C29+1</f>
        <v>45812</v>
      </c>
      <c r="E29" s="12" t="n">
        <f aca="false">D29+1</f>
        <v>45813</v>
      </c>
      <c r="F29" s="12" t="n">
        <f aca="false">E29+1</f>
        <v>45814</v>
      </c>
      <c r="G29" s="12" t="n">
        <f aca="false">F29+1</f>
        <v>45815</v>
      </c>
      <c r="H29" s="12" t="n">
        <f aca="false">G29+1</f>
        <v>45816</v>
      </c>
      <c r="W29" s="15"/>
      <c r="X29" s="16"/>
      <c r="Y29" s="17"/>
      <c r="Z29" s="16"/>
      <c r="AA29" s="16"/>
      <c r="AB29" s="16"/>
    </row>
    <row r="30" customFormat="false" ht="17.35" hidden="false" customHeight="false" outlineLevel="0" collapsed="false">
      <c r="B30" s="12" t="n">
        <f aca="false">H29+1</f>
        <v>45817</v>
      </c>
      <c r="C30" s="12" t="n">
        <f aca="false">B30+1</f>
        <v>45818</v>
      </c>
      <c r="D30" s="12" t="n">
        <f aca="false">C30+1</f>
        <v>45819</v>
      </c>
      <c r="E30" s="12" t="n">
        <f aca="false">D30+1</f>
        <v>45820</v>
      </c>
      <c r="F30" s="12" t="n">
        <f aca="false">E30+1</f>
        <v>45821</v>
      </c>
      <c r="G30" s="12" t="n">
        <f aca="false">F30+1</f>
        <v>45822</v>
      </c>
      <c r="H30" s="12" t="n">
        <f aca="false">G30+1</f>
        <v>45823</v>
      </c>
      <c r="W30" s="9"/>
      <c r="X30" s="16"/>
      <c r="Y30" s="17"/>
      <c r="Z30" s="16"/>
      <c r="AA30" s="16"/>
      <c r="AB30" s="16"/>
    </row>
    <row r="31" customFormat="false" ht="17.35" hidden="false" customHeight="false" outlineLevel="0" collapsed="false">
      <c r="B31" s="12" t="n">
        <f aca="false">H30+1</f>
        <v>45824</v>
      </c>
      <c r="C31" s="12" t="n">
        <f aca="false">B31+1</f>
        <v>45825</v>
      </c>
      <c r="D31" s="12" t="n">
        <f aca="false">C31+1</f>
        <v>45826</v>
      </c>
      <c r="E31" s="12" t="n">
        <f aca="false">D31+1</f>
        <v>45827</v>
      </c>
      <c r="F31" s="12" t="n">
        <f aca="false">E31+1</f>
        <v>45828</v>
      </c>
      <c r="G31" s="12" t="n">
        <f aca="false">F31+1</f>
        <v>45829</v>
      </c>
      <c r="H31" s="12" t="n">
        <f aca="false">G31+1</f>
        <v>45830</v>
      </c>
      <c r="W31" s="9"/>
      <c r="X31" s="16"/>
      <c r="Y31" s="17"/>
      <c r="Z31" s="16"/>
      <c r="AA31" s="16"/>
      <c r="AB31" s="16"/>
    </row>
    <row r="32" customFormat="false" ht="15" hidden="false" customHeight="false" outlineLevel="0" collapsed="false">
      <c r="B32" s="12" t="n">
        <f aca="false">H31+1</f>
        <v>45831</v>
      </c>
      <c r="C32" s="12" t="n">
        <f aca="false">B32+1</f>
        <v>45832</v>
      </c>
      <c r="D32" s="12" t="n">
        <f aca="false">C32+1</f>
        <v>45833</v>
      </c>
      <c r="E32" s="12" t="n">
        <f aca="false">D32+1</f>
        <v>45834</v>
      </c>
      <c r="F32" s="12" t="n">
        <f aca="false">E32+1</f>
        <v>45835</v>
      </c>
      <c r="G32" s="12" t="n">
        <f aca="false">F32+1</f>
        <v>45836</v>
      </c>
      <c r="H32" s="12" t="n">
        <f aca="false">G32+1</f>
        <v>45837</v>
      </c>
      <c r="W32" s="9"/>
      <c r="X32" s="10"/>
      <c r="Y32" s="13"/>
      <c r="Z32" s="10"/>
      <c r="AA32" s="10"/>
      <c r="AB32" s="10"/>
    </row>
    <row r="33" customFormat="false" ht="17.35" hidden="false" customHeight="false" outlineLevel="0" collapsed="false">
      <c r="B33" s="12" t="n">
        <f aca="false">H32+1</f>
        <v>45838</v>
      </c>
      <c r="C33" s="12"/>
      <c r="D33" s="12"/>
      <c r="E33" s="12"/>
      <c r="F33" s="12"/>
      <c r="G33" s="12"/>
      <c r="H33" s="12"/>
      <c r="W33" s="15"/>
      <c r="X33" s="16"/>
      <c r="Y33" s="15"/>
      <c r="Z33" s="16"/>
      <c r="AA33" s="16"/>
      <c r="AB33" s="16"/>
    </row>
    <row r="34" customFormat="false" ht="17.35" hidden="false" customHeight="false" outlineLevel="0" collapsed="false">
      <c r="B34" s="7" t="s">
        <v>9</v>
      </c>
      <c r="C34" s="7"/>
      <c r="D34" s="7"/>
      <c r="E34" s="7"/>
      <c r="F34" s="7"/>
      <c r="G34" s="7"/>
      <c r="H34" s="7"/>
      <c r="X34" s="16"/>
      <c r="Y34" s="15"/>
      <c r="Z34" s="16"/>
      <c r="AA34" s="16"/>
      <c r="AB34" s="16"/>
    </row>
    <row r="35" customFormat="false" ht="17.35" hidden="false" customHeight="false" outlineLevel="0" collapsed="false">
      <c r="B35" s="12"/>
      <c r="C35" s="12" t="n">
        <f aca="false">B33+1</f>
        <v>45839</v>
      </c>
      <c r="D35" s="12" t="n">
        <f aca="false">C35+1</f>
        <v>45840</v>
      </c>
      <c r="E35" s="12" t="n">
        <f aca="false">D35+1</f>
        <v>45841</v>
      </c>
      <c r="F35" s="12" t="n">
        <f aca="false">E35+1</f>
        <v>45842</v>
      </c>
      <c r="G35" s="12" t="n">
        <f aca="false">F35+1</f>
        <v>45843</v>
      </c>
      <c r="H35" s="12" t="n">
        <f aca="false">G35+1</f>
        <v>45844</v>
      </c>
      <c r="W35" s="16"/>
      <c r="X35" s="16"/>
      <c r="Y35" s="16"/>
      <c r="Z35" s="16"/>
      <c r="AA35" s="16"/>
      <c r="AB35" s="16"/>
    </row>
    <row r="36" customFormat="false" ht="17.35" hidden="false" customHeight="false" outlineLevel="0" collapsed="false">
      <c r="B36" s="12" t="n">
        <f aca="false">H35+1</f>
        <v>45845</v>
      </c>
      <c r="C36" s="12" t="n">
        <f aca="false">B36+1</f>
        <v>45846</v>
      </c>
      <c r="D36" s="12" t="n">
        <f aca="false">C36+1</f>
        <v>45847</v>
      </c>
      <c r="E36" s="12" t="n">
        <f aca="false">D36+1</f>
        <v>45848</v>
      </c>
      <c r="F36" s="12" t="n">
        <f aca="false">E36+1</f>
        <v>45849</v>
      </c>
      <c r="G36" s="12" t="n">
        <f aca="false">F36+1</f>
        <v>45850</v>
      </c>
      <c r="H36" s="12" t="n">
        <f aca="false">G36+1</f>
        <v>45851</v>
      </c>
      <c r="W36" s="16"/>
      <c r="X36" s="16"/>
      <c r="Y36" s="16"/>
      <c r="Z36" s="16"/>
      <c r="AA36" s="16"/>
      <c r="AB36" s="16"/>
    </row>
    <row r="38" customFormat="false" ht="14.25" hidden="false" customHeight="false" outlineLevel="0" collapsed="false">
      <c r="B38" s="1" t="s">
        <v>10</v>
      </c>
      <c r="E38" s="18" t="n">
        <v>45</v>
      </c>
    </row>
  </sheetData>
  <mergeCells count="4">
    <mergeCell ref="B2:AG2"/>
    <mergeCell ref="B24:H24"/>
    <mergeCell ref="B27:H27"/>
    <mergeCell ref="B34:H34"/>
  </mergeCells>
  <conditionalFormatting sqref="C35:H35">
    <cfRule type="expression" priority="2" aboveAverage="0" equalAverage="0" bottom="0" percent="0" rank="0" text="" dxfId="5">
      <formula>C35&lt;TODAY()</formula>
    </cfRule>
  </conditionalFormatting>
  <conditionalFormatting sqref="B36:E36">
    <cfRule type="expression" priority="3" aboveAverage="0" equalAverage="0" bottom="0" percent="0" rank="0" text="" dxfId="6">
      <formula>B36&lt;TODAY()+1</formula>
    </cfRule>
  </conditionalFormatting>
  <conditionalFormatting sqref="B33">
    <cfRule type="expression" priority="4" aboveAverage="0" equalAverage="0" bottom="0" percent="0" rank="0" text="" dxfId="7">
      <formula>B33&lt;TODAY()</formula>
    </cfRule>
  </conditionalFormatting>
  <conditionalFormatting sqref="B29:H32">
    <cfRule type="expression" priority="5" aboveAverage="0" equalAverage="0" bottom="0" percent="0" rank="0" text="" dxfId="8">
      <formula>B29&lt;TODAY()</formula>
    </cfRule>
  </conditionalFormatting>
  <conditionalFormatting sqref="H28">
    <cfRule type="expression" priority="6" aboveAverage="0" equalAverage="0" bottom="0" percent="0" rank="0" text="" dxfId="9">
      <formula>H28&lt;TODAY()</formula>
    </cfRule>
  </conditionalFormatting>
  <conditionalFormatting sqref="C26:G26">
    <cfRule type="expression" priority="7" aboveAverage="0" equalAverage="0" bottom="0" percent="0" rank="0" text="" dxfId="10">
      <formula>C26&lt;TODAY()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G37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R44" activeCellId="0" sqref="R44"/>
    </sheetView>
  </sheetViews>
  <sheetFormatPr defaultColWidth="9.1484375" defaultRowHeight="14.25" customHeight="true" zeroHeight="false" outlineLevelRow="0" outlineLevelCol="0"/>
  <cols>
    <col collapsed="false" customWidth="true" hidden="false" outlineLevel="0" max="1" min="1" style="1" width="2.71"/>
    <col collapsed="false" customWidth="true" hidden="false" outlineLevel="0" max="2" min="2" style="1" width="4"/>
    <col collapsed="false" customWidth="true" hidden="false" outlineLevel="0" max="5" min="3" style="2" width="4"/>
    <col collapsed="false" customWidth="true" hidden="false" outlineLevel="0" max="8" min="6" style="1" width="4"/>
    <col collapsed="false" customWidth="true" hidden="false" outlineLevel="0" max="9" min="9" style="2" width="3.57"/>
    <col collapsed="false" customWidth="true" hidden="false" outlineLevel="0" max="10" min="10" style="1" width="14"/>
    <col collapsed="false" customWidth="true" hidden="false" outlineLevel="0" max="11" min="11" style="1" width="13.86"/>
    <col collapsed="false" customWidth="false" hidden="false" outlineLevel="0" max="22" min="12" style="1" width="9.14"/>
    <col collapsed="false" customWidth="true" hidden="false" outlineLevel="0" max="23" min="23" style="1" width="15.71"/>
    <col collapsed="false" customWidth="true" hidden="false" outlineLevel="0" max="24" min="24" style="1" width="10.14"/>
    <col collapsed="false" customWidth="true" hidden="false" outlineLevel="0" max="25" min="25" style="1" width="14.71"/>
    <col collapsed="false" customWidth="true" hidden="false" outlineLevel="0" max="26" min="26" style="1" width="2"/>
    <col collapsed="false" customWidth="false" hidden="false" outlineLevel="0" max="32" min="27" style="1" width="9.14"/>
    <col collapsed="false" customWidth="true" hidden="false" outlineLevel="0" max="33" min="33" style="1" width="4.57"/>
    <col collapsed="false" customWidth="false" hidden="false" outlineLevel="0" max="16384" min="34" style="1" width="9.14"/>
  </cols>
  <sheetData>
    <row r="2" s="3" customFormat="true" ht="29.15" hidden="false" customHeight="false" outlineLevel="0" collapsed="false">
      <c r="B2" s="4" t="s">
        <v>322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</row>
    <row r="4" s="5" customFormat="true" ht="14.25" hidden="false" customHeight="false" outlineLevel="0" collapsed="false"/>
    <row r="5" customFormat="false" ht="14.25" hidden="false" customHeight="false" outlineLevel="0" collapsed="false">
      <c r="L5" s="5"/>
    </row>
    <row r="6" customFormat="false" ht="14.25" hidden="false" customHeight="false" outlineLevel="0" collapsed="false">
      <c r="L6" s="5"/>
    </row>
    <row r="7" customFormat="false" ht="14.25" hidden="false" customHeight="false" outlineLevel="0" collapsed="false">
      <c r="L7" s="5"/>
    </row>
    <row r="8" customFormat="false" ht="14.25" hidden="false" customHeight="false" outlineLevel="0" collapsed="false">
      <c r="L8" s="5"/>
    </row>
    <row r="18" customFormat="false" ht="19.5" hidden="false" customHeight="false" outlineLevel="0" collapsed="false">
      <c r="W18" s="6"/>
      <c r="X18" s="6"/>
      <c r="Y18" s="6"/>
      <c r="Z18" s="6"/>
      <c r="AA18" s="6"/>
      <c r="AB18" s="6"/>
    </row>
    <row r="20" customFormat="false" ht="15" hidden="false" customHeight="false" outlineLevel="0" collapsed="false">
      <c r="W20" s="9"/>
      <c r="X20" s="10"/>
      <c r="Y20" s="11"/>
      <c r="Z20" s="10"/>
      <c r="AA20" s="10"/>
      <c r="AB20" s="10"/>
    </row>
    <row r="21" customFormat="false" ht="15" hidden="false" customHeight="false" outlineLevel="0" collapsed="false">
      <c r="B21" s="150" t="s">
        <v>321</v>
      </c>
      <c r="C21" s="150"/>
      <c r="D21" s="150"/>
      <c r="E21" s="150"/>
      <c r="F21" s="150"/>
      <c r="G21" s="150"/>
      <c r="H21" s="150"/>
      <c r="W21" s="10"/>
      <c r="X21" s="10"/>
      <c r="Y21" s="13"/>
      <c r="Z21" s="10"/>
      <c r="AA21" s="10"/>
      <c r="AB21" s="10"/>
    </row>
    <row r="22" customFormat="false" ht="15" hidden="false" customHeight="false" outlineLevel="0" collapsed="false">
      <c r="B22" s="8" t="s">
        <v>2</v>
      </c>
      <c r="C22" s="8" t="s">
        <v>3</v>
      </c>
      <c r="D22" s="8" t="s">
        <v>4</v>
      </c>
      <c r="E22" s="8" t="s">
        <v>5</v>
      </c>
      <c r="F22" s="8" t="s">
        <v>6</v>
      </c>
      <c r="G22" s="8" t="s">
        <v>7</v>
      </c>
      <c r="H22" s="8" t="s">
        <v>8</v>
      </c>
      <c r="W22" s="9"/>
      <c r="X22" s="10"/>
      <c r="Y22" s="13"/>
      <c r="Z22" s="10"/>
      <c r="AA22" s="10"/>
      <c r="AB22" s="10"/>
    </row>
    <row r="23" customFormat="false" ht="15" hidden="false" customHeight="false" outlineLevel="0" collapsed="false">
      <c r="B23" s="12"/>
      <c r="C23" s="12"/>
      <c r="D23" s="12"/>
      <c r="E23" s="12"/>
      <c r="F23" s="12" t="n">
        <v>45429</v>
      </c>
      <c r="G23" s="12" t="n">
        <v>45430</v>
      </c>
      <c r="H23" s="12" t="n">
        <v>45431</v>
      </c>
      <c r="W23" s="10"/>
      <c r="X23" s="10"/>
      <c r="Y23" s="13"/>
      <c r="Z23" s="10"/>
      <c r="AA23" s="10"/>
      <c r="AB23" s="10"/>
      <c r="AD23" s="14"/>
    </row>
    <row r="24" customFormat="false" ht="15" hidden="false" customHeight="false" outlineLevel="0" collapsed="false">
      <c r="B24" s="12" t="n">
        <f aca="false">H23+1</f>
        <v>45432</v>
      </c>
      <c r="C24" s="12" t="n">
        <f aca="false">B24+1</f>
        <v>45433</v>
      </c>
      <c r="D24" s="12" t="n">
        <f aca="false">C24+1</f>
        <v>45434</v>
      </c>
      <c r="E24" s="12" t="n">
        <f aca="false">D24+1</f>
        <v>45435</v>
      </c>
      <c r="F24" s="12" t="n">
        <f aca="false">E24+1</f>
        <v>45436</v>
      </c>
      <c r="G24" s="12" t="n">
        <f aca="false">F24+1</f>
        <v>45437</v>
      </c>
      <c r="H24" s="12" t="n">
        <f aca="false">G24+1</f>
        <v>45438</v>
      </c>
      <c r="W24" s="9"/>
      <c r="X24" s="10"/>
      <c r="Y24" s="13"/>
      <c r="Z24" s="10"/>
      <c r="AA24" s="10"/>
      <c r="AB24" s="10"/>
    </row>
    <row r="25" customFormat="false" ht="15" hidden="false" customHeight="false" outlineLevel="0" collapsed="false">
      <c r="B25" s="12" t="n">
        <f aca="false">H24+1</f>
        <v>45439</v>
      </c>
      <c r="C25" s="12" t="n">
        <f aca="false">B25+1</f>
        <v>45440</v>
      </c>
      <c r="D25" s="12" t="n">
        <f aca="false">C25+1</f>
        <v>45441</v>
      </c>
      <c r="E25" s="12" t="n">
        <f aca="false">D25+1</f>
        <v>45442</v>
      </c>
      <c r="F25" s="12" t="n">
        <f aca="false">E25+1</f>
        <v>45443</v>
      </c>
      <c r="G25" s="12"/>
      <c r="H25" s="12"/>
      <c r="W25" s="9"/>
      <c r="X25" s="10"/>
      <c r="Y25" s="13"/>
      <c r="Z25" s="10"/>
      <c r="AA25" s="10"/>
      <c r="AB25" s="10"/>
      <c r="AC25" s="14"/>
    </row>
    <row r="26" customFormat="false" ht="15" hidden="false" customHeight="false" outlineLevel="0" collapsed="false">
      <c r="B26" s="7" t="s">
        <v>1</v>
      </c>
      <c r="C26" s="7"/>
      <c r="D26" s="7"/>
      <c r="E26" s="7"/>
      <c r="F26" s="7"/>
      <c r="G26" s="7"/>
      <c r="H26" s="7"/>
      <c r="W26" s="9"/>
      <c r="X26" s="10"/>
      <c r="Y26" s="13"/>
      <c r="Z26" s="10"/>
      <c r="AA26" s="10"/>
      <c r="AB26" s="10"/>
    </row>
    <row r="27" customFormat="false" ht="15" hidden="false" customHeight="false" outlineLevel="0" collapsed="false">
      <c r="B27" s="12"/>
      <c r="C27" s="12"/>
      <c r="D27" s="12"/>
      <c r="E27" s="12"/>
      <c r="F27" s="12"/>
      <c r="G27" s="12" t="n">
        <v>45444</v>
      </c>
      <c r="H27" s="12" t="n">
        <f aca="false">G27+1</f>
        <v>45445</v>
      </c>
      <c r="W27" s="10"/>
      <c r="X27" s="10"/>
      <c r="Y27" s="13"/>
      <c r="Z27" s="10"/>
      <c r="AA27" s="10"/>
      <c r="AB27" s="10"/>
    </row>
    <row r="28" customFormat="false" ht="15" hidden="false" customHeight="false" outlineLevel="0" collapsed="false">
      <c r="B28" s="12" t="n">
        <f aca="false">H27+1</f>
        <v>45446</v>
      </c>
      <c r="C28" s="12" t="n">
        <f aca="false">B28+1</f>
        <v>45447</v>
      </c>
      <c r="D28" s="12" t="n">
        <f aca="false">C28+1</f>
        <v>45448</v>
      </c>
      <c r="E28" s="12" t="n">
        <f aca="false">D28+1</f>
        <v>45449</v>
      </c>
      <c r="F28" s="12" t="n">
        <f aca="false">E28+1</f>
        <v>45450</v>
      </c>
      <c r="G28" s="12" t="n">
        <f aca="false">F28+1</f>
        <v>45451</v>
      </c>
      <c r="H28" s="12" t="n">
        <f aca="false">G28+1</f>
        <v>45452</v>
      </c>
      <c r="W28" s="9"/>
      <c r="X28" s="10"/>
      <c r="Y28" s="13"/>
      <c r="Z28" s="10"/>
      <c r="AA28" s="10"/>
      <c r="AB28" s="10"/>
    </row>
    <row r="29" customFormat="false" ht="17.35" hidden="false" customHeight="false" outlineLevel="0" collapsed="false">
      <c r="B29" s="12" t="n">
        <f aca="false">H28+1</f>
        <v>45453</v>
      </c>
      <c r="C29" s="12" t="n">
        <f aca="false">B29+1</f>
        <v>45454</v>
      </c>
      <c r="D29" s="12" t="n">
        <f aca="false">C29+1</f>
        <v>45455</v>
      </c>
      <c r="E29" s="12" t="n">
        <f aca="false">D29+1</f>
        <v>45456</v>
      </c>
      <c r="F29" s="12" t="n">
        <f aca="false">E29+1</f>
        <v>45457</v>
      </c>
      <c r="G29" s="12" t="n">
        <f aca="false">F29+1</f>
        <v>45458</v>
      </c>
      <c r="H29" s="12" t="n">
        <f aca="false">G29+1</f>
        <v>45459</v>
      </c>
      <c r="W29" s="15"/>
      <c r="X29" s="16"/>
      <c r="Y29" s="17"/>
      <c r="Z29" s="16"/>
      <c r="AA29" s="16"/>
      <c r="AB29" s="16"/>
    </row>
    <row r="30" customFormat="false" ht="17.35" hidden="false" customHeight="false" outlineLevel="0" collapsed="false">
      <c r="B30" s="12" t="n">
        <f aca="false">H29+1</f>
        <v>45460</v>
      </c>
      <c r="C30" s="12" t="n">
        <f aca="false">B30+1</f>
        <v>45461</v>
      </c>
      <c r="D30" s="12" t="n">
        <f aca="false">C30+1</f>
        <v>45462</v>
      </c>
      <c r="E30" s="12" t="n">
        <f aca="false">D30+1</f>
        <v>45463</v>
      </c>
      <c r="F30" s="12" t="n">
        <f aca="false">E30+1</f>
        <v>45464</v>
      </c>
      <c r="G30" s="12" t="n">
        <f aca="false">F30+1</f>
        <v>45465</v>
      </c>
      <c r="H30" s="12" t="n">
        <f aca="false">G30+1</f>
        <v>45466</v>
      </c>
      <c r="W30" s="9"/>
      <c r="X30" s="16"/>
      <c r="Y30" s="17"/>
      <c r="Z30" s="16"/>
      <c r="AA30" s="16"/>
      <c r="AB30" s="16"/>
    </row>
    <row r="31" customFormat="false" ht="17.35" hidden="false" customHeight="false" outlineLevel="0" collapsed="false">
      <c r="B31" s="12" t="n">
        <f aca="false">H30+1</f>
        <v>45467</v>
      </c>
      <c r="C31" s="12" t="n">
        <f aca="false">B31+1</f>
        <v>45468</v>
      </c>
      <c r="D31" s="12" t="n">
        <f aca="false">C31+1</f>
        <v>45469</v>
      </c>
      <c r="E31" s="12" t="n">
        <f aca="false">D31+1</f>
        <v>45470</v>
      </c>
      <c r="F31" s="12" t="n">
        <f aca="false">E31+1</f>
        <v>45471</v>
      </c>
      <c r="G31" s="12" t="n">
        <f aca="false">F31+1</f>
        <v>45472</v>
      </c>
      <c r="H31" s="12" t="n">
        <f aca="false">G31+1</f>
        <v>45473</v>
      </c>
      <c r="W31" s="9"/>
      <c r="X31" s="16"/>
      <c r="Y31" s="17"/>
      <c r="Z31" s="16"/>
      <c r="AA31" s="16"/>
      <c r="AB31" s="16"/>
    </row>
    <row r="32" customFormat="false" ht="15" hidden="false" customHeight="false" outlineLevel="0" collapsed="false">
      <c r="B32" s="7" t="s">
        <v>9</v>
      </c>
      <c r="C32" s="7"/>
      <c r="D32" s="7"/>
      <c r="E32" s="7"/>
      <c r="F32" s="7"/>
      <c r="G32" s="7"/>
      <c r="H32" s="7"/>
      <c r="W32" s="9"/>
      <c r="X32" s="10"/>
      <c r="Y32" s="13"/>
      <c r="Z32" s="10"/>
      <c r="AA32" s="10"/>
      <c r="AB32" s="10"/>
    </row>
    <row r="33" customFormat="false" ht="17.35" hidden="false" customHeight="false" outlineLevel="0" collapsed="false">
      <c r="B33" s="12" t="n">
        <f aca="false">H31+1</f>
        <v>45474</v>
      </c>
      <c r="C33" s="12" t="n">
        <f aca="false">B33+1</f>
        <v>45475</v>
      </c>
      <c r="D33" s="12" t="n">
        <f aca="false">C33+1</f>
        <v>45476</v>
      </c>
      <c r="E33" s="12" t="n">
        <f aca="false">D33+1</f>
        <v>45477</v>
      </c>
      <c r="F33" s="12" t="n">
        <f aca="false">E33+1</f>
        <v>45478</v>
      </c>
      <c r="G33" s="12" t="n">
        <f aca="false">F33+1</f>
        <v>45479</v>
      </c>
      <c r="H33" s="12" t="n">
        <f aca="false">G33+1</f>
        <v>45480</v>
      </c>
      <c r="W33" s="15"/>
      <c r="X33" s="16"/>
      <c r="Y33" s="15"/>
      <c r="Z33" s="16"/>
      <c r="AA33" s="16"/>
      <c r="AB33" s="16"/>
    </row>
    <row r="34" customFormat="false" ht="17.35" hidden="false" customHeight="false" outlineLevel="0" collapsed="false">
      <c r="B34" s="12" t="n">
        <f aca="false">H33+1</f>
        <v>45481</v>
      </c>
      <c r="C34" s="12" t="n">
        <f aca="false">B34+1</f>
        <v>45482</v>
      </c>
      <c r="D34" s="12" t="n">
        <f aca="false">C34+1</f>
        <v>45483</v>
      </c>
      <c r="E34" s="12" t="n">
        <f aca="false">D34+1</f>
        <v>45484</v>
      </c>
      <c r="F34" s="12" t="n">
        <f aca="false">E34+1</f>
        <v>45485</v>
      </c>
      <c r="G34" s="12" t="n">
        <f aca="false">F34+1</f>
        <v>45486</v>
      </c>
      <c r="H34" s="12" t="n">
        <f aca="false">G34+1</f>
        <v>45487</v>
      </c>
      <c r="X34" s="16"/>
      <c r="Y34" s="15"/>
      <c r="Z34" s="16"/>
      <c r="AA34" s="16"/>
      <c r="AB34" s="16"/>
    </row>
    <row r="35" customFormat="false" ht="17.35" hidden="false" customHeight="false" outlineLevel="0" collapsed="false">
      <c r="B35" s="12" t="n">
        <f aca="false">H34+1</f>
        <v>45488</v>
      </c>
      <c r="C35" s="12" t="n">
        <f aca="false">B35+1</f>
        <v>45489</v>
      </c>
      <c r="D35" s="12" t="n">
        <f aca="false">C35+1</f>
        <v>45490</v>
      </c>
      <c r="E35" s="12" t="n">
        <f aca="false">D35+1</f>
        <v>45491</v>
      </c>
      <c r="F35" s="12" t="n">
        <f aca="false">E35+1</f>
        <v>45492</v>
      </c>
      <c r="G35" s="12" t="n">
        <f aca="false">F35+1</f>
        <v>45493</v>
      </c>
      <c r="H35" s="12" t="n">
        <f aca="false">G35+1</f>
        <v>45494</v>
      </c>
      <c r="W35" s="16"/>
      <c r="X35" s="16"/>
      <c r="Y35" s="16"/>
      <c r="Z35" s="16"/>
      <c r="AA35" s="16"/>
      <c r="AB35" s="16"/>
    </row>
    <row r="36" customFormat="false" ht="17.35" hidden="false" customHeight="false" outlineLevel="0" collapsed="false">
      <c r="B36" s="12" t="n">
        <f aca="false">H35+1</f>
        <v>45495</v>
      </c>
      <c r="C36" s="12" t="n">
        <f aca="false">B36+1</f>
        <v>45496</v>
      </c>
      <c r="D36" s="12" t="n">
        <f aca="false">C36+1</f>
        <v>45497</v>
      </c>
      <c r="E36" s="12" t="n">
        <f aca="false">D36+1</f>
        <v>45498</v>
      </c>
      <c r="F36" s="12" t="n">
        <f aca="false">E36+1</f>
        <v>45499</v>
      </c>
      <c r="G36" s="12" t="n">
        <f aca="false">F36+1</f>
        <v>45500</v>
      </c>
      <c r="H36" s="12" t="n">
        <f aca="false">G36+1</f>
        <v>45501</v>
      </c>
      <c r="W36" s="16"/>
      <c r="X36" s="16"/>
      <c r="Y36" s="16"/>
      <c r="Z36" s="16"/>
      <c r="AA36" s="16"/>
      <c r="AB36" s="16"/>
    </row>
    <row r="37" customFormat="false" ht="14.25" hidden="false" customHeight="false" outlineLevel="0" collapsed="false">
      <c r="B37" s="12" t="n">
        <f aca="false">H36+1</f>
        <v>45502</v>
      </c>
      <c r="C37" s="12" t="n">
        <f aca="false">B37+1</f>
        <v>45503</v>
      </c>
      <c r="D37" s="12" t="n">
        <f aca="false">C37+1</f>
        <v>45504</v>
      </c>
      <c r="E37" s="12"/>
      <c r="F37" s="12"/>
      <c r="G37" s="12"/>
      <c r="H37" s="12"/>
    </row>
  </sheetData>
  <mergeCells count="4">
    <mergeCell ref="B2:AG2"/>
    <mergeCell ref="B21:H21"/>
    <mergeCell ref="B26:H26"/>
    <mergeCell ref="B32:H32"/>
  </mergeCells>
  <conditionalFormatting sqref="G27:H30">
    <cfRule type="expression" priority="2" aboveAverage="0" equalAverage="0" bottom="0" percent="0" rank="0" text="" dxfId="11">
      <formula>G27&lt;TODAY()</formula>
    </cfRule>
  </conditionalFormatting>
  <conditionalFormatting sqref="B28:F31">
    <cfRule type="expression" priority="3" aboveAverage="0" equalAverage="0" bottom="0" percent="0" rank="0" text="" dxfId="12">
      <formula>B28&lt;TODAY()</formula>
    </cfRule>
  </conditionalFormatting>
  <conditionalFormatting sqref="F23:H23 B24:H24 B25:F25">
    <cfRule type="expression" priority="4" aboveAverage="0" equalAverage="0" bottom="0" percent="0" rank="0" text="" dxfId="13">
      <formula>B23&lt;TODAY()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M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R41" activeCellId="0" sqref="R41"/>
    </sheetView>
  </sheetViews>
  <sheetFormatPr defaultColWidth="8.6796875" defaultRowHeight="15" customHeight="true" zeroHeight="false" outlineLevelRow="1" outlineLevelCol="0"/>
  <cols>
    <col collapsed="false" customWidth="true" hidden="false" outlineLevel="0" max="1" min="1" style="0" width="25.29"/>
    <col collapsed="false" customWidth="true" hidden="false" outlineLevel="0" max="2" min="2" style="0" width="14.42"/>
    <col collapsed="false" customWidth="true" hidden="false" outlineLevel="0" max="3" min="3" style="0" width="13.15"/>
    <col collapsed="false" customWidth="true" hidden="false" outlineLevel="0" max="4" min="4" style="0" width="32"/>
    <col collapsed="false" customWidth="true" hidden="false" outlineLevel="0" max="5" min="5" style="0" width="15"/>
    <col collapsed="false" customWidth="true" hidden="false" outlineLevel="0" max="7" min="6" style="0" width="18.29"/>
    <col collapsed="false" customWidth="true" hidden="false" outlineLevel="0" max="8" min="8" style="0" width="17.86"/>
    <col collapsed="false" customWidth="true" hidden="false" outlineLevel="0" max="9" min="9" style="0" width="18.29"/>
    <col collapsed="false" customWidth="true" hidden="false" outlineLevel="0" max="10" min="10" style="0" width="12.29"/>
    <col collapsed="false" customWidth="true" hidden="false" outlineLevel="0" max="11" min="11" style="0" width="10.71"/>
    <col collapsed="false" customWidth="true" hidden="false" outlineLevel="0" max="12" min="12" style="0" width="18.29"/>
    <col collapsed="false" customWidth="true" hidden="false" outlineLevel="0" max="13" min="13" style="0" width="10.71"/>
  </cols>
  <sheetData>
    <row r="2" customFormat="false" ht="15" hidden="false" customHeight="false" outlineLevel="0" collapsed="false">
      <c r="A2" s="87" t="s">
        <v>266</v>
      </c>
      <c r="B2" s="0" t="s">
        <v>267</v>
      </c>
      <c r="D2" s="87" t="n">
        <v>5</v>
      </c>
      <c r="E2" s="87"/>
      <c r="I2" s="87" t="n">
        <v>8</v>
      </c>
      <c r="J2" s="87"/>
    </row>
    <row r="3" customFormat="false" ht="15" hidden="false" customHeight="false" outlineLevel="0" collapsed="false">
      <c r="A3" s="24" t="s">
        <v>268</v>
      </c>
      <c r="D3" s="24" t="s">
        <v>269</v>
      </c>
      <c r="E3" s="24" t="s">
        <v>270</v>
      </c>
      <c r="F3" s="24" t="s">
        <v>271</v>
      </c>
      <c r="G3" s="24" t="s">
        <v>272</v>
      </c>
      <c r="I3" s="24" t="s">
        <v>273</v>
      </c>
      <c r="J3" s="24"/>
      <c r="K3" s="24" t="s">
        <v>274</v>
      </c>
      <c r="L3" s="24" t="s">
        <v>275</v>
      </c>
      <c r="M3" s="24" t="s">
        <v>40</v>
      </c>
    </row>
    <row r="4" customFormat="false" ht="15" hidden="false" customHeight="false" outlineLevel="0" collapsed="false">
      <c r="A4" s="0" t="s">
        <v>270</v>
      </c>
      <c r="B4" s="88" t="n">
        <f aca="false">C63</f>
        <v>6798.045</v>
      </c>
      <c r="D4" s="0" t="s">
        <v>323</v>
      </c>
      <c r="E4" s="89" t="n">
        <v>1157.4</v>
      </c>
      <c r="F4" s="88" t="n">
        <f aca="false">D55</f>
        <v>1320.13</v>
      </c>
      <c r="G4" s="90" t="n">
        <f aca="false">IFERROR(F4/E4, )</f>
        <v>1.14059961983757</v>
      </c>
      <c r="I4" s="0" t="n">
        <v>1</v>
      </c>
      <c r="J4" s="22" t="n">
        <v>45804</v>
      </c>
      <c r="K4" s="91" t="n">
        <f aca="false">SUMIF('Реестр уборки 2025'!Z:Z,J4,'Реестр уборки 2025'!G:G)/1000</f>
        <v>71.35</v>
      </c>
      <c r="L4" s="92" t="n">
        <f aca="false">IFERROR(AVERAGEIF('Реестр уборки 2025'!Z:Z,'Данные 2025'!J4,'Реестр уборки 2025'!C:C),)</f>
        <v>41.3333333333333</v>
      </c>
      <c r="M4" s="93" t="s">
        <v>53</v>
      </c>
    </row>
    <row r="5" customFormat="false" ht="15" hidden="false" customHeight="false" outlineLevel="0" collapsed="false">
      <c r="A5" s="0" t="s">
        <v>271</v>
      </c>
      <c r="B5" s="88" t="n">
        <f aca="false">D63</f>
        <v>7098.14</v>
      </c>
      <c r="D5" s="0" t="s">
        <v>324</v>
      </c>
      <c r="E5" s="97" t="n">
        <v>910</v>
      </c>
      <c r="F5" s="88" t="n">
        <f aca="false">D56</f>
        <v>503.65</v>
      </c>
      <c r="G5" s="90" t="n">
        <f aca="false">IFERROR(F5/E5, )</f>
        <v>0.553461538461538</v>
      </c>
      <c r="I5" s="0" t="n">
        <v>2</v>
      </c>
      <c r="J5" s="22" t="n">
        <v>45805</v>
      </c>
      <c r="K5" s="91" t="n">
        <f aca="false">SUMIF('Реестр уборки 2025'!Z:Z,J5,'Реестр уборки 2025'!G:G)/1000</f>
        <v>98.78</v>
      </c>
      <c r="L5" s="92" t="n">
        <f aca="false">IFERROR(AVERAGEIF('Реестр уборки 2025'!Z:Z,'Данные 2025'!J5,'Реестр уборки 2025'!C:C),)</f>
        <v>44</v>
      </c>
      <c r="M5" s="93" t="s">
        <v>53</v>
      </c>
    </row>
    <row r="6" customFormat="false" ht="15" hidden="false" customHeight="false" outlineLevel="0" collapsed="false">
      <c r="A6" s="24" t="s">
        <v>272</v>
      </c>
      <c r="B6" s="94" t="n">
        <f aca="false">E63</f>
        <v>1.04414430913594</v>
      </c>
      <c r="D6" s="0" t="s">
        <v>325</v>
      </c>
      <c r="E6" s="97" t="n">
        <v>136.5</v>
      </c>
      <c r="F6" s="88" t="n">
        <f aca="false">D57</f>
        <v>91.8</v>
      </c>
      <c r="G6" s="90" t="n">
        <f aca="false">IFERROR(F6/E6, )</f>
        <v>0.672527472527473</v>
      </c>
      <c r="I6" s="0" t="n">
        <v>3</v>
      </c>
      <c r="J6" s="22" t="n">
        <v>45806</v>
      </c>
      <c r="K6" s="91" t="n">
        <f aca="false">SUMIF('Реестр уборки 2025'!Z:Z,J6,'Реестр уборки 2025'!G:G)/1000</f>
        <v>10.74</v>
      </c>
      <c r="L6" s="92" t="n">
        <f aca="false">IFERROR(AVERAGEIF('Реестр уборки 2025'!Z:Z,'Данные 2025'!J6,'Реестр уборки 2025'!C:C),)</f>
        <v>42.5</v>
      </c>
      <c r="M6" s="93" t="s">
        <v>53</v>
      </c>
    </row>
    <row r="7" customFormat="false" ht="15" hidden="false" customHeight="false" outlineLevel="0" collapsed="false">
      <c r="D7" s="0" t="s">
        <v>51</v>
      </c>
      <c r="E7" s="97" t="n">
        <v>936.2</v>
      </c>
      <c r="F7" s="88" t="n">
        <f aca="false">D58</f>
        <v>769.25</v>
      </c>
      <c r="G7" s="90" t="n">
        <f aca="false">IFERROR(F7/E7, )</f>
        <v>0.821672719504379</v>
      </c>
      <c r="I7" s="0" t="n">
        <v>4</v>
      </c>
      <c r="J7" s="22" t="n">
        <v>45807</v>
      </c>
      <c r="K7" s="91"/>
      <c r="L7" s="92"/>
      <c r="M7" s="93"/>
    </row>
    <row r="8" customFormat="false" ht="15" hidden="false" customHeight="false" outlineLevel="0" collapsed="false">
      <c r="A8" s="95" t="s">
        <v>280</v>
      </c>
      <c r="B8" s="96"/>
      <c r="D8" s="0" t="s">
        <v>326</v>
      </c>
      <c r="E8" s="97" t="n">
        <v>765</v>
      </c>
      <c r="F8" s="88" t="n">
        <f aca="false">D59</f>
        <v>842.08</v>
      </c>
      <c r="G8" s="90" t="n">
        <f aca="false">IFERROR(F8/E8, )</f>
        <v>1.10075816993464</v>
      </c>
      <c r="I8" s="0" t="n">
        <v>5</v>
      </c>
      <c r="J8" s="22" t="n">
        <v>45808</v>
      </c>
      <c r="K8" s="91" t="n">
        <f aca="false">SUMIF('Реестр уборки 2025'!Z:Z,J8,'Реестр уборки 2025'!G:G)/1000</f>
        <v>55.61</v>
      </c>
      <c r="L8" s="92" t="n">
        <f aca="false">IFERROR(AVERAGEIF('Реестр уборки 2025'!Z:Z,'Данные 2025'!J8,'Реестр уборки 2025'!C:C),)</f>
        <v>45.625</v>
      </c>
      <c r="M8" s="93" t="s">
        <v>53</v>
      </c>
    </row>
    <row r="9" customFormat="false" ht="15" hidden="false" customHeight="false" outlineLevel="0" collapsed="false">
      <c r="A9" s="98" t="s">
        <v>281</v>
      </c>
      <c r="B9" s="96"/>
      <c r="D9" s="0" t="s">
        <v>327</v>
      </c>
      <c r="E9" s="97" t="n">
        <v>522.325</v>
      </c>
      <c r="F9" s="88" t="n">
        <f aca="false">D60</f>
        <v>561.3</v>
      </c>
      <c r="G9" s="90" t="n">
        <f aca="false">IFERROR(F9/E9, )</f>
        <v>1.07461829320825</v>
      </c>
      <c r="I9" s="0" t="n">
        <v>6</v>
      </c>
      <c r="J9" s="22" t="n">
        <v>45809</v>
      </c>
      <c r="K9" s="91" t="n">
        <f aca="false">SUMIF('Реестр уборки 2025'!Z:Z,J9,'Реестр уборки 2025'!G:G)/1000</f>
        <v>206.19</v>
      </c>
      <c r="L9" s="92" t="n">
        <f aca="false">IFERROR(AVERAGEIF('Реестр уборки 2025'!Z:Z,'Данные 2025'!J9,'Реестр уборки 2025'!C:C),)</f>
        <v>51.5882352941176</v>
      </c>
      <c r="M9" s="93" t="s">
        <v>53</v>
      </c>
    </row>
    <row r="10" customFormat="false" ht="15" hidden="false" customHeight="false" outlineLevel="0" collapsed="false">
      <c r="A10" s="96" t="s">
        <v>270</v>
      </c>
      <c r="B10" s="99"/>
      <c r="D10" s="0" t="s">
        <v>278</v>
      </c>
      <c r="E10" s="97" t="n">
        <v>586.5</v>
      </c>
      <c r="F10" s="88" t="n">
        <f aca="false">D61</f>
        <v>1017.73</v>
      </c>
      <c r="G10" s="90" t="n">
        <f aca="false">IFERROR(F10/E10, )</f>
        <v>1.7352600170503</v>
      </c>
      <c r="I10" s="0" t="n">
        <v>7</v>
      </c>
      <c r="J10" s="22" t="n">
        <v>45810</v>
      </c>
      <c r="K10" s="91" t="n">
        <f aca="false">SUMIF('Реестр уборки 2025'!Z:Z,J10,'Реестр уборки 2025'!G:G)/1000</f>
        <v>198.3</v>
      </c>
      <c r="L10" s="92" t="n">
        <f aca="false">IFERROR(AVERAGEIF('Реестр уборки 2025'!Z:Z,'Данные 2025'!J10,'Реестр уборки 2025'!C:C),)</f>
        <v>52.9375</v>
      </c>
      <c r="M10" s="93" t="s">
        <v>302</v>
      </c>
    </row>
    <row r="11" customFormat="false" ht="15" hidden="false" customHeight="false" outlineLevel="0" collapsed="false">
      <c r="A11" s="96" t="s">
        <v>271</v>
      </c>
      <c r="B11" s="99"/>
      <c r="D11" s="0" t="s">
        <v>279</v>
      </c>
      <c r="E11" s="89" t="n">
        <v>1784.12</v>
      </c>
      <c r="F11" s="88" t="n">
        <f aca="false">D62</f>
        <v>1992.2</v>
      </c>
      <c r="G11" s="90" t="n">
        <f aca="false">IFERROR(F11/E11, )</f>
        <v>1.11662892630541</v>
      </c>
      <c r="I11" s="0" t="n">
        <v>8</v>
      </c>
      <c r="J11" s="22" t="n">
        <v>45811</v>
      </c>
      <c r="K11" s="91" t="n">
        <f aca="false">SUMIF('Реестр уборки 2025'!Z:Z,J11,'Реестр уборки 2025'!G:G)/1000</f>
        <v>285.91</v>
      </c>
      <c r="L11" s="92" t="n">
        <f aca="false">IFERROR(AVERAGEIF('Реестр уборки 2025'!Z:Z,'Данные 2025'!J11,'Реестр уборки 2025'!C:C),)</f>
        <v>54.6666666666667</v>
      </c>
      <c r="M11" s="93" t="s">
        <v>302</v>
      </c>
    </row>
    <row r="12" customFormat="false" ht="15" hidden="false" customHeight="false" outlineLevel="0" collapsed="false">
      <c r="E12" s="100" t="n">
        <f aca="false">SUM(E4:E11)</f>
        <v>6798.045</v>
      </c>
      <c r="F12" s="100" t="n">
        <f aca="false">SUM(F4:F11)</f>
        <v>7098.14</v>
      </c>
      <c r="G12" s="90" t="n">
        <f aca="false">IFERROR(F12/E12, )</f>
        <v>1.04414430913594</v>
      </c>
      <c r="I12" s="0" t="n">
        <v>9</v>
      </c>
      <c r="J12" s="22" t="n">
        <v>45812</v>
      </c>
      <c r="K12" s="91" t="n">
        <f aca="false">SUMIF('Реестр уборки 2025'!Z:Z,J12,'Реестр уборки 2025'!G:G)/1000</f>
        <v>339.79</v>
      </c>
      <c r="L12" s="92" t="n">
        <f aca="false">IFERROR(AVERAGEIF('Реестр уборки 2025'!Z:Z,'Данные 2025'!J12,'Реестр уборки 2025'!C:C),)</f>
        <v>57.6666666666667</v>
      </c>
      <c r="M12" s="93" t="s">
        <v>302</v>
      </c>
    </row>
    <row r="13" customFormat="false" ht="15" hidden="false" customHeight="false" outlineLevel="0" collapsed="false">
      <c r="A13" s="87" t="n">
        <v>2</v>
      </c>
      <c r="D13" s="87" t="n">
        <v>6</v>
      </c>
      <c r="E13" s="87"/>
      <c r="I13" s="0" t="n">
        <v>10</v>
      </c>
      <c r="J13" s="22" t="n">
        <v>45813</v>
      </c>
      <c r="K13" s="91" t="n">
        <f aca="false">SUMIF('Реестр уборки 2025'!Z:Z,J13,'Реестр уборки 2025'!G:G)/1000</f>
        <v>240.45</v>
      </c>
      <c r="L13" s="92" t="n">
        <f aca="false">IFERROR(AVERAGEIF('Реестр уборки 2025'!Z:Z,'Данные 2025'!J13,'Реестр уборки 2025'!C:C),)</f>
        <v>53.4736842105263</v>
      </c>
      <c r="M13" s="93" t="s">
        <v>302</v>
      </c>
    </row>
    <row r="14" customFormat="false" ht="15" hidden="false" customHeight="false" outlineLevel="0" collapsed="false">
      <c r="A14" s="24" t="s">
        <v>282</v>
      </c>
      <c r="D14" s="24" t="s">
        <v>269</v>
      </c>
      <c r="E14" s="24"/>
      <c r="F14" s="47" t="s">
        <v>283</v>
      </c>
      <c r="G14" s="47" t="s">
        <v>284</v>
      </c>
      <c r="I14" s="0" t="n">
        <v>11</v>
      </c>
      <c r="J14" s="22" t="n">
        <v>45814</v>
      </c>
      <c r="K14" s="91" t="n">
        <f aca="false">SUMIF('Реестр уборки 2025'!Z:Z,J14,'Реестр уборки 2025'!G:G)/1000</f>
        <v>417.43</v>
      </c>
      <c r="L14" s="92" t="n">
        <f aca="false">IFERROR(AVERAGEIF('Реестр уборки 2025'!Z:Z,'Данные 2025'!J14,'Реестр уборки 2025'!C:C),)</f>
        <v>57.2285714285714</v>
      </c>
      <c r="M14" s="93" t="s">
        <v>302</v>
      </c>
    </row>
    <row r="15" customFormat="false" ht="15" hidden="false" customHeight="false" outlineLevel="0" collapsed="false">
      <c r="A15" s="0" t="s">
        <v>285</v>
      </c>
      <c r="B15" s="102" t="n">
        <f aca="false">F63</f>
        <v>1675.8</v>
      </c>
      <c r="D15" s="103" t="n">
        <v>2019</v>
      </c>
      <c r="E15" s="103"/>
      <c r="F15" s="104" t="n">
        <v>3.3</v>
      </c>
      <c r="G15" s="89" t="n">
        <v>6813</v>
      </c>
      <c r="I15" s="0" t="n">
        <v>12</v>
      </c>
      <c r="J15" s="22" t="n">
        <v>45815</v>
      </c>
      <c r="K15" s="91" t="n">
        <f aca="false">SUMIF('Реестр уборки 2025'!Z:Z,J15,'Реестр уборки 2025'!G:G)/1000</f>
        <v>163.35</v>
      </c>
      <c r="L15" s="92" t="n">
        <f aca="false">IFERROR(AVERAGEIF('Реестр уборки 2025'!Z:Z,'Данные 2025'!J15,'Реестр уборки 2025'!C:C),)</f>
        <v>60.9333333333333</v>
      </c>
      <c r="M15" s="93" t="s">
        <v>302</v>
      </c>
    </row>
    <row r="16" customFormat="false" ht="15" hidden="false" customHeight="false" outlineLevel="0" collapsed="false">
      <c r="A16" s="0" t="s">
        <v>286</v>
      </c>
      <c r="B16" s="102" t="n">
        <f aca="false">G63</f>
        <v>1483.86008597358</v>
      </c>
      <c r="D16" s="103" t="n">
        <v>2020</v>
      </c>
      <c r="E16" s="103"/>
      <c r="F16" s="104" t="n">
        <v>4.6</v>
      </c>
      <c r="G16" s="89" t="n">
        <v>12761</v>
      </c>
      <c r="H16" s="47"/>
      <c r="I16" s="0" t="n">
        <v>13</v>
      </c>
      <c r="J16" s="22" t="n">
        <v>45816</v>
      </c>
      <c r="K16" s="91" t="n">
        <f aca="false">SUMIF('Реестр уборки 2025'!Z:Z,J16,'Реестр уборки 2025'!G:G)/1000</f>
        <v>233.26</v>
      </c>
      <c r="L16" s="92" t="n">
        <f aca="false">IFERROR(AVERAGEIF('Реестр уборки 2025'!Z:Z,'Данные 2025'!J16,'Реестр уборки 2025'!C:C),)</f>
        <v>60.8695652173913</v>
      </c>
      <c r="M16" s="93" t="s">
        <v>302</v>
      </c>
    </row>
    <row r="17" customFormat="false" ht="15" hidden="false" customHeight="false" outlineLevel="0" collapsed="false">
      <c r="A17" s="0" t="s">
        <v>287</v>
      </c>
      <c r="B17" s="102" t="n">
        <f aca="false">B15-B16</f>
        <v>191.939914026422</v>
      </c>
      <c r="D17" s="103" t="n">
        <v>2021</v>
      </c>
      <c r="E17" s="103"/>
      <c r="F17" s="104" t="n">
        <v>4.2</v>
      </c>
      <c r="G17" s="89" t="n">
        <v>10161</v>
      </c>
      <c r="I17" s="0" t="n">
        <v>14</v>
      </c>
      <c r="J17" s="22" t="n">
        <v>45817</v>
      </c>
      <c r="K17" s="91" t="n">
        <f aca="false">SUMIF('Реестр уборки 2025'!Z:Z,J17,'Реестр уборки 2025'!G:G)/1000</f>
        <v>100.73</v>
      </c>
      <c r="L17" s="92" t="n">
        <f aca="false">IFERROR(AVERAGEIF('Реестр уборки 2025'!Z:Z,'Данные 2025'!J17,'Реестр уборки 2025'!C:C),)</f>
        <v>68.1</v>
      </c>
      <c r="M17" s="93" t="s">
        <v>305</v>
      </c>
    </row>
    <row r="18" customFormat="false" ht="15" hidden="false" customHeight="false" outlineLevel="0" collapsed="false">
      <c r="A18" s="0" t="s">
        <v>272</v>
      </c>
      <c r="B18" s="94" t="n">
        <f aca="false">B16/B15</f>
        <v>0.885463710450876</v>
      </c>
      <c r="D18" s="103" t="n">
        <v>2022</v>
      </c>
      <c r="E18" s="103"/>
      <c r="F18" s="104" t="n">
        <v>3</v>
      </c>
      <c r="G18" s="89" t="n">
        <v>6505</v>
      </c>
      <c r="I18" s="0" t="n">
        <v>15</v>
      </c>
      <c r="J18" s="22" t="n">
        <v>45818</v>
      </c>
      <c r="K18" s="91" t="n">
        <f aca="false">SUMIF('Реестр уборки 2025'!Z:Z,J18,'Реестр уборки 2025'!G:G)/1000</f>
        <v>243.58</v>
      </c>
      <c r="L18" s="92" t="n">
        <f aca="false">IFERROR(AVERAGEIF('Реестр уборки 2025'!Z:Z,'Данные 2025'!J18,'Реестр уборки 2025'!C:C),)</f>
        <v>62.5416666666667</v>
      </c>
      <c r="M18" s="93" t="s">
        <v>302</v>
      </c>
    </row>
    <row r="19" customFormat="false" ht="15" hidden="false" customHeight="false" outlineLevel="0" collapsed="false">
      <c r="A19" s="0" t="s">
        <v>288</v>
      </c>
      <c r="B19" s="102" t="n">
        <v>71</v>
      </c>
      <c r="D19" s="103" t="n">
        <v>2023</v>
      </c>
      <c r="E19" s="103"/>
      <c r="F19" s="104" t="n">
        <v>5.6</v>
      </c>
      <c r="G19" s="89" t="n">
        <v>6656</v>
      </c>
      <c r="I19" s="0" t="n">
        <v>16</v>
      </c>
      <c r="J19" s="22" t="n">
        <v>45819</v>
      </c>
      <c r="K19" s="91" t="n">
        <f aca="false">SUMIF('Реестр уборки 2025'!Z:Z,J19,'Реестр уборки 2025'!G:G)/1000</f>
        <v>127.99</v>
      </c>
      <c r="L19" s="92" t="n">
        <f aca="false">IFERROR(AVERAGEIF('Реестр уборки 2025'!Z:Z,'Данные 2025'!J19,'Реестр уборки 2025'!C:C),)</f>
        <v>65.0909090909091</v>
      </c>
      <c r="M19" s="93" t="s">
        <v>304</v>
      </c>
    </row>
    <row r="20" customFormat="false" ht="15" hidden="false" customHeight="false" outlineLevel="0" collapsed="false">
      <c r="A20" s="0" t="s">
        <v>289</v>
      </c>
      <c r="B20" s="105" t="n">
        <v>120.96957236888</v>
      </c>
      <c r="D20" s="103" t="n">
        <v>2024</v>
      </c>
      <c r="E20" s="103"/>
      <c r="F20" s="104" t="n">
        <v>2.7</v>
      </c>
      <c r="G20" s="89" t="n">
        <v>4371.9</v>
      </c>
      <c r="I20" s="0" t="n">
        <v>17</v>
      </c>
      <c r="J20" s="22" t="n">
        <v>45820</v>
      </c>
      <c r="K20" s="91" t="n">
        <f aca="false">SUMIF('Реестр уборки 2025'!Z:Z,J20,'Реестр уборки 2025'!G:G)/1000</f>
        <v>302.41</v>
      </c>
      <c r="L20" s="92" t="n">
        <f aca="false">IFERROR(AVERAGEIF('Реестр уборки 2025'!Z:Z,'Данные 2025'!J20,'Реестр уборки 2025'!C:C),)</f>
        <v>54.2173913043478</v>
      </c>
      <c r="M20" s="93" t="s">
        <v>302</v>
      </c>
    </row>
    <row r="21" customFormat="false" ht="15" hidden="false" customHeight="false" outlineLevel="0" collapsed="false">
      <c r="A21" s="106" t="s">
        <v>290</v>
      </c>
      <c r="D21" s="103" t="n">
        <v>2025</v>
      </c>
      <c r="E21" s="103"/>
      <c r="F21" s="107" t="n">
        <f aca="false">B24</f>
        <v>4.78356421006016</v>
      </c>
      <c r="G21" s="151" t="n">
        <f aca="false">F12</f>
        <v>7098.14</v>
      </c>
      <c r="I21" s="0" t="n">
        <v>18</v>
      </c>
      <c r="J21" s="22" t="n">
        <v>45821</v>
      </c>
      <c r="K21" s="91" t="n">
        <f aca="false">SUMIF('Реестр уборки 2025'!Z:Z,J21,'Реестр уборки 2025'!G:G)/1000</f>
        <v>251.82</v>
      </c>
      <c r="L21" s="92" t="n">
        <f aca="false">IFERROR(AVERAGEIF('Реестр уборки 2025'!Z:Z,'Данные 2025'!J21,'Реестр уборки 2025'!C:C),)</f>
        <v>53.5833333333333</v>
      </c>
      <c r="M21" s="93" t="s">
        <v>302</v>
      </c>
    </row>
    <row r="22" customFormat="false" ht="15" hidden="false" customHeight="false" outlineLevel="0" collapsed="false">
      <c r="A22" s="24" t="s">
        <v>291</v>
      </c>
      <c r="F22" s="24"/>
      <c r="G22" s="24"/>
      <c r="I22" s="0" t="n">
        <v>19</v>
      </c>
      <c r="J22" s="22" t="n">
        <v>45822</v>
      </c>
      <c r="K22" s="91" t="n">
        <f aca="false">SUMIF('Реестр уборки 2025'!Z:Z,J22,'Реестр уборки 2025'!G:G)/1000</f>
        <v>260.19</v>
      </c>
      <c r="L22" s="92" t="n">
        <f aca="false">IFERROR(AVERAGEIF('Реестр уборки 2025'!Z:Z,'Данные 2025'!J22,'Реестр уборки 2025'!C:C),)</f>
        <v>63.15</v>
      </c>
      <c r="M22" s="93" t="s">
        <v>302</v>
      </c>
    </row>
    <row r="23" customFormat="false" ht="15" hidden="false" customHeight="false" outlineLevel="0" collapsed="false">
      <c r="A23" s="0" t="s">
        <v>292</v>
      </c>
      <c r="B23" s="104" t="n">
        <f aca="false">IFERROR(B4/B15, )</f>
        <v>4.05659684926602</v>
      </c>
      <c r="F23" s="47"/>
      <c r="I23" s="0" t="n">
        <v>20</v>
      </c>
      <c r="J23" s="22" t="n">
        <v>45823</v>
      </c>
      <c r="K23" s="91" t="n">
        <f aca="false">SUMIF('Реестр уборки 2025'!Z:Z,J23,'Реестр уборки 2025'!G:G)/1000</f>
        <v>251.63</v>
      </c>
      <c r="L23" s="92" t="n">
        <f aca="false">IFERROR(AVERAGEIF('Реестр уборки 2025'!Z:Z,'Данные 2025'!J23,'Реестр уборки 2025'!C:C),)</f>
        <v>67.0952380952381</v>
      </c>
      <c r="M23" s="93" t="s">
        <v>305</v>
      </c>
    </row>
    <row r="24" customFormat="false" ht="15" hidden="false" customHeight="false" outlineLevel="0" collapsed="false">
      <c r="A24" s="0" t="s">
        <v>293</v>
      </c>
      <c r="B24" s="104" t="n">
        <f aca="false">IFERROR(B5/B16, )</f>
        <v>4.78356421006016</v>
      </c>
      <c r="I24" s="0" t="n">
        <v>21</v>
      </c>
      <c r="J24" s="22" t="n">
        <v>45824</v>
      </c>
      <c r="K24" s="91" t="n">
        <f aca="false">SUMIF('Реестр уборки 2025'!Z:Z,J24,'Реестр уборки 2025'!G:G)/1000</f>
        <v>182.08</v>
      </c>
      <c r="L24" s="92" t="n">
        <f aca="false">IFERROR(AVERAGEIF('Реестр уборки 2025'!Z:Z,'Данные 2025'!J24,'Реестр уборки 2025'!C:C),)</f>
        <v>61.375</v>
      </c>
      <c r="M24" s="93" t="s">
        <v>302</v>
      </c>
    </row>
    <row r="25" customFormat="false" ht="15" hidden="false" customHeight="false" outlineLevel="0" collapsed="false">
      <c r="D25" s="87" t="n">
        <v>7</v>
      </c>
      <c r="E25" s="87"/>
      <c r="I25" s="0" t="n">
        <v>22</v>
      </c>
      <c r="J25" s="22" t="n">
        <v>45825</v>
      </c>
      <c r="K25" s="91" t="n">
        <f aca="false">SUMIF('Реестр уборки 2025'!Z:Z,J25,'Реестр уборки 2025'!G:G)/1000</f>
        <v>231.15</v>
      </c>
      <c r="L25" s="92" t="n">
        <f aca="false">IFERROR(AVERAGEIF('Реестр уборки 2025'!Z:Z,'Данные 2025'!J25,'Реестр уборки 2025'!C:C),)</f>
        <v>58.1176470588235</v>
      </c>
      <c r="M25" s="93" t="s">
        <v>302</v>
      </c>
    </row>
    <row r="26" customFormat="false" ht="15" hidden="false" customHeight="false" outlineLevel="0" collapsed="false">
      <c r="A26" s="109" t="s">
        <v>294</v>
      </c>
      <c r="B26" s="96"/>
      <c r="D26" s="24" t="s">
        <v>295</v>
      </c>
      <c r="E26" s="24"/>
      <c r="F26" s="47" t="s">
        <v>296</v>
      </c>
      <c r="G26" s="47" t="s">
        <v>297</v>
      </c>
      <c r="I26" s="0" t="n">
        <v>23</v>
      </c>
      <c r="J26" s="22" t="n">
        <v>45826</v>
      </c>
      <c r="K26" s="91" t="n">
        <f aca="false">SUMIF('Реестр уборки 2025'!Z:Z,J26,'Реестр уборки 2025'!G:G)/1000</f>
        <v>157.45</v>
      </c>
      <c r="L26" s="92" t="n">
        <f aca="false">IFERROR(AVERAGEIF('Реестр уборки 2025'!Z:Z,'Данные 2025'!J26,'Реестр уборки 2025'!C:C),)</f>
        <v>55.5</v>
      </c>
      <c r="M26" s="93" t="s">
        <v>302</v>
      </c>
    </row>
    <row r="27" customFormat="false" ht="15" hidden="false" customHeight="false" outlineLevel="0" collapsed="false">
      <c r="A27" s="98" t="s">
        <v>298</v>
      </c>
      <c r="B27" s="96"/>
      <c r="C27" s="0" t="s">
        <v>299</v>
      </c>
      <c r="D27" s="110" t="s">
        <v>299</v>
      </c>
      <c r="E27" s="110"/>
      <c r="F27" s="88" t="n">
        <f aca="false">SUMIF('Реестр уборки 2025'!AC:AC,Таблица1[[#This Row],[Распределение сырья по финометру]],'Реестр уборки 2025'!G:G)/1000</f>
        <v>15.6</v>
      </c>
      <c r="G27" s="111" t="n">
        <f aca="false">IFERROR(F27/$F$33, )</f>
        <v>0.00219775884950142</v>
      </c>
      <c r="I27" s="0" t="n">
        <v>24</v>
      </c>
      <c r="J27" s="22" t="n">
        <v>45827</v>
      </c>
      <c r="K27" s="91" t="n">
        <f aca="false">SUMIF('Реестр уборки 2025'!Z:Z,J27,'Реестр уборки 2025'!G:G)/1000</f>
        <v>304.92</v>
      </c>
      <c r="L27" s="92" t="n">
        <f aca="false">IFERROR(AVERAGEIF('Реестр уборки 2025'!Z:Z,'Данные 2025'!J27,'Реестр уборки 2025'!C:C),)</f>
        <v>62.8260869565217</v>
      </c>
      <c r="M27" s="93" t="s">
        <v>302</v>
      </c>
    </row>
    <row r="28" customFormat="false" ht="15" hidden="false" customHeight="false" outlineLevel="0" collapsed="false">
      <c r="A28" s="96" t="s">
        <v>292</v>
      </c>
      <c r="B28" s="96" t="n">
        <f aca="false">IFERROR(B10/B15, 0)</f>
        <v>0</v>
      </c>
      <c r="C28" s="0" t="s">
        <v>300</v>
      </c>
      <c r="D28" s="110" t="s">
        <v>53</v>
      </c>
      <c r="E28" s="110"/>
      <c r="F28" s="88" t="n">
        <f aca="false">SUMIF('Реестр уборки 2025'!AC:AC,Таблица1[[#This Row],[Распределение сырья по финометру]],'Реестр уборки 2025'!G:G)/1000</f>
        <v>1875.175</v>
      </c>
      <c r="G28" s="112" t="n">
        <f aca="false">IFERROR(F28/$F$33, )</f>
        <v>0.264178362218835</v>
      </c>
      <c r="I28" s="0" t="n">
        <v>25</v>
      </c>
      <c r="J28" s="22" t="n">
        <v>45828</v>
      </c>
      <c r="K28" s="91" t="n">
        <f aca="false">SUMIF('Реестр уборки 2025'!Z:Z,J28,'Реестр уборки 2025'!G:G)/1000</f>
        <v>252.94</v>
      </c>
      <c r="L28" s="92" t="n">
        <f aca="false">IFERROR(AVERAGEIF('Реестр уборки 2025'!Z:Z,'Данные 2025'!J28,'Реестр уборки 2025'!C:C),)</f>
        <v>64.5263157894737</v>
      </c>
      <c r="M28" s="93" t="s">
        <v>304</v>
      </c>
    </row>
    <row r="29" customFormat="false" ht="15" hidden="false" customHeight="false" outlineLevel="0" collapsed="false">
      <c r="A29" s="96" t="s">
        <v>293</v>
      </c>
      <c r="B29" s="96" t="n">
        <f aca="false">IFERROR(B11/B16, 0)</f>
        <v>0</v>
      </c>
      <c r="C29" s="0" t="s">
        <v>301</v>
      </c>
      <c r="D29" s="110" t="s">
        <v>302</v>
      </c>
      <c r="E29" s="110"/>
      <c r="F29" s="88" t="n">
        <f aca="false">SUMIF('Реестр уборки 2025'!AC:AC,Таблица1[[#This Row],[Распределение сырья по финометру]],'Реестр уборки 2025'!G:G)/1000</f>
        <v>3153.785</v>
      </c>
      <c r="G29" s="112" t="n">
        <f aca="false">IFERROR(F29/$F$33, )</f>
        <v>0.444311467511207</v>
      </c>
      <c r="I29" s="0" t="n">
        <v>26</v>
      </c>
      <c r="J29" s="22" t="n">
        <v>45829</v>
      </c>
      <c r="K29" s="91" t="n">
        <f aca="false">SUMIF('Реестр уборки 2025'!Z:Z,J29,'Реестр уборки 2025'!G:G)/1000</f>
        <v>123.3</v>
      </c>
      <c r="L29" s="92" t="n">
        <f aca="false">IFERROR(AVERAGEIF('Реестр уборки 2025'!Z:Z,'Данные 2025'!J29,'Реестр уборки 2025'!C:C),)</f>
        <v>60</v>
      </c>
      <c r="M29" s="93" t="s">
        <v>302</v>
      </c>
    </row>
    <row r="30" customFormat="false" ht="15" hidden="false" customHeight="false" outlineLevel="0" collapsed="false">
      <c r="C30" s="0" t="s">
        <v>303</v>
      </c>
      <c r="D30" s="110" t="s">
        <v>304</v>
      </c>
      <c r="E30" s="110"/>
      <c r="F30" s="88" t="n">
        <f aca="false">SUMIF('Реестр уборки 2025'!AC:AC,Таблица1[[#This Row],[Распределение сырья по финометру]],'Реестр уборки 2025'!G:G)/1000</f>
        <v>570.75</v>
      </c>
      <c r="G30" s="112" t="n">
        <f aca="false">IFERROR(F30/$F$33, )</f>
        <v>0.0804083886764702</v>
      </c>
      <c r="I30" s="0" t="n">
        <v>27</v>
      </c>
      <c r="J30" s="22" t="n">
        <v>45830</v>
      </c>
      <c r="K30" s="91" t="n">
        <f aca="false">SUMIF('Реестр уборки 2025'!Z:Z,J30,'Реестр уборки 2025'!G:G)/1000</f>
        <v>272.42</v>
      </c>
      <c r="L30" s="92" t="n">
        <f aca="false">IFERROR(AVERAGEIF('Реестр уборки 2025'!Z:Z,'Данные 2025'!J30,'Реестр уборки 2025'!C:C),)</f>
        <v>49.4</v>
      </c>
      <c r="M30" s="93" t="s">
        <v>53</v>
      </c>
    </row>
    <row r="31" customFormat="false" ht="15" hidden="false" customHeight="false" outlineLevel="0" collapsed="false">
      <c r="A31" s="113"/>
      <c r="D31" s="110" t="s">
        <v>305</v>
      </c>
      <c r="F31" s="88" t="n">
        <f aca="false">SUMIF('Реестр уборки 2025'!AC:AC,Таблица1[[#This Row],[Распределение сырья по финометру]],'Реестр уборки 2025'!G:G)/1000</f>
        <v>1443.44</v>
      </c>
      <c r="G31" s="112" t="n">
        <f aca="false">IFERROR(F31/$F$33, )</f>
        <v>0.203354681648995</v>
      </c>
      <c r="I31" s="0" t="n">
        <v>28</v>
      </c>
      <c r="J31" s="22" t="n">
        <v>45831</v>
      </c>
      <c r="K31" s="91" t="n">
        <f aca="false">SUMIF('Реестр уборки 2025'!Z:Z,J31,'Реестр уборки 2025'!G:G)/1000</f>
        <v>109.28</v>
      </c>
      <c r="L31" s="92" t="n">
        <f aca="false">IFERROR(AVERAGEIF('Реестр уборки 2025'!Z:Z,'Данные 2025'!J31,'Реестр уборки 2025'!C:C),)</f>
        <v>52.875</v>
      </c>
      <c r="M31" s="93" t="s">
        <v>302</v>
      </c>
    </row>
    <row r="32" customFormat="false" ht="15" hidden="false" customHeight="false" outlineLevel="0" collapsed="false">
      <c r="A32" s="87" t="n">
        <v>4</v>
      </c>
      <c r="B32" s="87"/>
      <c r="D32" s="110" t="s">
        <v>276</v>
      </c>
      <c r="F32" s="88" t="n">
        <f aca="false">SUMIF('Реестр уборки 2025'!AC:AC,Таблица1[[#This Row],[Распределение сырья по финометру]],'Реестр уборки 2025'!G:G)/1000</f>
        <v>39.39</v>
      </c>
      <c r="G32" s="111" t="n">
        <f aca="false">IFERROR(F32/$F$33, )</f>
        <v>0.00554934109499108</v>
      </c>
      <c r="I32" s="0" t="n">
        <v>29</v>
      </c>
      <c r="J32" s="22" t="n">
        <v>45832</v>
      </c>
      <c r="K32" s="91" t="n">
        <f aca="false">SUMIF('Реестр уборки 2025'!Z:Z,J32,'Реестр уборки 2025'!G:G)/1000</f>
        <v>200.28</v>
      </c>
      <c r="L32" s="92" t="n">
        <f aca="false">IFERROR(AVERAGEIF('Реестр уборки 2025'!Z:Z,'Данные 2025'!J32,'Реестр уборки 2025'!C:C),)</f>
        <v>49.375</v>
      </c>
      <c r="M32" s="93" t="s">
        <v>53</v>
      </c>
    </row>
    <row r="33" customFormat="false" ht="15" hidden="false" customHeight="false" outlineLevel="0" collapsed="false">
      <c r="A33" s="24" t="s">
        <v>306</v>
      </c>
      <c r="B33" s="24"/>
      <c r="F33" s="114" t="n">
        <f aca="false">SUM(F27:F32)</f>
        <v>7098.14</v>
      </c>
      <c r="G33" s="115" t="n">
        <f aca="false">SUM(G27:G32)</f>
        <v>1</v>
      </c>
      <c r="I33" s="0" t="n">
        <v>30</v>
      </c>
      <c r="J33" s="22" t="n">
        <v>45833</v>
      </c>
      <c r="K33" s="91" t="n">
        <f aca="false">SUMIF('Реестр уборки 2025'!Z:Z,J33,'Реестр уборки 2025'!G:G)/1000</f>
        <v>19.23</v>
      </c>
      <c r="L33" s="92" t="n">
        <f aca="false">IFERROR(AVERAGEIF('Реестр уборки 2025'!Z:Z,'Данные 2025'!J33,'Реестр уборки 2025'!C:C),)</f>
        <v>48.5</v>
      </c>
      <c r="M33" s="93" t="s">
        <v>53</v>
      </c>
    </row>
    <row r="34" customFormat="false" ht="15" hidden="false" customHeight="false" outlineLevel="0" collapsed="false">
      <c r="A34" s="0" t="s">
        <v>307</v>
      </c>
      <c r="B34" s="88" t="n">
        <f aca="false">B37-B35-B36</f>
        <v>6329.53</v>
      </c>
      <c r="I34" s="0" t="n">
        <v>31</v>
      </c>
      <c r="J34" s="22" t="n">
        <v>45834</v>
      </c>
      <c r="K34" s="91"/>
      <c r="L34" s="92"/>
      <c r="M34" s="93"/>
    </row>
    <row r="35" customFormat="false" ht="15" hidden="false" customHeight="false" outlineLevel="0" collapsed="false">
      <c r="A35" s="0" t="s">
        <v>308</v>
      </c>
      <c r="B35" s="88" t="n">
        <f aca="false">(108250+8280+39390)/1000</f>
        <v>155.92</v>
      </c>
      <c r="I35" s="0" t="n">
        <v>32</v>
      </c>
      <c r="J35" s="22" t="n">
        <v>45835</v>
      </c>
      <c r="K35" s="91" t="n">
        <f aca="false">SUMIF('Реестр уборки 2025'!Z:Z,J35,'Реестр уборки 2025'!G:G)/1000</f>
        <v>17.56</v>
      </c>
      <c r="L35" s="92" t="n">
        <f aca="false">IFERROR(AVERAGEIF('Реестр уборки 2025'!Z:Z,'Данные 2025'!J35,'Реестр уборки 2025'!C:C),)</f>
        <v>46</v>
      </c>
      <c r="M35" s="93" t="s">
        <v>53</v>
      </c>
    </row>
    <row r="36" customFormat="false" ht="15" hidden="false" customHeight="false" outlineLevel="0" collapsed="false">
      <c r="A36" s="0" t="s">
        <v>309</v>
      </c>
      <c r="B36" s="88" t="n">
        <v>612.69</v>
      </c>
      <c r="C36" s="116" t="n">
        <v>542.3951</v>
      </c>
      <c r="D36" s="0" t="s">
        <v>328</v>
      </c>
      <c r="I36" s="0" t="n">
        <v>33</v>
      </c>
      <c r="J36" s="22" t="n">
        <v>45836</v>
      </c>
      <c r="K36" s="91" t="n">
        <f aca="false">SUMIF('Реестр уборки 2025'!Z:Z,J36,'Реестр уборки 2025'!G:G)/1000</f>
        <v>43.19</v>
      </c>
      <c r="L36" s="92" t="n">
        <f aca="false">IFERROR(AVERAGEIF('Реестр уборки 2025'!Z:Z,'Данные 2025'!J36,'Реестр уборки 2025'!C:C),)</f>
        <v>48</v>
      </c>
      <c r="M36" s="93" t="s">
        <v>53</v>
      </c>
    </row>
    <row r="37" customFormat="false" ht="15" hidden="false" customHeight="false" outlineLevel="0" collapsed="false">
      <c r="A37" s="0" t="s">
        <v>311</v>
      </c>
      <c r="B37" s="88" t="n">
        <f aca="false">F12</f>
        <v>7098.14</v>
      </c>
      <c r="I37" s="0" t="n">
        <v>34</v>
      </c>
      <c r="J37" s="22" t="n">
        <v>45837</v>
      </c>
      <c r="K37" s="91" t="n">
        <f aca="false">SUMIF('Реестр уборки 2025'!Z:Z,J37,'Реестр уборки 2025'!G:G)/1000</f>
        <v>71.97</v>
      </c>
      <c r="L37" s="92" t="n">
        <f aca="false">IFERROR(AVERAGEIF('Реестр уборки 2025'!Z:Z,'Данные 2025'!J37,'Реестр уборки 2025'!C:C),)</f>
        <v>48.4444444444444</v>
      </c>
      <c r="M37" s="93" t="s">
        <v>53</v>
      </c>
    </row>
    <row r="38" customFormat="false" ht="15" hidden="false" customHeight="false" outlineLevel="0" collapsed="false">
      <c r="A38" s="0" t="s">
        <v>312</v>
      </c>
      <c r="B38" s="88" t="n">
        <v>0</v>
      </c>
      <c r="C38" s="0" t="s">
        <v>329</v>
      </c>
      <c r="I38" s="0" t="n">
        <v>35</v>
      </c>
      <c r="J38" s="22" t="n">
        <v>45838</v>
      </c>
      <c r="K38" s="91" t="n">
        <f aca="false">SUMIF('Реестр уборки 2025'!Z:Z,J38,'Реестр уборки 2025'!G:G)/1000</f>
        <v>25.63</v>
      </c>
      <c r="L38" s="92" t="n">
        <f aca="false">IFERROR(AVERAGEIF('Реестр уборки 2025'!Z:Z,'Данные 2025'!J38,'Реестр уборки 2025'!C:C),)</f>
        <v>52</v>
      </c>
      <c r="M38" s="93" t="s">
        <v>53</v>
      </c>
    </row>
    <row r="39" customFormat="false" ht="15" hidden="false" customHeight="false" outlineLevel="0" collapsed="false">
      <c r="I39" s="0" t="n">
        <v>36</v>
      </c>
      <c r="J39" s="22" t="n">
        <v>45839</v>
      </c>
      <c r="K39" s="91" t="n">
        <f aca="false">SUMIF('Реестр уборки 2025'!Z:Z,J39,'Реестр уборки 2025'!G:G)/1000</f>
        <v>176.53</v>
      </c>
      <c r="L39" s="92" t="n">
        <f aca="false">IFERROR(AVERAGEIF('Реестр уборки 2025'!Z:Z,'Данные 2025'!J39,'Реестр уборки 2025'!C:C),)</f>
        <v>54</v>
      </c>
      <c r="M39" s="93" t="s">
        <v>302</v>
      </c>
    </row>
    <row r="40" customFormat="false" ht="15" hidden="false" customHeight="false" outlineLevel="0" collapsed="false">
      <c r="I40" s="0" t="n">
        <v>37</v>
      </c>
      <c r="J40" s="22" t="n">
        <v>45840</v>
      </c>
      <c r="K40" s="91" t="n">
        <f aca="false">SUMIF('Реестр уборки 2025'!Z:Z,J40,'Реестр уборки 2025'!G:G)/1000</f>
        <v>192.78</v>
      </c>
      <c r="L40" s="92" t="n">
        <f aca="false">IFERROR(AVERAGEIF('Реестр уборки 2025'!Z:Z,'Данные 2025'!J40,'Реестр уборки 2025'!C:C),)</f>
        <v>52.3571428571429</v>
      </c>
      <c r="M40" s="93" t="s">
        <v>53</v>
      </c>
    </row>
    <row r="41" s="117" customFormat="true" ht="14.25" hidden="false" customHeight="true" outlineLevel="0" collapsed="false">
      <c r="I41" s="117" t="n">
        <v>38</v>
      </c>
      <c r="J41" s="22" t="n">
        <v>45841</v>
      </c>
      <c r="K41" s="91" t="n">
        <f aca="false">SUMIF('Реестр уборки 2025'!Z:Z,J41,'Реестр уборки 2025'!G:G)/1000</f>
        <v>204.08</v>
      </c>
      <c r="L41" s="92" t="n">
        <f aca="false">IFERROR(AVERAGEIF('Реестр уборки 2025'!Z:Z,'Данные 2025'!J41,'Реестр уборки 2025'!C:C),)</f>
        <v>55.6875</v>
      </c>
      <c r="M41" s="93" t="s">
        <v>302</v>
      </c>
    </row>
    <row r="42" customFormat="false" ht="15" hidden="false" customHeight="false" outlineLevel="0" collapsed="false">
      <c r="I42" s="0" t="n">
        <v>39</v>
      </c>
      <c r="J42" s="22" t="n">
        <v>45842</v>
      </c>
      <c r="K42" s="91" t="n">
        <f aca="false">SUMIF('Реестр уборки 2025'!Z:Z,J42,'Реестр уборки 2025'!G:G)/1000</f>
        <v>147.51</v>
      </c>
      <c r="L42" s="92" t="n">
        <f aca="false">IFERROR(AVERAGEIF('Реестр уборки 2025'!Z:Z,'Данные 2025'!J42,'Реестр уборки 2025'!C:C),)</f>
        <v>61.3636363636364</v>
      </c>
      <c r="M42" s="93" t="s">
        <v>302</v>
      </c>
    </row>
    <row r="43" customFormat="false" ht="15" hidden="false" customHeight="false" outlineLevel="0" collapsed="false">
      <c r="I43" s="0" t="n">
        <v>40</v>
      </c>
      <c r="J43" s="22" t="n">
        <v>45843</v>
      </c>
      <c r="K43" s="91" t="n">
        <f aca="false">SUMIF('Реестр уборки 2025'!Z:Z,J43,'Реестр уборки 2025'!G:G)/1000</f>
        <v>163.17</v>
      </c>
      <c r="L43" s="92" t="n">
        <f aca="false">IFERROR(AVERAGEIF('Реестр уборки 2025'!Z:Z,'Данные 2025'!J43,'Реестр уборки 2025'!C:C),)</f>
        <v>61.25</v>
      </c>
      <c r="M43" s="93" t="s">
        <v>302</v>
      </c>
    </row>
    <row r="44" customFormat="false" ht="15" hidden="false" customHeight="false" outlineLevel="0" collapsed="false">
      <c r="I44" s="0" t="n">
        <v>41</v>
      </c>
      <c r="J44" s="22" t="n">
        <v>45844</v>
      </c>
      <c r="K44" s="91" t="n">
        <f aca="false">SUMIF('Реестр уборки 2025'!Z:Z,J44,'Реестр уборки 2025'!G:G)/1000</f>
        <v>120.94</v>
      </c>
      <c r="L44" s="92" t="n">
        <f aca="false">IFERROR(AVERAGEIF('Реестр уборки 2025'!Z:Z,'Данные 2025'!J44,'Реестр уборки 2025'!C:C),)</f>
        <v>53.2222222222222</v>
      </c>
      <c r="M44" s="93" t="s">
        <v>302</v>
      </c>
    </row>
    <row r="45" customFormat="false" ht="15" hidden="false" customHeight="false" outlineLevel="0" collapsed="false">
      <c r="I45" s="0" t="n">
        <v>42</v>
      </c>
      <c r="J45" s="22" t="n">
        <v>45845</v>
      </c>
      <c r="K45" s="91"/>
      <c r="L45" s="92"/>
      <c r="M45" s="93"/>
    </row>
    <row r="46" customFormat="false" ht="15" hidden="false" customHeight="false" outlineLevel="0" collapsed="false">
      <c r="I46" s="0" t="n">
        <v>43</v>
      </c>
      <c r="J46" s="22" t="n">
        <v>45846</v>
      </c>
      <c r="K46" s="91" t="n">
        <f aca="false">SUMIF('Реестр уборки 2025'!Z:Z,J46,'Реестр уборки 2025'!G:G)/1000</f>
        <v>131.84</v>
      </c>
      <c r="L46" s="92" t="n">
        <f aca="false">IFERROR(AVERAGEIF('Реестр уборки 2025'!Z:Z,'Данные 2025'!J46,'Реестр уборки 2025'!C:C),)</f>
        <v>67.1</v>
      </c>
      <c r="M46" s="93" t="s">
        <v>305</v>
      </c>
    </row>
    <row r="47" customFormat="false" ht="15" hidden="false" customHeight="false" outlineLevel="0" collapsed="false">
      <c r="I47" s="0" t="n">
        <v>44</v>
      </c>
      <c r="J47" s="22" t="n">
        <v>45847</v>
      </c>
      <c r="K47" s="91" t="n">
        <f aca="false">SUMIF('Реестр уборки 2025'!Z:Z,J47,'Реестр уборки 2025'!G:G)/1000</f>
        <v>63.8</v>
      </c>
      <c r="L47" s="92" t="n">
        <f aca="false">IFERROR(AVERAGEIF('Реестр уборки 2025'!Z:Z,'Данные 2025'!J47,'Реестр уборки 2025'!C:C),)</f>
        <v>71.4</v>
      </c>
      <c r="M47" s="93" t="s">
        <v>305</v>
      </c>
    </row>
    <row r="48" customFormat="false" ht="15" hidden="false" customHeight="false" outlineLevel="0" collapsed="false">
      <c r="I48" s="0" t="n">
        <v>45</v>
      </c>
      <c r="J48" s="22" t="n">
        <v>45848</v>
      </c>
      <c r="K48" s="91" t="n">
        <f aca="false">SUMIF('Реестр уборки 2025'!Z:Z,J48,'Реестр уборки 2025'!G:G)/1000</f>
        <v>26.58</v>
      </c>
      <c r="L48" s="92" t="n">
        <f aca="false">IFERROR(AVERAGEIF('Реестр уборки 2025'!Z:Z,'Данные 2025'!J48,'Реестр уборки 2025'!C:C),)</f>
        <v>70.5</v>
      </c>
      <c r="M48" s="93" t="s">
        <v>305</v>
      </c>
    </row>
    <row r="49" customFormat="false" ht="15" hidden="false" customHeight="false" outlineLevel="0" collapsed="false">
      <c r="K49" s="100" t="n">
        <f aca="false">SUM(K4:K48)</f>
        <v>7098.14</v>
      </c>
    </row>
    <row r="50" customFormat="false" ht="15" hidden="true" customHeight="false" outlineLevel="1" collapsed="false">
      <c r="K50" s="100"/>
    </row>
    <row r="51" customFormat="false" ht="15" hidden="true" customHeight="false" outlineLevel="1" collapsed="false">
      <c r="J51" s="117"/>
      <c r="K51" s="117"/>
      <c r="L51" s="117"/>
      <c r="M51" s="117"/>
    </row>
    <row r="52" customFormat="false" ht="15" hidden="true" customHeight="false" outlineLevel="1" collapsed="false"/>
    <row r="53" customFormat="false" ht="15" hidden="true" customHeight="false" outlineLevel="1" collapsed="false"/>
    <row r="54" customFormat="false" ht="35.05" hidden="false" customHeight="false" outlineLevel="0" collapsed="false">
      <c r="A54" s="118" t="s">
        <v>34</v>
      </c>
      <c r="B54" s="118" t="s">
        <v>35</v>
      </c>
      <c r="C54" s="118" t="s">
        <v>270</v>
      </c>
      <c r="D54" s="118" t="s">
        <v>271</v>
      </c>
      <c r="E54" s="118" t="s">
        <v>313</v>
      </c>
      <c r="F54" s="119" t="s">
        <v>285</v>
      </c>
      <c r="G54" s="119" t="s">
        <v>286</v>
      </c>
      <c r="H54" s="119" t="s">
        <v>314</v>
      </c>
      <c r="I54" s="119" t="s">
        <v>283</v>
      </c>
    </row>
    <row r="55" customFormat="false" ht="15" hidden="false" customHeight="false" outlineLevel="0" collapsed="false">
      <c r="A55" s="0" t="s">
        <v>330</v>
      </c>
      <c r="B55" s="0" t="s">
        <v>52</v>
      </c>
      <c r="C55" s="120" t="n">
        <v>1157.4</v>
      </c>
      <c r="D55" s="121" t="n">
        <f aca="false">SUMIF('Реестр уборки 2025'!W:W,'Реестр уборки 2025'!$W$3,'Реестр уборки 2025'!G:G)/1000</f>
        <v>1320.13</v>
      </c>
      <c r="E55" s="90" t="n">
        <f aca="false">IFERROR(D55/C55, )</f>
        <v>1.14059961983757</v>
      </c>
      <c r="F55" s="122" t="n">
        <v>257.2</v>
      </c>
      <c r="G55" s="123" t="n">
        <f aca="false">SUMIF('Реестр уборки 2025'!W:W,'Реестр уборки 2025'!$W$3,'Реестр уборки 2025'!V:V)</f>
        <v>237.243804502129</v>
      </c>
      <c r="H55" s="90" t="n">
        <f aca="false">IFERROR(G55/F55, )</f>
        <v>0.922409815327098</v>
      </c>
      <c r="I55" s="104" t="n">
        <f aca="false">Таблица4[[#This Row],[ФАКТ, т]]/Таблица4[[#This Row],[ФАКТ, га]]</f>
        <v>5.56444457114643</v>
      </c>
    </row>
    <row r="56" customFormat="false" ht="15" hidden="false" customHeight="false" outlineLevel="0" collapsed="false">
      <c r="A56" s="0" t="s">
        <v>331</v>
      </c>
      <c r="B56" s="0" t="s">
        <v>52</v>
      </c>
      <c r="C56" s="120" t="n">
        <v>910</v>
      </c>
      <c r="D56" s="121" t="n">
        <f aca="false">SUMIF('Реестр уборки 2025'!W:W,'Реестр уборки 2025'!$W$4,'Реестр уборки 2025'!G:G)/1000</f>
        <v>503.65</v>
      </c>
      <c r="E56" s="90" t="n">
        <f aca="false">IFERROR(D56/C56, )</f>
        <v>0.553461538461538</v>
      </c>
      <c r="F56" s="122" t="n">
        <v>260</v>
      </c>
      <c r="G56" s="123" t="n">
        <f aca="false">SUMIF('Реестр уборки 2025'!W:W,'Реестр уборки 2025'!$W$4,'Реестр уборки 2025'!V:V)</f>
        <v>183.41254858412</v>
      </c>
      <c r="H56" s="90" t="n">
        <f aca="false">IFERROR(G56/F56, )</f>
        <v>0.705432879169692</v>
      </c>
      <c r="I56" s="104" t="n">
        <f aca="false">Таблица4[[#This Row],[ФАКТ, т]]/Таблица4[[#This Row],[ФАКТ, га]]</f>
        <v>2.74599531977501</v>
      </c>
    </row>
    <row r="57" customFormat="false" ht="15" hidden="false" customHeight="false" outlineLevel="0" collapsed="false">
      <c r="A57" s="0" t="s">
        <v>332</v>
      </c>
      <c r="B57" s="0" t="s">
        <v>52</v>
      </c>
      <c r="C57" s="120" t="n">
        <v>136.5</v>
      </c>
      <c r="D57" s="121" t="n">
        <f aca="false">SUMIF('Реестр уборки 2025'!W:W,'Реестр уборки 2025'!$W$181,'Реестр уборки 2025'!G:G)/1000</f>
        <v>91.8</v>
      </c>
      <c r="E57" s="90" t="n">
        <f aca="false">IFERROR(D57/C57, )</f>
        <v>0.672527472527473</v>
      </c>
      <c r="F57" s="124" t="n">
        <v>39</v>
      </c>
      <c r="G57" s="123" t="n">
        <f aca="false">SUMIF('Реестр уборки 2025'!W:W,'Реестр уборки 2025'!$W$181,'Реестр уборки 2025'!V:V)</f>
        <v>31</v>
      </c>
      <c r="H57" s="90" t="n">
        <f aca="false">IFERROR(G57/F57, )</f>
        <v>0.794871794871795</v>
      </c>
      <c r="I57" s="104" t="n">
        <f aca="false">Таблица4[[#This Row],[ФАКТ, т]]/Таблица4[[#This Row],[ФАКТ, га]]</f>
        <v>2.96129032258065</v>
      </c>
    </row>
    <row r="58" customFormat="false" ht="15" hidden="false" customHeight="false" outlineLevel="0" collapsed="false">
      <c r="A58" s="0" t="s">
        <v>333</v>
      </c>
      <c r="B58" s="0" t="s">
        <v>52</v>
      </c>
      <c r="C58" s="120" t="n">
        <v>936.2</v>
      </c>
      <c r="D58" s="121" t="n">
        <f aca="false">SUMIF('Реестр уборки 2025'!W:W,'Реестр уборки 2025'!$W$86,'Реестр уборки 2025'!G:G)/1000</f>
        <v>769.25</v>
      </c>
      <c r="E58" s="90" t="n">
        <f aca="false">IFERROR(D58/C58, )</f>
        <v>0.821672719504379</v>
      </c>
      <c r="F58" s="122" t="n">
        <v>302</v>
      </c>
      <c r="G58" s="123" t="n">
        <f aca="false">SUMIF('Реестр уборки 2025'!W:W,'Реестр уборки 2025'!$W$109,'Реестр уборки 2025'!V:V)</f>
        <v>246.598013481289</v>
      </c>
      <c r="H58" s="90" t="n">
        <f aca="false">IFERROR(G58/F58, )</f>
        <v>0.816549713514202</v>
      </c>
      <c r="I58" s="104" t="n">
        <f aca="false">Таблица4[[#This Row],[ФАКТ, т]]/Таблица4[[#This Row],[ФАКТ, га]]</f>
        <v>3.11944929782806</v>
      </c>
    </row>
    <row r="59" customFormat="false" ht="15" hidden="false" customHeight="false" outlineLevel="0" collapsed="false">
      <c r="A59" s="0" t="s">
        <v>334</v>
      </c>
      <c r="B59" s="0" t="s">
        <v>315</v>
      </c>
      <c r="C59" s="120" t="n">
        <v>765</v>
      </c>
      <c r="D59" s="121" t="n">
        <f aca="false">SUMIF('Реестр уборки 2025'!W:W,'Реестр уборки 2025'!$W$225,'Реестр уборки 2025'!G:G)/1000</f>
        <v>842.08</v>
      </c>
      <c r="E59" s="90" t="n">
        <f aca="false">IFERROR(D59/C59, )</f>
        <v>1.10075816993464</v>
      </c>
      <c r="F59" s="122" t="n">
        <v>180</v>
      </c>
      <c r="G59" s="123" t="n">
        <f aca="false">SUMIF('Реестр уборки 2025'!W:W,'Реестр уборки 2025'!$W$225,'Реестр уборки 2025'!V:V)</f>
        <v>147.989741270657</v>
      </c>
      <c r="H59" s="90" t="n">
        <f aca="false">IFERROR(G59/F59, )</f>
        <v>0.822165229281425</v>
      </c>
      <c r="I59" s="104" t="n">
        <f aca="false">Таблица4[[#This Row],[ФАКТ, т]]/Таблица4[[#This Row],[ФАКТ, га]]</f>
        <v>5.69012414488874</v>
      </c>
    </row>
    <row r="60" customFormat="false" ht="15" hidden="false" customHeight="false" outlineLevel="0" collapsed="false">
      <c r="A60" s="0" t="s">
        <v>335</v>
      </c>
      <c r="B60" s="0" t="s">
        <v>315</v>
      </c>
      <c r="C60" s="120" t="n">
        <v>522.325</v>
      </c>
      <c r="D60" s="121" t="n">
        <f aca="false">SUMIF('Реестр уборки 2025'!W:W,'Реестр уборки 2025'!$W$247,'Реестр уборки 2025'!G:G)/1000</f>
        <v>561.3</v>
      </c>
      <c r="E60" s="90" t="n">
        <f aca="false">IFERROR(D60/C60, )</f>
        <v>1.07461829320825</v>
      </c>
      <c r="F60" s="122" t="n">
        <f aca="false">122.9-2.9</f>
        <v>120</v>
      </c>
      <c r="G60" s="123" t="n">
        <f aca="false">SUMIF('Реестр уборки 2025'!W:W,'Реестр уборки 2025'!$W$247,'Реестр уборки 2025'!V:V)</f>
        <v>120.026292446661</v>
      </c>
      <c r="H60" s="90" t="n">
        <f aca="false">IFERROR(G60/F60, )</f>
        <v>1.00021910372217</v>
      </c>
      <c r="I60" s="104" t="n">
        <f aca="false">Таблица4[[#This Row],[ФАКТ, т]]/Таблица4[[#This Row],[ФАКТ, га]]</f>
        <v>4.67647536684048</v>
      </c>
    </row>
    <row r="61" customFormat="false" ht="15" hidden="false" customHeight="false" outlineLevel="0" collapsed="false">
      <c r="A61" s="0" t="s">
        <v>336</v>
      </c>
      <c r="B61" s="0" t="s">
        <v>315</v>
      </c>
      <c r="C61" s="120" t="n">
        <v>586.5</v>
      </c>
      <c r="D61" s="121" t="n">
        <f aca="false">SUMIF('Реестр уборки 2025'!W:W,'Реестр уборки 2025'!$W$275,'Реестр уборки 2025'!G:G)/1000</f>
        <v>1017.73</v>
      </c>
      <c r="E61" s="90" t="n">
        <f aca="false">IFERROR(D61/C61, )</f>
        <v>1.7352600170503</v>
      </c>
      <c r="F61" s="122" t="n">
        <v>138</v>
      </c>
      <c r="G61" s="123" t="n">
        <f aca="false">SUMIF('Реестр уборки 2025'!W:W,'Реестр уборки 2025'!$W$275,'Реестр уборки 2025'!V:V)</f>
        <v>138</v>
      </c>
      <c r="H61" s="90" t="n">
        <f aca="false">IFERROR(G61/F61, )</f>
        <v>1</v>
      </c>
      <c r="I61" s="104" t="n">
        <f aca="false">Таблица4[[#This Row],[ФАКТ, т]]/Таблица4[[#This Row],[ФАКТ, га]]</f>
        <v>7.37485507246377</v>
      </c>
    </row>
    <row r="62" customFormat="false" ht="15" hidden="false" customHeight="false" outlineLevel="0" collapsed="false">
      <c r="A62" s="0" t="s">
        <v>337</v>
      </c>
      <c r="B62" s="0" t="s">
        <v>315</v>
      </c>
      <c r="C62" s="120" t="n">
        <v>1784.12</v>
      </c>
      <c r="D62" s="121" t="n">
        <f aca="false">SUMIF('Реестр уборки 2025'!W:W,'Реестр уборки 2025'!$W$431,'Реестр уборки 2025'!G:G)/1000</f>
        <v>1992.2</v>
      </c>
      <c r="E62" s="90" t="n">
        <f aca="false">IFERROR(D62/C62, )</f>
        <v>1.11662892630541</v>
      </c>
      <c r="F62" s="122" t="n">
        <v>379.6</v>
      </c>
      <c r="G62" s="123" t="n">
        <f aca="false">SUMIF('Реестр уборки 2025'!W:W,'Реестр уборки 2025'!$W$431,'Реестр уборки 2025'!V:V)</f>
        <v>379.589685688723</v>
      </c>
      <c r="H62" s="90" t="n">
        <f aca="false">IFERROR(G62/F62, )</f>
        <v>0.99997282847398</v>
      </c>
      <c r="I62" s="104" t="n">
        <f aca="false">Таблица4[[#This Row],[ФАКТ, т]]/Таблица4[[#This Row],[ФАКТ, га]]</f>
        <v>5.24829855791623</v>
      </c>
    </row>
    <row r="63" customFormat="false" ht="15" hidden="false" customHeight="false" outlineLevel="0" collapsed="false">
      <c r="C63" s="100" t="n">
        <f aca="false">SUBTOTAL(109,C55:C62)</f>
        <v>6798.045</v>
      </c>
      <c r="D63" s="100" t="n">
        <f aca="false">SUBTOTAL(109,D55:D62)</f>
        <v>7098.14</v>
      </c>
      <c r="E63" s="101" t="n">
        <f aca="false">D63/C63</f>
        <v>1.04414430913594</v>
      </c>
      <c r="F63" s="152" t="n">
        <f aca="false">SUBTOTAL(109,F55:F62)</f>
        <v>1675.8</v>
      </c>
      <c r="G63" s="127" t="n">
        <f aca="false">SUBTOTAL(109,G55:G62)</f>
        <v>1483.86008597358</v>
      </c>
      <c r="H63" s="101" t="n">
        <f aca="false">IFERROR(G63/F63, )</f>
        <v>0.885463710450876</v>
      </c>
      <c r="I63" s="104" t="n">
        <f aca="false">D63/G63</f>
        <v>4.78356421006016</v>
      </c>
    </row>
    <row r="64" customFormat="false" ht="15" hidden="false" customHeight="false" outlineLevel="0" collapsed="false">
      <c r="G64" s="82"/>
    </row>
    <row r="65" customFormat="false" ht="15" hidden="false" customHeight="false" outlineLevel="0" collapsed="false">
      <c r="G65" s="82"/>
    </row>
    <row r="66" customFormat="false" ht="15" hidden="false" customHeight="false" outlineLevel="0" collapsed="false">
      <c r="A66" s="128" t="s">
        <v>338</v>
      </c>
      <c r="B66" s="129" t="s">
        <v>316</v>
      </c>
      <c r="C66" s="130" t="s">
        <v>317</v>
      </c>
      <c r="D66" s="130" t="s">
        <v>318</v>
      </c>
      <c r="E66" s="131" t="s">
        <v>319</v>
      </c>
    </row>
    <row r="67" customFormat="false" ht="15" hidden="false" customHeight="false" outlineLevel="0" collapsed="false">
      <c r="A67" s="153" t="s">
        <v>336</v>
      </c>
      <c r="B67" s="154" t="n">
        <v>586.5</v>
      </c>
      <c r="C67" s="155" t="n">
        <v>1017.73</v>
      </c>
      <c r="D67" s="156" t="n">
        <v>138</v>
      </c>
      <c r="E67" s="157" t="n">
        <v>138</v>
      </c>
    </row>
    <row r="68" customFormat="false" ht="15" hidden="false" customHeight="false" outlineLevel="0" collapsed="false">
      <c r="A68" s="153" t="s">
        <v>334</v>
      </c>
      <c r="B68" s="154" t="n">
        <v>765</v>
      </c>
      <c r="C68" s="155" t="n">
        <v>842.08</v>
      </c>
      <c r="D68" s="156" t="n">
        <v>180</v>
      </c>
      <c r="E68" s="157" t="n">
        <v>147.989741270657</v>
      </c>
    </row>
    <row r="69" customFormat="false" ht="15" hidden="false" customHeight="false" outlineLevel="0" collapsed="false">
      <c r="A69" s="153" t="s">
        <v>335</v>
      </c>
      <c r="B69" s="154" t="n">
        <v>522.325</v>
      </c>
      <c r="C69" s="155" t="n">
        <v>561.3</v>
      </c>
      <c r="D69" s="156" t="n">
        <v>120</v>
      </c>
      <c r="E69" s="157" t="n">
        <v>120.026292446661</v>
      </c>
    </row>
    <row r="70" customFormat="false" ht="15" hidden="false" customHeight="false" outlineLevel="0" collapsed="false">
      <c r="A70" s="153" t="s">
        <v>333</v>
      </c>
      <c r="B70" s="154" t="n">
        <v>936.2</v>
      </c>
      <c r="C70" s="155" t="n">
        <v>769.25</v>
      </c>
      <c r="D70" s="156" t="n">
        <v>302</v>
      </c>
      <c r="E70" s="157" t="n">
        <v>246.598013481289</v>
      </c>
    </row>
    <row r="71" customFormat="false" ht="15" hidden="false" customHeight="false" outlineLevel="0" collapsed="false">
      <c r="A71" s="153" t="s">
        <v>332</v>
      </c>
      <c r="B71" s="154" t="n">
        <v>136.5</v>
      </c>
      <c r="C71" s="155" t="n">
        <v>91.8</v>
      </c>
      <c r="D71" s="156" t="n">
        <v>39</v>
      </c>
      <c r="E71" s="157" t="n">
        <v>31</v>
      </c>
    </row>
    <row r="72" customFormat="false" ht="15" hidden="false" customHeight="false" outlineLevel="0" collapsed="false">
      <c r="A72" s="153" t="s">
        <v>331</v>
      </c>
      <c r="B72" s="154" t="n">
        <v>910</v>
      </c>
      <c r="C72" s="155" t="n">
        <v>503.65</v>
      </c>
      <c r="D72" s="156" t="n">
        <v>260</v>
      </c>
      <c r="E72" s="157" t="n">
        <v>183.41254858412</v>
      </c>
    </row>
    <row r="73" customFormat="false" ht="15" hidden="false" customHeight="false" outlineLevel="0" collapsed="false">
      <c r="A73" s="153" t="s">
        <v>337</v>
      </c>
      <c r="B73" s="154" t="n">
        <v>1784.12</v>
      </c>
      <c r="C73" s="155" t="n">
        <v>1992.2</v>
      </c>
      <c r="D73" s="156" t="n">
        <v>379.6</v>
      </c>
      <c r="E73" s="157" t="n">
        <v>379.589685688723</v>
      </c>
    </row>
    <row r="74" customFormat="false" ht="15" hidden="false" customHeight="false" outlineLevel="0" collapsed="false">
      <c r="A74" s="153" t="s">
        <v>330</v>
      </c>
      <c r="B74" s="154" t="n">
        <v>1157.4</v>
      </c>
      <c r="C74" s="155" t="n">
        <v>1320.13</v>
      </c>
      <c r="D74" s="156" t="n">
        <v>257.2</v>
      </c>
      <c r="E74" s="157" t="n">
        <v>237.243804502129</v>
      </c>
    </row>
    <row r="75" customFormat="false" ht="15" hidden="false" customHeight="false" outlineLevel="0" collapsed="false">
      <c r="A75" s="145" t="s">
        <v>70</v>
      </c>
      <c r="B75" s="146" t="n">
        <v>6798.045</v>
      </c>
      <c r="C75" s="147" t="n">
        <v>7098.14</v>
      </c>
      <c r="D75" s="158" t="n">
        <v>1675.8</v>
      </c>
      <c r="E75" s="149" t="n">
        <v>1483.86008597358</v>
      </c>
    </row>
  </sheetData>
  <dataValidations count="2">
    <dataValidation allowBlank="true" errorStyle="stop" operator="between" showDropDown="false" showErrorMessage="true" showInputMessage="true" sqref="M5:M48" type="list">
      <formula1>$D$27:$D$32</formula1>
      <formula2>0</formula2>
    </dataValidation>
    <dataValidation allowBlank="false" errorStyle="stop" operator="between" showDropDown="false" showErrorMessage="true" showInputMessage="true" sqref="M4" type="list">
      <formula1>$D$27:$D$32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  <tablePart r:id="rId4"/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3" activeCellId="0" sqref="C33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14.29"/>
    <col collapsed="false" customWidth="true" hidden="false" outlineLevel="0" max="3" min="3" style="0" width="13.86"/>
    <col collapsed="false" customWidth="true" hidden="false" outlineLevel="0" max="4" min="4" style="0" width="15.85"/>
    <col collapsed="false" customWidth="true" hidden="false" outlineLevel="0" max="5" min="5" style="0" width="13.42"/>
    <col collapsed="false" customWidth="true" hidden="false" outlineLevel="0" max="6" min="6" style="0" width="16.29"/>
    <col collapsed="false" customWidth="true" hidden="false" outlineLevel="0" max="7" min="7" style="0" width="19.71"/>
    <col collapsed="false" customWidth="true" hidden="false" outlineLevel="0" max="8" min="8" style="0" width="17.57"/>
    <col collapsed="false" customWidth="true" hidden="false" outlineLevel="0" max="9" min="9" style="0" width="17.71"/>
    <col collapsed="false" customWidth="true" hidden="false" outlineLevel="0" max="10" min="10" style="0" width="26.15"/>
    <col collapsed="false" customWidth="true" hidden="false" outlineLevel="0" max="11" min="11" style="0" width="22.71"/>
    <col collapsed="false" customWidth="true" hidden="false" outlineLevel="0" max="12" min="12" style="0" width="18.86"/>
    <col collapsed="false" customWidth="true" hidden="false" outlineLevel="0" max="13" min="13" style="0" width="17.71"/>
  </cols>
  <sheetData>
    <row r="1" customFormat="false" ht="26.85" hidden="false" customHeight="false" outlineLevel="0" collapsed="false">
      <c r="A1" s="159" t="s">
        <v>339</v>
      </c>
      <c r="B1" s="159" t="s">
        <v>340</v>
      </c>
      <c r="C1" s="159" t="s">
        <v>341</v>
      </c>
      <c r="D1" s="159" t="s">
        <v>221</v>
      </c>
      <c r="E1" s="160" t="s">
        <v>76</v>
      </c>
      <c r="F1" s="160" t="s">
        <v>282</v>
      </c>
      <c r="G1" s="160" t="s">
        <v>342</v>
      </c>
      <c r="H1" s="160" t="s">
        <v>343</v>
      </c>
      <c r="I1" s="160" t="s">
        <v>344</v>
      </c>
      <c r="J1" s="160" t="s">
        <v>345</v>
      </c>
      <c r="K1" s="160" t="s">
        <v>346</v>
      </c>
      <c r="L1" s="160" t="s">
        <v>347</v>
      </c>
      <c r="M1" s="161" t="s">
        <v>348</v>
      </c>
    </row>
    <row r="2" customFormat="false" ht="15" hidden="false" customHeight="false" outlineLevel="0" collapsed="false">
      <c r="A2" s="162" t="s">
        <v>349</v>
      </c>
      <c r="B2" s="162" t="s">
        <v>52</v>
      </c>
      <c r="C2" s="162" t="s">
        <v>350</v>
      </c>
      <c r="D2" s="162" t="s">
        <v>252</v>
      </c>
      <c r="E2" s="163" t="n">
        <v>48</v>
      </c>
      <c r="F2" s="163" t="e">
        <f aca="false">#VALUE!</f>
        <v>#VALUE!</v>
      </c>
      <c r="G2" s="163" t="e">
        <f aca="false">E2-F2</f>
        <v>#VALUE!</v>
      </c>
      <c r="H2" s="164" t="str">
        <f aca="false">IFERROR(F2/E2,"-")</f>
        <v>-</v>
      </c>
      <c r="I2" s="163" t="n">
        <f aca="false">4*0.9</f>
        <v>3.6</v>
      </c>
      <c r="J2" s="165" t="n">
        <f aca="false">IFERROR(L2/F2,)</f>
        <v>0</v>
      </c>
      <c r="K2" s="163" t="n">
        <f aca="false">E2*I2</f>
        <v>172.8</v>
      </c>
      <c r="L2" s="163" t="e">
        <f aca="false">#VALUE!</f>
        <v>#VALUE!</v>
      </c>
      <c r="M2" s="164" t="str">
        <f aca="false">IFERROR(L2/K2,"-")</f>
        <v>-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6"/>
  <sheetViews>
    <sheetView showFormulas="false" showGridLines="false" showRowColHeaders="true" showZeros="true" rightToLeft="false" tabSelected="false" showOutlineSymbols="true" defaultGridColor="true" view="normal" topLeftCell="A26" colorId="64" zoomScale="100" zoomScaleNormal="100" zoomScalePageLayoutView="100" workbookViewId="0">
      <selection pane="topLeft" activeCell="B58" activeCellId="0" sqref="B58"/>
    </sheetView>
  </sheetViews>
  <sheetFormatPr defaultColWidth="9.1484375" defaultRowHeight="15" customHeight="true" zeroHeight="false" outlineLevelRow="0" outlineLevelCol="0"/>
  <cols>
    <col collapsed="false" customWidth="true" hidden="false" outlineLevel="0" max="1" min="1" style="23" width="42.57"/>
    <col collapsed="false" customWidth="true" hidden="false" outlineLevel="0" max="2" min="2" style="23" width="13.86"/>
    <col collapsed="false" customWidth="true" hidden="false" outlineLevel="0" max="3" min="3" style="23" width="11.57"/>
    <col collapsed="false" customWidth="true" hidden="false" outlineLevel="0" max="4" min="4" style="23" width="9.29"/>
    <col collapsed="false" customWidth="true" hidden="false" outlineLevel="0" max="5" min="5" style="23" width="12.29"/>
    <col collapsed="false" customWidth="true" hidden="false" outlineLevel="0" max="6" min="6" style="23" width="18.57"/>
    <col collapsed="false" customWidth="true" hidden="false" outlineLevel="0" max="7" min="7" style="23" width="15.85"/>
    <col collapsed="false" customWidth="true" hidden="false" outlineLevel="0" max="8" min="8" style="23" width="16.14"/>
    <col collapsed="false" customWidth="true" hidden="false" outlineLevel="0" max="9" min="9" style="23" width="17.42"/>
    <col collapsed="false" customWidth="true" hidden="false" outlineLevel="0" max="10" min="10" style="23" width="17.29"/>
    <col collapsed="false" customWidth="true" hidden="false" outlineLevel="0" max="11" min="11" style="23" width="14"/>
    <col collapsed="false" customWidth="true" hidden="false" outlineLevel="0" max="12" min="12" style="23" width="16.57"/>
    <col collapsed="false" customWidth="true" hidden="false" outlineLevel="0" max="15" min="13" style="23" width="11.29"/>
    <col collapsed="false" customWidth="false" hidden="false" outlineLevel="0" max="16384" min="16" style="23" width="9.14"/>
  </cols>
  <sheetData>
    <row r="1" customFormat="false" ht="15" hidden="true" customHeight="false" outlineLevel="0" collapsed="false">
      <c r="A1" s="166" t="s">
        <v>38</v>
      </c>
      <c r="B1" s="167" t="s">
        <v>351</v>
      </c>
      <c r="C1" s="0"/>
      <c r="D1" s="0"/>
      <c r="E1" s="0"/>
      <c r="F1" s="0"/>
    </row>
    <row r="2" customFormat="false" ht="21" hidden="false" customHeight="true" outlineLevel="0" collapsed="false">
      <c r="A2" s="0"/>
      <c r="B2" s="0"/>
      <c r="C2" s="0"/>
      <c r="D2" s="0"/>
      <c r="E2" s="0"/>
      <c r="F2" s="0"/>
    </row>
    <row r="3" s="32" customFormat="true" ht="15" hidden="true" customHeight="false" outlineLevel="0" collapsed="false">
      <c r="A3" s="26"/>
      <c r="B3" s="27"/>
      <c r="C3" s="27"/>
      <c r="D3" s="28"/>
      <c r="E3" s="29" t="s">
        <v>60</v>
      </c>
      <c r="F3" s="31"/>
    </row>
    <row r="4" customFormat="false" ht="15" hidden="false" customHeight="false" outlineLevel="0" collapsed="false">
      <c r="A4" s="33" t="s">
        <v>16</v>
      </c>
      <c r="B4" s="34" t="s">
        <v>34</v>
      </c>
      <c r="C4" s="34" t="s">
        <v>31</v>
      </c>
      <c r="D4" s="34" t="s">
        <v>22</v>
      </c>
      <c r="E4" s="35" t="s">
        <v>62</v>
      </c>
      <c r="F4" s="37" t="s">
        <v>63</v>
      </c>
    </row>
    <row r="5" customFormat="false" ht="15" hidden="false" customHeight="false" outlineLevel="0" collapsed="false">
      <c r="A5" s="153" t="s">
        <v>351</v>
      </c>
      <c r="B5" s="40" t="s">
        <v>51</v>
      </c>
      <c r="C5" s="168"/>
      <c r="D5" s="169"/>
      <c r="E5" s="170" t="n">
        <v>1297240</v>
      </c>
      <c r="F5" s="44" t="n">
        <v>1056094.5</v>
      </c>
    </row>
    <row r="6" customFormat="false" ht="15" hidden="false" customHeight="false" outlineLevel="0" collapsed="false">
      <c r="A6" s="51" t="s">
        <v>70</v>
      </c>
      <c r="B6" s="53"/>
      <c r="C6" s="53"/>
      <c r="D6" s="54"/>
      <c r="E6" s="171" t="n">
        <v>1297240</v>
      </c>
      <c r="F6" s="57" t="n">
        <v>1056094.5</v>
      </c>
      <c r="M6" s="47"/>
      <c r="N6" s="47"/>
      <c r="O6" s="4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I48"/>
  <sheetViews>
    <sheetView showFormulas="false" showGridLines="false" showRowColHeaders="true" showZeros="true" rightToLeft="false" tabSelected="false" showOutlineSymbols="true" defaultGridColor="true" view="normal" topLeftCell="H25" colorId="64" zoomScale="100" zoomScaleNormal="100" zoomScalePageLayoutView="100" workbookViewId="0">
      <selection pane="topLeft" activeCell="Q47" activeCellId="0" sqref="Q47"/>
    </sheetView>
  </sheetViews>
  <sheetFormatPr defaultColWidth="8.6796875" defaultRowHeight="15" customHeight="true" zeroHeight="false" outlineLevelRow="0" outlineLevelCol="1"/>
  <cols>
    <col collapsed="false" customWidth="true" hidden="true" outlineLevel="1" max="1" min="1" style="0" width="13.29"/>
    <col collapsed="false" customWidth="true" hidden="true" outlineLevel="1" max="3" min="2" style="0" width="19"/>
    <col collapsed="false" customWidth="true" hidden="true" outlineLevel="1" max="4" min="4" style="0" width="21.14"/>
    <col collapsed="false" customWidth="true" hidden="true" outlineLevel="1" max="5" min="5" style="22" width="26.71"/>
    <col collapsed="false" customWidth="true" hidden="true" outlineLevel="1" max="7" min="6" style="0" width="8.86"/>
    <col collapsed="false" customWidth="true" hidden="false" outlineLevel="0" max="8" min="8" style="0" width="8.86"/>
    <col collapsed="false" customWidth="true" hidden="false" outlineLevel="0" max="9" min="9" style="0" width="17"/>
    <col collapsed="false" customWidth="true" hidden="false" outlineLevel="0" max="10" min="10" style="0" width="22.42"/>
    <col collapsed="false" customWidth="true" hidden="false" outlineLevel="0" max="54" min="11" style="0" width="10.14"/>
    <col collapsed="false" customWidth="true" hidden="false" outlineLevel="0" max="55" min="55" style="0" width="11.57"/>
  </cols>
  <sheetData>
    <row r="3" s="172" customFormat="true" ht="14.25" hidden="false" customHeight="true" outlineLevel="0" collapsed="false">
      <c r="A3" s="172" t="s">
        <v>352</v>
      </c>
      <c r="B3" s="172" t="s">
        <v>353</v>
      </c>
      <c r="C3" s="172" t="s">
        <v>62</v>
      </c>
      <c r="D3" s="172" t="s">
        <v>63</v>
      </c>
      <c r="E3" s="173" t="s">
        <v>354</v>
      </c>
      <c r="I3" s="172" t="s">
        <v>355</v>
      </c>
    </row>
    <row r="4" customFormat="false" ht="15" hidden="false" customHeight="false" outlineLevel="0" collapsed="false">
      <c r="A4" s="22" t="n">
        <v>45804</v>
      </c>
      <c r="B4" s="174" t="n">
        <f aca="false">C4/1000</f>
        <v>29.45</v>
      </c>
      <c r="C4" s="174" t="n">
        <v>29450</v>
      </c>
      <c r="D4" s="174" t="n">
        <v>21740.7</v>
      </c>
      <c r="E4" s="22" t="n">
        <v>45804</v>
      </c>
      <c r="I4" s="175" t="s">
        <v>356</v>
      </c>
    </row>
    <row r="5" customFormat="false" ht="15" hidden="false" customHeight="false" outlineLevel="0" collapsed="false">
      <c r="A5" s="22" t="n">
        <v>45805</v>
      </c>
      <c r="B5" s="174" t="n">
        <f aca="false">C5/1000</f>
        <v>98.79</v>
      </c>
      <c r="C5" s="174" t="n">
        <v>98790</v>
      </c>
      <c r="D5" s="174" t="n">
        <v>71595.6</v>
      </c>
      <c r="E5" s="22" t="n">
        <v>45805</v>
      </c>
      <c r="I5" s="176" t="n">
        <v>6485.45</v>
      </c>
    </row>
    <row r="6" customFormat="false" ht="15" hidden="false" customHeight="false" outlineLevel="0" collapsed="false">
      <c r="A6" s="22" t="n">
        <v>45806</v>
      </c>
      <c r="B6" s="174" t="n">
        <f aca="false">C6/1000</f>
        <v>52.63</v>
      </c>
      <c r="C6" s="174" t="n">
        <v>52630</v>
      </c>
      <c r="D6" s="174" t="n">
        <v>37492</v>
      </c>
      <c r="E6" s="22" t="n">
        <v>45806</v>
      </c>
    </row>
    <row r="7" customFormat="false" ht="15" hidden="false" customHeight="false" outlineLevel="0" collapsed="false">
      <c r="A7" s="22" t="n">
        <v>45807</v>
      </c>
      <c r="B7" s="174" t="n">
        <f aca="false">C7/1000</f>
        <v>46.31</v>
      </c>
      <c r="C7" s="174" t="n">
        <v>46310</v>
      </c>
      <c r="D7" s="174" t="n">
        <v>33701.5</v>
      </c>
      <c r="E7" s="22" t="n">
        <v>45808</v>
      </c>
    </row>
    <row r="8" customFormat="false" ht="15" hidden="false" customHeight="false" outlineLevel="0" collapsed="false">
      <c r="A8" s="22" t="n">
        <v>45808</v>
      </c>
      <c r="B8" s="174"/>
      <c r="C8" s="174"/>
      <c r="D8" s="174"/>
    </row>
    <row r="9" customFormat="false" ht="15" hidden="false" customHeight="false" outlineLevel="0" collapsed="false">
      <c r="A9" s="22" t="n">
        <v>45809</v>
      </c>
      <c r="B9" s="174" t="n">
        <f aca="false">C9/1000</f>
        <v>163.7</v>
      </c>
      <c r="C9" s="174" t="n">
        <v>163700</v>
      </c>
      <c r="D9" s="174" t="n">
        <v>124140.6</v>
      </c>
      <c r="E9" s="22" t="n">
        <v>45809</v>
      </c>
    </row>
    <row r="10" customFormat="false" ht="15" hidden="false" customHeight="false" outlineLevel="0" collapsed="false">
      <c r="A10" s="22" t="n">
        <v>45810</v>
      </c>
      <c r="B10" s="174" t="n">
        <f aca="false">C10/1000</f>
        <v>181.62</v>
      </c>
      <c r="C10" s="174" t="n">
        <v>181620</v>
      </c>
      <c r="D10" s="174" t="n">
        <v>141581.7</v>
      </c>
      <c r="E10" s="22" t="n">
        <v>45810</v>
      </c>
    </row>
    <row r="11" customFormat="false" ht="15" hidden="false" customHeight="false" outlineLevel="0" collapsed="false">
      <c r="A11" s="22" t="n">
        <v>45811</v>
      </c>
      <c r="B11" s="174" t="n">
        <f aca="false">C11/1000</f>
        <v>137.38</v>
      </c>
      <c r="C11" s="174" t="n">
        <v>137380</v>
      </c>
      <c r="D11" s="174" t="n">
        <v>111232.3</v>
      </c>
      <c r="E11" s="22" t="n">
        <v>45811</v>
      </c>
    </row>
    <row r="12" customFormat="false" ht="15" hidden="false" customHeight="false" outlineLevel="0" collapsed="false">
      <c r="A12" s="22" t="n">
        <v>45812</v>
      </c>
      <c r="B12" s="174" t="n">
        <f aca="false">C12/1000</f>
        <v>218.34</v>
      </c>
      <c r="C12" s="174" t="n">
        <v>218340</v>
      </c>
      <c r="D12" s="174" t="n">
        <v>186899.6</v>
      </c>
      <c r="E12" s="22" t="n">
        <v>45812</v>
      </c>
    </row>
    <row r="13" customFormat="false" ht="15" hidden="false" customHeight="false" outlineLevel="0" collapsed="false">
      <c r="A13" s="22" t="n">
        <v>45813</v>
      </c>
      <c r="B13" s="174" t="n">
        <f aca="false">C13/1000</f>
        <v>257.7</v>
      </c>
      <c r="C13" s="174" t="n">
        <v>257700</v>
      </c>
      <c r="D13" s="174" t="n">
        <v>215785.7</v>
      </c>
      <c r="E13" s="22" t="n">
        <v>45813</v>
      </c>
    </row>
    <row r="14" customFormat="false" ht="15" hidden="false" customHeight="false" outlineLevel="0" collapsed="false">
      <c r="A14" s="22" t="n">
        <v>45814</v>
      </c>
      <c r="B14" s="174" t="n">
        <f aca="false">C14/1000</f>
        <v>187.54</v>
      </c>
      <c r="C14" s="174" t="n">
        <v>187540</v>
      </c>
      <c r="D14" s="174" t="n">
        <v>157412.6</v>
      </c>
      <c r="E14" s="22" t="n">
        <v>45814</v>
      </c>
    </row>
    <row r="15" customFormat="false" ht="15" hidden="false" customHeight="false" outlineLevel="0" collapsed="false">
      <c r="A15" s="22" t="n">
        <v>45815</v>
      </c>
      <c r="B15" s="174" t="n">
        <f aca="false">C15/1000</f>
        <v>222.75</v>
      </c>
      <c r="C15" s="174" t="n">
        <v>222750</v>
      </c>
      <c r="D15" s="174" t="n">
        <v>189231</v>
      </c>
      <c r="E15" s="22" t="n">
        <v>45815</v>
      </c>
    </row>
    <row r="16" customFormat="false" ht="15" hidden="false" customHeight="false" outlineLevel="0" collapsed="false">
      <c r="A16" s="22" t="n">
        <v>45816</v>
      </c>
      <c r="B16" s="174" t="n">
        <f aca="false">C16/1000</f>
        <v>244.84</v>
      </c>
      <c r="C16" s="174" t="n">
        <v>244840</v>
      </c>
      <c r="D16" s="174" t="n">
        <v>214198.4</v>
      </c>
      <c r="E16" s="22" t="n">
        <v>45816</v>
      </c>
    </row>
    <row r="17" customFormat="false" ht="15" hidden="false" customHeight="false" outlineLevel="0" collapsed="false">
      <c r="A17" s="22" t="n">
        <v>45817</v>
      </c>
      <c r="B17" s="174" t="n">
        <f aca="false">C17/1000</f>
        <v>152.51</v>
      </c>
      <c r="C17" s="174" t="n">
        <v>152510</v>
      </c>
      <c r="D17" s="174" t="n">
        <v>127138.9</v>
      </c>
      <c r="E17" s="22" t="n">
        <v>45817</v>
      </c>
    </row>
    <row r="18" customFormat="false" ht="15" hidden="false" customHeight="false" outlineLevel="0" collapsed="false">
      <c r="A18" s="22" t="n">
        <v>45818</v>
      </c>
      <c r="B18" s="174" t="n">
        <f aca="false">C18/1000</f>
        <v>185.62</v>
      </c>
      <c r="C18" s="174" t="n">
        <v>185620</v>
      </c>
      <c r="D18" s="174" t="n">
        <v>159943.4</v>
      </c>
      <c r="E18" s="22" t="n">
        <v>45818</v>
      </c>
    </row>
    <row r="19" customFormat="false" ht="15" hidden="false" customHeight="false" outlineLevel="0" collapsed="false">
      <c r="A19" s="22" t="n">
        <v>45819</v>
      </c>
      <c r="B19" s="174" t="n">
        <f aca="false">C19/1000</f>
        <v>159.63</v>
      </c>
      <c r="C19" s="174" t="n">
        <v>159630</v>
      </c>
      <c r="D19" s="174" t="n">
        <v>146763.8</v>
      </c>
      <c r="E19" s="22" t="n">
        <v>45819</v>
      </c>
    </row>
    <row r="20" customFormat="false" ht="15" hidden="false" customHeight="false" outlineLevel="0" collapsed="false">
      <c r="A20" s="22" t="n">
        <v>45820</v>
      </c>
      <c r="B20" s="174" t="n">
        <f aca="false">C20/1000</f>
        <v>269.58</v>
      </c>
      <c r="C20" s="174" t="n">
        <v>269580</v>
      </c>
      <c r="D20" s="174" t="n">
        <v>233118.8</v>
      </c>
      <c r="E20" s="22" t="n">
        <v>45820</v>
      </c>
    </row>
    <row r="21" customFormat="false" ht="15" hidden="false" customHeight="false" outlineLevel="0" collapsed="false">
      <c r="A21" s="22" t="n">
        <v>45821</v>
      </c>
      <c r="B21" s="174" t="n">
        <f aca="false">C21/1000</f>
        <v>214.02</v>
      </c>
      <c r="C21" s="174" t="n">
        <v>214020</v>
      </c>
      <c r="D21" s="174" t="n">
        <v>182865.4</v>
      </c>
      <c r="E21" s="22" t="n">
        <v>45821</v>
      </c>
    </row>
    <row r="22" customFormat="false" ht="15" hidden="false" customHeight="false" outlineLevel="0" collapsed="false">
      <c r="A22" s="22" t="n">
        <v>45822</v>
      </c>
      <c r="B22" s="174" t="n">
        <f aca="false">C22/1000</f>
        <v>288.24</v>
      </c>
      <c r="C22" s="174" t="n">
        <v>288240</v>
      </c>
      <c r="D22" s="174" t="n">
        <v>252886.4</v>
      </c>
      <c r="E22" s="22" t="n">
        <v>45822</v>
      </c>
    </row>
    <row r="23" customFormat="false" ht="15" hidden="false" customHeight="false" outlineLevel="0" collapsed="false">
      <c r="A23" s="22" t="n">
        <v>45823</v>
      </c>
      <c r="B23" s="174" t="n">
        <f aca="false">C23/1000</f>
        <v>239.3</v>
      </c>
      <c r="C23" s="174" t="n">
        <v>239300</v>
      </c>
      <c r="D23" s="174" t="n">
        <v>213149.2</v>
      </c>
      <c r="E23" s="22" t="n">
        <v>45823</v>
      </c>
    </row>
    <row r="24" customFormat="false" ht="15" hidden="false" customHeight="false" outlineLevel="0" collapsed="false">
      <c r="A24" s="22" t="n">
        <v>45824</v>
      </c>
      <c r="B24" s="174" t="n">
        <f aca="false">C24/1000</f>
        <v>167.58</v>
      </c>
      <c r="C24" s="174" t="n">
        <v>167580</v>
      </c>
      <c r="D24" s="174" t="n">
        <v>154253.3</v>
      </c>
      <c r="E24" s="22" t="n">
        <v>45824</v>
      </c>
    </row>
    <row r="25" customFormat="false" ht="15" hidden="false" customHeight="false" outlineLevel="0" collapsed="false">
      <c r="A25" s="22" t="n">
        <v>45825</v>
      </c>
      <c r="B25" s="174" t="n">
        <f aca="false">C25/1000</f>
        <v>71.01</v>
      </c>
      <c r="C25" s="174" t="n">
        <v>71010</v>
      </c>
      <c r="D25" s="174" t="n">
        <v>59975.1</v>
      </c>
      <c r="E25" s="22" t="n">
        <v>45825</v>
      </c>
    </row>
    <row r="26" customFormat="false" ht="15" hidden="false" customHeight="false" outlineLevel="0" collapsed="false">
      <c r="A26" s="22" t="n">
        <v>45826</v>
      </c>
      <c r="B26" s="174" t="n">
        <f aca="false">C26/1000</f>
        <v>212.04</v>
      </c>
      <c r="C26" s="174" t="n">
        <v>212040</v>
      </c>
      <c r="D26" s="174" t="n">
        <v>190603.8</v>
      </c>
      <c r="E26" s="22" t="n">
        <v>45826</v>
      </c>
    </row>
    <row r="27" customFormat="false" ht="15" hidden="false" customHeight="false" outlineLevel="0" collapsed="false">
      <c r="A27" s="22" t="n">
        <v>45827</v>
      </c>
      <c r="B27" s="174" t="n">
        <f aca="false">C27/1000</f>
        <v>277.55</v>
      </c>
      <c r="C27" s="174" t="n">
        <v>277550</v>
      </c>
      <c r="D27" s="174" t="n">
        <v>255021.4</v>
      </c>
      <c r="E27" s="22" t="n">
        <v>45827</v>
      </c>
    </row>
    <row r="28" customFormat="false" ht="15" hidden="false" customHeight="false" outlineLevel="0" collapsed="false">
      <c r="A28" s="22" t="n">
        <v>45828</v>
      </c>
      <c r="B28" s="174" t="n">
        <f aca="false">C28/1000</f>
        <v>220.8</v>
      </c>
      <c r="C28" s="174" t="n">
        <v>220800</v>
      </c>
      <c r="D28" s="174" t="n">
        <v>207184.5</v>
      </c>
      <c r="E28" s="22" t="n">
        <v>45828</v>
      </c>
    </row>
    <row r="29" customFormat="false" ht="15" hidden="false" customHeight="false" outlineLevel="0" collapsed="false">
      <c r="A29" s="22" t="n">
        <v>45829</v>
      </c>
      <c r="B29" s="174" t="n">
        <f aca="false">C29/1000</f>
        <v>148.15</v>
      </c>
      <c r="C29" s="174" t="n">
        <v>148150</v>
      </c>
      <c r="D29" s="174" t="n">
        <v>135735.8</v>
      </c>
      <c r="E29" s="22" t="n">
        <v>45829</v>
      </c>
    </row>
    <row r="30" customFormat="false" ht="15" hidden="false" customHeight="false" outlineLevel="0" collapsed="false">
      <c r="A30" s="22" t="n">
        <v>45830</v>
      </c>
      <c r="B30" s="174" t="n">
        <f aca="false">C30/1000</f>
        <v>204.71</v>
      </c>
      <c r="C30" s="174" t="n">
        <v>204710</v>
      </c>
      <c r="D30" s="174" t="n">
        <v>167127.4</v>
      </c>
      <c r="E30" s="22" t="n">
        <v>45830</v>
      </c>
    </row>
    <row r="31" customFormat="false" ht="15" hidden="false" customHeight="false" outlineLevel="0" collapsed="false">
      <c r="A31" s="22" t="n">
        <v>45831</v>
      </c>
      <c r="B31" s="174" t="n">
        <f aca="false">C31/1000</f>
        <v>228.57</v>
      </c>
      <c r="C31" s="174" t="n">
        <v>228570</v>
      </c>
      <c r="D31" s="174" t="n">
        <v>189006.8</v>
      </c>
      <c r="E31" s="22" t="n">
        <v>45831</v>
      </c>
    </row>
    <row r="32" customFormat="false" ht="15" hidden="false" customHeight="false" outlineLevel="0" collapsed="false">
      <c r="A32" s="22" t="n">
        <v>45832</v>
      </c>
      <c r="B32" s="174" t="n">
        <f aca="false">C32/1000</f>
        <v>94.08</v>
      </c>
      <c r="C32" s="174" t="n">
        <v>94080</v>
      </c>
      <c r="D32" s="174" t="n">
        <v>79556.7</v>
      </c>
      <c r="E32" s="22" t="n">
        <v>45832</v>
      </c>
    </row>
    <row r="33" customFormat="false" ht="15" hidden="false" customHeight="false" outlineLevel="0" collapsed="false">
      <c r="A33" s="22" t="n">
        <v>45833</v>
      </c>
      <c r="B33" s="174" t="n">
        <f aca="false">C33/1000</f>
        <v>125.43</v>
      </c>
      <c r="C33" s="174" t="n">
        <v>125430</v>
      </c>
      <c r="D33" s="174" t="n">
        <v>104544.2</v>
      </c>
      <c r="E33" s="22" t="n">
        <v>45833</v>
      </c>
    </row>
    <row r="34" customFormat="false" ht="15" hidden="false" customHeight="false" outlineLevel="0" collapsed="false">
      <c r="A34" s="22" t="n">
        <v>45834</v>
      </c>
      <c r="B34" s="174"/>
      <c r="C34" s="174"/>
      <c r="D34" s="174"/>
    </row>
    <row r="35" customFormat="false" ht="15" hidden="false" customHeight="false" outlineLevel="0" collapsed="false">
      <c r="A35" s="22" t="n">
        <v>45835</v>
      </c>
      <c r="B35" s="174"/>
      <c r="C35" s="174"/>
      <c r="D35" s="174"/>
    </row>
    <row r="36" customFormat="false" ht="15" hidden="false" customHeight="false" outlineLevel="0" collapsed="false">
      <c r="A36" s="22" t="n">
        <v>45836</v>
      </c>
      <c r="B36" s="174" t="n">
        <f aca="false">C36/1000</f>
        <v>60.75</v>
      </c>
      <c r="C36" s="174" t="n">
        <v>60750</v>
      </c>
      <c r="D36" s="174" t="n">
        <v>51333.9</v>
      </c>
      <c r="E36" s="22" t="n">
        <v>45836</v>
      </c>
    </row>
    <row r="37" customFormat="false" ht="15" hidden="false" customHeight="false" outlineLevel="0" collapsed="false">
      <c r="A37" s="22" t="n">
        <v>45837</v>
      </c>
      <c r="B37" s="174" t="n">
        <f aca="false">C37/1000</f>
        <v>69.23</v>
      </c>
      <c r="C37" s="174" t="n">
        <v>69230</v>
      </c>
      <c r="D37" s="174" t="n">
        <v>60600.6</v>
      </c>
      <c r="E37" s="22" t="n">
        <v>45837</v>
      </c>
    </row>
    <row r="38" customFormat="false" ht="15" hidden="false" customHeight="false" outlineLevel="0" collapsed="false">
      <c r="A38" s="22" t="n">
        <v>45838</v>
      </c>
      <c r="B38" s="174" t="n">
        <f aca="false">C38/1000</f>
        <v>28.37</v>
      </c>
      <c r="C38" s="174" t="n">
        <v>28370</v>
      </c>
      <c r="D38" s="174" t="n">
        <v>24692.3</v>
      </c>
      <c r="E38" s="22" t="n">
        <v>45838</v>
      </c>
    </row>
    <row r="39" customFormat="false" ht="15" hidden="false" customHeight="false" outlineLevel="0" collapsed="false">
      <c r="A39" s="22" t="n">
        <v>45839</v>
      </c>
      <c r="B39" s="174" t="n">
        <f aca="false">C39/1000</f>
        <v>69.19</v>
      </c>
      <c r="C39" s="174" t="n">
        <v>69190</v>
      </c>
      <c r="D39" s="174" t="n">
        <v>60335.2</v>
      </c>
      <c r="E39" s="22" t="n">
        <v>45839</v>
      </c>
    </row>
    <row r="40" customFormat="false" ht="15" hidden="false" customHeight="false" outlineLevel="0" collapsed="false">
      <c r="A40" s="22" t="n">
        <v>45840</v>
      </c>
      <c r="B40" s="174" t="n">
        <f aca="false">C40/1000</f>
        <v>218.92</v>
      </c>
      <c r="C40" s="174" t="n">
        <v>218920</v>
      </c>
      <c r="D40" s="174" t="n">
        <v>187414.8</v>
      </c>
      <c r="E40" s="22" t="n">
        <v>45840</v>
      </c>
    </row>
    <row r="41" customFormat="false" ht="15" hidden="false" customHeight="false" outlineLevel="0" collapsed="false">
      <c r="A41" s="22" t="n">
        <v>45841</v>
      </c>
      <c r="B41" s="174" t="n">
        <f aca="false">C41/1000</f>
        <v>192.37</v>
      </c>
      <c r="C41" s="174" t="n">
        <v>192370</v>
      </c>
      <c r="D41" s="174" t="n">
        <v>161740.5</v>
      </c>
      <c r="E41" s="22" t="n">
        <v>45841</v>
      </c>
    </row>
    <row r="42" customFormat="false" ht="15" hidden="false" customHeight="false" outlineLevel="0" collapsed="false">
      <c r="A42" s="22" t="n">
        <v>45842</v>
      </c>
      <c r="B42" s="174" t="n">
        <f aca="false">C42/1000</f>
        <v>213.73</v>
      </c>
      <c r="C42" s="174" t="n">
        <v>213730</v>
      </c>
      <c r="D42" s="174" t="n">
        <v>190148.5</v>
      </c>
      <c r="E42" s="22" t="n">
        <v>45842</v>
      </c>
    </row>
    <row r="43" customFormat="false" ht="15" hidden="false" customHeight="false" outlineLevel="0" collapsed="false">
      <c r="A43" s="22" t="n">
        <v>45843</v>
      </c>
      <c r="B43" s="174" t="n">
        <f aca="false">C43/1000</f>
        <v>84.68</v>
      </c>
      <c r="C43" s="174" t="n">
        <v>84680</v>
      </c>
      <c r="D43" s="174" t="n">
        <v>73460.3</v>
      </c>
      <c r="E43" s="22" t="n">
        <v>45843</v>
      </c>
    </row>
    <row r="44" customFormat="false" ht="15" hidden="false" customHeight="false" outlineLevel="0" collapsed="false">
      <c r="A44" s="22" t="n">
        <v>45844</v>
      </c>
      <c r="B44" s="174" t="n">
        <f aca="false">C44/1000</f>
        <v>226.12</v>
      </c>
      <c r="C44" s="174" t="n">
        <v>226120</v>
      </c>
      <c r="D44" s="174" t="n">
        <v>203439.1</v>
      </c>
      <c r="E44" s="22" t="n">
        <v>45844</v>
      </c>
    </row>
    <row r="45" customFormat="false" ht="15" hidden="false" customHeight="false" outlineLevel="0" collapsed="false">
      <c r="A45" s="22" t="n">
        <v>45845</v>
      </c>
      <c r="B45" s="174"/>
      <c r="C45" s="174"/>
      <c r="D45" s="174"/>
    </row>
    <row r="46" customFormat="false" ht="15" hidden="false" customHeight="false" outlineLevel="0" collapsed="false">
      <c r="A46" s="22" t="n">
        <v>45846</v>
      </c>
      <c r="B46" s="174" t="n">
        <f aca="false">C46/1000</f>
        <v>40.51</v>
      </c>
      <c r="C46" s="174" t="n">
        <v>40510</v>
      </c>
      <c r="D46" s="174" t="n">
        <v>36604.8</v>
      </c>
      <c r="E46" s="22" t="n">
        <v>45846</v>
      </c>
    </row>
    <row r="47" customFormat="false" ht="15" hidden="false" customHeight="false" outlineLevel="0" collapsed="false">
      <c r="A47" s="22" t="n">
        <v>45847</v>
      </c>
      <c r="B47" s="174" t="n">
        <f aca="false">C47/1000</f>
        <v>143.24</v>
      </c>
      <c r="C47" s="174" t="n">
        <v>143240</v>
      </c>
      <c r="D47" s="174" t="n">
        <v>125850.3</v>
      </c>
      <c r="E47" s="22" t="n">
        <v>45847</v>
      </c>
    </row>
    <row r="48" customFormat="false" ht="15" hidden="false" customHeight="false" outlineLevel="0" collapsed="false">
      <c r="A48" s="22" t="n">
        <v>45848</v>
      </c>
      <c r="B48" s="174" t="n">
        <f aca="false">C48/1000</f>
        <v>38.47</v>
      </c>
      <c r="C48" s="174" t="n">
        <v>38470</v>
      </c>
      <c r="D48" s="174" t="n">
        <v>31337.5</v>
      </c>
      <c r="E48" s="22" t="n">
        <v>45848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4" activeCellId="0" sqref="F24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9.57"/>
    <col collapsed="false" customWidth="true" hidden="false" outlineLevel="0" max="2" min="2" style="0" width="25.14"/>
    <col collapsed="false" customWidth="true" hidden="false" outlineLevel="0" max="3" min="3" style="0" width="24.42"/>
    <col collapsed="false" customWidth="true" hidden="false" outlineLevel="0" max="4" min="4" style="0" width="11.57"/>
    <col collapsed="false" customWidth="true" hidden="false" outlineLevel="0" max="5" min="5" style="0" width="17.29"/>
    <col collapsed="false" customWidth="true" hidden="false" outlineLevel="0" max="6" min="6" style="0" width="11.57"/>
    <col collapsed="false" customWidth="true" hidden="false" outlineLevel="0" max="9" min="7" style="0" width="37.71"/>
    <col collapsed="false" customWidth="true" hidden="false" outlineLevel="0" max="10" min="10" style="0" width="42.29"/>
    <col collapsed="false" customWidth="true" hidden="false" outlineLevel="0" max="11" min="11" style="0" width="34.42"/>
  </cols>
  <sheetData>
    <row r="1" customFormat="false" ht="15" hidden="false" customHeight="false" outlineLevel="0" collapsed="false">
      <c r="A1" s="166" t="s">
        <v>38</v>
      </c>
      <c r="B1" s="167" t="s">
        <v>357</v>
      </c>
    </row>
    <row r="3" customFormat="false" ht="15" hidden="false" customHeight="false" outlineLevel="0" collapsed="false">
      <c r="A3" s="128" t="s">
        <v>16</v>
      </c>
      <c r="B3" s="177"/>
    </row>
    <row r="4" customFormat="false" ht="15" hidden="false" customHeight="false" outlineLevel="0" collapsed="false">
      <c r="A4" s="178"/>
      <c r="B4" s="17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H114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pane xSplit="0" ySplit="1" topLeftCell="A106" activePane="bottomLeft" state="frozen"/>
      <selection pane="topLeft" activeCell="C1" activeCellId="0" sqref="C1"/>
      <selection pane="bottomLeft" activeCell="R120" activeCellId="0" sqref="R120"/>
    </sheetView>
  </sheetViews>
  <sheetFormatPr defaultColWidth="8.859375" defaultRowHeight="15" customHeight="true" zeroHeight="false" outlineLevelRow="0" outlineLevelCol="2"/>
  <cols>
    <col collapsed="false" customWidth="true" hidden="true" outlineLevel="0" max="1" min="1" style="0" width="11.43"/>
    <col collapsed="false" customWidth="true" hidden="true" outlineLevel="0" max="2" min="2" style="0" width="12"/>
    <col collapsed="false" customWidth="true" hidden="false" outlineLevel="0" max="3" min="3" style="0" width="10.14"/>
    <col collapsed="false" customWidth="true" hidden="false" outlineLevel="1" max="4" min="4" style="0" width="11.71"/>
    <col collapsed="false" customWidth="true" hidden="false" outlineLevel="1" max="5" min="5" style="22" width="11.71"/>
    <col collapsed="false" customWidth="true" hidden="false" outlineLevel="2" max="6" min="6" style="0" width="15"/>
    <col collapsed="false" customWidth="true" hidden="false" outlineLevel="1" max="7" min="7" style="0" width="11.57"/>
    <col collapsed="false" customWidth="true" hidden="false" outlineLevel="2" max="8" min="8" style="0" width="15.42"/>
    <col collapsed="false" customWidth="true" hidden="false" outlineLevel="1" max="9" min="9" style="0" width="12.42"/>
    <col collapsed="false" customWidth="true" hidden="false" outlineLevel="1" max="10" min="10" style="0" width="17.15"/>
    <col collapsed="false" customWidth="true" hidden="false" outlineLevel="1" max="11" min="11" style="0" width="8.71"/>
    <col collapsed="false" customWidth="true" hidden="false" outlineLevel="1" max="12" min="12" style="0" width="12.71"/>
    <col collapsed="false" customWidth="true" hidden="false" outlineLevel="1" max="13" min="13" style="0" width="14.42"/>
    <col collapsed="false" customWidth="true" hidden="true" outlineLevel="2" max="14" min="14" style="0" width="10.71"/>
    <col collapsed="false" customWidth="true" hidden="true" outlineLevel="2" max="15" min="15" style="0" width="13.42"/>
    <col collapsed="false" customWidth="true" hidden="true" outlineLevel="2" max="16" min="16" style="0" width="21.71"/>
    <col collapsed="false" customWidth="true" hidden="true" outlineLevel="2" max="17" min="17" style="0" width="29.71"/>
    <col collapsed="true" customWidth="true" hidden="false" outlineLevel="1" max="18" min="18" style="0" width="17.15"/>
    <col collapsed="false" customWidth="true" hidden="true" outlineLevel="2" max="19" min="19" style="0" width="15"/>
    <col collapsed="true" customWidth="false" hidden="false" outlineLevel="1" max="20" min="20" style="0" width="8.86"/>
    <col collapsed="false" customWidth="false" hidden="false" outlineLevel="1" max="21" min="21" style="0" width="8.86"/>
    <col collapsed="false" customWidth="true" hidden="false" outlineLevel="1" max="22" min="22" style="82" width="10.71"/>
    <col collapsed="false" customWidth="true" hidden="false" outlineLevel="1" max="23" min="23" style="0" width="17.29"/>
    <col collapsed="false" customWidth="true" hidden="false" outlineLevel="1" max="24" min="24" style="0" width="10"/>
    <col collapsed="false" customWidth="false" hidden="false" outlineLevel="1" max="25" min="25" style="0" width="8.86"/>
    <col collapsed="false" customWidth="true" hidden="false" outlineLevel="1" max="26" min="26" style="0" width="10.14"/>
    <col collapsed="false" customWidth="true" hidden="false" outlineLevel="1" max="27" min="27" style="0" width="11.43"/>
    <col collapsed="false" customWidth="true" hidden="false" outlineLevel="1" max="28" min="28" style="0" width="14"/>
    <col collapsed="false" customWidth="true" hidden="false" outlineLevel="0" max="29" min="29" style="0" width="12"/>
    <col collapsed="false" customWidth="true" hidden="false" outlineLevel="0" max="30" min="30" style="0" width="15.14"/>
    <col collapsed="false" customWidth="true" hidden="false" outlineLevel="1" max="32" min="31" style="0" width="13.86"/>
    <col collapsed="false" customWidth="true" hidden="false" outlineLevel="1" max="33" min="33" style="0" width="10.85"/>
    <col collapsed="false" customWidth="true" hidden="false" outlineLevel="1" max="34" min="34" style="0" width="13"/>
  </cols>
  <sheetData>
    <row r="1" s="188" customFormat="true" ht="59.25" hidden="false" customHeight="true" outlineLevel="0" collapsed="false">
      <c r="A1" s="180" t="s">
        <v>12</v>
      </c>
      <c r="B1" s="180" t="s">
        <v>13</v>
      </c>
      <c r="C1" s="181" t="s">
        <v>14</v>
      </c>
      <c r="D1" s="180" t="s">
        <v>15</v>
      </c>
      <c r="E1" s="182" t="s">
        <v>16</v>
      </c>
      <c r="F1" s="180" t="s">
        <v>17</v>
      </c>
      <c r="G1" s="181" t="s">
        <v>18</v>
      </c>
      <c r="H1" s="180" t="s">
        <v>19</v>
      </c>
      <c r="I1" s="181" t="s">
        <v>20</v>
      </c>
      <c r="J1" s="180" t="s">
        <v>21</v>
      </c>
      <c r="K1" s="180" t="s">
        <v>22</v>
      </c>
      <c r="L1" s="180" t="s">
        <v>23</v>
      </c>
      <c r="M1" s="180" t="s">
        <v>24</v>
      </c>
      <c r="N1" s="183" t="s">
        <v>25</v>
      </c>
      <c r="O1" s="183" t="s">
        <v>26</v>
      </c>
      <c r="P1" s="183" t="s">
        <v>27</v>
      </c>
      <c r="Q1" s="183" t="s">
        <v>28</v>
      </c>
      <c r="R1" s="180" t="s">
        <v>29</v>
      </c>
      <c r="S1" s="183" t="s">
        <v>30</v>
      </c>
      <c r="T1" s="184" t="s">
        <v>31</v>
      </c>
      <c r="U1" s="184" t="s">
        <v>32</v>
      </c>
      <c r="V1" s="185" t="s">
        <v>33</v>
      </c>
      <c r="W1" s="180" t="s">
        <v>34</v>
      </c>
      <c r="X1" s="180" t="s">
        <v>35</v>
      </c>
      <c r="Y1" s="180" t="s">
        <v>36</v>
      </c>
      <c r="Z1" s="180" t="s">
        <v>37</v>
      </c>
      <c r="AA1" s="186" t="s">
        <v>38</v>
      </c>
      <c r="AB1" s="186" t="s">
        <v>39</v>
      </c>
      <c r="AC1" s="187" t="s">
        <v>40</v>
      </c>
      <c r="AD1" s="187" t="s">
        <v>41</v>
      </c>
      <c r="AE1" s="187" t="s">
        <v>42</v>
      </c>
      <c r="AF1" s="187" t="s">
        <v>43</v>
      </c>
      <c r="AG1" s="187" t="s">
        <v>44</v>
      </c>
      <c r="AH1" s="187" t="s">
        <v>45</v>
      </c>
    </row>
    <row r="2" customFormat="false" ht="19.4" hidden="true" customHeight="false" outlineLevel="0" collapsed="false">
      <c r="A2" s="189" t="s">
        <v>358</v>
      </c>
      <c r="B2" s="190"/>
      <c r="C2" s="191" t="n">
        <f aca="false">Таблица3[[#This Row],[Степень зрелости вспом]]</f>
        <v>49</v>
      </c>
      <c r="D2" s="192" t="n">
        <v>40</v>
      </c>
      <c r="E2" s="193"/>
      <c r="F2" s="190"/>
      <c r="G2" s="190" t="n">
        <v>16070</v>
      </c>
      <c r="H2" s="194"/>
      <c r="I2" s="190" t="n">
        <v>12936.4</v>
      </c>
      <c r="J2" s="189" t="s">
        <v>46</v>
      </c>
      <c r="K2" s="189" t="s">
        <v>66</v>
      </c>
      <c r="L2" s="189"/>
      <c r="M2" s="189" t="s">
        <v>359</v>
      </c>
      <c r="N2" s="189"/>
      <c r="O2" s="189"/>
      <c r="P2" s="189"/>
      <c r="Q2" s="189"/>
      <c r="R2" s="189" t="s">
        <v>360</v>
      </c>
      <c r="S2" s="189"/>
      <c r="T2" s="195" t="s">
        <v>65</v>
      </c>
      <c r="U2" s="195" t="str">
        <f aca="false">Таблица3[[#This Row],[Регистратор.Номенклатура]]</f>
        <v>Тиара</v>
      </c>
      <c r="V2" s="196" t="n">
        <f aca="false">36*Таблица3[[#This Row],[Регистратор.Вес нетто]]/191510</f>
        <v>3.02083442117905</v>
      </c>
      <c r="W2" s="189" t="s">
        <v>51</v>
      </c>
      <c r="X2" s="189" t="s">
        <v>52</v>
      </c>
      <c r="Y2" s="189" t="n">
        <v>1</v>
      </c>
      <c r="Z2" s="197" t="n">
        <v>46176</v>
      </c>
      <c r="AA2" s="198"/>
      <c r="AB2" s="198"/>
      <c r="AC2" s="198" t="s">
        <v>53</v>
      </c>
      <c r="AD2" s="199" t="s">
        <v>54</v>
      </c>
      <c r="AE2" s="198" t="n">
        <v>14</v>
      </c>
      <c r="AF2" s="200" t="n">
        <v>46176</v>
      </c>
      <c r="AG2" s="198"/>
      <c r="AH2" s="198" t="n">
        <f aca="false">IFERROR(VLOOKUP(Таблица3[[#This Row],[№ акта]],'Степень зрелости 2026'!$H$12:$I$582,2,FALSE()),)</f>
        <v>49</v>
      </c>
    </row>
    <row r="3" customFormat="false" ht="28.35" hidden="true" customHeight="false" outlineLevel="0" collapsed="false">
      <c r="A3" s="189" t="s">
        <v>358</v>
      </c>
      <c r="B3" s="190"/>
      <c r="C3" s="191" t="n">
        <f aca="false">Таблица3[[#This Row],[Степень зрелости вспом]]</f>
        <v>53</v>
      </c>
      <c r="D3" s="192" t="n">
        <v>42</v>
      </c>
      <c r="E3" s="193"/>
      <c r="F3" s="190"/>
      <c r="G3" s="190" t="n">
        <v>13670</v>
      </c>
      <c r="H3" s="194"/>
      <c r="I3" s="190" t="n">
        <v>9637.4</v>
      </c>
      <c r="J3" s="189" t="s">
        <v>46</v>
      </c>
      <c r="K3" s="189" t="s">
        <v>66</v>
      </c>
      <c r="L3" s="189"/>
      <c r="M3" s="189" t="s">
        <v>55</v>
      </c>
      <c r="N3" s="189"/>
      <c r="O3" s="189"/>
      <c r="P3" s="189"/>
      <c r="Q3" s="189"/>
      <c r="R3" s="189" t="s">
        <v>56</v>
      </c>
      <c r="S3" s="189"/>
      <c r="T3" s="195" t="s">
        <v>65</v>
      </c>
      <c r="U3" s="195" t="str">
        <f aca="false">Таблица3[[#This Row],[Регистратор.Номенклатура]]</f>
        <v>Тиара</v>
      </c>
      <c r="V3" s="196" t="n">
        <f aca="false">36*Таблица3[[#This Row],[Регистратор.Вес нетто]]/191510</f>
        <v>2.56968304527179</v>
      </c>
      <c r="W3" s="189" t="s">
        <v>51</v>
      </c>
      <c r="X3" s="189" t="s">
        <v>52</v>
      </c>
      <c r="Y3" s="189" t="n">
        <v>1</v>
      </c>
      <c r="Z3" s="197" t="n">
        <v>46176</v>
      </c>
      <c r="AA3" s="198"/>
      <c r="AB3" s="198"/>
      <c r="AC3" s="198" t="s">
        <v>302</v>
      </c>
      <c r="AD3" s="199" t="s">
        <v>54</v>
      </c>
      <c r="AE3" s="198" t="n">
        <v>15</v>
      </c>
      <c r="AF3" s="200" t="n">
        <v>46176</v>
      </c>
      <c r="AG3" s="198"/>
      <c r="AH3" s="198" t="n">
        <f aca="false">IFERROR(VLOOKUP(Таблица3[[#This Row],[№ акта]],'Степень зрелости 2026'!$H$12:$I$582,2,FALSE()),)</f>
        <v>53</v>
      </c>
    </row>
    <row r="4" customFormat="false" ht="19.4" hidden="true" customHeight="false" outlineLevel="0" collapsed="false">
      <c r="A4" s="189" t="s">
        <v>358</v>
      </c>
      <c r="B4" s="190"/>
      <c r="C4" s="191" t="n">
        <f aca="false">Таблица3[[#This Row],[Степень зрелости вспом]]</f>
        <v>50</v>
      </c>
      <c r="D4" s="192" t="n">
        <v>43</v>
      </c>
      <c r="E4" s="193"/>
      <c r="F4" s="190"/>
      <c r="G4" s="190" t="n">
        <v>13610</v>
      </c>
      <c r="H4" s="194"/>
      <c r="I4" s="190" t="n">
        <v>10683.9</v>
      </c>
      <c r="J4" s="189" t="s">
        <v>46</v>
      </c>
      <c r="K4" s="189" t="s">
        <v>66</v>
      </c>
      <c r="L4" s="189"/>
      <c r="M4" s="189" t="s">
        <v>359</v>
      </c>
      <c r="N4" s="189"/>
      <c r="O4" s="189"/>
      <c r="P4" s="189"/>
      <c r="Q4" s="201"/>
      <c r="R4" s="189" t="s">
        <v>360</v>
      </c>
      <c r="S4" s="189"/>
      <c r="T4" s="195" t="s">
        <v>65</v>
      </c>
      <c r="U4" s="195" t="str">
        <f aca="false">Таблица3[[#This Row],[Регистратор.Номенклатура]]</f>
        <v>Тиара</v>
      </c>
      <c r="V4" s="196" t="n">
        <f aca="false">36*Таблица3[[#This Row],[Регистратор.Вес нетто]]/191510</f>
        <v>2.55840426087411</v>
      </c>
      <c r="W4" s="189" t="s">
        <v>51</v>
      </c>
      <c r="X4" s="189" t="s">
        <v>52</v>
      </c>
      <c r="Y4" s="189" t="n">
        <v>1</v>
      </c>
      <c r="Z4" s="197" t="n">
        <v>46176</v>
      </c>
      <c r="AA4" s="198"/>
      <c r="AB4" s="198"/>
      <c r="AC4" s="198" t="s">
        <v>53</v>
      </c>
      <c r="AD4" s="199" t="s">
        <v>54</v>
      </c>
      <c r="AE4" s="198" t="n">
        <v>16</v>
      </c>
      <c r="AF4" s="200" t="n">
        <v>46176</v>
      </c>
      <c r="AG4" s="198"/>
      <c r="AH4" s="198" t="n">
        <f aca="false">IFERROR(VLOOKUP(Таблица3[[#This Row],[№ акта]],'Степень зрелости 2026'!$H$12:$I$582,2,FALSE()),)</f>
        <v>50</v>
      </c>
    </row>
    <row r="5" customFormat="false" ht="19.4" hidden="true" customHeight="false" outlineLevel="0" collapsed="false">
      <c r="A5" s="189" t="s">
        <v>358</v>
      </c>
      <c r="B5" s="190"/>
      <c r="C5" s="191" t="n">
        <f aca="false">Таблица3[[#This Row],[Степень зрелости вспом]]</f>
        <v>54</v>
      </c>
      <c r="D5" s="192" t="n">
        <v>48</v>
      </c>
      <c r="E5" s="193"/>
      <c r="F5" s="190"/>
      <c r="G5" s="190" t="n">
        <v>13740</v>
      </c>
      <c r="H5" s="194"/>
      <c r="I5" s="190" t="n">
        <v>10648.5</v>
      </c>
      <c r="J5" s="189" t="s">
        <v>46</v>
      </c>
      <c r="K5" s="189" t="s">
        <v>66</v>
      </c>
      <c r="L5" s="189"/>
      <c r="M5" s="189" t="s">
        <v>361</v>
      </c>
      <c r="N5" s="189"/>
      <c r="O5" s="189"/>
      <c r="P5" s="189"/>
      <c r="Q5" s="189"/>
      <c r="R5" s="189" t="s">
        <v>362</v>
      </c>
      <c r="S5" s="189"/>
      <c r="T5" s="195" t="s">
        <v>65</v>
      </c>
      <c r="U5" s="195" t="str">
        <f aca="false">Таблица3[[#This Row],[Регистратор.Номенклатура]]</f>
        <v>Тиара</v>
      </c>
      <c r="V5" s="196" t="n">
        <f aca="false">36*Таблица3[[#This Row],[Регистратор.Вес нетто]]/191510</f>
        <v>2.58284162706908</v>
      </c>
      <c r="W5" s="189" t="s">
        <v>51</v>
      </c>
      <c r="X5" s="189" t="s">
        <v>52</v>
      </c>
      <c r="Y5" s="189" t="n">
        <v>1</v>
      </c>
      <c r="Z5" s="197" t="n">
        <v>46176</v>
      </c>
      <c r="AA5" s="198"/>
      <c r="AB5" s="198"/>
      <c r="AC5" s="198" t="s">
        <v>302</v>
      </c>
      <c r="AD5" s="199" t="s">
        <v>54</v>
      </c>
      <c r="AE5" s="198" t="n">
        <v>17</v>
      </c>
      <c r="AF5" s="200" t="n">
        <v>46176</v>
      </c>
      <c r="AG5" s="198"/>
      <c r="AH5" s="198" t="n">
        <f aca="false">IFERROR(VLOOKUP(Таблица3[[#This Row],[№ акта]],'Степень зрелости 2026'!$H$12:$I$582,2,FALSE()),)</f>
        <v>54</v>
      </c>
    </row>
    <row r="6" customFormat="false" ht="19.4" hidden="true" customHeight="false" outlineLevel="0" collapsed="false">
      <c r="A6" s="189" t="s">
        <v>358</v>
      </c>
      <c r="B6" s="190"/>
      <c r="C6" s="191" t="n">
        <f aca="false">Таблица3[[#This Row],[Степень зрелости вспом]]</f>
        <v>53</v>
      </c>
      <c r="D6" s="192" t="n">
        <v>49</v>
      </c>
      <c r="E6" s="193"/>
      <c r="F6" s="190"/>
      <c r="G6" s="190" t="n">
        <v>13660</v>
      </c>
      <c r="H6" s="194"/>
      <c r="I6" s="190" t="n">
        <v>10996.3</v>
      </c>
      <c r="J6" s="189" t="s">
        <v>46</v>
      </c>
      <c r="K6" s="189" t="s">
        <v>66</v>
      </c>
      <c r="L6" s="189"/>
      <c r="M6" s="189" t="s">
        <v>359</v>
      </c>
      <c r="N6" s="189"/>
      <c r="O6" s="189"/>
      <c r="P6" s="189"/>
      <c r="Q6" s="189"/>
      <c r="R6" s="189" t="s">
        <v>360</v>
      </c>
      <c r="S6" s="189"/>
      <c r="T6" s="195" t="s">
        <v>65</v>
      </c>
      <c r="U6" s="195" t="str">
        <f aca="false">Таблица3[[#This Row],[Регистратор.Номенклатура]]</f>
        <v>Тиара</v>
      </c>
      <c r="V6" s="196" t="n">
        <f aca="false">36*Таблица3[[#This Row],[Регистратор.Вес нетто]]/191510</f>
        <v>2.56780324787217</v>
      </c>
      <c r="W6" s="189" t="s">
        <v>51</v>
      </c>
      <c r="X6" s="189" t="s">
        <v>52</v>
      </c>
      <c r="Y6" s="189" t="n">
        <v>1</v>
      </c>
      <c r="Z6" s="197" t="n">
        <v>46176</v>
      </c>
      <c r="AA6" s="198"/>
      <c r="AB6" s="198"/>
      <c r="AC6" s="198" t="s">
        <v>302</v>
      </c>
      <c r="AD6" s="199" t="s">
        <v>54</v>
      </c>
      <c r="AE6" s="198" t="n">
        <v>18</v>
      </c>
      <c r="AF6" s="200" t="n">
        <v>46176</v>
      </c>
      <c r="AG6" s="198"/>
      <c r="AH6" s="198" t="n">
        <f aca="false">IFERROR(VLOOKUP(Таблица3[[#This Row],[№ акта]],'Степень зрелости 2026'!$H$12:$I$582,2,FALSE()),)</f>
        <v>53</v>
      </c>
    </row>
    <row r="7" customFormat="false" ht="28.35" hidden="true" customHeight="false" outlineLevel="0" collapsed="false">
      <c r="A7" s="189" t="s">
        <v>358</v>
      </c>
      <c r="B7" s="190"/>
      <c r="C7" s="191" t="n">
        <f aca="false">Таблица3[[#This Row],[Степень зрелости вспом]]</f>
        <v>53</v>
      </c>
      <c r="D7" s="192" t="n">
        <v>50</v>
      </c>
      <c r="E7" s="193"/>
      <c r="F7" s="190"/>
      <c r="G7" s="190" t="n">
        <v>13390</v>
      </c>
      <c r="H7" s="194"/>
      <c r="I7" s="190" t="n">
        <v>10645.1</v>
      </c>
      <c r="J7" s="189" t="s">
        <v>46</v>
      </c>
      <c r="K7" s="189" t="s">
        <v>66</v>
      </c>
      <c r="L7" s="189"/>
      <c r="M7" s="189" t="s">
        <v>363</v>
      </c>
      <c r="N7" s="189"/>
      <c r="O7" s="189"/>
      <c r="P7" s="189"/>
      <c r="Q7" s="189"/>
      <c r="R7" s="189" t="s">
        <v>364</v>
      </c>
      <c r="S7" s="189"/>
      <c r="T7" s="195" t="s">
        <v>65</v>
      </c>
      <c r="U7" s="195" t="str">
        <f aca="false">Таблица3[[#This Row],[Регистратор.Номенклатура]]</f>
        <v>Тиара</v>
      </c>
      <c r="V7" s="196" t="n">
        <f aca="false">36*Таблица3[[#This Row],[Регистратор.Вес нетто]]/191510</f>
        <v>2.51704871808261</v>
      </c>
      <c r="W7" s="189" t="s">
        <v>51</v>
      </c>
      <c r="X7" s="189" t="s">
        <v>52</v>
      </c>
      <c r="Y7" s="189" t="n">
        <v>1</v>
      </c>
      <c r="Z7" s="197" t="n">
        <v>46176</v>
      </c>
      <c r="AA7" s="198"/>
      <c r="AB7" s="198"/>
      <c r="AC7" s="198" t="s">
        <v>302</v>
      </c>
      <c r="AD7" s="199" t="s">
        <v>54</v>
      </c>
      <c r="AE7" s="198" t="n">
        <v>19</v>
      </c>
      <c r="AF7" s="200" t="n">
        <v>46176</v>
      </c>
      <c r="AG7" s="198"/>
      <c r="AH7" s="198" t="n">
        <f aca="false">IFERROR(VLOOKUP(Таблица3[[#This Row],[№ акта]],'Степень зрелости 2026'!$H$12:$I$582,2,FALSE()),)</f>
        <v>53</v>
      </c>
    </row>
    <row r="8" customFormat="false" ht="19.4" hidden="true" customHeight="false" outlineLevel="0" collapsed="false">
      <c r="A8" s="189" t="s">
        <v>358</v>
      </c>
      <c r="B8" s="190"/>
      <c r="C8" s="191" t="n">
        <f aca="false">Таблица3[[#This Row],[Степень зрелости вспом]]</f>
        <v>52</v>
      </c>
      <c r="D8" s="192" t="n">
        <v>51</v>
      </c>
      <c r="E8" s="193"/>
      <c r="F8" s="190"/>
      <c r="G8" s="190" t="n">
        <v>13720</v>
      </c>
      <c r="H8" s="194"/>
      <c r="I8" s="190" t="n">
        <v>10907.4</v>
      </c>
      <c r="J8" s="189" t="s">
        <v>46</v>
      </c>
      <c r="K8" s="189" t="s">
        <v>66</v>
      </c>
      <c r="L8" s="189"/>
      <c r="M8" s="189" t="s">
        <v>361</v>
      </c>
      <c r="N8" s="189"/>
      <c r="O8" s="189"/>
      <c r="P8" s="189"/>
      <c r="Q8" s="189"/>
      <c r="R8" s="189" t="s">
        <v>362</v>
      </c>
      <c r="S8" s="189"/>
      <c r="T8" s="195" t="s">
        <v>65</v>
      </c>
      <c r="U8" s="195" t="str">
        <f aca="false">Таблица3[[#This Row],[Регистратор.Номенклатура]]</f>
        <v>Тиара</v>
      </c>
      <c r="V8" s="196" t="n">
        <f aca="false">36*Таблица3[[#This Row],[Регистратор.Вес нетто]]/191510</f>
        <v>2.57908203226986</v>
      </c>
      <c r="W8" s="189" t="s">
        <v>51</v>
      </c>
      <c r="X8" s="189" t="s">
        <v>52</v>
      </c>
      <c r="Y8" s="189" t="n">
        <v>1</v>
      </c>
      <c r="Z8" s="197" t="n">
        <v>46176</v>
      </c>
      <c r="AA8" s="198"/>
      <c r="AB8" s="198"/>
      <c r="AC8" s="198" t="s">
        <v>53</v>
      </c>
      <c r="AD8" s="199" t="s">
        <v>54</v>
      </c>
      <c r="AE8" s="198" t="n">
        <v>20</v>
      </c>
      <c r="AF8" s="200" t="n">
        <v>46176</v>
      </c>
      <c r="AG8" s="198"/>
      <c r="AH8" s="198" t="n">
        <f aca="false">IFERROR(VLOOKUP(Таблица3[[#This Row],[№ акта]],'Степень зрелости 2026'!$H$12:$I$582,2,FALSE()),)</f>
        <v>52</v>
      </c>
    </row>
    <row r="9" customFormat="false" ht="19.4" hidden="true" customHeight="false" outlineLevel="0" collapsed="false">
      <c r="A9" s="189" t="s">
        <v>358</v>
      </c>
      <c r="B9" s="190"/>
      <c r="C9" s="191" t="n">
        <f aca="false">Таблица3[[#This Row],[Степень зрелости вспом]]</f>
        <v>52</v>
      </c>
      <c r="D9" s="192" t="n">
        <v>52</v>
      </c>
      <c r="E9" s="193"/>
      <c r="F9" s="190"/>
      <c r="G9" s="190" t="n">
        <v>13740</v>
      </c>
      <c r="H9" s="194"/>
      <c r="I9" s="190" t="n">
        <v>11060.7</v>
      </c>
      <c r="J9" s="189" t="s">
        <v>46</v>
      </c>
      <c r="K9" s="189" t="s">
        <v>66</v>
      </c>
      <c r="L9" s="189"/>
      <c r="M9" s="189" t="s">
        <v>359</v>
      </c>
      <c r="N9" s="189"/>
      <c r="O9" s="189"/>
      <c r="P9" s="189"/>
      <c r="Q9" s="189"/>
      <c r="R9" s="189" t="s">
        <v>360</v>
      </c>
      <c r="S9" s="189"/>
      <c r="T9" s="195" t="s">
        <v>65</v>
      </c>
      <c r="U9" s="195" t="str">
        <f aca="false">Таблица3[[#This Row],[Регистратор.Номенклатура]]</f>
        <v>Тиара</v>
      </c>
      <c r="V9" s="196" t="n">
        <f aca="false">36*Таблица3[[#This Row],[Регистратор.Вес нетто]]/191510</f>
        <v>2.58284162706908</v>
      </c>
      <c r="W9" s="189" t="s">
        <v>51</v>
      </c>
      <c r="X9" s="189" t="s">
        <v>52</v>
      </c>
      <c r="Y9" s="189" t="n">
        <v>1</v>
      </c>
      <c r="Z9" s="197" t="n">
        <v>46176</v>
      </c>
      <c r="AA9" s="198"/>
      <c r="AB9" s="198"/>
      <c r="AC9" s="198" t="s">
        <v>53</v>
      </c>
      <c r="AD9" s="199" t="s">
        <v>54</v>
      </c>
      <c r="AE9" s="198" t="n">
        <v>21</v>
      </c>
      <c r="AF9" s="200" t="n">
        <v>46176</v>
      </c>
      <c r="AG9" s="198"/>
      <c r="AH9" s="198" t="n">
        <f aca="false">IFERROR(VLOOKUP(Таблица3[[#This Row],[№ акта]],'Степень зрелости 2026'!$H$12:$I$582,2,FALSE()),)</f>
        <v>52</v>
      </c>
    </row>
    <row r="10" customFormat="false" ht="28.35" hidden="true" customHeight="false" outlineLevel="0" collapsed="false">
      <c r="A10" s="189" t="s">
        <v>358</v>
      </c>
      <c r="B10" s="190"/>
      <c r="C10" s="191" t="n">
        <f aca="false">Таблица3[[#This Row],[Степень зрелости вспом]]</f>
        <v>51</v>
      </c>
      <c r="D10" s="192" t="n">
        <v>53</v>
      </c>
      <c r="E10" s="193"/>
      <c r="F10" s="190"/>
      <c r="G10" s="190" t="n">
        <v>13260</v>
      </c>
      <c r="H10" s="194"/>
      <c r="I10" s="190" t="n">
        <v>10674.3</v>
      </c>
      <c r="J10" s="189" t="s">
        <v>46</v>
      </c>
      <c r="K10" s="189" t="s">
        <v>66</v>
      </c>
      <c r="L10" s="189"/>
      <c r="M10" s="189" t="s">
        <v>363</v>
      </c>
      <c r="N10" s="189"/>
      <c r="O10" s="189"/>
      <c r="P10" s="189"/>
      <c r="Q10" s="189"/>
      <c r="R10" s="189" t="s">
        <v>364</v>
      </c>
      <c r="S10" s="189"/>
      <c r="T10" s="195" t="s">
        <v>65</v>
      </c>
      <c r="U10" s="195" t="str">
        <f aca="false">Таблица3[[#This Row],[Регистратор.Номенклатура]]</f>
        <v>Тиара</v>
      </c>
      <c r="V10" s="196" t="n">
        <f aca="false">36*Таблица3[[#This Row],[Регистратор.Вес нетто]]/191510</f>
        <v>2.49261135188763</v>
      </c>
      <c r="W10" s="189" t="s">
        <v>51</v>
      </c>
      <c r="X10" s="189" t="s">
        <v>52</v>
      </c>
      <c r="Y10" s="189" t="n">
        <v>1</v>
      </c>
      <c r="Z10" s="197" t="n">
        <v>46176</v>
      </c>
      <c r="AA10" s="198"/>
      <c r="AB10" s="198"/>
      <c r="AC10" s="198" t="s">
        <v>53</v>
      </c>
      <c r="AD10" s="199" t="s">
        <v>54</v>
      </c>
      <c r="AE10" s="198" t="n">
        <v>22</v>
      </c>
      <c r="AF10" s="200" t="n">
        <v>46177</v>
      </c>
      <c r="AG10" s="198"/>
      <c r="AH10" s="198" t="n">
        <f aca="false">IFERROR(VLOOKUP(Таблица3[[#This Row],[№ акта]],'Степень зрелости 2026'!$H$12:$I$582,2,FALSE()),)</f>
        <v>51</v>
      </c>
    </row>
    <row r="11" customFormat="false" ht="19.4" hidden="true" customHeight="false" outlineLevel="0" collapsed="false">
      <c r="A11" s="189" t="s">
        <v>358</v>
      </c>
      <c r="B11" s="190"/>
      <c r="C11" s="191" t="n">
        <f aca="false">Таблица3[[#This Row],[Степень зрелости вспом]]</f>
        <v>53</v>
      </c>
      <c r="D11" s="192" t="n">
        <v>54</v>
      </c>
      <c r="E11" s="193"/>
      <c r="F11" s="190"/>
      <c r="G11" s="190" t="n">
        <v>13390</v>
      </c>
      <c r="H11" s="194"/>
      <c r="I11" s="190" t="n">
        <v>10779</v>
      </c>
      <c r="J11" s="189" t="s">
        <v>46</v>
      </c>
      <c r="K11" s="189" t="s">
        <v>66</v>
      </c>
      <c r="L11" s="189"/>
      <c r="M11" s="189" t="s">
        <v>361</v>
      </c>
      <c r="N11" s="189"/>
      <c r="O11" s="189"/>
      <c r="P11" s="189"/>
      <c r="Q11" s="189"/>
      <c r="R11" s="189" t="s">
        <v>362</v>
      </c>
      <c r="S11" s="189"/>
      <c r="T11" s="195" t="s">
        <v>65</v>
      </c>
      <c r="U11" s="195" t="str">
        <f aca="false">Таблица3[[#This Row],[Регистратор.Номенклатура]]</f>
        <v>Тиара</v>
      </c>
      <c r="V11" s="196" t="n">
        <f aca="false">36*Таблица3[[#This Row],[Регистратор.Вес нетто]]/191510</f>
        <v>2.51704871808261</v>
      </c>
      <c r="W11" s="189" t="s">
        <v>51</v>
      </c>
      <c r="X11" s="189" t="s">
        <v>52</v>
      </c>
      <c r="Y11" s="189" t="n">
        <v>1</v>
      </c>
      <c r="Z11" s="197" t="n">
        <v>46176</v>
      </c>
      <c r="AA11" s="198"/>
      <c r="AB11" s="198"/>
      <c r="AC11" s="198" t="s">
        <v>302</v>
      </c>
      <c r="AD11" s="199" t="s">
        <v>54</v>
      </c>
      <c r="AE11" s="198" t="n">
        <v>23</v>
      </c>
      <c r="AF11" s="200" t="n">
        <v>46177</v>
      </c>
      <c r="AG11" s="198"/>
      <c r="AH11" s="198" t="n">
        <f aca="false">IFERROR(VLOOKUP(Таблица3[[#This Row],[№ акта]],'Степень зрелости 2026'!$H$12:$I$582,2,FALSE()),)</f>
        <v>53</v>
      </c>
    </row>
    <row r="12" customFormat="false" ht="19.4" hidden="true" customHeight="false" outlineLevel="0" collapsed="false">
      <c r="A12" s="189" t="s">
        <v>358</v>
      </c>
      <c r="B12" s="190"/>
      <c r="C12" s="191" t="n">
        <f aca="false">Таблица3[[#This Row],[Степень зрелости вспом]]</f>
        <v>55</v>
      </c>
      <c r="D12" s="192" t="n">
        <v>55</v>
      </c>
      <c r="E12" s="193"/>
      <c r="F12" s="190"/>
      <c r="G12" s="190" t="n">
        <v>13270</v>
      </c>
      <c r="H12" s="194"/>
      <c r="I12" s="190" t="n">
        <v>10815.1</v>
      </c>
      <c r="J12" s="189" t="s">
        <v>46</v>
      </c>
      <c r="K12" s="189" t="s">
        <v>66</v>
      </c>
      <c r="L12" s="189"/>
      <c r="M12" s="189" t="s">
        <v>359</v>
      </c>
      <c r="N12" s="189"/>
      <c r="O12" s="189"/>
      <c r="P12" s="189"/>
      <c r="Q12" s="189"/>
      <c r="R12" s="189" t="s">
        <v>360</v>
      </c>
      <c r="S12" s="189"/>
      <c r="T12" s="195" t="s">
        <v>65</v>
      </c>
      <c r="U12" s="195" t="str">
        <f aca="false">Таблица3[[#This Row],[Регистратор.Номенклатура]]</f>
        <v>Тиара</v>
      </c>
      <c r="V12" s="196" t="n">
        <f aca="false">36*Таблица3[[#This Row],[Регистратор.Вес нетто]]/191510</f>
        <v>2.49449114928724</v>
      </c>
      <c r="W12" s="189" t="s">
        <v>51</v>
      </c>
      <c r="X12" s="189" t="s">
        <v>52</v>
      </c>
      <c r="Y12" s="189" t="n">
        <v>1</v>
      </c>
      <c r="Z12" s="197" t="n">
        <v>46176</v>
      </c>
      <c r="AA12" s="198"/>
      <c r="AB12" s="198"/>
      <c r="AC12" s="198" t="s">
        <v>302</v>
      </c>
      <c r="AD12" s="199" t="s">
        <v>54</v>
      </c>
      <c r="AE12" s="198" t="n">
        <v>24</v>
      </c>
      <c r="AF12" s="200" t="n">
        <v>46177</v>
      </c>
      <c r="AG12" s="198"/>
      <c r="AH12" s="198" t="n">
        <f aca="false">IFERROR(VLOOKUP(Таблица3[[#This Row],[№ акта]],'Степень зрелости 2026'!$H$12:$I$582,2,FALSE()),)</f>
        <v>55</v>
      </c>
    </row>
    <row r="13" customFormat="false" ht="28.35" hidden="true" customHeight="false" outlineLevel="0" collapsed="false">
      <c r="A13" s="189" t="s">
        <v>358</v>
      </c>
      <c r="B13" s="190"/>
      <c r="C13" s="191" t="n">
        <f aca="false">Таблица3[[#This Row],[Степень зрелости вспом]]</f>
        <v>50</v>
      </c>
      <c r="D13" s="192" t="n">
        <v>56</v>
      </c>
      <c r="E13" s="193"/>
      <c r="F13" s="190"/>
      <c r="G13" s="190" t="n">
        <v>13200</v>
      </c>
      <c r="H13" s="194"/>
      <c r="I13" s="190" t="n">
        <v>10362</v>
      </c>
      <c r="J13" s="189" t="s">
        <v>46</v>
      </c>
      <c r="K13" s="189" t="s">
        <v>66</v>
      </c>
      <c r="L13" s="189"/>
      <c r="M13" s="189" t="s">
        <v>363</v>
      </c>
      <c r="N13" s="189"/>
      <c r="O13" s="189"/>
      <c r="P13" s="189"/>
      <c r="Q13" s="189"/>
      <c r="R13" s="189" t="s">
        <v>364</v>
      </c>
      <c r="S13" s="189"/>
      <c r="T13" s="195" t="s">
        <v>65</v>
      </c>
      <c r="U13" s="195" t="str">
        <f aca="false">Таблица3[[#This Row],[Регистратор.Номенклатура]]</f>
        <v>Тиара</v>
      </c>
      <c r="V13" s="196" t="n">
        <f aca="false">36*Таблица3[[#This Row],[Регистратор.Вес нетто]]/191510</f>
        <v>2.48133256748995</v>
      </c>
      <c r="W13" s="189" t="s">
        <v>51</v>
      </c>
      <c r="X13" s="189" t="s">
        <v>52</v>
      </c>
      <c r="Y13" s="189" t="n">
        <v>1</v>
      </c>
      <c r="Z13" s="197" t="n">
        <v>46176</v>
      </c>
      <c r="AA13" s="198"/>
      <c r="AB13" s="198"/>
      <c r="AC13" s="198" t="s">
        <v>53</v>
      </c>
      <c r="AD13" s="199" t="s">
        <v>54</v>
      </c>
      <c r="AE13" s="198" t="n">
        <v>25</v>
      </c>
      <c r="AF13" s="200" t="n">
        <v>46177</v>
      </c>
      <c r="AG13" s="198"/>
      <c r="AH13" s="198" t="n">
        <f aca="false">IFERROR(VLOOKUP(Таблица3[[#This Row],[№ акта]],'Степень зрелости 2026'!$H$12:$I$582,2,FALSE()),)</f>
        <v>50</v>
      </c>
    </row>
    <row r="14" customFormat="false" ht="19.4" hidden="true" customHeight="false" outlineLevel="0" collapsed="false">
      <c r="A14" s="189" t="s">
        <v>358</v>
      </c>
      <c r="B14" s="190"/>
      <c r="C14" s="191" t="n">
        <f aca="false">Таблица3[[#This Row],[Степень зрелости вспом]]</f>
        <v>53</v>
      </c>
      <c r="D14" s="192" t="n">
        <v>58</v>
      </c>
      <c r="E14" s="193"/>
      <c r="F14" s="190"/>
      <c r="G14" s="190" t="n">
        <v>13030</v>
      </c>
      <c r="H14" s="194"/>
      <c r="I14" s="190" t="n">
        <v>10489.2</v>
      </c>
      <c r="J14" s="189" t="s">
        <v>46</v>
      </c>
      <c r="K14" s="189" t="s">
        <v>66</v>
      </c>
      <c r="L14" s="189"/>
      <c r="M14" s="189" t="s">
        <v>361</v>
      </c>
      <c r="N14" s="189"/>
      <c r="O14" s="189"/>
      <c r="P14" s="189"/>
      <c r="Q14" s="189"/>
      <c r="R14" s="189" t="s">
        <v>362</v>
      </c>
      <c r="S14" s="189"/>
      <c r="T14" s="195" t="s">
        <v>65</v>
      </c>
      <c r="U14" s="195" t="str">
        <f aca="false">Таблица3[[#This Row],[Регистратор.Номенклатура]]</f>
        <v>Тиара</v>
      </c>
      <c r="V14" s="196" t="n">
        <f aca="false">36*Таблица3[[#This Row],[Регистратор.Вес нетто]]/191510</f>
        <v>2.44937601169652</v>
      </c>
      <c r="W14" s="189" t="s">
        <v>51</v>
      </c>
      <c r="X14" s="189" t="s">
        <v>52</v>
      </c>
      <c r="Y14" s="189" t="n">
        <v>1</v>
      </c>
      <c r="Z14" s="197" t="n">
        <v>46176</v>
      </c>
      <c r="AA14" s="198"/>
      <c r="AB14" s="198"/>
      <c r="AC14" s="198" t="s">
        <v>302</v>
      </c>
      <c r="AD14" s="199" t="s">
        <v>54</v>
      </c>
      <c r="AE14" s="198" t="n">
        <v>26</v>
      </c>
      <c r="AF14" s="200" t="n">
        <v>46177</v>
      </c>
      <c r="AG14" s="198"/>
      <c r="AH14" s="198" t="n">
        <f aca="false">IFERROR(VLOOKUP(Таблица3[[#This Row],[№ акта]],'Степень зрелости 2026'!$H$12:$I$582,2,FALSE()),)</f>
        <v>53</v>
      </c>
    </row>
    <row r="15" s="215" customFormat="true" ht="19.4" hidden="true" customHeight="false" outlineLevel="0" collapsed="false">
      <c r="A15" s="202" t="s">
        <v>358</v>
      </c>
      <c r="B15" s="203"/>
      <c r="C15" s="204" t="n">
        <f aca="false">Таблица3[[#This Row],[Степень зрелости вспом]]</f>
        <v>54</v>
      </c>
      <c r="D15" s="205" t="n">
        <v>59</v>
      </c>
      <c r="E15" s="206"/>
      <c r="F15" s="203"/>
      <c r="G15" s="203" t="n">
        <v>13760</v>
      </c>
      <c r="H15" s="207"/>
      <c r="I15" s="203" t="n">
        <v>10939.2</v>
      </c>
      <c r="J15" s="202" t="s">
        <v>46</v>
      </c>
      <c r="K15" s="202" t="s">
        <v>66</v>
      </c>
      <c r="L15" s="202"/>
      <c r="M15" s="202" t="s">
        <v>365</v>
      </c>
      <c r="N15" s="202"/>
      <c r="O15" s="202"/>
      <c r="P15" s="202"/>
      <c r="Q15" s="208"/>
      <c r="R15" s="202" t="s">
        <v>366</v>
      </c>
      <c r="S15" s="202"/>
      <c r="T15" s="209" t="s">
        <v>65</v>
      </c>
      <c r="U15" s="209" t="str">
        <f aca="false">Таблица3[[#This Row],[Регистратор.Номенклатура]]</f>
        <v>Тиара</v>
      </c>
      <c r="V15" s="210" t="n">
        <f aca="false">36*Таблица3[[#This Row],[Регистратор.Вес нетто]]/191510</f>
        <v>2.58660122186831</v>
      </c>
      <c r="W15" s="202" t="s">
        <v>51</v>
      </c>
      <c r="X15" s="202" t="s">
        <v>52</v>
      </c>
      <c r="Y15" s="202" t="n">
        <v>1</v>
      </c>
      <c r="Z15" s="211" t="n">
        <v>46176</v>
      </c>
      <c r="AA15" s="212"/>
      <c r="AB15" s="212"/>
      <c r="AC15" s="212" t="s">
        <v>302</v>
      </c>
      <c r="AD15" s="213" t="s">
        <v>54</v>
      </c>
      <c r="AE15" s="212" t="n">
        <v>27</v>
      </c>
      <c r="AF15" s="214" t="n">
        <v>46177</v>
      </c>
      <c r="AG15" s="212"/>
      <c r="AH15" s="212" t="n">
        <f aca="false">IFERROR(VLOOKUP(Таблица3[[#This Row],[№ акта]],'Степень зрелости 2026'!$H$12:$I$582,2,FALSE()),)</f>
        <v>54</v>
      </c>
    </row>
    <row r="16" customFormat="false" ht="19.4" hidden="true" customHeight="false" outlineLevel="0" collapsed="false">
      <c r="A16" s="189"/>
      <c r="B16" s="190"/>
      <c r="C16" s="191" t="n">
        <f aca="false">Таблица3[[#This Row],[Степень зрелости вспом]]</f>
        <v>55</v>
      </c>
      <c r="D16" s="192" t="n">
        <v>61</v>
      </c>
      <c r="E16" s="193"/>
      <c r="F16" s="190"/>
      <c r="G16" s="190" t="n">
        <v>13570</v>
      </c>
      <c r="H16" s="194"/>
      <c r="I16" s="190" t="n">
        <v>10516.7</v>
      </c>
      <c r="J16" s="189" t="s">
        <v>46</v>
      </c>
      <c r="K16" s="189" t="s">
        <v>66</v>
      </c>
      <c r="L16" s="189"/>
      <c r="M16" s="189" t="s">
        <v>367</v>
      </c>
      <c r="N16" s="189"/>
      <c r="O16" s="189"/>
      <c r="P16" s="189"/>
      <c r="Q16" s="189"/>
      <c r="R16" s="189" t="s">
        <v>368</v>
      </c>
      <c r="S16" s="189"/>
      <c r="T16" s="189" t="s">
        <v>65</v>
      </c>
      <c r="U16" s="195" t="str">
        <f aca="false">Таблица3[[#This Row],[Регистратор.Номенклатура]]</f>
        <v>Тиара</v>
      </c>
      <c r="V16" s="196" t="n">
        <f aca="false">20*Таблица3[[#This Row],[Регистратор.Вес нетто]]/111250</f>
        <v>2.43955056179775</v>
      </c>
      <c r="W16" s="189" t="s">
        <v>51</v>
      </c>
      <c r="X16" s="189" t="s">
        <v>52</v>
      </c>
      <c r="Y16" s="189" t="n">
        <v>2</v>
      </c>
      <c r="Z16" s="197" t="n">
        <v>46177</v>
      </c>
      <c r="AA16" s="198"/>
      <c r="AB16" s="198"/>
      <c r="AC16" s="198" t="s">
        <v>302</v>
      </c>
      <c r="AD16" s="199" t="s">
        <v>54</v>
      </c>
      <c r="AE16" s="198" t="n">
        <v>28</v>
      </c>
      <c r="AF16" s="200" t="n">
        <v>46177</v>
      </c>
      <c r="AG16" s="198"/>
      <c r="AH16" s="198" t="n">
        <f aca="false">IFERROR(VLOOKUP(Таблица3[[#This Row],[№ акта]],'Степень зрелости 2026'!$H$12:$I$582,2,FALSE()),)</f>
        <v>55</v>
      </c>
    </row>
    <row r="17" customFormat="false" ht="19.4" hidden="true" customHeight="false" outlineLevel="0" collapsed="false">
      <c r="A17" s="216"/>
      <c r="B17" s="217"/>
      <c r="C17" s="191" t="n">
        <f aca="false">Таблица3[[#This Row],[Степень зрелости вспом]]</f>
        <v>55</v>
      </c>
      <c r="D17" s="218" t="n">
        <v>63</v>
      </c>
      <c r="E17" s="219"/>
      <c r="F17" s="217"/>
      <c r="G17" s="217" t="n">
        <v>13280</v>
      </c>
      <c r="H17" s="220"/>
      <c r="I17" s="217" t="n">
        <v>10823.2</v>
      </c>
      <c r="J17" s="216" t="s">
        <v>46</v>
      </c>
      <c r="K17" s="216" t="s">
        <v>66</v>
      </c>
      <c r="L17" s="216"/>
      <c r="M17" s="189" t="s">
        <v>369</v>
      </c>
      <c r="N17" s="216"/>
      <c r="O17" s="216"/>
      <c r="P17" s="216"/>
      <c r="Q17" s="216"/>
      <c r="R17" s="216" t="s">
        <v>370</v>
      </c>
      <c r="S17" s="216"/>
      <c r="T17" s="216" t="s">
        <v>65</v>
      </c>
      <c r="U17" s="195" t="str">
        <f aca="false">Таблица3[[#This Row],[Регистратор.Номенклатура]]</f>
        <v>Тиара</v>
      </c>
      <c r="V17" s="196" t="n">
        <f aca="false">20*Таблица3[[#This Row],[Регистратор.Вес нетто]]/111250</f>
        <v>2.38741573033708</v>
      </c>
      <c r="W17" s="189" t="s">
        <v>51</v>
      </c>
      <c r="X17" s="189" t="s">
        <v>52</v>
      </c>
      <c r="Y17" s="189" t="n">
        <v>2</v>
      </c>
      <c r="Z17" s="221" t="n">
        <v>46177</v>
      </c>
      <c r="AA17" s="198"/>
      <c r="AB17" s="198"/>
      <c r="AC17" s="198" t="s">
        <v>302</v>
      </c>
      <c r="AD17" s="199" t="s">
        <v>54</v>
      </c>
      <c r="AE17" s="198" t="n">
        <v>29</v>
      </c>
      <c r="AF17" s="200" t="n">
        <v>46177</v>
      </c>
      <c r="AG17" s="198"/>
      <c r="AH17" s="198" t="n">
        <f aca="false">IFERROR(VLOOKUP(Таблица3[[#This Row],[№ акта]],'Степень зрелости 2026'!$H$12:$I$582,2,FALSE()),)</f>
        <v>55</v>
      </c>
    </row>
    <row r="18" customFormat="false" ht="28.35" hidden="true" customHeight="false" outlineLevel="0" collapsed="false">
      <c r="A18" s="216"/>
      <c r="B18" s="217"/>
      <c r="C18" s="191" t="n">
        <f aca="false">Таблица3[[#This Row],[Степень зрелости вспом]]</f>
        <v>53</v>
      </c>
      <c r="D18" s="218" t="n">
        <v>64</v>
      </c>
      <c r="E18" s="219"/>
      <c r="F18" s="217"/>
      <c r="G18" s="217" t="n">
        <v>13840</v>
      </c>
      <c r="H18" s="220"/>
      <c r="I18" s="217" t="n">
        <v>11418</v>
      </c>
      <c r="J18" s="216" t="s">
        <v>46</v>
      </c>
      <c r="K18" s="216" t="s">
        <v>66</v>
      </c>
      <c r="L18" s="216"/>
      <c r="M18" s="189" t="s">
        <v>371</v>
      </c>
      <c r="N18" s="216"/>
      <c r="O18" s="216"/>
      <c r="P18" s="216"/>
      <c r="Q18" s="216"/>
      <c r="R18" s="216" t="s">
        <v>372</v>
      </c>
      <c r="S18" s="216"/>
      <c r="T18" s="216" t="s">
        <v>65</v>
      </c>
      <c r="U18" s="195" t="str">
        <f aca="false">Таблица3[[#This Row],[Регистратор.Номенклатура]]</f>
        <v>Тиара</v>
      </c>
      <c r="V18" s="196" t="n">
        <f aca="false">20*Таблица3[[#This Row],[Регистратор.Вес нетто]]/111250</f>
        <v>2.48808988764045</v>
      </c>
      <c r="W18" s="189" t="s">
        <v>51</v>
      </c>
      <c r="X18" s="189" t="s">
        <v>52</v>
      </c>
      <c r="Y18" s="189" t="n">
        <v>2</v>
      </c>
      <c r="Z18" s="221" t="n">
        <v>46177</v>
      </c>
      <c r="AA18" s="198"/>
      <c r="AB18" s="198"/>
      <c r="AC18" s="198" t="s">
        <v>302</v>
      </c>
      <c r="AD18" s="199" t="s">
        <v>54</v>
      </c>
      <c r="AE18" s="198" t="n">
        <v>30</v>
      </c>
      <c r="AF18" s="200" t="n">
        <v>46177</v>
      </c>
      <c r="AG18" s="198"/>
      <c r="AH18" s="198" t="n">
        <f aca="false">IFERROR(VLOOKUP(Таблица3[[#This Row],[№ акта]],'Степень зрелости 2026'!$H$12:$I$582,2,FALSE()),)</f>
        <v>53</v>
      </c>
    </row>
    <row r="19" customFormat="false" ht="19.4" hidden="true" customHeight="false" outlineLevel="0" collapsed="false">
      <c r="A19" s="216"/>
      <c r="B19" s="217"/>
      <c r="C19" s="191" t="n">
        <f aca="false">Таблица3[[#This Row],[Степень зрелости вспом]]</f>
        <v>53</v>
      </c>
      <c r="D19" s="218" t="n">
        <v>65</v>
      </c>
      <c r="E19" s="219"/>
      <c r="F19" s="217"/>
      <c r="G19" s="217" t="n">
        <v>14080</v>
      </c>
      <c r="H19" s="220"/>
      <c r="I19" s="217" t="n">
        <v>11334.4</v>
      </c>
      <c r="J19" s="216" t="s">
        <v>46</v>
      </c>
      <c r="K19" s="216" t="s">
        <v>66</v>
      </c>
      <c r="L19" s="216"/>
      <c r="M19" s="189" t="s">
        <v>365</v>
      </c>
      <c r="N19" s="216"/>
      <c r="O19" s="216"/>
      <c r="P19" s="216"/>
      <c r="Q19" s="216"/>
      <c r="R19" s="216" t="s">
        <v>366</v>
      </c>
      <c r="S19" s="216"/>
      <c r="T19" s="216" t="s">
        <v>65</v>
      </c>
      <c r="U19" s="195" t="str">
        <f aca="false">Таблица3[[#This Row],[Регистратор.Номенклатура]]</f>
        <v>Тиара</v>
      </c>
      <c r="V19" s="196" t="n">
        <f aca="false">20*Таблица3[[#This Row],[Регистратор.Вес нетто]]/111250</f>
        <v>2.53123595505618</v>
      </c>
      <c r="W19" s="189" t="s">
        <v>51</v>
      </c>
      <c r="X19" s="189" t="s">
        <v>52</v>
      </c>
      <c r="Y19" s="189" t="n">
        <v>2</v>
      </c>
      <c r="Z19" s="221" t="n">
        <v>46177</v>
      </c>
      <c r="AA19" s="198"/>
      <c r="AB19" s="198"/>
      <c r="AC19" s="198" t="s">
        <v>302</v>
      </c>
      <c r="AD19" s="199" t="s">
        <v>54</v>
      </c>
      <c r="AE19" s="198" t="n">
        <v>31</v>
      </c>
      <c r="AF19" s="200" t="n">
        <v>46177</v>
      </c>
      <c r="AG19" s="198"/>
      <c r="AH19" s="198" t="n">
        <f aca="false">IFERROR(VLOOKUP(Таблица3[[#This Row],[№ акта]],'Степень зрелости 2026'!$H$12:$I$582,2,FALSE()),)</f>
        <v>53</v>
      </c>
    </row>
    <row r="20" customFormat="false" ht="19.4" hidden="true" customHeight="false" outlineLevel="0" collapsed="false">
      <c r="A20" s="216"/>
      <c r="B20" s="217"/>
      <c r="C20" s="191" t="n">
        <f aca="false">Таблица3[[#This Row],[Степень зрелости вспом]]</f>
        <v>52</v>
      </c>
      <c r="D20" s="218" t="n">
        <v>66</v>
      </c>
      <c r="E20" s="219"/>
      <c r="F20" s="217"/>
      <c r="G20" s="217" t="n">
        <v>14070</v>
      </c>
      <c r="H20" s="220"/>
      <c r="I20" s="217" t="n">
        <v>11467.1</v>
      </c>
      <c r="J20" s="216" t="s">
        <v>46</v>
      </c>
      <c r="K20" s="216" t="s">
        <v>66</v>
      </c>
      <c r="L20" s="216"/>
      <c r="M20" s="189" t="s">
        <v>367</v>
      </c>
      <c r="N20" s="216"/>
      <c r="O20" s="216"/>
      <c r="P20" s="216"/>
      <c r="Q20" s="216"/>
      <c r="R20" s="216" t="s">
        <v>368</v>
      </c>
      <c r="S20" s="216"/>
      <c r="T20" s="216" t="s">
        <v>65</v>
      </c>
      <c r="U20" s="195" t="str">
        <f aca="false">Таблица3[[#This Row],[Регистратор.Номенклатура]]</f>
        <v>Тиара</v>
      </c>
      <c r="V20" s="196" t="n">
        <f aca="false">20*Таблица3[[#This Row],[Регистратор.Вес нетто]]/111250</f>
        <v>2.52943820224719</v>
      </c>
      <c r="W20" s="189" t="s">
        <v>51</v>
      </c>
      <c r="X20" s="189" t="s">
        <v>52</v>
      </c>
      <c r="Y20" s="189" t="n">
        <v>2</v>
      </c>
      <c r="Z20" s="221" t="n">
        <v>46177</v>
      </c>
      <c r="AA20" s="198"/>
      <c r="AB20" s="198"/>
      <c r="AC20" s="198" t="s">
        <v>53</v>
      </c>
      <c r="AD20" s="199" t="s">
        <v>54</v>
      </c>
      <c r="AE20" s="198" t="n">
        <v>32</v>
      </c>
      <c r="AF20" s="200" t="n">
        <v>46177</v>
      </c>
      <c r="AG20" s="198"/>
      <c r="AH20" s="198" t="n">
        <f aca="false">IFERROR(VLOOKUP(Таблица3[[#This Row],[№ акта]],'Степень зрелости 2026'!$H$12:$I$582,2,FALSE()),)</f>
        <v>52</v>
      </c>
    </row>
    <row r="21" customFormat="false" ht="19.4" hidden="true" customHeight="false" outlineLevel="0" collapsed="false">
      <c r="A21" s="216"/>
      <c r="B21" s="217"/>
      <c r="C21" s="191" t="n">
        <f aca="false">Таблица3[[#This Row],[Степень зрелости вспом]]</f>
        <v>53</v>
      </c>
      <c r="D21" s="218" t="n">
        <v>68</v>
      </c>
      <c r="E21" s="219"/>
      <c r="F21" s="217"/>
      <c r="G21" s="217" t="n">
        <v>14230</v>
      </c>
      <c r="H21" s="220"/>
      <c r="I21" s="217" t="n">
        <v>11739.8</v>
      </c>
      <c r="J21" s="216" t="s">
        <v>46</v>
      </c>
      <c r="K21" s="216" t="s">
        <v>66</v>
      </c>
      <c r="L21" s="216"/>
      <c r="M21" s="189" t="s">
        <v>48</v>
      </c>
      <c r="N21" s="216"/>
      <c r="O21" s="216"/>
      <c r="P21" s="216"/>
      <c r="Q21" s="216"/>
      <c r="R21" s="216" t="s">
        <v>49</v>
      </c>
      <c r="S21" s="216"/>
      <c r="T21" s="216" t="s">
        <v>65</v>
      </c>
      <c r="U21" s="195" t="str">
        <f aca="false">Таблица3[[#This Row],[Регистратор.Номенклатура]]</f>
        <v>Тиара</v>
      </c>
      <c r="V21" s="196" t="n">
        <f aca="false">20*Таблица3[[#This Row],[Регистратор.Вес нетто]]/111250</f>
        <v>2.55820224719101</v>
      </c>
      <c r="W21" s="189" t="s">
        <v>51</v>
      </c>
      <c r="X21" s="189" t="s">
        <v>52</v>
      </c>
      <c r="Y21" s="189" t="n">
        <v>2</v>
      </c>
      <c r="Z21" s="221" t="n">
        <v>46177</v>
      </c>
      <c r="AA21" s="198"/>
      <c r="AB21" s="198"/>
      <c r="AC21" s="198" t="s">
        <v>302</v>
      </c>
      <c r="AD21" s="199" t="s">
        <v>54</v>
      </c>
      <c r="AE21" s="198" t="n">
        <v>33</v>
      </c>
      <c r="AF21" s="200" t="n">
        <v>46177</v>
      </c>
      <c r="AG21" s="198"/>
      <c r="AH21" s="198" t="n">
        <f aca="false">IFERROR(VLOOKUP(Таблица3[[#This Row],[№ акта]],'Степень зрелости 2026'!$H$12:$I$582,2,FALSE()),)</f>
        <v>53</v>
      </c>
    </row>
    <row r="22" customFormat="false" ht="19.4" hidden="true" customHeight="false" outlineLevel="0" collapsed="false">
      <c r="A22" s="216"/>
      <c r="B22" s="217"/>
      <c r="C22" s="191" t="n">
        <f aca="false">Таблица3[[#This Row],[Степень зрелости вспом]]</f>
        <v>53</v>
      </c>
      <c r="D22" s="218" t="n">
        <v>70</v>
      </c>
      <c r="E22" s="219"/>
      <c r="F22" s="217"/>
      <c r="G22" s="217" t="n">
        <v>14110</v>
      </c>
      <c r="H22" s="220"/>
      <c r="I22" s="217" t="n">
        <v>11781.8</v>
      </c>
      <c r="J22" s="216" t="s">
        <v>46</v>
      </c>
      <c r="K22" s="216" t="s">
        <v>66</v>
      </c>
      <c r="L22" s="216"/>
      <c r="M22" s="189" t="s">
        <v>365</v>
      </c>
      <c r="N22" s="216"/>
      <c r="O22" s="216"/>
      <c r="P22" s="216"/>
      <c r="Q22" s="216"/>
      <c r="R22" s="216" t="s">
        <v>366</v>
      </c>
      <c r="S22" s="216"/>
      <c r="T22" s="216" t="s">
        <v>65</v>
      </c>
      <c r="U22" s="195" t="str">
        <f aca="false">Таблица3[[#This Row],[Регистратор.Номенклатура]]</f>
        <v>Тиара</v>
      </c>
      <c r="V22" s="196" t="n">
        <f aca="false">20*Таблица3[[#This Row],[Регистратор.Вес нетто]]/111250</f>
        <v>2.53662921348315</v>
      </c>
      <c r="W22" s="189" t="s">
        <v>51</v>
      </c>
      <c r="X22" s="189" t="s">
        <v>52</v>
      </c>
      <c r="Y22" s="189" t="n">
        <v>2</v>
      </c>
      <c r="Z22" s="221" t="n">
        <v>46177</v>
      </c>
      <c r="AA22" s="198"/>
      <c r="AB22" s="198"/>
      <c r="AC22" s="198" t="s">
        <v>302</v>
      </c>
      <c r="AD22" s="199" t="s">
        <v>54</v>
      </c>
      <c r="AE22" s="198" t="n">
        <v>35</v>
      </c>
      <c r="AF22" s="200" t="n">
        <v>46177</v>
      </c>
      <c r="AG22" s="198"/>
      <c r="AH22" s="198" t="n">
        <f aca="false">IFERROR(VLOOKUP(Таблица3[[#This Row],[№ акта]],'Степень зрелости 2026'!$H$12:$I$582,2,FALSE()),)</f>
        <v>53</v>
      </c>
    </row>
    <row r="23" customFormat="false" ht="28.35" hidden="true" customHeight="false" outlineLevel="0" collapsed="false">
      <c r="A23" s="216"/>
      <c r="B23" s="217"/>
      <c r="C23" s="191" t="n">
        <f aca="false">Таблица3[[#This Row],[Степень зрелости вспом]]</f>
        <v>52</v>
      </c>
      <c r="D23" s="218" t="n">
        <v>69</v>
      </c>
      <c r="E23" s="219"/>
      <c r="F23" s="217"/>
      <c r="G23" s="217" t="n">
        <v>14070</v>
      </c>
      <c r="H23" s="220"/>
      <c r="I23" s="217" t="n">
        <v>11185.7</v>
      </c>
      <c r="J23" s="216" t="s">
        <v>46</v>
      </c>
      <c r="K23" s="216" t="s">
        <v>66</v>
      </c>
      <c r="L23" s="216"/>
      <c r="M23" s="189" t="s">
        <v>371</v>
      </c>
      <c r="N23" s="216"/>
      <c r="O23" s="216"/>
      <c r="P23" s="216"/>
      <c r="Q23" s="216"/>
      <c r="R23" s="216" t="s">
        <v>372</v>
      </c>
      <c r="S23" s="216"/>
      <c r="T23" s="216" t="s">
        <v>65</v>
      </c>
      <c r="U23" s="195" t="str">
        <f aca="false">Таблица3[[#This Row],[Регистратор.Номенклатура]]</f>
        <v>Тиара</v>
      </c>
      <c r="V23" s="196" t="n">
        <f aca="false">20*Таблица3[[#This Row],[Регистратор.Вес нетто]]/111250</f>
        <v>2.52943820224719</v>
      </c>
      <c r="W23" s="189" t="s">
        <v>51</v>
      </c>
      <c r="X23" s="189" t="s">
        <v>52</v>
      </c>
      <c r="Y23" s="189" t="n">
        <v>2</v>
      </c>
      <c r="Z23" s="221" t="n">
        <v>46177</v>
      </c>
      <c r="AA23" s="198"/>
      <c r="AB23" s="198"/>
      <c r="AC23" s="198" t="s">
        <v>53</v>
      </c>
      <c r="AD23" s="199" t="s">
        <v>54</v>
      </c>
      <c r="AE23" s="198" t="n">
        <v>34</v>
      </c>
      <c r="AF23" s="200" t="n">
        <v>46177</v>
      </c>
      <c r="AG23" s="198"/>
      <c r="AH23" s="198" t="n">
        <f aca="false">IFERROR(VLOOKUP(Таблица3[[#This Row],[№ акта]],'Степень зрелости 2026'!$H$12:$I$582,2,FALSE()),)</f>
        <v>52</v>
      </c>
    </row>
    <row r="24" s="215" customFormat="true" ht="19.4" hidden="true" customHeight="false" outlineLevel="0" collapsed="false">
      <c r="A24" s="202"/>
      <c r="B24" s="203"/>
      <c r="C24" s="204" t="n">
        <f aca="false">Таблица3[[#This Row],[Степень зрелости вспом]]</f>
        <v>42</v>
      </c>
      <c r="D24" s="205" t="n">
        <v>71</v>
      </c>
      <c r="E24" s="206"/>
      <c r="F24" s="203"/>
      <c r="G24" s="203" t="n">
        <v>6120</v>
      </c>
      <c r="H24" s="207"/>
      <c r="I24" s="203" t="n">
        <v>4039.2</v>
      </c>
      <c r="J24" s="202" t="s">
        <v>46</v>
      </c>
      <c r="K24" s="202" t="s">
        <v>47</v>
      </c>
      <c r="L24" s="202"/>
      <c r="M24" s="202" t="s">
        <v>367</v>
      </c>
      <c r="N24" s="202"/>
      <c r="O24" s="202"/>
      <c r="P24" s="202"/>
      <c r="Q24" s="208"/>
      <c r="R24" s="202" t="s">
        <v>368</v>
      </c>
      <c r="S24" s="202"/>
      <c r="T24" s="209" t="s">
        <v>50</v>
      </c>
      <c r="U24" s="209" t="str">
        <f aca="false">Таблица3[[#This Row],[Регистратор.Номенклатура]]</f>
        <v>Авола</v>
      </c>
      <c r="V24" s="210" t="n">
        <f aca="false">2*Таблица3[[#This Row],[Регистратор.Вес нетто]]/6120</f>
        <v>2</v>
      </c>
      <c r="W24" s="202" t="s">
        <v>51</v>
      </c>
      <c r="X24" s="202" t="s">
        <v>52</v>
      </c>
      <c r="Y24" s="202" t="n">
        <v>2</v>
      </c>
      <c r="Z24" s="211" t="n">
        <v>46177</v>
      </c>
      <c r="AA24" s="212"/>
      <c r="AB24" s="212"/>
      <c r="AC24" s="212" t="s">
        <v>53</v>
      </c>
      <c r="AD24" s="213" t="s">
        <v>54</v>
      </c>
      <c r="AE24" s="212" t="n">
        <v>36</v>
      </c>
      <c r="AF24" s="214" t="n">
        <v>46177</v>
      </c>
      <c r="AG24" s="212"/>
      <c r="AH24" s="212" t="n">
        <f aca="false">IFERROR(VLOOKUP(Таблица3[[#This Row],[№ акта]],'Степень зрелости 2026'!$H$12:$I$582,2,FALSE()),)</f>
        <v>42</v>
      </c>
    </row>
    <row r="25" customFormat="false" ht="19.4" hidden="true" customHeight="false" outlineLevel="0" collapsed="false">
      <c r="A25" s="216"/>
      <c r="B25" s="217"/>
      <c r="C25" s="191" t="n">
        <f aca="false">Таблица3[[#This Row],[Степень зрелости вспом]]</f>
        <v>49</v>
      </c>
      <c r="D25" s="218" t="n">
        <v>95</v>
      </c>
      <c r="E25" s="219"/>
      <c r="F25" s="217"/>
      <c r="G25" s="217" t="n">
        <v>15500</v>
      </c>
      <c r="H25" s="220"/>
      <c r="I25" s="217" t="n">
        <v>12322.5</v>
      </c>
      <c r="J25" s="216" t="s">
        <v>46</v>
      </c>
      <c r="K25" s="216" t="s">
        <v>66</v>
      </c>
      <c r="L25" s="216"/>
      <c r="M25" s="189" t="s">
        <v>365</v>
      </c>
      <c r="N25" s="216"/>
      <c r="O25" s="216"/>
      <c r="P25" s="216"/>
      <c r="Q25" s="216"/>
      <c r="R25" s="216" t="s">
        <v>373</v>
      </c>
      <c r="S25" s="216"/>
      <c r="T25" s="216" t="s">
        <v>65</v>
      </c>
      <c r="U25" s="195" t="str">
        <f aca="false">Таблица3[[#This Row],[Регистратор.Номенклатура]]</f>
        <v>Тиара</v>
      </c>
      <c r="V25" s="222" t="n">
        <f aca="false">42*Таблица3[[#This Row],[Регистратор.Вес нетто]]/244270</f>
        <v>2.66508371883571</v>
      </c>
      <c r="W25" s="189" t="s">
        <v>51</v>
      </c>
      <c r="X25" s="189" t="s">
        <v>52</v>
      </c>
      <c r="Y25" s="216" t="n">
        <v>3</v>
      </c>
      <c r="Z25" s="221" t="n">
        <v>46179</v>
      </c>
      <c r="AA25" s="198"/>
      <c r="AB25" s="198"/>
      <c r="AC25" s="198" t="s">
        <v>53</v>
      </c>
      <c r="AD25" s="199" t="s">
        <v>54</v>
      </c>
      <c r="AE25" s="198" t="n">
        <v>51</v>
      </c>
      <c r="AF25" s="200" t="n">
        <v>46179</v>
      </c>
      <c r="AG25" s="198"/>
      <c r="AH25" s="198" t="n">
        <f aca="false">IFERROR(VLOOKUP(Таблица3[[#This Row],[№ акта]],'Степень зрелости 2026'!$H$12:$I$582,2,FALSE()),)</f>
        <v>49</v>
      </c>
    </row>
    <row r="26" customFormat="false" ht="19.4" hidden="true" customHeight="false" outlineLevel="0" collapsed="false">
      <c r="A26" s="198"/>
      <c r="B26" s="223"/>
      <c r="C26" s="191" t="n">
        <f aca="false">Таблица3[[#This Row],[Степень зрелости вспом]]</f>
        <v>49</v>
      </c>
      <c r="D26" s="224" t="n">
        <v>96</v>
      </c>
      <c r="E26" s="225"/>
      <c r="F26" s="223"/>
      <c r="G26" s="223" t="n">
        <v>13520</v>
      </c>
      <c r="H26" s="226"/>
      <c r="I26" s="223" t="n">
        <v>10342.8</v>
      </c>
      <c r="J26" s="216" t="s">
        <v>46</v>
      </c>
      <c r="K26" s="198" t="s">
        <v>66</v>
      </c>
      <c r="L26" s="198"/>
      <c r="M26" s="189" t="s">
        <v>367</v>
      </c>
      <c r="N26" s="198"/>
      <c r="O26" s="198"/>
      <c r="P26" s="198"/>
      <c r="Q26" s="198"/>
      <c r="R26" s="198" t="s">
        <v>368</v>
      </c>
      <c r="S26" s="198"/>
      <c r="T26" s="198" t="s">
        <v>65</v>
      </c>
      <c r="U26" s="195" t="str">
        <f aca="false">Таблица3[[#This Row],[Регистратор.Номенклатура]]</f>
        <v>Тиара</v>
      </c>
      <c r="V26" s="222" t="n">
        <f aca="false">42*Таблица3[[#This Row],[Регистратор.Вес нетто]]/244270</f>
        <v>2.32464076636509</v>
      </c>
      <c r="W26" s="189" t="s">
        <v>51</v>
      </c>
      <c r="X26" s="189" t="s">
        <v>52</v>
      </c>
      <c r="Y26" s="198" t="n">
        <v>3</v>
      </c>
      <c r="Z26" s="221" t="n">
        <v>46179</v>
      </c>
      <c r="AA26" s="198"/>
      <c r="AB26" s="198"/>
      <c r="AC26" s="198" t="s">
        <v>53</v>
      </c>
      <c r="AD26" s="199" t="s">
        <v>54</v>
      </c>
      <c r="AE26" s="198" t="n">
        <v>52</v>
      </c>
      <c r="AF26" s="200" t="n">
        <v>46179</v>
      </c>
      <c r="AG26" s="198"/>
      <c r="AH26" s="198" t="n">
        <f aca="false">IFERROR(VLOOKUP(Таблица3[[#This Row],[№ акта]],'Степень зрелости 2026'!$H$12:$I$582,2,FALSE()),)</f>
        <v>49</v>
      </c>
    </row>
    <row r="27" customFormat="false" ht="28.35" hidden="true" customHeight="false" outlineLevel="0" collapsed="false">
      <c r="A27" s="216"/>
      <c r="B27" s="217"/>
      <c r="C27" s="191" t="n">
        <f aca="false">Таблица3[[#This Row],[Степень зрелости вспом]]</f>
        <v>48</v>
      </c>
      <c r="D27" s="218" t="n">
        <v>97</v>
      </c>
      <c r="E27" s="219"/>
      <c r="F27" s="217"/>
      <c r="G27" s="217" t="n">
        <v>13550</v>
      </c>
      <c r="H27" s="220"/>
      <c r="I27" s="217" t="n">
        <v>10772.3</v>
      </c>
      <c r="J27" s="216" t="s">
        <v>46</v>
      </c>
      <c r="K27" s="216" t="s">
        <v>66</v>
      </c>
      <c r="L27" s="216"/>
      <c r="M27" s="189" t="s">
        <v>371</v>
      </c>
      <c r="N27" s="216"/>
      <c r="O27" s="216"/>
      <c r="P27" s="216"/>
      <c r="Q27" s="216"/>
      <c r="R27" s="216" t="s">
        <v>372</v>
      </c>
      <c r="S27" s="216"/>
      <c r="T27" s="216" t="s">
        <v>65</v>
      </c>
      <c r="U27" s="195" t="str">
        <f aca="false">Таблица3[[#This Row],[Регистратор.Номенклатура]]</f>
        <v>Тиара</v>
      </c>
      <c r="V27" s="222" t="n">
        <f aca="false">42*Таблица3[[#This Row],[Регистратор.Вес нетто]]/244270</f>
        <v>2.32979899291767</v>
      </c>
      <c r="W27" s="189" t="s">
        <v>51</v>
      </c>
      <c r="X27" s="189" t="s">
        <v>52</v>
      </c>
      <c r="Y27" s="216" t="n">
        <v>3</v>
      </c>
      <c r="Z27" s="221" t="n">
        <v>46179</v>
      </c>
      <c r="AA27" s="198"/>
      <c r="AB27" s="198"/>
      <c r="AC27" s="198" t="s">
        <v>53</v>
      </c>
      <c r="AD27" s="199" t="s">
        <v>54</v>
      </c>
      <c r="AE27" s="198" t="n">
        <v>53</v>
      </c>
      <c r="AF27" s="200" t="n">
        <v>46179</v>
      </c>
      <c r="AG27" s="198"/>
      <c r="AH27" s="198" t="n">
        <f aca="false">IFERROR(VLOOKUP(Таблица3[[#This Row],[№ акта]],'Степень зрелости 2026'!$H$12:$I$582,2,FALSE()),)</f>
        <v>48</v>
      </c>
    </row>
    <row r="28" customFormat="false" ht="19.4" hidden="true" customHeight="false" outlineLevel="0" collapsed="false">
      <c r="A28" s="216"/>
      <c r="B28" s="217"/>
      <c r="C28" s="191" t="n">
        <f aca="false">Таблица3[[#This Row],[Степень зрелости вспом]]</f>
        <v>47</v>
      </c>
      <c r="D28" s="218" t="n">
        <v>98</v>
      </c>
      <c r="E28" s="219"/>
      <c r="F28" s="217"/>
      <c r="G28" s="217" t="n">
        <v>4470</v>
      </c>
      <c r="H28" s="220"/>
      <c r="I28" s="217" t="n">
        <v>3687.7</v>
      </c>
      <c r="J28" s="216" t="s">
        <v>46</v>
      </c>
      <c r="K28" s="216" t="s">
        <v>66</v>
      </c>
      <c r="L28" s="216"/>
      <c r="M28" s="189" t="s">
        <v>374</v>
      </c>
      <c r="N28" s="216"/>
      <c r="O28" s="216"/>
      <c r="P28" s="216"/>
      <c r="Q28" s="216"/>
      <c r="R28" s="216" t="s">
        <v>375</v>
      </c>
      <c r="S28" s="216"/>
      <c r="T28" s="216" t="s">
        <v>65</v>
      </c>
      <c r="U28" s="195" t="str">
        <f aca="false">Таблица3[[#This Row],[Регистратор.Номенклатура]]</f>
        <v>Тиара</v>
      </c>
      <c r="V28" s="222" t="n">
        <f aca="false">42*Таблица3[[#This Row],[Регистратор.Вес нетто]]/244270</f>
        <v>0.768575756335203</v>
      </c>
      <c r="W28" s="189" t="s">
        <v>51</v>
      </c>
      <c r="X28" s="189" t="s">
        <v>52</v>
      </c>
      <c r="Y28" s="216" t="n">
        <v>3</v>
      </c>
      <c r="Z28" s="221" t="n">
        <v>46179</v>
      </c>
      <c r="AA28" s="198"/>
      <c r="AB28" s="198"/>
      <c r="AC28" s="198" t="s">
        <v>53</v>
      </c>
      <c r="AD28" s="199" t="s">
        <v>54</v>
      </c>
      <c r="AE28" s="198" t="n">
        <v>54</v>
      </c>
      <c r="AF28" s="200" t="n">
        <v>46179</v>
      </c>
      <c r="AG28" s="198"/>
      <c r="AH28" s="198" t="n">
        <f aca="false">IFERROR(VLOOKUP(Таблица3[[#This Row],[№ акта]],'Степень зрелости 2026'!$H$12:$I$582,2,FALSE()),)</f>
        <v>47</v>
      </c>
    </row>
    <row r="29" customFormat="false" ht="28.35" hidden="true" customHeight="false" outlineLevel="0" collapsed="false">
      <c r="A29" s="216"/>
      <c r="B29" s="217"/>
      <c r="C29" s="191" t="n">
        <f aca="false">Таблица3[[#This Row],[Степень зрелости вспом]]</f>
        <v>50</v>
      </c>
      <c r="D29" s="218" t="n">
        <v>76</v>
      </c>
      <c r="E29" s="219"/>
      <c r="F29" s="217"/>
      <c r="G29" s="217" t="n">
        <v>15750</v>
      </c>
      <c r="H29" s="220"/>
      <c r="I29" s="217" t="n">
        <v>13308.8</v>
      </c>
      <c r="J29" s="216" t="s">
        <v>46</v>
      </c>
      <c r="K29" s="216" t="s">
        <v>66</v>
      </c>
      <c r="L29" s="216"/>
      <c r="M29" s="189" t="s">
        <v>371</v>
      </c>
      <c r="N29" s="216"/>
      <c r="O29" s="216"/>
      <c r="P29" s="216"/>
      <c r="Q29" s="216"/>
      <c r="R29" s="216" t="s">
        <v>372</v>
      </c>
      <c r="S29" s="216"/>
      <c r="T29" s="227" t="s">
        <v>67</v>
      </c>
      <c r="U29" s="195" t="str">
        <f aca="false">Таблица3[[#This Row],[Регистратор.Номенклатура]]</f>
        <v>Тиара</v>
      </c>
      <c r="V29" s="222" t="n">
        <f aca="false">5*Таблица3[[#This Row],[Регистратор.Вес нетто]]/24650</f>
        <v>3.1947261663286</v>
      </c>
      <c r="W29" s="189" t="s">
        <v>51</v>
      </c>
      <c r="X29" s="189" t="s">
        <v>52</v>
      </c>
      <c r="Y29" s="216" t="n">
        <v>3</v>
      </c>
      <c r="Z29" s="221" t="n">
        <v>46179</v>
      </c>
      <c r="AA29" s="198"/>
      <c r="AB29" s="198"/>
      <c r="AC29" s="198" t="s">
        <v>53</v>
      </c>
      <c r="AD29" s="199" t="s">
        <v>54</v>
      </c>
      <c r="AE29" s="198" t="n">
        <v>41</v>
      </c>
      <c r="AF29" s="200" t="n">
        <v>46179</v>
      </c>
      <c r="AG29" s="198"/>
      <c r="AH29" s="198" t="n">
        <f aca="false">IFERROR(VLOOKUP(Таблица3[[#This Row],[№ акта]],'Степень зрелости 2026'!$H$12:$I$582,2,FALSE()),)</f>
        <v>50</v>
      </c>
    </row>
    <row r="30" customFormat="false" ht="19.4" hidden="true" customHeight="false" outlineLevel="0" collapsed="false">
      <c r="A30" s="216"/>
      <c r="B30" s="217"/>
      <c r="C30" s="191" t="n">
        <f aca="false">Таблица3[[#This Row],[Степень зрелости вспом]]</f>
        <v>54</v>
      </c>
      <c r="D30" s="218" t="n">
        <v>77</v>
      </c>
      <c r="E30" s="219"/>
      <c r="F30" s="217"/>
      <c r="G30" s="217" t="n">
        <v>8900</v>
      </c>
      <c r="H30" s="220"/>
      <c r="I30" s="217" t="n">
        <v>7609.5</v>
      </c>
      <c r="J30" s="216" t="s">
        <v>46</v>
      </c>
      <c r="K30" s="216" t="s">
        <v>66</v>
      </c>
      <c r="L30" s="216"/>
      <c r="M30" s="189" t="s">
        <v>376</v>
      </c>
      <c r="N30" s="216"/>
      <c r="O30" s="216"/>
      <c r="P30" s="216"/>
      <c r="Q30" s="216"/>
      <c r="R30" s="216" t="s">
        <v>377</v>
      </c>
      <c r="S30" s="216"/>
      <c r="T30" s="216" t="s">
        <v>67</v>
      </c>
      <c r="U30" s="195" t="str">
        <f aca="false">Таблица3[[#This Row],[Регистратор.Номенклатура]]</f>
        <v>Тиара</v>
      </c>
      <c r="V30" s="222" t="n">
        <f aca="false">5*Таблица3[[#This Row],[Регистратор.Вес нетто]]/24650</f>
        <v>1.8052738336714</v>
      </c>
      <c r="W30" s="189" t="s">
        <v>51</v>
      </c>
      <c r="X30" s="189" t="s">
        <v>52</v>
      </c>
      <c r="Y30" s="216" t="n">
        <v>3</v>
      </c>
      <c r="Z30" s="221" t="n">
        <v>46179</v>
      </c>
      <c r="AA30" s="198"/>
      <c r="AB30" s="198"/>
      <c r="AC30" s="198" t="s">
        <v>302</v>
      </c>
      <c r="AD30" s="199" t="s">
        <v>54</v>
      </c>
      <c r="AE30" s="198" t="n">
        <v>37</v>
      </c>
      <c r="AF30" s="200" t="n">
        <v>46179</v>
      </c>
      <c r="AG30" s="198"/>
      <c r="AH30" s="198" t="n">
        <f aca="false">IFERROR(VLOOKUP(Таблица3[[#This Row],[№ акта]],'Степень зрелости 2026'!$H$12:$I$582,2,FALSE()),)</f>
        <v>54</v>
      </c>
    </row>
    <row r="31" customFormat="false" ht="19.4" hidden="true" customHeight="false" outlineLevel="0" collapsed="false">
      <c r="A31" s="216"/>
      <c r="B31" s="217"/>
      <c r="C31" s="191" t="n">
        <f aca="false">Таблица3[[#This Row],[Степень зрелости вспом]]</f>
        <v>46</v>
      </c>
      <c r="D31" s="218" t="n">
        <v>84</v>
      </c>
      <c r="E31" s="219"/>
      <c r="F31" s="217"/>
      <c r="G31" s="217" t="n">
        <v>4550</v>
      </c>
      <c r="H31" s="220"/>
      <c r="I31" s="217" t="n">
        <v>3617.2</v>
      </c>
      <c r="J31" s="216" t="s">
        <v>46</v>
      </c>
      <c r="K31" s="216" t="s">
        <v>66</v>
      </c>
      <c r="L31" s="216"/>
      <c r="M31" s="189" t="s">
        <v>374</v>
      </c>
      <c r="N31" s="216"/>
      <c r="O31" s="216"/>
      <c r="P31" s="216"/>
      <c r="Q31" s="216"/>
      <c r="R31" s="216" t="s">
        <v>375</v>
      </c>
      <c r="S31" s="216"/>
      <c r="T31" s="227" t="s">
        <v>65</v>
      </c>
      <c r="U31" s="195" t="str">
        <f aca="false">Таблица3[[#This Row],[Регистратор.Номенклатура]]</f>
        <v>Тиара</v>
      </c>
      <c r="V31" s="222" t="n">
        <f aca="false">42*Таблица3[[#This Row],[Регистратор.Вес нетто]]/244270</f>
        <v>0.782331027142097</v>
      </c>
      <c r="W31" s="189" t="s">
        <v>51</v>
      </c>
      <c r="X31" s="189" t="s">
        <v>52</v>
      </c>
      <c r="Y31" s="216" t="n">
        <v>3</v>
      </c>
      <c r="Z31" s="221" t="n">
        <v>46179</v>
      </c>
      <c r="AA31" s="198"/>
      <c r="AB31" s="198"/>
      <c r="AC31" s="198" t="s">
        <v>53</v>
      </c>
      <c r="AD31" s="199" t="s">
        <v>54</v>
      </c>
      <c r="AE31" s="198" t="n">
        <v>42</v>
      </c>
      <c r="AF31" s="200" t="n">
        <v>46179</v>
      </c>
      <c r="AG31" s="198"/>
      <c r="AH31" s="198" t="n">
        <f aca="false">IFERROR(VLOOKUP(Таблица3[[#This Row],[№ акта]],'Степень зрелости 2026'!$H$12:$I$582,2,FALSE()),)</f>
        <v>46</v>
      </c>
    </row>
    <row r="32" customFormat="false" ht="19.4" hidden="true" customHeight="false" outlineLevel="0" collapsed="false">
      <c r="A32" s="216"/>
      <c r="B32" s="217"/>
      <c r="C32" s="191" t="n">
        <f aca="false">Таблица3[[#This Row],[Степень зрелости вспом]]</f>
        <v>47</v>
      </c>
      <c r="D32" s="218" t="n">
        <v>85</v>
      </c>
      <c r="E32" s="219"/>
      <c r="F32" s="217"/>
      <c r="G32" s="217" t="n">
        <v>13630</v>
      </c>
      <c r="H32" s="220"/>
      <c r="I32" s="217" t="n">
        <v>10835.8</v>
      </c>
      <c r="J32" s="216" t="s">
        <v>46</v>
      </c>
      <c r="K32" s="216" t="s">
        <v>66</v>
      </c>
      <c r="L32" s="216"/>
      <c r="M32" s="189" t="s">
        <v>365</v>
      </c>
      <c r="N32" s="216"/>
      <c r="O32" s="216"/>
      <c r="P32" s="216"/>
      <c r="Q32" s="216"/>
      <c r="R32" s="216" t="s">
        <v>373</v>
      </c>
      <c r="S32" s="216"/>
      <c r="T32" s="227" t="s">
        <v>65</v>
      </c>
      <c r="U32" s="195" t="str">
        <f aca="false">Таблица3[[#This Row],[Регистратор.Номенклатура]]</f>
        <v>Тиара</v>
      </c>
      <c r="V32" s="222" t="n">
        <f aca="false">42*Таблица3[[#This Row],[Регистратор.Вес нетто]]/244270</f>
        <v>2.34355426372457</v>
      </c>
      <c r="W32" s="189" t="s">
        <v>51</v>
      </c>
      <c r="X32" s="189" t="s">
        <v>52</v>
      </c>
      <c r="Y32" s="216" t="n">
        <v>3</v>
      </c>
      <c r="Z32" s="221" t="n">
        <v>46179</v>
      </c>
      <c r="AA32" s="198"/>
      <c r="AB32" s="198"/>
      <c r="AC32" s="198" t="s">
        <v>53</v>
      </c>
      <c r="AD32" s="199" t="s">
        <v>54</v>
      </c>
      <c r="AE32" s="198" t="n">
        <v>43</v>
      </c>
      <c r="AF32" s="200" t="n">
        <v>46179</v>
      </c>
      <c r="AG32" s="198"/>
      <c r="AH32" s="198" t="n">
        <f aca="false">IFERROR(VLOOKUP(Таблица3[[#This Row],[№ акта]],'Степень зрелости 2026'!$H$12:$I$582,2,FALSE()),)</f>
        <v>47</v>
      </c>
    </row>
    <row r="33" customFormat="false" ht="19.4" hidden="true" customHeight="false" outlineLevel="0" collapsed="false">
      <c r="A33" s="216"/>
      <c r="B33" s="217"/>
      <c r="C33" s="191" t="n">
        <f aca="false">Таблица3[[#This Row],[Степень зрелости вспом]]</f>
        <v>47</v>
      </c>
      <c r="D33" s="218" t="n">
        <v>86</v>
      </c>
      <c r="E33" s="219"/>
      <c r="F33" s="217"/>
      <c r="G33" s="217" t="n">
        <v>13840</v>
      </c>
      <c r="H33" s="220"/>
      <c r="I33" s="217" t="n">
        <v>10726</v>
      </c>
      <c r="J33" s="216" t="s">
        <v>46</v>
      </c>
      <c r="K33" s="216" t="s">
        <v>66</v>
      </c>
      <c r="L33" s="216"/>
      <c r="M33" s="189" t="s">
        <v>367</v>
      </c>
      <c r="N33" s="216"/>
      <c r="O33" s="216"/>
      <c r="P33" s="216"/>
      <c r="Q33" s="216"/>
      <c r="R33" s="216" t="s">
        <v>368</v>
      </c>
      <c r="S33" s="216"/>
      <c r="T33" s="227" t="s">
        <v>65</v>
      </c>
      <c r="U33" s="195" t="str">
        <f aca="false">Таблица3[[#This Row],[Регистратор.Номенклатура]]</f>
        <v>Тиара</v>
      </c>
      <c r="V33" s="222" t="n">
        <f aca="false">42*Таблица3[[#This Row],[Регистратор.Вес нетто]]/244270</f>
        <v>2.37966184959266</v>
      </c>
      <c r="W33" s="189" t="s">
        <v>51</v>
      </c>
      <c r="X33" s="189" t="s">
        <v>52</v>
      </c>
      <c r="Y33" s="216" t="n">
        <v>3</v>
      </c>
      <c r="Z33" s="221" t="n">
        <v>46179</v>
      </c>
      <c r="AA33" s="198"/>
      <c r="AB33" s="198"/>
      <c r="AC33" s="198" t="s">
        <v>53</v>
      </c>
      <c r="AD33" s="199" t="s">
        <v>54</v>
      </c>
      <c r="AE33" s="198" t="n">
        <v>44</v>
      </c>
      <c r="AF33" s="200" t="n">
        <v>46179</v>
      </c>
      <c r="AG33" s="198"/>
      <c r="AH33" s="198" t="n">
        <f aca="false">IFERROR(VLOOKUP(Таблица3[[#This Row],[№ акта]],'Степень зрелости 2026'!$H$12:$I$582,2,FALSE()),)</f>
        <v>47</v>
      </c>
    </row>
    <row r="34" customFormat="false" ht="28.35" hidden="true" customHeight="false" outlineLevel="0" collapsed="false">
      <c r="A34" s="198"/>
      <c r="B34" s="223"/>
      <c r="C34" s="191" t="n">
        <f aca="false">Таблица3[[#This Row],[Степень зрелости вспом]]</f>
        <v>44</v>
      </c>
      <c r="D34" s="224" t="n">
        <v>87</v>
      </c>
      <c r="E34" s="225"/>
      <c r="F34" s="223"/>
      <c r="G34" s="223" t="n">
        <v>13640</v>
      </c>
      <c r="H34" s="226"/>
      <c r="I34" s="223" t="n">
        <v>10707.4</v>
      </c>
      <c r="J34" s="216" t="s">
        <v>46</v>
      </c>
      <c r="K34" s="198" t="s">
        <v>66</v>
      </c>
      <c r="L34" s="198"/>
      <c r="M34" s="189" t="s">
        <v>371</v>
      </c>
      <c r="N34" s="198"/>
      <c r="O34" s="198"/>
      <c r="P34" s="198"/>
      <c r="Q34" s="198"/>
      <c r="R34" s="198" t="s">
        <v>372</v>
      </c>
      <c r="S34" s="198"/>
      <c r="T34" s="228" t="s">
        <v>65</v>
      </c>
      <c r="U34" s="195" t="str">
        <f aca="false">Таблица3[[#This Row],[Регистратор.Номенклатура]]</f>
        <v>Тиара</v>
      </c>
      <c r="V34" s="222" t="n">
        <f aca="false">42*Таблица3[[#This Row],[Регистратор.Вес нетто]]/244270</f>
        <v>2.34527367257543</v>
      </c>
      <c r="W34" s="189" t="s">
        <v>51</v>
      </c>
      <c r="X34" s="189" t="s">
        <v>52</v>
      </c>
      <c r="Y34" s="198" t="n">
        <v>3</v>
      </c>
      <c r="Z34" s="221" t="n">
        <v>46179</v>
      </c>
      <c r="AA34" s="198"/>
      <c r="AB34" s="198"/>
      <c r="AC34" s="198" t="s">
        <v>53</v>
      </c>
      <c r="AD34" s="199" t="s">
        <v>54</v>
      </c>
      <c r="AE34" s="198" t="n">
        <v>45</v>
      </c>
      <c r="AF34" s="200" t="n">
        <v>46179</v>
      </c>
      <c r="AG34" s="198"/>
      <c r="AH34" s="198" t="n">
        <f aca="false">IFERROR(VLOOKUP(Таблица3[[#This Row],[№ акта]],'Степень зрелости 2026'!$H$12:$I$582,2,FALSE()),)</f>
        <v>44</v>
      </c>
    </row>
    <row r="35" customFormat="false" ht="23.25" hidden="true" customHeight="true" outlineLevel="0" collapsed="false">
      <c r="A35" s="216"/>
      <c r="B35" s="217"/>
      <c r="C35" s="191" t="n">
        <f aca="false">Таблица3[[#This Row],[Степень зрелости вспом]]</f>
        <v>43</v>
      </c>
      <c r="D35" s="218" t="n">
        <v>88</v>
      </c>
      <c r="E35" s="219"/>
      <c r="F35" s="217"/>
      <c r="G35" s="217" t="n">
        <v>4660</v>
      </c>
      <c r="H35" s="220"/>
      <c r="I35" s="217" t="n">
        <v>3658.1</v>
      </c>
      <c r="J35" s="216" t="s">
        <v>46</v>
      </c>
      <c r="K35" s="216" t="s">
        <v>66</v>
      </c>
      <c r="L35" s="216"/>
      <c r="M35" s="189" t="s">
        <v>374</v>
      </c>
      <c r="N35" s="216"/>
      <c r="O35" s="216"/>
      <c r="P35" s="216"/>
      <c r="Q35" s="216"/>
      <c r="R35" s="216" t="s">
        <v>375</v>
      </c>
      <c r="S35" s="216"/>
      <c r="T35" s="227" t="s">
        <v>65</v>
      </c>
      <c r="U35" s="195" t="str">
        <f aca="false">Таблица3[[#This Row],[Регистратор.Номенклатура]]</f>
        <v>Тиара</v>
      </c>
      <c r="V35" s="222" t="n">
        <f aca="false">42*Таблица3[[#This Row],[Регистратор.Вес нетто]]/244270</f>
        <v>0.801244524501576</v>
      </c>
      <c r="W35" s="189" t="s">
        <v>51</v>
      </c>
      <c r="X35" s="189" t="s">
        <v>52</v>
      </c>
      <c r="Y35" s="216" t="n">
        <v>3</v>
      </c>
      <c r="Z35" s="221" t="n">
        <v>46179</v>
      </c>
      <c r="AA35" s="198"/>
      <c r="AB35" s="198"/>
      <c r="AC35" s="198" t="s">
        <v>53</v>
      </c>
      <c r="AD35" s="199" t="s">
        <v>54</v>
      </c>
      <c r="AE35" s="198" t="n">
        <v>46</v>
      </c>
      <c r="AF35" s="200" t="n">
        <v>46179</v>
      </c>
      <c r="AG35" s="198"/>
      <c r="AH35" s="198" t="n">
        <f aca="false">IFERROR(VLOOKUP(Таблица3[[#This Row],[№ акта]],'Степень зрелости 2026'!$H$12:$I$582,2,FALSE()),)</f>
        <v>43</v>
      </c>
    </row>
    <row r="36" customFormat="false" ht="23.25" hidden="true" customHeight="true" outlineLevel="0" collapsed="false">
      <c r="A36" s="216"/>
      <c r="B36" s="217"/>
      <c r="C36" s="191" t="n">
        <f aca="false">Таблица3[[#This Row],[Степень зрелости вспом]]</f>
        <v>47</v>
      </c>
      <c r="D36" s="218" t="n">
        <v>89</v>
      </c>
      <c r="E36" s="219"/>
      <c r="F36" s="217"/>
      <c r="G36" s="217" t="n">
        <v>13710</v>
      </c>
      <c r="H36" s="220"/>
      <c r="I36" s="217" t="n">
        <v>10762.4</v>
      </c>
      <c r="J36" s="216" t="s">
        <v>46</v>
      </c>
      <c r="K36" s="216" t="s">
        <v>66</v>
      </c>
      <c r="L36" s="216"/>
      <c r="M36" s="189" t="s">
        <v>376</v>
      </c>
      <c r="N36" s="216"/>
      <c r="O36" s="216"/>
      <c r="P36" s="216"/>
      <c r="Q36" s="216"/>
      <c r="R36" s="216" t="s">
        <v>377</v>
      </c>
      <c r="S36" s="216"/>
      <c r="T36" s="216" t="s">
        <v>65</v>
      </c>
      <c r="U36" s="195" t="str">
        <f aca="false">Таблица3[[#This Row],[Регистратор.Номенклатура]]</f>
        <v>Тиара</v>
      </c>
      <c r="V36" s="222" t="n">
        <f aca="false">42*Таблица3[[#This Row],[Регистратор.Вес нетто]]/244270</f>
        <v>2.35730953453146</v>
      </c>
      <c r="W36" s="189" t="s">
        <v>51</v>
      </c>
      <c r="X36" s="189" t="s">
        <v>52</v>
      </c>
      <c r="Y36" s="216" t="n">
        <v>3</v>
      </c>
      <c r="Z36" s="221" t="n">
        <v>46179</v>
      </c>
      <c r="AA36" s="198"/>
      <c r="AB36" s="198"/>
      <c r="AC36" s="198" t="s">
        <v>53</v>
      </c>
      <c r="AD36" s="199" t="s">
        <v>54</v>
      </c>
      <c r="AE36" s="198" t="n">
        <v>47</v>
      </c>
      <c r="AF36" s="200" t="n">
        <v>46179</v>
      </c>
      <c r="AG36" s="198"/>
      <c r="AH36" s="198" t="n">
        <f aca="false">IFERROR(VLOOKUP(Таблица3[[#This Row],[№ акта]],'Степень зрелости 2026'!$H$12:$I$582,2,FALSE()),)</f>
        <v>47</v>
      </c>
    </row>
    <row r="37" customFormat="false" ht="23.25" hidden="true" customHeight="true" outlineLevel="0" collapsed="false">
      <c r="A37" s="216"/>
      <c r="B37" s="217"/>
      <c r="C37" s="191" t="n">
        <f aca="false">Таблица3[[#This Row],[Степень зрелости вспом]]</f>
        <v>45</v>
      </c>
      <c r="D37" s="218" t="n">
        <v>90</v>
      </c>
      <c r="E37" s="219"/>
      <c r="F37" s="217"/>
      <c r="G37" s="217" t="n">
        <v>14310</v>
      </c>
      <c r="H37" s="220"/>
      <c r="I37" s="217" t="n">
        <v>11233.3</v>
      </c>
      <c r="J37" s="216" t="s">
        <v>46</v>
      </c>
      <c r="K37" s="216" t="s">
        <v>66</v>
      </c>
      <c r="L37" s="216"/>
      <c r="M37" s="189" t="s">
        <v>365</v>
      </c>
      <c r="N37" s="216"/>
      <c r="O37" s="216"/>
      <c r="P37" s="216"/>
      <c r="Q37" s="216"/>
      <c r="R37" s="216" t="s">
        <v>373</v>
      </c>
      <c r="S37" s="216"/>
      <c r="T37" s="227" t="s">
        <v>65</v>
      </c>
      <c r="U37" s="195" t="str">
        <f aca="false">Таблица3[[#This Row],[Регистратор.Номенклатура]]</f>
        <v>Тиара</v>
      </c>
      <c r="V37" s="222" t="n">
        <f aca="false">42*Таблица3[[#This Row],[Регистратор.Вес нетто]]/244270</f>
        <v>2.46047406558317</v>
      </c>
      <c r="W37" s="189" t="s">
        <v>51</v>
      </c>
      <c r="X37" s="189" t="s">
        <v>52</v>
      </c>
      <c r="Y37" s="216" t="n">
        <v>3</v>
      </c>
      <c r="Z37" s="221" t="n">
        <v>46179</v>
      </c>
      <c r="AA37" s="198"/>
      <c r="AB37" s="198"/>
      <c r="AC37" s="198" t="s">
        <v>53</v>
      </c>
      <c r="AD37" s="199" t="s">
        <v>54</v>
      </c>
      <c r="AE37" s="198" t="n">
        <v>48</v>
      </c>
      <c r="AF37" s="200" t="n">
        <v>46179</v>
      </c>
      <c r="AG37" s="198"/>
      <c r="AH37" s="198" t="n">
        <f aca="false">IFERROR(VLOOKUP(Таблица3[[#This Row],[№ акта]],'Степень зрелости 2026'!$H$12:$I$582,2,FALSE()),)</f>
        <v>45</v>
      </c>
    </row>
    <row r="38" customFormat="false" ht="23.25" hidden="true" customHeight="true" outlineLevel="0" collapsed="false">
      <c r="A38" s="216"/>
      <c r="B38" s="217"/>
      <c r="C38" s="191" t="n">
        <f aca="false">Таблица3[[#This Row],[Степень зрелости вспом]]</f>
        <v>50</v>
      </c>
      <c r="D38" s="218" t="n">
        <v>91</v>
      </c>
      <c r="E38" s="219"/>
      <c r="F38" s="217"/>
      <c r="G38" s="217" t="n">
        <v>13690</v>
      </c>
      <c r="H38" s="220"/>
      <c r="I38" s="217" t="n">
        <v>10472.9</v>
      </c>
      <c r="J38" s="216" t="s">
        <v>46</v>
      </c>
      <c r="K38" s="216" t="s">
        <v>66</v>
      </c>
      <c r="L38" s="216"/>
      <c r="M38" s="189" t="s">
        <v>367</v>
      </c>
      <c r="N38" s="216"/>
      <c r="O38" s="216"/>
      <c r="P38" s="216"/>
      <c r="Q38" s="216"/>
      <c r="R38" s="216" t="s">
        <v>368</v>
      </c>
      <c r="S38" s="216"/>
      <c r="T38" s="227" t="s">
        <v>65</v>
      </c>
      <c r="U38" s="195" t="str">
        <f aca="false">Таблица3[[#This Row],[Регистратор.Номенклатура]]</f>
        <v>Тиара</v>
      </c>
      <c r="V38" s="222" t="n">
        <f aca="false">42*Таблица3[[#This Row],[Регистратор.Вес нетто]]/244270</f>
        <v>2.35387071682974</v>
      </c>
      <c r="W38" s="189" t="s">
        <v>51</v>
      </c>
      <c r="X38" s="189" t="s">
        <v>52</v>
      </c>
      <c r="Y38" s="216" t="n">
        <v>3</v>
      </c>
      <c r="Z38" s="221" t="n">
        <v>46179</v>
      </c>
      <c r="AA38" s="198"/>
      <c r="AB38" s="198"/>
      <c r="AC38" s="198" t="s">
        <v>53</v>
      </c>
      <c r="AD38" s="199" t="s">
        <v>54</v>
      </c>
      <c r="AE38" s="198" t="n">
        <v>49</v>
      </c>
      <c r="AF38" s="200" t="n">
        <v>46179</v>
      </c>
      <c r="AG38" s="198"/>
      <c r="AH38" s="198" t="n">
        <f aca="false">IFERROR(VLOOKUP(Таблица3[[#This Row],[№ акта]],'Степень зрелости 2026'!$H$12:$I$582,2,FALSE()),)</f>
        <v>50</v>
      </c>
    </row>
    <row r="39" customFormat="false" ht="23.25" hidden="true" customHeight="true" outlineLevel="0" collapsed="false">
      <c r="A39" s="216"/>
      <c r="B39" s="217"/>
      <c r="C39" s="191" t="n">
        <f aca="false">Таблица3[[#This Row],[Степень зрелости вспом]]</f>
        <v>50</v>
      </c>
      <c r="D39" s="218" t="n">
        <v>92</v>
      </c>
      <c r="E39" s="219"/>
      <c r="F39" s="217"/>
      <c r="G39" s="217" t="n">
        <v>13840</v>
      </c>
      <c r="H39" s="220"/>
      <c r="I39" s="217" t="n">
        <v>11002.8</v>
      </c>
      <c r="J39" s="216" t="s">
        <v>46</v>
      </c>
      <c r="K39" s="216" t="s">
        <v>66</v>
      </c>
      <c r="L39" s="216"/>
      <c r="M39" s="189" t="s">
        <v>371</v>
      </c>
      <c r="N39" s="216"/>
      <c r="O39" s="216"/>
      <c r="P39" s="216"/>
      <c r="Q39" s="216"/>
      <c r="R39" s="216" t="s">
        <v>372</v>
      </c>
      <c r="S39" s="216"/>
      <c r="T39" s="227" t="s">
        <v>65</v>
      </c>
      <c r="U39" s="195" t="str">
        <f aca="false">Таблица3[[#This Row],[Регистратор.Номенклатура]]</f>
        <v>Тиара</v>
      </c>
      <c r="V39" s="222" t="n">
        <f aca="false">42*Таблица3[[#This Row],[Регистратор.Вес нетто]]/244270</f>
        <v>2.37966184959266</v>
      </c>
      <c r="W39" s="189" t="s">
        <v>51</v>
      </c>
      <c r="X39" s="189" t="s">
        <v>52</v>
      </c>
      <c r="Y39" s="216" t="n">
        <v>3</v>
      </c>
      <c r="Z39" s="221" t="n">
        <v>46179</v>
      </c>
      <c r="AA39" s="198"/>
      <c r="AB39" s="198"/>
      <c r="AC39" s="198" t="s">
        <v>53</v>
      </c>
      <c r="AD39" s="199" t="s">
        <v>54</v>
      </c>
      <c r="AE39" s="198" t="n">
        <v>39</v>
      </c>
      <c r="AF39" s="200" t="n">
        <v>46179</v>
      </c>
      <c r="AG39" s="198"/>
      <c r="AH39" s="198" t="n">
        <f aca="false">IFERROR(VLOOKUP(Таблица3[[#This Row],[№ акта]],'Степень зрелости 2026'!$H$12:$I$582,2,FALSE()),)</f>
        <v>50</v>
      </c>
    </row>
    <row r="40" customFormat="false" ht="19.4" hidden="true" customHeight="false" outlineLevel="0" collapsed="false">
      <c r="A40" s="216"/>
      <c r="B40" s="217"/>
      <c r="C40" s="191" t="n">
        <f aca="false">Таблица3[[#This Row],[Степень зрелости вспом]]</f>
        <v>53</v>
      </c>
      <c r="D40" s="218" t="n">
        <v>93</v>
      </c>
      <c r="E40" s="219"/>
      <c r="F40" s="217"/>
      <c r="G40" s="217" t="n">
        <v>13630</v>
      </c>
      <c r="H40" s="220"/>
      <c r="I40" s="217" t="n">
        <v>11244.8</v>
      </c>
      <c r="J40" s="216" t="s">
        <v>46</v>
      </c>
      <c r="K40" s="216" t="s">
        <v>66</v>
      </c>
      <c r="L40" s="216"/>
      <c r="M40" s="189" t="s">
        <v>376</v>
      </c>
      <c r="N40" s="216"/>
      <c r="O40" s="216"/>
      <c r="P40" s="216"/>
      <c r="Q40" s="216"/>
      <c r="R40" s="216" t="s">
        <v>377</v>
      </c>
      <c r="S40" s="216"/>
      <c r="T40" s="227" t="s">
        <v>65</v>
      </c>
      <c r="U40" s="195" t="str">
        <f aca="false">Таблица3[[#This Row],[Регистратор.Номенклатура]]</f>
        <v>Тиара</v>
      </c>
      <c r="V40" s="222" t="n">
        <f aca="false">42*Таблица3[[#This Row],[Регистратор.Вес нетто]]/244270</f>
        <v>2.34355426372457</v>
      </c>
      <c r="W40" s="189" t="s">
        <v>51</v>
      </c>
      <c r="X40" s="189" t="s">
        <v>52</v>
      </c>
      <c r="Y40" s="216" t="n">
        <v>3</v>
      </c>
      <c r="Z40" s="221" t="n">
        <v>46179</v>
      </c>
      <c r="AA40" s="198"/>
      <c r="AB40" s="198"/>
      <c r="AC40" s="198" t="s">
        <v>302</v>
      </c>
      <c r="AD40" s="199" t="s">
        <v>54</v>
      </c>
      <c r="AE40" s="198" t="n">
        <v>38</v>
      </c>
      <c r="AF40" s="200" t="n">
        <v>46179</v>
      </c>
      <c r="AG40" s="198"/>
      <c r="AH40" s="198" t="n">
        <f aca="false">IFERROR(VLOOKUP(Таблица3[[#This Row],[№ акта]],'Степень зрелости 2026'!$H$12:$I$582,2,FALSE()),)</f>
        <v>53</v>
      </c>
    </row>
    <row r="41" customFormat="false" ht="19.4" hidden="true" customHeight="false" outlineLevel="0" collapsed="false">
      <c r="A41" s="198"/>
      <c r="B41" s="223"/>
      <c r="C41" s="191" t="n">
        <f aca="false">Таблица3[[#This Row],[Степень зрелости вспом]]</f>
        <v>45</v>
      </c>
      <c r="D41" s="224" t="n">
        <v>94</v>
      </c>
      <c r="E41" s="225"/>
      <c r="F41" s="223"/>
      <c r="G41" s="223" t="n">
        <v>4690</v>
      </c>
      <c r="H41" s="226"/>
      <c r="I41" s="223" t="n">
        <v>3728.5</v>
      </c>
      <c r="J41" s="216" t="s">
        <v>46</v>
      </c>
      <c r="K41" s="198" t="s">
        <v>66</v>
      </c>
      <c r="L41" s="198"/>
      <c r="M41" s="189" t="s">
        <v>374</v>
      </c>
      <c r="N41" s="198"/>
      <c r="O41" s="198"/>
      <c r="P41" s="198"/>
      <c r="Q41" s="198"/>
      <c r="R41" s="198" t="s">
        <v>375</v>
      </c>
      <c r="S41" s="198"/>
      <c r="T41" s="198" t="s">
        <v>65</v>
      </c>
      <c r="U41" s="195" t="str">
        <f aca="false">Таблица3[[#This Row],[Регистратор.Номенклатура]]</f>
        <v>Тиара</v>
      </c>
      <c r="V41" s="222" t="n">
        <f aca="false">42*Таблица3[[#This Row],[Регистратор.Вес нетто]]/244270</f>
        <v>0.806402751054161</v>
      </c>
      <c r="W41" s="189" t="s">
        <v>51</v>
      </c>
      <c r="X41" s="189" t="s">
        <v>52</v>
      </c>
      <c r="Y41" s="198" t="n">
        <v>3</v>
      </c>
      <c r="Z41" s="221" t="n">
        <v>46179</v>
      </c>
      <c r="AA41" s="198"/>
      <c r="AB41" s="198"/>
      <c r="AC41" s="198" t="s">
        <v>53</v>
      </c>
      <c r="AD41" s="199" t="s">
        <v>54</v>
      </c>
      <c r="AE41" s="198" t="n">
        <v>40</v>
      </c>
      <c r="AF41" s="200" t="n">
        <v>46179</v>
      </c>
      <c r="AG41" s="198"/>
      <c r="AH41" s="198" t="n">
        <f aca="false">IFERROR(VLOOKUP(Таблица3[[#This Row],[№ акта]],'Степень зрелости 2026'!$H$12:$I$582,2,FALSE()),)</f>
        <v>45</v>
      </c>
    </row>
    <row r="42" customFormat="false" ht="19.4" hidden="true" customHeight="false" outlineLevel="0" collapsed="false">
      <c r="A42" s="198"/>
      <c r="B42" s="223"/>
      <c r="C42" s="191" t="n">
        <f aca="false">Таблица3[[#This Row],[Степень зрелости вспом]]</f>
        <v>49</v>
      </c>
      <c r="D42" s="224" t="n">
        <v>99</v>
      </c>
      <c r="E42" s="225"/>
      <c r="F42" s="223"/>
      <c r="G42" s="223" t="n">
        <v>14560</v>
      </c>
      <c r="H42" s="226"/>
      <c r="I42" s="223" t="n">
        <v>12303.2</v>
      </c>
      <c r="J42" s="216" t="s">
        <v>46</v>
      </c>
      <c r="K42" s="198" t="s">
        <v>66</v>
      </c>
      <c r="L42" s="198"/>
      <c r="M42" s="189" t="s">
        <v>376</v>
      </c>
      <c r="N42" s="198"/>
      <c r="O42" s="198"/>
      <c r="P42" s="198"/>
      <c r="Q42" s="198"/>
      <c r="R42" s="198" t="s">
        <v>377</v>
      </c>
      <c r="S42" s="198"/>
      <c r="T42" s="228" t="s">
        <v>65</v>
      </c>
      <c r="U42" s="195" t="str">
        <f aca="false">Таблица3[[#This Row],[Регистратор.Номенклатура]]</f>
        <v>Тиара</v>
      </c>
      <c r="V42" s="222" t="n">
        <f aca="false">42*Таблица3[[#This Row],[Регистратор.Вес нетто]]/244270</f>
        <v>2.50345928685471</v>
      </c>
      <c r="W42" s="189" t="s">
        <v>51</v>
      </c>
      <c r="X42" s="189" t="s">
        <v>52</v>
      </c>
      <c r="Y42" s="198" t="n">
        <v>3</v>
      </c>
      <c r="Z42" s="221" t="n">
        <v>46179</v>
      </c>
      <c r="AA42" s="198"/>
      <c r="AB42" s="198"/>
      <c r="AC42" s="198" t="s">
        <v>53</v>
      </c>
      <c r="AD42" s="199" t="s">
        <v>54</v>
      </c>
      <c r="AE42" s="198" t="n">
        <v>55</v>
      </c>
      <c r="AF42" s="200" t="n">
        <v>46179</v>
      </c>
      <c r="AG42" s="198"/>
      <c r="AH42" s="198" t="n">
        <f aca="false">IFERROR(VLOOKUP(Таблица3[[#This Row],[№ акта]],'Степень зрелости 2026'!$H$12:$I$582,2,FALSE()),)</f>
        <v>49</v>
      </c>
    </row>
    <row r="43" customFormat="false" ht="19.4" hidden="true" customHeight="false" outlineLevel="0" collapsed="false">
      <c r="A43" s="198"/>
      <c r="B43" s="223"/>
      <c r="C43" s="191" t="n">
        <f aca="false">Таблица3[[#This Row],[Степень зрелости вспом]]</f>
        <v>45</v>
      </c>
      <c r="D43" s="224" t="n">
        <v>102</v>
      </c>
      <c r="E43" s="225"/>
      <c r="F43" s="223"/>
      <c r="G43" s="223" t="n">
        <v>4490</v>
      </c>
      <c r="H43" s="226"/>
      <c r="I43" s="223" t="n">
        <v>3883.8</v>
      </c>
      <c r="J43" s="216" t="s">
        <v>46</v>
      </c>
      <c r="K43" s="198" t="s">
        <v>66</v>
      </c>
      <c r="L43" s="198"/>
      <c r="M43" s="189" t="s">
        <v>374</v>
      </c>
      <c r="N43" s="198"/>
      <c r="O43" s="198"/>
      <c r="P43" s="198"/>
      <c r="Q43" s="198"/>
      <c r="R43" s="198" t="s">
        <v>375</v>
      </c>
      <c r="S43" s="198"/>
      <c r="T43" s="228" t="s">
        <v>65</v>
      </c>
      <c r="U43" s="195" t="str">
        <f aca="false">Таблица3[[#This Row],[Регистратор.Номенклатура]]</f>
        <v>Тиара</v>
      </c>
      <c r="V43" s="222" t="n">
        <f aca="false">42*Таблица3[[#This Row],[Регистратор.Вес нетто]]/244270</f>
        <v>0.772014574036926</v>
      </c>
      <c r="W43" s="189" t="s">
        <v>51</v>
      </c>
      <c r="X43" s="189" t="s">
        <v>52</v>
      </c>
      <c r="Y43" s="198" t="n">
        <v>3</v>
      </c>
      <c r="Z43" s="221" t="n">
        <v>46179</v>
      </c>
      <c r="AA43" s="198"/>
      <c r="AB43" s="198"/>
      <c r="AC43" s="198" t="s">
        <v>53</v>
      </c>
      <c r="AD43" s="199" t="s">
        <v>54</v>
      </c>
      <c r="AE43" s="198" t="n">
        <v>58</v>
      </c>
      <c r="AF43" s="200" t="n">
        <v>46180</v>
      </c>
      <c r="AG43" s="198"/>
      <c r="AH43" s="198" t="n">
        <f aca="false">IFERROR(VLOOKUP(Таблица3[[#This Row],[№ акта]],'Степень зрелости 2026'!$H$12:$I$582,2,FALSE()),)</f>
        <v>45</v>
      </c>
    </row>
    <row r="44" customFormat="false" ht="19.4" hidden="true" customHeight="false" outlineLevel="0" collapsed="false">
      <c r="A44" s="198"/>
      <c r="B44" s="223"/>
      <c r="C44" s="191" t="n">
        <f aca="false">Таблица3[[#This Row],[Степень зрелости вспом]]</f>
        <v>47</v>
      </c>
      <c r="D44" s="224" t="n">
        <v>100</v>
      </c>
      <c r="E44" s="225"/>
      <c r="F44" s="223"/>
      <c r="G44" s="223" t="n">
        <v>13400</v>
      </c>
      <c r="H44" s="226"/>
      <c r="I44" s="223" t="n">
        <v>11457</v>
      </c>
      <c r="J44" s="216" t="s">
        <v>46</v>
      </c>
      <c r="K44" s="198" t="s">
        <v>66</v>
      </c>
      <c r="L44" s="198"/>
      <c r="M44" s="189" t="s">
        <v>365</v>
      </c>
      <c r="N44" s="198"/>
      <c r="O44" s="198"/>
      <c r="P44" s="198"/>
      <c r="Q44" s="198"/>
      <c r="R44" s="198" t="s">
        <v>373</v>
      </c>
      <c r="S44" s="198"/>
      <c r="T44" s="198" t="s">
        <v>65</v>
      </c>
      <c r="U44" s="195" t="str">
        <f aca="false">Таблица3[[#This Row],[Регистратор.Номенклатура]]</f>
        <v>Тиара</v>
      </c>
      <c r="V44" s="222" t="n">
        <f aca="false">42*Таблица3[[#This Row],[Регистратор.Вес нетто]]/244270</f>
        <v>2.30400786015475</v>
      </c>
      <c r="W44" s="189" t="s">
        <v>51</v>
      </c>
      <c r="X44" s="189" t="s">
        <v>52</v>
      </c>
      <c r="Y44" s="198" t="n">
        <v>3</v>
      </c>
      <c r="Z44" s="221" t="n">
        <v>46179</v>
      </c>
      <c r="AA44" s="198"/>
      <c r="AB44" s="198"/>
      <c r="AC44" s="198" t="s">
        <v>53</v>
      </c>
      <c r="AD44" s="199" t="s">
        <v>54</v>
      </c>
      <c r="AE44" s="198" t="n">
        <v>56</v>
      </c>
      <c r="AF44" s="200" t="n">
        <v>46180</v>
      </c>
      <c r="AG44" s="198"/>
      <c r="AH44" s="198" t="n">
        <f aca="false">IFERROR(VLOOKUP(Таблица3[[#This Row],[№ акта]],'Степень зрелости 2026'!$H$12:$I$582,2,FALSE()),)</f>
        <v>47</v>
      </c>
    </row>
    <row r="45" customFormat="false" ht="19.4" hidden="true" customHeight="false" outlineLevel="0" collapsed="false">
      <c r="A45" s="198"/>
      <c r="B45" s="223"/>
      <c r="C45" s="191" t="n">
        <f aca="false">Таблица3[[#This Row],[Степень зрелости вспом]]</f>
        <v>48</v>
      </c>
      <c r="D45" s="224" t="n">
        <v>101</v>
      </c>
      <c r="E45" s="225"/>
      <c r="F45" s="223"/>
      <c r="G45" s="223" t="n">
        <v>13470</v>
      </c>
      <c r="H45" s="226"/>
      <c r="I45" s="223" t="n">
        <v>11112.8</v>
      </c>
      <c r="J45" s="216" t="s">
        <v>46</v>
      </c>
      <c r="K45" s="198" t="s">
        <v>66</v>
      </c>
      <c r="L45" s="198"/>
      <c r="M45" s="189" t="s">
        <v>367</v>
      </c>
      <c r="N45" s="198"/>
      <c r="O45" s="198"/>
      <c r="P45" s="198"/>
      <c r="Q45" s="198"/>
      <c r="R45" s="198" t="s">
        <v>368</v>
      </c>
      <c r="S45" s="198"/>
      <c r="T45" s="228" t="s">
        <v>65</v>
      </c>
      <c r="U45" s="195" t="str">
        <f aca="false">Таблица3[[#This Row],[Регистратор.Номенклатура]]</f>
        <v>Тиара</v>
      </c>
      <c r="V45" s="222" t="n">
        <f aca="false">42*Таблица3[[#This Row],[Регистратор.Вес нетто]]/244270</f>
        <v>2.31604372211078</v>
      </c>
      <c r="W45" s="189" t="s">
        <v>51</v>
      </c>
      <c r="X45" s="189" t="s">
        <v>52</v>
      </c>
      <c r="Y45" s="198" t="n">
        <v>3</v>
      </c>
      <c r="Z45" s="221" t="n">
        <v>46179</v>
      </c>
      <c r="AA45" s="198"/>
      <c r="AB45" s="198"/>
      <c r="AC45" s="198" t="s">
        <v>53</v>
      </c>
      <c r="AD45" s="199" t="s">
        <v>54</v>
      </c>
      <c r="AE45" s="198" t="n">
        <v>57</v>
      </c>
      <c r="AF45" s="200" t="n">
        <v>46180</v>
      </c>
      <c r="AG45" s="198"/>
      <c r="AH45" s="198" t="n">
        <f aca="false">IFERROR(VLOOKUP(Таблица3[[#This Row],[№ акта]],'Степень зрелости 2026'!$H$12:$I$582,2,FALSE()),)</f>
        <v>48</v>
      </c>
    </row>
    <row r="46" customFormat="false" ht="28.35" hidden="true" customHeight="false" outlineLevel="0" collapsed="false">
      <c r="A46" s="198"/>
      <c r="B46" s="223"/>
      <c r="C46" s="191" t="n">
        <f aca="false">Таблица3[[#This Row],[Степень зрелости вспом]]</f>
        <v>47</v>
      </c>
      <c r="D46" s="224" t="n">
        <v>103</v>
      </c>
      <c r="E46" s="225"/>
      <c r="F46" s="223"/>
      <c r="G46" s="223" t="n">
        <v>13580</v>
      </c>
      <c r="H46" s="226"/>
      <c r="I46" s="223" t="n">
        <v>11067.7</v>
      </c>
      <c r="J46" s="216" t="s">
        <v>46</v>
      </c>
      <c r="K46" s="198" t="s">
        <v>66</v>
      </c>
      <c r="L46" s="198"/>
      <c r="M46" s="189" t="s">
        <v>371</v>
      </c>
      <c r="N46" s="198"/>
      <c r="O46" s="198"/>
      <c r="P46" s="198"/>
      <c r="Q46" s="198"/>
      <c r="R46" s="198" t="s">
        <v>372</v>
      </c>
      <c r="S46" s="198"/>
      <c r="T46" s="228" t="s">
        <v>65</v>
      </c>
      <c r="U46" s="195" t="str">
        <f aca="false">Таблица3[[#This Row],[Регистратор.Номенклатура]]</f>
        <v>Тиара</v>
      </c>
      <c r="V46" s="222" t="n">
        <f aca="false">42*Таблица3[[#This Row],[Регистратор.Вес нетто]]/244270</f>
        <v>2.33495721947026</v>
      </c>
      <c r="W46" s="189" t="s">
        <v>51</v>
      </c>
      <c r="X46" s="189" t="s">
        <v>52</v>
      </c>
      <c r="Y46" s="198" t="n">
        <v>3</v>
      </c>
      <c r="Z46" s="221" t="n">
        <v>46179</v>
      </c>
      <c r="AA46" s="198"/>
      <c r="AB46" s="198"/>
      <c r="AC46" s="198" t="s">
        <v>53</v>
      </c>
      <c r="AD46" s="199" t="s">
        <v>54</v>
      </c>
      <c r="AE46" s="198" t="n">
        <v>59</v>
      </c>
      <c r="AF46" s="200" t="n">
        <v>46180</v>
      </c>
      <c r="AG46" s="198"/>
      <c r="AH46" s="198" t="n">
        <f aca="false">IFERROR(VLOOKUP(Таблица3[[#This Row],[№ акта]],'Степень зрелости 2026'!$H$12:$I$582,2,FALSE()),)</f>
        <v>47</v>
      </c>
    </row>
    <row r="47" s="215" customFormat="true" ht="19.4" hidden="true" customHeight="false" outlineLevel="0" collapsed="false">
      <c r="A47" s="202"/>
      <c r="B47" s="203"/>
      <c r="C47" s="204" t="n">
        <f aca="false">Таблица3[[#This Row],[Степень зрелости вспом]]</f>
        <v>50</v>
      </c>
      <c r="D47" s="205" t="n">
        <v>104</v>
      </c>
      <c r="E47" s="206"/>
      <c r="F47" s="203"/>
      <c r="G47" s="203" t="n">
        <v>13540</v>
      </c>
      <c r="H47" s="207"/>
      <c r="I47" s="203" t="n">
        <v>11035.1</v>
      </c>
      <c r="J47" s="202" t="s">
        <v>46</v>
      </c>
      <c r="K47" s="202" t="s">
        <v>66</v>
      </c>
      <c r="L47" s="202"/>
      <c r="M47" s="202" t="s">
        <v>376</v>
      </c>
      <c r="N47" s="202"/>
      <c r="O47" s="202"/>
      <c r="P47" s="202"/>
      <c r="Q47" s="208"/>
      <c r="R47" s="202" t="s">
        <v>377</v>
      </c>
      <c r="S47" s="202"/>
      <c r="T47" s="209" t="s">
        <v>65</v>
      </c>
      <c r="U47" s="209" t="str">
        <f aca="false">Таблица3[[#This Row],[Регистратор.Номенклатура]]</f>
        <v>Тиара</v>
      </c>
      <c r="V47" s="229" t="n">
        <f aca="false">42*Таблица3[[#This Row],[Регистратор.Вес нетто]]/244270</f>
        <v>2.32807958406681</v>
      </c>
      <c r="W47" s="202" t="s">
        <v>51</v>
      </c>
      <c r="X47" s="202" t="s">
        <v>52</v>
      </c>
      <c r="Y47" s="202" t="n">
        <v>3</v>
      </c>
      <c r="Z47" s="211" t="n">
        <v>46179</v>
      </c>
      <c r="AA47" s="212"/>
      <c r="AB47" s="212"/>
      <c r="AC47" s="212" t="s">
        <v>53</v>
      </c>
      <c r="AD47" s="213" t="s">
        <v>54</v>
      </c>
      <c r="AE47" s="212" t="n">
        <v>60</v>
      </c>
      <c r="AF47" s="214" t="n">
        <v>46180</v>
      </c>
      <c r="AG47" s="212"/>
      <c r="AH47" s="212" t="n">
        <f aca="false">IFERROR(VLOOKUP(Таблица3[[#This Row],[№ акта]],'Степень зрелости 2026'!$H$12:$I$582,2,FALSE()),)</f>
        <v>50</v>
      </c>
    </row>
    <row r="48" customFormat="false" ht="28.35" hidden="true" customHeight="false" outlineLevel="0" collapsed="false">
      <c r="A48" s="198"/>
      <c r="B48" s="223"/>
      <c r="C48" s="191" t="n">
        <f aca="false">Таблица3[[#This Row],[Степень зрелости вспом]]</f>
        <v>56</v>
      </c>
      <c r="D48" s="224" t="n">
        <v>107</v>
      </c>
      <c r="E48" s="225"/>
      <c r="F48" s="223"/>
      <c r="G48" s="223" t="n">
        <v>13880</v>
      </c>
      <c r="H48" s="226"/>
      <c r="I48" s="223" t="n">
        <v>11034.6</v>
      </c>
      <c r="J48" s="216" t="s">
        <v>46</v>
      </c>
      <c r="K48" s="198" t="s">
        <v>66</v>
      </c>
      <c r="L48" s="198"/>
      <c r="M48" s="189" t="s">
        <v>55</v>
      </c>
      <c r="N48" s="198"/>
      <c r="O48" s="198"/>
      <c r="P48" s="198"/>
      <c r="Q48" s="198"/>
      <c r="R48" s="198" t="s">
        <v>56</v>
      </c>
      <c r="S48" s="198"/>
      <c r="T48" s="228" t="s">
        <v>65</v>
      </c>
      <c r="U48" s="195" t="str">
        <f aca="false">Таблица3[[#This Row],[Регистратор.Номенклатура]]</f>
        <v>Тиара</v>
      </c>
      <c r="V48" s="230" t="n">
        <f aca="false">13*Таблица3[[#This Row],[Регистратор.Вес нетто]]/61380</f>
        <v>2.93971977842946</v>
      </c>
      <c r="W48" s="189" t="s">
        <v>51</v>
      </c>
      <c r="X48" s="189" t="s">
        <v>52</v>
      </c>
      <c r="Y48" s="198" t="n">
        <v>4</v>
      </c>
      <c r="Z48" s="221" t="n">
        <v>46180</v>
      </c>
      <c r="AA48" s="198"/>
      <c r="AB48" s="198"/>
      <c r="AC48" s="198" t="s">
        <v>302</v>
      </c>
      <c r="AD48" s="199" t="s">
        <v>54</v>
      </c>
      <c r="AE48" s="198" t="n">
        <v>61</v>
      </c>
      <c r="AF48" s="200" t="n">
        <v>46180</v>
      </c>
      <c r="AG48" s="198"/>
      <c r="AH48" s="198" t="n">
        <f aca="false">IFERROR(VLOOKUP(Таблица3[[#This Row],[№ акта]],'Степень зрелости 2026'!$H$12:$I$582,2,FALSE()),)</f>
        <v>56</v>
      </c>
    </row>
    <row r="49" customFormat="false" ht="19.4" hidden="true" customHeight="false" outlineLevel="0" collapsed="false">
      <c r="A49" s="198"/>
      <c r="B49" s="223"/>
      <c r="C49" s="191" t="n">
        <f aca="false">Таблица3[[#This Row],[Степень зрелости вспом]]</f>
        <v>57</v>
      </c>
      <c r="D49" s="224" t="n">
        <v>109</v>
      </c>
      <c r="E49" s="225"/>
      <c r="F49" s="223"/>
      <c r="G49" s="223" t="n">
        <v>4470</v>
      </c>
      <c r="H49" s="226"/>
      <c r="I49" s="223" t="n">
        <v>3866.5</v>
      </c>
      <c r="J49" s="216" t="s">
        <v>46</v>
      </c>
      <c r="K49" s="198" t="s">
        <v>66</v>
      </c>
      <c r="L49" s="198"/>
      <c r="M49" s="189" t="s">
        <v>378</v>
      </c>
      <c r="N49" s="198"/>
      <c r="O49" s="198"/>
      <c r="P49" s="198"/>
      <c r="Q49" s="198"/>
      <c r="R49" s="198" t="s">
        <v>379</v>
      </c>
      <c r="S49" s="198"/>
      <c r="T49" s="228" t="s">
        <v>65</v>
      </c>
      <c r="U49" s="195" t="str">
        <f aca="false">Таблица3[[#This Row],[Регистратор.Номенклатура]]</f>
        <v>Тиара</v>
      </c>
      <c r="V49" s="230" t="n">
        <f aca="false">13*Таблица3[[#This Row],[Регистратор.Вес нетто]]/61380</f>
        <v>0.94672531769306</v>
      </c>
      <c r="W49" s="189" t="s">
        <v>51</v>
      </c>
      <c r="X49" s="189" t="s">
        <v>52</v>
      </c>
      <c r="Y49" s="198" t="n">
        <v>4</v>
      </c>
      <c r="Z49" s="221" t="n">
        <v>46180</v>
      </c>
      <c r="AA49" s="198"/>
      <c r="AB49" s="198"/>
      <c r="AC49" s="198" t="s">
        <v>302</v>
      </c>
      <c r="AD49" s="199" t="s">
        <v>54</v>
      </c>
      <c r="AE49" s="198" t="n">
        <v>62</v>
      </c>
      <c r="AF49" s="200" t="n">
        <v>46180</v>
      </c>
      <c r="AG49" s="198"/>
      <c r="AH49" s="198" t="n">
        <f aca="false">IFERROR(VLOOKUP(Таблица3[[#This Row],[№ акта]],'Степень зрелости 2026'!$H$12:$I$582,2,FALSE()),)</f>
        <v>57</v>
      </c>
    </row>
    <row r="50" customFormat="false" ht="19.4" hidden="true" customHeight="false" outlineLevel="0" collapsed="false">
      <c r="A50" s="198"/>
      <c r="B50" s="223"/>
      <c r="C50" s="191" t="n">
        <f aca="false">Таблица3[[#This Row],[Степень зрелости вспом]]</f>
        <v>50</v>
      </c>
      <c r="D50" s="224" t="n">
        <v>111</v>
      </c>
      <c r="E50" s="225"/>
      <c r="F50" s="223"/>
      <c r="G50" s="223" t="n">
        <v>13880</v>
      </c>
      <c r="H50" s="226"/>
      <c r="I50" s="223" t="n">
        <v>11589.8</v>
      </c>
      <c r="J50" s="216" t="s">
        <v>46</v>
      </c>
      <c r="K50" s="198" t="s">
        <v>66</v>
      </c>
      <c r="L50" s="198"/>
      <c r="M50" s="189" t="s">
        <v>380</v>
      </c>
      <c r="N50" s="198"/>
      <c r="O50" s="198"/>
      <c r="P50" s="198"/>
      <c r="Q50" s="198"/>
      <c r="R50" s="198" t="s">
        <v>381</v>
      </c>
      <c r="S50" s="198"/>
      <c r="T50" s="198" t="s">
        <v>65</v>
      </c>
      <c r="U50" s="195" t="str">
        <f aca="false">Таблица3[[#This Row],[Регистратор.Номенклатура]]</f>
        <v>Тиара</v>
      </c>
      <c r="V50" s="230" t="n">
        <f aca="false">13*Таблица3[[#This Row],[Регистратор.Вес нетто]]/61380</f>
        <v>2.93971977842946</v>
      </c>
      <c r="W50" s="189" t="s">
        <v>51</v>
      </c>
      <c r="X50" s="189" t="s">
        <v>52</v>
      </c>
      <c r="Y50" s="198" t="n">
        <v>4</v>
      </c>
      <c r="Z50" s="221" t="n">
        <v>46180</v>
      </c>
      <c r="AA50" s="198"/>
      <c r="AB50" s="198"/>
      <c r="AC50" s="198" t="s">
        <v>53</v>
      </c>
      <c r="AD50" s="199" t="s">
        <v>54</v>
      </c>
      <c r="AE50" s="198" t="n">
        <v>63</v>
      </c>
      <c r="AF50" s="200" t="n">
        <v>46180</v>
      </c>
      <c r="AG50" s="198"/>
      <c r="AH50" s="198" t="n">
        <f aca="false">IFERROR(VLOOKUP(Таблица3[[#This Row],[№ акта]],'Степень зрелости 2026'!$H$12:$I$582,2,FALSE()),)</f>
        <v>50</v>
      </c>
    </row>
    <row r="51" customFormat="false" ht="19.4" hidden="true" customHeight="false" outlineLevel="0" collapsed="false">
      <c r="A51" s="198"/>
      <c r="B51" s="223"/>
      <c r="C51" s="191" t="n">
        <f aca="false">Таблица3[[#This Row],[Степень зрелости вспом]]</f>
        <v>55</v>
      </c>
      <c r="D51" s="224" t="n">
        <v>113</v>
      </c>
      <c r="E51" s="225"/>
      <c r="F51" s="223"/>
      <c r="G51" s="223" t="n">
        <v>11920</v>
      </c>
      <c r="H51" s="226"/>
      <c r="I51" s="223" t="n">
        <v>8403.6</v>
      </c>
      <c r="J51" s="216" t="s">
        <v>46</v>
      </c>
      <c r="K51" s="198" t="s">
        <v>66</v>
      </c>
      <c r="L51" s="198"/>
      <c r="M51" s="189" t="s">
        <v>382</v>
      </c>
      <c r="N51" s="198"/>
      <c r="O51" s="198"/>
      <c r="P51" s="198"/>
      <c r="Q51" s="198"/>
      <c r="R51" s="198" t="s">
        <v>383</v>
      </c>
      <c r="S51" s="198"/>
      <c r="T51" s="228" t="s">
        <v>65</v>
      </c>
      <c r="U51" s="195" t="str">
        <f aca="false">Таблица3[[#This Row],[Регистратор.Номенклатура]]</f>
        <v>Тиара</v>
      </c>
      <c r="V51" s="230" t="n">
        <f aca="false">13*Таблица3[[#This Row],[Регистратор.Вес нетто]]/61380</f>
        <v>2.52460084718149</v>
      </c>
      <c r="W51" s="189" t="s">
        <v>51</v>
      </c>
      <c r="X51" s="189" t="s">
        <v>52</v>
      </c>
      <c r="Y51" s="198" t="n">
        <v>4</v>
      </c>
      <c r="Z51" s="221" t="n">
        <v>46180</v>
      </c>
      <c r="AA51" s="198"/>
      <c r="AB51" s="198"/>
      <c r="AC51" s="198" t="s">
        <v>302</v>
      </c>
      <c r="AD51" s="199" t="s">
        <v>54</v>
      </c>
      <c r="AE51" s="198" t="n">
        <v>64</v>
      </c>
      <c r="AF51" s="200" t="n">
        <v>46180</v>
      </c>
      <c r="AG51" s="198"/>
      <c r="AH51" s="198" t="n">
        <f aca="false">IFERROR(VLOOKUP(Таблица3[[#This Row],[№ акта]],'Степень зрелости 2026'!$H$12:$I$582,2,FALSE()),)</f>
        <v>55</v>
      </c>
    </row>
    <row r="52" customFormat="false" ht="34.5" hidden="true" customHeight="true" outlineLevel="0" collapsed="false">
      <c r="A52" s="216"/>
      <c r="B52" s="217"/>
      <c r="C52" s="191" t="n">
        <f aca="false">Таблица3[[#This Row],[Степень зрелости вспом]]</f>
        <v>50</v>
      </c>
      <c r="D52" s="218" t="n">
        <v>114</v>
      </c>
      <c r="E52" s="219"/>
      <c r="F52" s="217"/>
      <c r="G52" s="217" t="n">
        <v>1830</v>
      </c>
      <c r="H52" s="220"/>
      <c r="I52" s="217" t="n">
        <v>1564.6</v>
      </c>
      <c r="J52" s="216" t="s">
        <v>46</v>
      </c>
      <c r="K52" s="216" t="s">
        <v>66</v>
      </c>
      <c r="L52" s="216"/>
      <c r="M52" s="189" t="s">
        <v>378</v>
      </c>
      <c r="N52" s="216"/>
      <c r="O52" s="216"/>
      <c r="P52" s="216"/>
      <c r="Q52" s="216"/>
      <c r="R52" s="198" t="s">
        <v>379</v>
      </c>
      <c r="S52" s="216"/>
      <c r="T52" s="198" t="s">
        <v>65</v>
      </c>
      <c r="U52" s="195" t="str">
        <f aca="false">Таблица3[[#This Row],[Регистратор.Номенклатура]]</f>
        <v>Тиара</v>
      </c>
      <c r="V52" s="230" t="n">
        <f aca="false">13*Таблица3[[#This Row],[Регистратор.Вес нетто]]/61380</f>
        <v>0.387585532746823</v>
      </c>
      <c r="W52" s="189" t="s">
        <v>51</v>
      </c>
      <c r="X52" s="189" t="s">
        <v>52</v>
      </c>
      <c r="Y52" s="198" t="n">
        <v>4</v>
      </c>
      <c r="Z52" s="221" t="n">
        <v>46180</v>
      </c>
      <c r="AB52" s="198"/>
      <c r="AC52" s="198" t="s">
        <v>53</v>
      </c>
      <c r="AD52" s="199" t="s">
        <v>54</v>
      </c>
      <c r="AE52" s="198" t="n">
        <v>65</v>
      </c>
      <c r="AF52" s="200" t="n">
        <v>46180</v>
      </c>
      <c r="AG52" s="198"/>
      <c r="AH52" s="198" t="n">
        <f aca="false">IFERROR(VLOOKUP(Таблица3[[#This Row],[№ акта]],'Степень зрелости 2026'!$H$12:$I$582,2,FALSE()),)</f>
        <v>50</v>
      </c>
    </row>
    <row r="53" customFormat="false" ht="34.5" hidden="true" customHeight="true" outlineLevel="0" collapsed="false">
      <c r="A53" s="216"/>
      <c r="B53" s="217"/>
      <c r="C53" s="191" t="n">
        <f aca="false">Таблица3[[#This Row],[Степень зрелости вспом]]</f>
        <v>50</v>
      </c>
      <c r="D53" s="218" t="n">
        <v>115</v>
      </c>
      <c r="E53" s="219"/>
      <c r="F53" s="217"/>
      <c r="G53" s="217" t="n">
        <v>15400</v>
      </c>
      <c r="H53" s="220"/>
      <c r="I53" s="217" t="n">
        <v>13321</v>
      </c>
      <c r="J53" s="216" t="s">
        <v>46</v>
      </c>
      <c r="K53" s="216" t="s">
        <v>66</v>
      </c>
      <c r="L53" s="216"/>
      <c r="M53" s="189" t="s">
        <v>384</v>
      </c>
      <c r="N53" s="216"/>
      <c r="O53" s="221"/>
      <c r="P53" s="198"/>
      <c r="R53" s="198" t="s">
        <v>385</v>
      </c>
      <c r="T53" s="198" t="s">
        <v>65</v>
      </c>
      <c r="U53" s="195" t="str">
        <f aca="false">Таблица3[[#This Row],[Регистратор.Номенклатура]]</f>
        <v>Тиара</v>
      </c>
      <c r="V53" s="230" t="n">
        <f aca="false">13*Таблица3[[#This Row],[Регистратор.Вес нетто]]/61380</f>
        <v>3.26164874551971</v>
      </c>
      <c r="W53" s="189" t="s">
        <v>51</v>
      </c>
      <c r="X53" s="189" t="s">
        <v>52</v>
      </c>
      <c r="Y53" s="198" t="n">
        <v>4</v>
      </c>
      <c r="Z53" s="221" t="n">
        <v>46180</v>
      </c>
      <c r="AB53" s="198"/>
      <c r="AC53" s="198" t="s">
        <v>53</v>
      </c>
      <c r="AD53" s="199" t="s">
        <v>54</v>
      </c>
      <c r="AE53" s="198" t="n">
        <v>66</v>
      </c>
      <c r="AF53" s="200" t="n">
        <v>46180</v>
      </c>
      <c r="AG53" s="198"/>
      <c r="AH53" s="198" t="n">
        <f aca="false">IFERROR(VLOOKUP(Таблица3[[#This Row],[№ акта]],'Степень зрелости 2026'!$H$12:$I$582,2,FALSE()),)</f>
        <v>50</v>
      </c>
    </row>
    <row r="54" customFormat="false" ht="28.35" hidden="true" customHeight="false" outlineLevel="0" collapsed="false">
      <c r="A54" s="216"/>
      <c r="B54" s="217"/>
      <c r="C54" s="191" t="n">
        <f aca="false">Таблица3[[#This Row],[Степень зрелости вспом]]</f>
        <v>52</v>
      </c>
      <c r="D54" s="218" t="n">
        <v>117</v>
      </c>
      <c r="E54" s="219"/>
      <c r="F54" s="217"/>
      <c r="G54" s="217" t="n">
        <v>13400</v>
      </c>
      <c r="H54" s="220"/>
      <c r="I54" s="217" t="n">
        <v>10653</v>
      </c>
      <c r="J54" s="216" t="s">
        <v>46</v>
      </c>
      <c r="K54" s="216" t="s">
        <v>47</v>
      </c>
      <c r="L54" s="216"/>
      <c r="M54" s="189" t="s">
        <v>55</v>
      </c>
      <c r="N54" s="216"/>
      <c r="O54" s="216"/>
      <c r="P54" s="216"/>
      <c r="Q54" s="216"/>
      <c r="R54" s="216" t="s">
        <v>56</v>
      </c>
      <c r="S54" s="216"/>
      <c r="T54" s="216" t="s">
        <v>50</v>
      </c>
      <c r="U54" s="195" t="str">
        <f aca="false">Таблица3[[#This Row],[Регистратор.Номенклатура]]</f>
        <v>Авола</v>
      </c>
      <c r="V54" s="230" t="n">
        <f aca="false">30*Таблица3[[#This Row],[Регистратор.Вес нетто]]/160930</f>
        <v>2.49798048841111</v>
      </c>
      <c r="W54" s="189" t="s">
        <v>51</v>
      </c>
      <c r="X54" s="189" t="s">
        <v>52</v>
      </c>
      <c r="Y54" s="216" t="n">
        <v>4</v>
      </c>
      <c r="Z54" s="221" t="n">
        <v>46180</v>
      </c>
      <c r="AA54" s="231"/>
      <c r="AB54" s="198"/>
      <c r="AC54" s="198" t="s">
        <v>53</v>
      </c>
      <c r="AD54" s="199" t="s">
        <v>54</v>
      </c>
      <c r="AE54" s="198" t="n">
        <v>67</v>
      </c>
      <c r="AF54" s="200" t="n">
        <v>46180</v>
      </c>
      <c r="AG54" s="198"/>
      <c r="AH54" s="198" t="n">
        <f aca="false">IFERROR(VLOOKUP(Таблица3[[#This Row],[№ акта]],'Степень зрелости 2026'!$H$12:$I$582,2,FALSE()),)</f>
        <v>52</v>
      </c>
    </row>
    <row r="55" customFormat="false" ht="19.4" hidden="true" customHeight="false" outlineLevel="0" collapsed="false">
      <c r="A55" s="216"/>
      <c r="B55" s="217"/>
      <c r="C55" s="191" t="n">
        <f aca="false">Таблица3[[#This Row],[Степень зрелости вспом]]</f>
        <v>55</v>
      </c>
      <c r="D55" s="218" t="n">
        <v>118</v>
      </c>
      <c r="E55" s="219"/>
      <c r="F55" s="217"/>
      <c r="G55" s="217" t="n">
        <v>13150</v>
      </c>
      <c r="H55" s="220"/>
      <c r="I55" s="217" t="n">
        <v>10585.7</v>
      </c>
      <c r="J55" s="216" t="s">
        <v>46</v>
      </c>
      <c r="K55" s="216" t="s">
        <v>47</v>
      </c>
      <c r="L55" s="216"/>
      <c r="M55" s="189" t="s">
        <v>380</v>
      </c>
      <c r="N55" s="216"/>
      <c r="O55" s="216"/>
      <c r="P55" s="216"/>
      <c r="Q55" s="216"/>
      <c r="R55" s="216" t="s">
        <v>381</v>
      </c>
      <c r="S55" s="216"/>
      <c r="T55" s="216" t="s">
        <v>50</v>
      </c>
      <c r="U55" s="195" t="str">
        <f aca="false">Таблица3[[#This Row],[Регистратор.Номенклатура]]</f>
        <v>Авола</v>
      </c>
      <c r="V55" s="230" t="n">
        <f aca="false">30*Таблица3[[#This Row],[Регистратор.Вес нетто]]/160930</f>
        <v>2.45137637482135</v>
      </c>
      <c r="W55" s="189" t="s">
        <v>51</v>
      </c>
      <c r="X55" s="189" t="s">
        <v>52</v>
      </c>
      <c r="Y55" s="216" t="n">
        <v>4</v>
      </c>
      <c r="Z55" s="221" t="n">
        <v>46180</v>
      </c>
      <c r="AA55" s="231"/>
      <c r="AB55" s="198"/>
      <c r="AC55" s="198" t="s">
        <v>302</v>
      </c>
      <c r="AD55" s="199" t="s">
        <v>54</v>
      </c>
      <c r="AE55" s="198" t="n">
        <v>68</v>
      </c>
      <c r="AF55" s="200" t="n">
        <v>46180</v>
      </c>
      <c r="AG55" s="198"/>
      <c r="AH55" s="198" t="n">
        <f aca="false">IFERROR(VLOOKUP(Таблица3[[#This Row],[№ акта]],'Степень зрелости 2026'!$H$12:$I$582,2,FALSE()),)</f>
        <v>55</v>
      </c>
    </row>
    <row r="56" customFormat="false" ht="19.4" hidden="true" customHeight="false" outlineLevel="0" collapsed="false">
      <c r="A56" s="216"/>
      <c r="B56" s="217"/>
      <c r="C56" s="191" t="n">
        <f aca="false">Таблица3[[#This Row],[Степень зрелости вспом]]</f>
        <v>48</v>
      </c>
      <c r="D56" s="218" t="n">
        <v>119</v>
      </c>
      <c r="E56" s="219"/>
      <c r="F56" s="217"/>
      <c r="G56" s="217" t="n">
        <v>13450</v>
      </c>
      <c r="H56" s="220"/>
      <c r="I56" s="217" t="n">
        <v>10827.2</v>
      </c>
      <c r="J56" s="216" t="s">
        <v>46</v>
      </c>
      <c r="K56" s="216" t="s">
        <v>47</v>
      </c>
      <c r="L56" s="216"/>
      <c r="M56" s="189" t="s">
        <v>382</v>
      </c>
      <c r="N56" s="216"/>
      <c r="O56" s="216"/>
      <c r="P56" s="216"/>
      <c r="Q56" s="216"/>
      <c r="R56" s="216" t="s">
        <v>383</v>
      </c>
      <c r="S56" s="216"/>
      <c r="T56" s="216" t="s">
        <v>50</v>
      </c>
      <c r="U56" s="195" t="str">
        <f aca="false">Таблица3[[#This Row],[Регистратор.Номенклатура]]</f>
        <v>Авола</v>
      </c>
      <c r="V56" s="230" t="n">
        <f aca="false">30*Таблица3[[#This Row],[Регистратор.Вес нетто]]/160930</f>
        <v>2.50730131112906</v>
      </c>
      <c r="W56" s="189" t="s">
        <v>51</v>
      </c>
      <c r="X56" s="189" t="s">
        <v>52</v>
      </c>
      <c r="Y56" s="216" t="n">
        <v>4</v>
      </c>
      <c r="Z56" s="221" t="n">
        <v>46180</v>
      </c>
      <c r="AA56" s="231"/>
      <c r="AB56" s="198"/>
      <c r="AC56" s="198" t="s">
        <v>53</v>
      </c>
      <c r="AD56" s="199" t="s">
        <v>54</v>
      </c>
      <c r="AE56" s="198" t="n">
        <v>69</v>
      </c>
      <c r="AF56" s="200" t="n">
        <v>46180</v>
      </c>
      <c r="AG56" s="198"/>
      <c r="AH56" s="198" t="n">
        <f aca="false">IFERROR(VLOOKUP(Таблица3[[#This Row],[№ акта]],'Степень зрелости 2026'!$H$12:$I$582,2,FALSE()),)</f>
        <v>48</v>
      </c>
    </row>
    <row r="57" customFormat="false" ht="19.4" hidden="true" customHeight="false" outlineLevel="0" collapsed="false">
      <c r="A57" s="216"/>
      <c r="B57" s="217"/>
      <c r="C57" s="191" t="n">
        <f aca="false">Таблица3[[#This Row],[Степень зрелости вспом]]</f>
        <v>48</v>
      </c>
      <c r="D57" s="218" t="n">
        <v>120</v>
      </c>
      <c r="E57" s="219"/>
      <c r="F57" s="217"/>
      <c r="G57" s="217" t="n">
        <v>4590</v>
      </c>
      <c r="H57" s="220"/>
      <c r="I57" s="217" t="n">
        <v>3740.8</v>
      </c>
      <c r="J57" s="216" t="s">
        <v>46</v>
      </c>
      <c r="K57" s="216" t="s">
        <v>47</v>
      </c>
      <c r="L57" s="216"/>
      <c r="M57" s="189" t="s">
        <v>378</v>
      </c>
      <c r="N57" s="216"/>
      <c r="O57" s="216"/>
      <c r="P57" s="216"/>
      <c r="Q57" s="216"/>
      <c r="R57" s="216" t="s">
        <v>379</v>
      </c>
      <c r="S57" s="216"/>
      <c r="T57" s="228" t="s">
        <v>50</v>
      </c>
      <c r="U57" s="195" t="str">
        <f aca="false">Таблица3[[#This Row],[Регистратор.Номенклатура]]</f>
        <v>Авола</v>
      </c>
      <c r="V57" s="230" t="n">
        <f aca="false">30*Таблица3[[#This Row],[Регистратор.Вес нетто]]/160930</f>
        <v>0.855651525507985</v>
      </c>
      <c r="W57" s="189" t="s">
        <v>51</v>
      </c>
      <c r="X57" s="189" t="s">
        <v>52</v>
      </c>
      <c r="Y57" s="216" t="n">
        <v>4</v>
      </c>
      <c r="Z57" s="221" t="n">
        <v>46180</v>
      </c>
      <c r="AA57" s="231"/>
      <c r="AB57" s="198"/>
      <c r="AC57" s="198" t="s">
        <v>53</v>
      </c>
      <c r="AD57" s="199" t="s">
        <v>54</v>
      </c>
      <c r="AE57" s="198" t="n">
        <v>70</v>
      </c>
      <c r="AF57" s="200" t="n">
        <v>46180</v>
      </c>
      <c r="AG57" s="198"/>
      <c r="AH57" s="198" t="n">
        <f aca="false">IFERROR(VLOOKUP(Таблица3[[#This Row],[№ акта]],'Степень зрелости 2026'!$H$12:$I$582,2,FALSE()),)</f>
        <v>48</v>
      </c>
    </row>
    <row r="58" customFormat="false" ht="19.4" hidden="true" customHeight="false" outlineLevel="0" collapsed="false">
      <c r="A58" s="216"/>
      <c r="B58" s="217"/>
      <c r="C58" s="191" t="n">
        <f aca="false">Таблица3[[#This Row],[Степень зрелости вспом]]</f>
        <v>46</v>
      </c>
      <c r="D58" s="218" t="n">
        <v>121</v>
      </c>
      <c r="E58" s="219"/>
      <c r="F58" s="217"/>
      <c r="G58" s="217" t="n">
        <v>13450</v>
      </c>
      <c r="H58" s="220"/>
      <c r="I58" s="217" t="n">
        <v>10827.2</v>
      </c>
      <c r="J58" s="216" t="s">
        <v>46</v>
      </c>
      <c r="K58" s="216" t="s">
        <v>47</v>
      </c>
      <c r="L58" s="216"/>
      <c r="M58" s="189" t="s">
        <v>384</v>
      </c>
      <c r="N58" s="216"/>
      <c r="O58" s="216"/>
      <c r="P58" s="216"/>
      <c r="Q58" s="216"/>
      <c r="R58" s="216" t="s">
        <v>385</v>
      </c>
      <c r="S58" s="216"/>
      <c r="T58" s="228" t="s">
        <v>50</v>
      </c>
      <c r="U58" s="195" t="str">
        <f aca="false">Таблица3[[#This Row],[Регистратор.Номенклатура]]</f>
        <v>Авола</v>
      </c>
      <c r="V58" s="230" t="n">
        <f aca="false">30*Таблица3[[#This Row],[Регистратор.Вес нетто]]/160930</f>
        <v>2.50730131112906</v>
      </c>
      <c r="W58" s="189" t="s">
        <v>51</v>
      </c>
      <c r="X58" s="189" t="s">
        <v>52</v>
      </c>
      <c r="Y58" s="216" t="n">
        <v>4</v>
      </c>
      <c r="Z58" s="221" t="n">
        <v>46180</v>
      </c>
      <c r="AA58" s="198"/>
      <c r="AB58" s="198"/>
      <c r="AC58" s="198" t="s">
        <v>53</v>
      </c>
      <c r="AD58" s="199" t="s">
        <v>54</v>
      </c>
      <c r="AE58" s="198" t="n">
        <v>71</v>
      </c>
      <c r="AF58" s="200" t="n">
        <v>46180</v>
      </c>
      <c r="AG58" s="198"/>
      <c r="AH58" s="198" t="n">
        <f aca="false">IFERROR(VLOOKUP(Таблица3[[#This Row],[№ акта]],'Степень зрелости 2026'!$H$12:$I$582,2,FALSE()),)</f>
        <v>46</v>
      </c>
    </row>
    <row r="59" customFormat="false" ht="28.35" hidden="true" customHeight="false" outlineLevel="0" collapsed="false">
      <c r="A59" s="216"/>
      <c r="B59" s="217"/>
      <c r="C59" s="191" t="n">
        <f aca="false">Таблица3[[#This Row],[Степень зрелости вспом]]</f>
        <v>56</v>
      </c>
      <c r="D59" s="218" t="n">
        <v>122</v>
      </c>
      <c r="E59" s="219"/>
      <c r="F59" s="217"/>
      <c r="G59" s="217" t="n">
        <v>13250</v>
      </c>
      <c r="H59" s="220"/>
      <c r="I59" s="217" t="n">
        <v>10997.5</v>
      </c>
      <c r="J59" s="216" t="s">
        <v>46</v>
      </c>
      <c r="K59" s="216" t="s">
        <v>47</v>
      </c>
      <c r="L59" s="216"/>
      <c r="M59" s="189" t="s">
        <v>55</v>
      </c>
      <c r="N59" s="216"/>
      <c r="O59" s="216"/>
      <c r="P59" s="216"/>
      <c r="Q59" s="216"/>
      <c r="R59" s="216" t="s">
        <v>56</v>
      </c>
      <c r="S59" s="216"/>
      <c r="T59" s="228" t="s">
        <v>50</v>
      </c>
      <c r="U59" s="195" t="str">
        <f aca="false">Таблица3[[#This Row],[Регистратор.Номенклатура]]</f>
        <v>Авола</v>
      </c>
      <c r="V59" s="230" t="n">
        <f aca="false">30*Таблица3[[#This Row],[Регистратор.Вес нетто]]/160930</f>
        <v>2.47001802025725</v>
      </c>
      <c r="W59" s="189" t="s">
        <v>51</v>
      </c>
      <c r="X59" s="189" t="s">
        <v>52</v>
      </c>
      <c r="Y59" s="216" t="n">
        <v>4</v>
      </c>
      <c r="Z59" s="221" t="n">
        <v>46180</v>
      </c>
      <c r="AA59" s="198"/>
      <c r="AB59" s="198"/>
      <c r="AC59" s="198" t="s">
        <v>302</v>
      </c>
      <c r="AD59" s="199" t="s">
        <v>54</v>
      </c>
      <c r="AE59" s="198" t="n">
        <v>72</v>
      </c>
      <c r="AF59" s="200" t="n">
        <v>46180</v>
      </c>
      <c r="AG59" s="198"/>
      <c r="AH59" s="198" t="n">
        <f aca="false">IFERROR(VLOOKUP(Таблица3[[#This Row],[№ акта]],'Степень зрелости 2026'!$H$12:$I$582,2,FALSE()),)</f>
        <v>56</v>
      </c>
    </row>
    <row r="60" customFormat="false" ht="19.4" hidden="true" customHeight="false" outlineLevel="0" collapsed="false">
      <c r="A60" s="216"/>
      <c r="B60" s="217"/>
      <c r="C60" s="191" t="n">
        <f aca="false">Таблица3[[#This Row],[Степень зрелости вспом]]</f>
        <v>50</v>
      </c>
      <c r="D60" s="218" t="n">
        <v>123</v>
      </c>
      <c r="E60" s="219"/>
      <c r="F60" s="217"/>
      <c r="G60" s="217" t="n">
        <v>13310</v>
      </c>
      <c r="H60" s="220"/>
      <c r="I60" s="217" t="n">
        <v>10714.5</v>
      </c>
      <c r="J60" s="216" t="s">
        <v>46</v>
      </c>
      <c r="K60" s="216" t="s">
        <v>47</v>
      </c>
      <c r="L60" s="216"/>
      <c r="M60" s="189" t="s">
        <v>380</v>
      </c>
      <c r="N60" s="216"/>
      <c r="O60" s="216"/>
      <c r="P60" s="216"/>
      <c r="Q60" s="216"/>
      <c r="R60" s="216" t="s">
        <v>381</v>
      </c>
      <c r="S60" s="216"/>
      <c r="T60" s="228" t="s">
        <v>50</v>
      </c>
      <c r="U60" s="195" t="str">
        <f aca="false">Таблица3[[#This Row],[Регистратор.Номенклатура]]</f>
        <v>Авола</v>
      </c>
      <c r="V60" s="230" t="n">
        <f aca="false">30*Таблица3[[#This Row],[Регистратор.Вес нетто]]/160930</f>
        <v>2.4812030075188</v>
      </c>
      <c r="W60" s="189" t="s">
        <v>51</v>
      </c>
      <c r="X60" s="189" t="s">
        <v>52</v>
      </c>
      <c r="Y60" s="216" t="n">
        <v>4</v>
      </c>
      <c r="Z60" s="221" t="n">
        <v>46180</v>
      </c>
      <c r="AA60" s="198"/>
      <c r="AB60" s="198"/>
      <c r="AC60" s="198" t="s">
        <v>53</v>
      </c>
      <c r="AD60" s="199" t="s">
        <v>54</v>
      </c>
      <c r="AE60" s="198" t="n">
        <v>73</v>
      </c>
      <c r="AF60" s="200" t="n">
        <v>46180</v>
      </c>
      <c r="AG60" s="198"/>
      <c r="AH60" s="198" t="n">
        <f aca="false">IFERROR(VLOOKUP(Таблица3[[#This Row],[№ акта]],'Степень зрелости 2026'!$H$12:$I$582,2,FALSE()),)</f>
        <v>50</v>
      </c>
    </row>
    <row r="61" customFormat="false" ht="19.4" hidden="true" customHeight="false" outlineLevel="0" collapsed="false">
      <c r="A61" s="216"/>
      <c r="B61" s="217"/>
      <c r="C61" s="191" t="n">
        <f aca="false">Таблица3[[#This Row],[Степень зрелости вспом]]</f>
        <v>50</v>
      </c>
      <c r="D61" s="218" t="n">
        <v>124</v>
      </c>
      <c r="E61" s="219"/>
      <c r="F61" s="217"/>
      <c r="G61" s="217" t="n">
        <v>13410</v>
      </c>
      <c r="H61" s="220"/>
      <c r="I61" s="217" t="n">
        <v>11130.3</v>
      </c>
      <c r="J61" s="216" t="s">
        <v>46</v>
      </c>
      <c r="K61" s="216" t="s">
        <v>47</v>
      </c>
      <c r="L61" s="216"/>
      <c r="M61" s="189" t="s">
        <v>382</v>
      </c>
      <c r="N61" s="216"/>
      <c r="O61" s="216"/>
      <c r="P61" s="216"/>
      <c r="Q61" s="216"/>
      <c r="R61" s="216" t="s">
        <v>383</v>
      </c>
      <c r="S61" s="216"/>
      <c r="T61" s="228" t="s">
        <v>50</v>
      </c>
      <c r="U61" s="195" t="str">
        <f aca="false">Таблица3[[#This Row],[Регистратор.Номенклатура]]</f>
        <v>Авола</v>
      </c>
      <c r="V61" s="230" t="n">
        <f aca="false">30*Таблица3[[#This Row],[Регистратор.Вес нетто]]/160930</f>
        <v>2.4998446529547</v>
      </c>
      <c r="W61" s="189" t="s">
        <v>51</v>
      </c>
      <c r="X61" s="189" t="s">
        <v>52</v>
      </c>
      <c r="Y61" s="216" t="n">
        <v>4</v>
      </c>
      <c r="Z61" s="221" t="n">
        <v>46180</v>
      </c>
      <c r="AA61" s="198"/>
      <c r="AB61" s="198"/>
      <c r="AC61" s="198" t="s">
        <v>53</v>
      </c>
      <c r="AD61" s="199" t="s">
        <v>54</v>
      </c>
      <c r="AE61" s="198" t="n">
        <v>75</v>
      </c>
      <c r="AF61" s="200" t="n">
        <v>46180</v>
      </c>
      <c r="AG61" s="198"/>
      <c r="AH61" s="198" t="n">
        <f aca="false">IFERROR(VLOOKUP(Таблица3[[#This Row],[№ акта]],'Степень зрелости 2026'!$H$12:$I$582,2,FALSE()),)</f>
        <v>50</v>
      </c>
    </row>
    <row r="62" customFormat="false" ht="19.4" hidden="true" customHeight="false" outlineLevel="0" collapsed="false">
      <c r="A62" s="216"/>
      <c r="B62" s="217"/>
      <c r="C62" s="191" t="n">
        <f aca="false">Таблица3[[#This Row],[Степень зрелости вспом]]</f>
        <v>48</v>
      </c>
      <c r="D62" s="218" t="n">
        <v>125</v>
      </c>
      <c r="E62" s="219"/>
      <c r="F62" s="217"/>
      <c r="G62" s="217" t="n">
        <v>4500</v>
      </c>
      <c r="H62" s="220"/>
      <c r="I62" s="217" t="n">
        <v>3622.5</v>
      </c>
      <c r="J62" s="216" t="s">
        <v>46</v>
      </c>
      <c r="K62" s="216" t="s">
        <v>47</v>
      </c>
      <c r="L62" s="216"/>
      <c r="M62" s="189" t="s">
        <v>378</v>
      </c>
      <c r="N62" s="216"/>
      <c r="O62" s="216"/>
      <c r="P62" s="216"/>
      <c r="Q62" s="216"/>
      <c r="R62" s="216" t="s">
        <v>379</v>
      </c>
      <c r="S62" s="216"/>
      <c r="T62" s="228" t="s">
        <v>50</v>
      </c>
      <c r="U62" s="195" t="str">
        <f aca="false">Таблица3[[#This Row],[Регистратор.Номенклатура]]</f>
        <v>Авола</v>
      </c>
      <c r="V62" s="230" t="n">
        <f aca="false">30*Таблица3[[#This Row],[Регистратор.Вес нетто]]/160930</f>
        <v>0.838874044615671</v>
      </c>
      <c r="W62" s="189" t="s">
        <v>51</v>
      </c>
      <c r="X62" s="189" t="s">
        <v>52</v>
      </c>
      <c r="Y62" s="216" t="n">
        <v>4</v>
      </c>
      <c r="Z62" s="221" t="n">
        <v>46180</v>
      </c>
      <c r="AA62" s="198"/>
      <c r="AB62" s="198"/>
      <c r="AC62" s="198" t="s">
        <v>53</v>
      </c>
      <c r="AD62" s="199" t="s">
        <v>54</v>
      </c>
      <c r="AE62" s="198" t="n">
        <v>74</v>
      </c>
      <c r="AF62" s="200" t="n">
        <v>46180</v>
      </c>
      <c r="AG62" s="198"/>
      <c r="AH62" s="198" t="n">
        <f aca="false">IFERROR(VLOOKUP(Таблица3[[#This Row],[№ акта]],'Степень зрелости 2026'!$H$12:$I$582,2,FALSE()),)</f>
        <v>48</v>
      </c>
    </row>
    <row r="63" customFormat="false" ht="19.4" hidden="true" customHeight="false" outlineLevel="0" collapsed="false">
      <c r="A63" s="216"/>
      <c r="B63" s="217"/>
      <c r="C63" s="191" t="n">
        <f aca="false">Таблица3[[#This Row],[Степень зрелости вспом]]</f>
        <v>53</v>
      </c>
      <c r="D63" s="218" t="n">
        <v>126</v>
      </c>
      <c r="E63" s="219"/>
      <c r="F63" s="217"/>
      <c r="G63" s="217" t="n">
        <v>13450</v>
      </c>
      <c r="H63" s="220"/>
      <c r="I63" s="217" t="n">
        <v>10827.2</v>
      </c>
      <c r="J63" s="216" t="s">
        <v>46</v>
      </c>
      <c r="K63" s="216" t="s">
        <v>47</v>
      </c>
      <c r="L63" s="216"/>
      <c r="M63" s="189" t="s">
        <v>384</v>
      </c>
      <c r="N63" s="216"/>
      <c r="O63" s="216"/>
      <c r="P63" s="216"/>
      <c r="Q63" s="216"/>
      <c r="R63" s="216" t="s">
        <v>385</v>
      </c>
      <c r="S63" s="216"/>
      <c r="T63" s="228" t="s">
        <v>50</v>
      </c>
      <c r="U63" s="195" t="str">
        <f aca="false">Таблица3[[#This Row],[Регистратор.Номенклатура]]</f>
        <v>Авола</v>
      </c>
      <c r="V63" s="230" t="n">
        <f aca="false">30*Таблица3[[#This Row],[Регистратор.Вес нетто]]/160930</f>
        <v>2.50730131112906</v>
      </c>
      <c r="W63" s="189" t="s">
        <v>51</v>
      </c>
      <c r="X63" s="189" t="s">
        <v>52</v>
      </c>
      <c r="Y63" s="216" t="n">
        <v>4</v>
      </c>
      <c r="Z63" s="221" t="n">
        <v>46180</v>
      </c>
      <c r="AA63" s="198"/>
      <c r="AB63" s="198"/>
      <c r="AC63" s="198" t="s">
        <v>302</v>
      </c>
      <c r="AD63" s="199" t="s">
        <v>54</v>
      </c>
      <c r="AE63" s="198" t="n">
        <v>76</v>
      </c>
      <c r="AF63" s="200" t="n">
        <v>46181</v>
      </c>
      <c r="AG63" s="198"/>
      <c r="AH63" s="198" t="n">
        <f aca="false">IFERROR(VLOOKUP(Таблица3[[#This Row],[№ акта]],'Степень зрелости 2026'!$H$12:$I$582,2,FALSE()),)</f>
        <v>53</v>
      </c>
    </row>
    <row r="64" customFormat="false" ht="28.35" hidden="true" customHeight="false" outlineLevel="0" collapsed="false">
      <c r="A64" s="216"/>
      <c r="B64" s="217"/>
      <c r="C64" s="191" t="n">
        <f aca="false">Таблица3[[#This Row],[Степень зрелости вспом]]</f>
        <v>53</v>
      </c>
      <c r="D64" s="218" t="n">
        <v>127</v>
      </c>
      <c r="E64" s="219"/>
      <c r="F64" s="217"/>
      <c r="G64" s="217" t="n">
        <v>13560</v>
      </c>
      <c r="H64" s="220"/>
      <c r="I64" s="217" t="n">
        <v>11458.2</v>
      </c>
      <c r="J64" s="216" t="s">
        <v>46</v>
      </c>
      <c r="K64" s="216" t="s">
        <v>47</v>
      </c>
      <c r="L64" s="216"/>
      <c r="M64" s="189" t="s">
        <v>55</v>
      </c>
      <c r="N64" s="216"/>
      <c r="O64" s="216"/>
      <c r="P64" s="216"/>
      <c r="Q64" s="216"/>
      <c r="R64" s="216" t="s">
        <v>56</v>
      </c>
      <c r="S64" s="216"/>
      <c r="T64" s="228" t="s">
        <v>50</v>
      </c>
      <c r="U64" s="195" t="str">
        <f aca="false">Таблица3[[#This Row],[Регистратор.Номенклатура]]</f>
        <v>Авола</v>
      </c>
      <c r="V64" s="230" t="n">
        <f aca="false">30*Таблица3[[#This Row],[Регистратор.Вес нетто]]/160930</f>
        <v>2.52780712110856</v>
      </c>
      <c r="W64" s="189" t="s">
        <v>51</v>
      </c>
      <c r="X64" s="189" t="s">
        <v>52</v>
      </c>
      <c r="Y64" s="216" t="n">
        <v>4</v>
      </c>
      <c r="Z64" s="221" t="n">
        <v>46180</v>
      </c>
      <c r="AA64" s="198"/>
      <c r="AB64" s="198"/>
      <c r="AC64" s="198" t="s">
        <v>302</v>
      </c>
      <c r="AD64" s="199" t="s">
        <v>54</v>
      </c>
      <c r="AE64" s="198" t="n">
        <v>77</v>
      </c>
      <c r="AF64" s="200" t="n">
        <v>46181</v>
      </c>
      <c r="AG64" s="198"/>
      <c r="AH64" s="198" t="n">
        <f aca="false">IFERROR(VLOOKUP(Таблица3[[#This Row],[№ акта]],'Степень зрелости 2026'!$H$12:$I$582,2,FALSE()),)</f>
        <v>53</v>
      </c>
    </row>
    <row r="65" customFormat="false" ht="19.4" hidden="true" customHeight="false" outlineLevel="0" collapsed="false">
      <c r="A65" s="216"/>
      <c r="B65" s="217"/>
      <c r="C65" s="191" t="n">
        <f aca="false">Таблица3[[#This Row],[Степень зрелости вспом]]</f>
        <v>48</v>
      </c>
      <c r="D65" s="218" t="n">
        <v>128</v>
      </c>
      <c r="E65" s="219"/>
      <c r="F65" s="217"/>
      <c r="G65" s="217" t="n">
        <v>4510</v>
      </c>
      <c r="H65" s="220"/>
      <c r="I65" s="217" t="n">
        <v>3720.7</v>
      </c>
      <c r="J65" s="216" t="s">
        <v>46</v>
      </c>
      <c r="K65" s="216" t="s">
        <v>47</v>
      </c>
      <c r="L65" s="216"/>
      <c r="M65" s="189" t="s">
        <v>378</v>
      </c>
      <c r="N65" s="216"/>
      <c r="O65" s="216"/>
      <c r="P65" s="216"/>
      <c r="Q65" s="216"/>
      <c r="R65" s="216" t="s">
        <v>379</v>
      </c>
      <c r="S65" s="216"/>
      <c r="T65" s="228" t="s">
        <v>50</v>
      </c>
      <c r="U65" s="195" t="str">
        <f aca="false">Таблица3[[#This Row],[Регистратор.Номенклатура]]</f>
        <v>Авола</v>
      </c>
      <c r="V65" s="230" t="n">
        <f aca="false">30*Таблица3[[#This Row],[Регистратор.Вес нетто]]/160930</f>
        <v>0.840738209159262</v>
      </c>
      <c r="W65" s="189" t="s">
        <v>51</v>
      </c>
      <c r="X65" s="189" t="s">
        <v>52</v>
      </c>
      <c r="Y65" s="216" t="n">
        <v>4</v>
      </c>
      <c r="Z65" s="221" t="n">
        <v>46180</v>
      </c>
      <c r="AA65" s="198"/>
      <c r="AB65" s="198"/>
      <c r="AC65" s="198" t="s">
        <v>53</v>
      </c>
      <c r="AD65" s="199" t="s">
        <v>54</v>
      </c>
      <c r="AE65" s="198" t="n">
        <v>78</v>
      </c>
      <c r="AF65" s="200" t="n">
        <v>46181</v>
      </c>
      <c r="AG65" s="198"/>
      <c r="AH65" s="198" t="n">
        <f aca="false">IFERROR(VLOOKUP(Таблица3[[#This Row],[№ акта]],'Степень зрелости 2026'!$H$12:$I$582,2,FALSE()),)</f>
        <v>48</v>
      </c>
    </row>
    <row r="66" customFormat="false" ht="19.4" hidden="true" customHeight="false" outlineLevel="0" collapsed="false">
      <c r="A66" s="216"/>
      <c r="B66" s="217"/>
      <c r="C66" s="191" t="n">
        <f aca="false">Таблица3[[#This Row],[Степень зрелости вспом]]</f>
        <v>50</v>
      </c>
      <c r="D66" s="218" t="n">
        <v>129</v>
      </c>
      <c r="E66" s="219"/>
      <c r="F66" s="217"/>
      <c r="G66" s="217" t="n">
        <v>13440</v>
      </c>
      <c r="H66" s="220"/>
      <c r="I66" s="217" t="n">
        <v>10819.2</v>
      </c>
      <c r="J66" s="216" t="s">
        <v>46</v>
      </c>
      <c r="K66" s="216" t="s">
        <v>47</v>
      </c>
      <c r="L66" s="216"/>
      <c r="M66" s="189" t="s">
        <v>380</v>
      </c>
      <c r="N66" s="216"/>
      <c r="O66" s="216"/>
      <c r="P66" s="216"/>
      <c r="Q66" s="216"/>
      <c r="R66" s="216" t="s">
        <v>381</v>
      </c>
      <c r="S66" s="216"/>
      <c r="T66" s="228" t="s">
        <v>50</v>
      </c>
      <c r="U66" s="195" t="str">
        <f aca="false">Таблица3[[#This Row],[Регистратор.Номенклатура]]</f>
        <v>Авола</v>
      </c>
      <c r="V66" s="230" t="n">
        <f aca="false">30*Таблица3[[#This Row],[Регистратор.Вес нетто]]/160930</f>
        <v>2.50543714658547</v>
      </c>
      <c r="W66" s="189" t="s">
        <v>51</v>
      </c>
      <c r="X66" s="189" t="s">
        <v>52</v>
      </c>
      <c r="Y66" s="216" t="n">
        <v>4</v>
      </c>
      <c r="Z66" s="221" t="n">
        <v>46180</v>
      </c>
      <c r="AA66" s="198"/>
      <c r="AB66" s="198"/>
      <c r="AC66" s="198" t="s">
        <v>53</v>
      </c>
      <c r="AD66" s="199" t="s">
        <v>54</v>
      </c>
      <c r="AE66" s="198" t="n">
        <v>79</v>
      </c>
      <c r="AF66" s="200" t="n">
        <v>46181</v>
      </c>
      <c r="AG66" s="198"/>
      <c r="AH66" s="198" t="n">
        <f aca="false">IFERROR(VLOOKUP(Таблица3[[#This Row],[№ акта]],'Степень зрелости 2026'!$H$12:$I$582,2,FALSE()),)</f>
        <v>50</v>
      </c>
    </row>
    <row r="67" s="215" customFormat="true" ht="19.4" hidden="true" customHeight="false" outlineLevel="0" collapsed="false">
      <c r="A67" s="202"/>
      <c r="B67" s="203"/>
      <c r="C67" s="204" t="n">
        <f aca="false">Таблица3[[#This Row],[Степень зрелости вспом]]</f>
        <v>49</v>
      </c>
      <c r="D67" s="205" t="n">
        <v>130</v>
      </c>
      <c r="E67" s="206"/>
      <c r="F67" s="203"/>
      <c r="G67" s="203" t="n">
        <v>13460</v>
      </c>
      <c r="H67" s="207"/>
      <c r="I67" s="203" t="n">
        <v>10700.7</v>
      </c>
      <c r="J67" s="202" t="s">
        <v>46</v>
      </c>
      <c r="K67" s="202" t="s">
        <v>47</v>
      </c>
      <c r="L67" s="202"/>
      <c r="M67" s="202" t="s">
        <v>382</v>
      </c>
      <c r="N67" s="202"/>
      <c r="O67" s="202"/>
      <c r="P67" s="202"/>
      <c r="Q67" s="208"/>
      <c r="R67" s="202" t="s">
        <v>383</v>
      </c>
      <c r="S67" s="202"/>
      <c r="T67" s="209" t="s">
        <v>50</v>
      </c>
      <c r="U67" s="209" t="str">
        <f aca="false">Таблица3[[#This Row],[Регистратор.Номенклатура]]</f>
        <v>Авола</v>
      </c>
      <c r="V67" s="232" t="n">
        <f aca="false">30*Таблица3[[#This Row],[Регистратор.Вес нетто]]/160930</f>
        <v>2.50916547567265</v>
      </c>
      <c r="W67" s="202" t="s">
        <v>51</v>
      </c>
      <c r="X67" s="202" t="s">
        <v>52</v>
      </c>
      <c r="Y67" s="202" t="n">
        <v>4</v>
      </c>
      <c r="Z67" s="211" t="n">
        <v>46180</v>
      </c>
      <c r="AA67" s="212"/>
      <c r="AB67" s="212"/>
      <c r="AC67" s="212" t="s">
        <v>53</v>
      </c>
      <c r="AD67" s="213" t="s">
        <v>54</v>
      </c>
      <c r="AE67" s="212" t="n">
        <v>80</v>
      </c>
      <c r="AF67" s="214" t="n">
        <v>46181</v>
      </c>
      <c r="AG67" s="212"/>
      <c r="AH67" s="212" t="n">
        <f aca="false">IFERROR(VLOOKUP(Таблица3[[#This Row],[№ акта]],'Степень зрелости 2026'!$H$12:$I$582,2,FALSE()),)</f>
        <v>49</v>
      </c>
    </row>
    <row r="68" customFormat="false" ht="35.05" hidden="true" customHeight="false" outlineLevel="0" collapsed="false">
      <c r="A68" s="216"/>
      <c r="B68" s="217"/>
      <c r="C68" s="191" t="n">
        <f aca="false">Таблица3[[#This Row],[Степень зрелости вспом]]</f>
        <v>47</v>
      </c>
      <c r="D68" s="218" t="n">
        <v>133</v>
      </c>
      <c r="E68" s="219"/>
      <c r="F68" s="217"/>
      <c r="G68" s="217" t="n">
        <v>4540</v>
      </c>
      <c r="H68" s="220"/>
      <c r="I68" s="217" t="n">
        <v>3609.3</v>
      </c>
      <c r="J68" s="216" t="s">
        <v>46</v>
      </c>
      <c r="K68" s="216" t="s">
        <v>47</v>
      </c>
      <c r="L68" s="216"/>
      <c r="M68" s="233" t="s">
        <v>378</v>
      </c>
      <c r="N68" s="216"/>
      <c r="O68" s="216"/>
      <c r="P68" s="216"/>
      <c r="Q68" s="216"/>
      <c r="R68" s="216" t="s">
        <v>379</v>
      </c>
      <c r="S68" s="216"/>
      <c r="T68" s="228" t="s">
        <v>50</v>
      </c>
      <c r="U68" s="195" t="str">
        <f aca="false">Таблица3[[#This Row],[Регистратор.Номенклатура]]</f>
        <v>Авола</v>
      </c>
      <c r="V68" s="230" t="n">
        <f aca="false">41*Таблица3[[#This Row],[Регистратор.Вес нетто]]/246500</f>
        <v>0.755131845841785</v>
      </c>
      <c r="W68" s="189" t="s">
        <v>51</v>
      </c>
      <c r="X68" s="189" t="s">
        <v>52</v>
      </c>
      <c r="Y68" s="216" t="n">
        <v>5</v>
      </c>
      <c r="Z68" s="221" t="n">
        <v>46181</v>
      </c>
      <c r="AA68" s="198"/>
      <c r="AB68" s="198"/>
      <c r="AC68" s="198" t="s">
        <v>53</v>
      </c>
      <c r="AD68" s="199" t="s">
        <v>54</v>
      </c>
      <c r="AE68" s="198" t="n">
        <v>81</v>
      </c>
      <c r="AF68" s="200" t="n">
        <v>46181</v>
      </c>
      <c r="AG68" s="198"/>
      <c r="AH68" s="198" t="n">
        <f aca="false">IFERROR(VLOOKUP(Таблица3[[#This Row],[№ акта]],'Степень зрелости 2026'!$H$12:$I$582,2,FALSE()),)</f>
        <v>47</v>
      </c>
    </row>
    <row r="69" customFormat="false" ht="35.05" hidden="true" customHeight="false" outlineLevel="0" collapsed="false">
      <c r="A69" s="216"/>
      <c r="B69" s="217"/>
      <c r="C69" s="191" t="n">
        <f aca="false">Таблица3[[#This Row],[Степень зрелости вспом]]</f>
        <v>49</v>
      </c>
      <c r="D69" s="218" t="n">
        <v>132</v>
      </c>
      <c r="E69" s="219"/>
      <c r="F69" s="217"/>
      <c r="G69" s="217" t="n">
        <v>13580</v>
      </c>
      <c r="H69" s="220"/>
      <c r="I69" s="217" t="n">
        <v>10931.9</v>
      </c>
      <c r="J69" s="216" t="s">
        <v>46</v>
      </c>
      <c r="K69" s="216" t="s">
        <v>47</v>
      </c>
      <c r="L69" s="216"/>
      <c r="M69" s="233" t="s">
        <v>55</v>
      </c>
      <c r="N69" s="216"/>
      <c r="O69" s="216"/>
      <c r="P69" s="216"/>
      <c r="Q69" s="216"/>
      <c r="R69" s="216" t="s">
        <v>56</v>
      </c>
      <c r="S69" s="216"/>
      <c r="T69" s="228" t="s">
        <v>50</v>
      </c>
      <c r="U69" s="195" t="str">
        <f aca="false">Таблица3[[#This Row],[Регистратор.Номенклатура]]</f>
        <v>Авола</v>
      </c>
      <c r="V69" s="230" t="n">
        <f aca="false">41*Таблица3[[#This Row],[Регистратор.Вес нетто]]/246500</f>
        <v>2.25874239350913</v>
      </c>
      <c r="W69" s="189" t="s">
        <v>51</v>
      </c>
      <c r="X69" s="189" t="s">
        <v>52</v>
      </c>
      <c r="Y69" s="216" t="n">
        <v>5</v>
      </c>
      <c r="Z69" s="221" t="n">
        <v>46181</v>
      </c>
      <c r="AA69" s="198"/>
      <c r="AB69" s="198"/>
      <c r="AC69" s="198" t="s">
        <v>53</v>
      </c>
      <c r="AD69" s="199" t="s">
        <v>54</v>
      </c>
      <c r="AE69" s="198" t="n">
        <v>82</v>
      </c>
      <c r="AF69" s="200" t="n">
        <v>46181</v>
      </c>
      <c r="AG69" s="198"/>
      <c r="AH69" s="198" t="n">
        <f aca="false">IFERROR(VLOOKUP(Таблица3[[#This Row],[№ акта]],'Степень зрелости 2026'!$H$12:$I$582,2,FALSE()),)</f>
        <v>49</v>
      </c>
    </row>
    <row r="70" customFormat="false" ht="23.85" hidden="true" customHeight="false" outlineLevel="0" collapsed="false">
      <c r="A70" s="216"/>
      <c r="B70" s="217"/>
      <c r="C70" s="191" t="n">
        <f aca="false">Таблица3[[#This Row],[Степень зрелости вспом]]</f>
        <v>48</v>
      </c>
      <c r="D70" s="218" t="n">
        <v>131</v>
      </c>
      <c r="E70" s="219"/>
      <c r="F70" s="217"/>
      <c r="G70" s="217" t="n">
        <v>13240</v>
      </c>
      <c r="H70" s="220"/>
      <c r="I70" s="217" t="n">
        <v>10790.6</v>
      </c>
      <c r="J70" s="216" t="s">
        <v>46</v>
      </c>
      <c r="K70" s="216" t="s">
        <v>47</v>
      </c>
      <c r="L70" s="216"/>
      <c r="M70" s="233" t="s">
        <v>384</v>
      </c>
      <c r="N70" s="216"/>
      <c r="O70" s="216"/>
      <c r="P70" s="216"/>
      <c r="Q70" s="216"/>
      <c r="R70" s="216" t="s">
        <v>385</v>
      </c>
      <c r="S70" s="216"/>
      <c r="T70" s="228" t="s">
        <v>50</v>
      </c>
      <c r="U70" s="195" t="str">
        <f aca="false">Таблица3[[#This Row],[Регистратор.Номенклатура]]</f>
        <v>Авола</v>
      </c>
      <c r="V70" s="230" t="n">
        <f aca="false">41*Таблица3[[#This Row],[Регистратор.Вес нетто]]/246500</f>
        <v>2.2021906693712</v>
      </c>
      <c r="W70" s="189" t="s">
        <v>51</v>
      </c>
      <c r="X70" s="189" t="s">
        <v>52</v>
      </c>
      <c r="Y70" s="216" t="n">
        <v>5</v>
      </c>
      <c r="Z70" s="221" t="n">
        <v>46181</v>
      </c>
      <c r="AA70" s="198"/>
      <c r="AB70" s="198"/>
      <c r="AC70" s="198" t="s">
        <v>53</v>
      </c>
      <c r="AD70" s="199" t="s">
        <v>54</v>
      </c>
      <c r="AE70" s="198" t="n">
        <v>83</v>
      </c>
      <c r="AF70" s="200" t="n">
        <v>46181</v>
      </c>
      <c r="AG70" s="198"/>
      <c r="AH70" s="198" t="n">
        <f aca="false">IFERROR(VLOOKUP(Таблица3[[#This Row],[№ акта]],'Степень зрелости 2026'!$H$12:$I$582,2,FALSE()),)</f>
        <v>48</v>
      </c>
    </row>
    <row r="71" customFormat="false" ht="23.85" hidden="true" customHeight="false" outlineLevel="0" collapsed="false">
      <c r="A71" s="216"/>
      <c r="B71" s="217"/>
      <c r="C71" s="191" t="n">
        <f aca="false">Таблица3[[#This Row],[Степень зрелости вспом]]</f>
        <v>47</v>
      </c>
      <c r="D71" s="218" t="n">
        <v>134</v>
      </c>
      <c r="E71" s="219"/>
      <c r="F71" s="217"/>
      <c r="G71" s="217" t="n">
        <v>13410</v>
      </c>
      <c r="H71" s="220"/>
      <c r="I71" s="217" t="n">
        <v>10661</v>
      </c>
      <c r="J71" s="216" t="s">
        <v>46</v>
      </c>
      <c r="K71" s="216" t="s">
        <v>47</v>
      </c>
      <c r="L71" s="216"/>
      <c r="M71" s="233" t="s">
        <v>48</v>
      </c>
      <c r="N71" s="216"/>
      <c r="O71" s="216"/>
      <c r="P71" s="216"/>
      <c r="Q71" s="216"/>
      <c r="R71" s="216" t="s">
        <v>49</v>
      </c>
      <c r="S71" s="216"/>
      <c r="T71" s="228" t="s">
        <v>50</v>
      </c>
      <c r="U71" s="195" t="str">
        <f aca="false">Таблица3[[#This Row],[Регистратор.Номенклатура]]</f>
        <v>Авола</v>
      </c>
      <c r="V71" s="230" t="n">
        <f aca="false">41*Таблица3[[#This Row],[Регистратор.Вес нетто]]/246500</f>
        <v>2.23046653144016</v>
      </c>
      <c r="W71" s="189" t="s">
        <v>51</v>
      </c>
      <c r="X71" s="189" t="s">
        <v>52</v>
      </c>
      <c r="Y71" s="216" t="n">
        <v>5</v>
      </c>
      <c r="Z71" s="221" t="n">
        <v>46181</v>
      </c>
      <c r="AA71" s="198"/>
      <c r="AB71" s="198"/>
      <c r="AC71" s="198" t="s">
        <v>53</v>
      </c>
      <c r="AD71" s="199" t="s">
        <v>54</v>
      </c>
      <c r="AE71" s="198" t="n">
        <v>84</v>
      </c>
      <c r="AF71" s="200" t="n">
        <v>46181</v>
      </c>
      <c r="AG71" s="198"/>
      <c r="AH71" s="198" t="n">
        <f aca="false">IFERROR(VLOOKUP(Таблица3[[#This Row],[№ акта]],'Степень зрелости 2026'!$H$12:$I$582,2,FALSE()),)</f>
        <v>47</v>
      </c>
    </row>
    <row r="72" customFormat="false" ht="35.05" hidden="true" customHeight="false" outlineLevel="0" collapsed="false">
      <c r="A72" s="216"/>
      <c r="B72" s="217"/>
      <c r="C72" s="191" t="n">
        <f aca="false">Таблица3[[#This Row],[Степень зрелости вспом]]</f>
        <v>48</v>
      </c>
      <c r="D72" s="218" t="n">
        <v>136</v>
      </c>
      <c r="E72" s="219"/>
      <c r="F72" s="217"/>
      <c r="G72" s="217" t="n">
        <v>13650</v>
      </c>
      <c r="H72" s="220"/>
      <c r="I72" s="217" t="n">
        <v>11124.7</v>
      </c>
      <c r="J72" s="216" t="s">
        <v>46</v>
      </c>
      <c r="K72" s="216" t="s">
        <v>47</v>
      </c>
      <c r="L72" s="216"/>
      <c r="M72" s="233" t="s">
        <v>386</v>
      </c>
      <c r="N72" s="216"/>
      <c r="O72" s="216"/>
      <c r="P72" s="216"/>
      <c r="Q72" s="216"/>
      <c r="R72" s="216" t="s">
        <v>387</v>
      </c>
      <c r="S72" s="216"/>
      <c r="T72" s="228" t="s">
        <v>50</v>
      </c>
      <c r="U72" s="195" t="str">
        <f aca="false">Таблица3[[#This Row],[Регистратор.Номенклатура]]</f>
        <v>Авола</v>
      </c>
      <c r="V72" s="230" t="n">
        <f aca="false">41*Таблица3[[#This Row],[Регистратор.Вес нетто]]/246500</f>
        <v>2.27038539553753</v>
      </c>
      <c r="W72" s="189" t="s">
        <v>51</v>
      </c>
      <c r="X72" s="189" t="s">
        <v>52</v>
      </c>
      <c r="Y72" s="216" t="n">
        <v>5</v>
      </c>
      <c r="Z72" s="221" t="n">
        <v>46181</v>
      </c>
      <c r="AA72" s="198"/>
      <c r="AB72" s="198"/>
      <c r="AC72" s="198" t="s">
        <v>53</v>
      </c>
      <c r="AD72" s="199" t="s">
        <v>54</v>
      </c>
      <c r="AE72" s="198" t="n">
        <v>85</v>
      </c>
      <c r="AF72" s="200" t="n">
        <v>46181</v>
      </c>
      <c r="AG72" s="198"/>
      <c r="AH72" s="198" t="n">
        <f aca="false">IFERROR(VLOOKUP(Таблица3[[#This Row],[№ акта]],'Степень зрелости 2026'!$H$12:$I$582,2,FALSE()),)</f>
        <v>48</v>
      </c>
    </row>
    <row r="73" customFormat="false" ht="19.4" hidden="true" customHeight="false" outlineLevel="0" collapsed="false">
      <c r="A73" s="216"/>
      <c r="B73" s="217"/>
      <c r="C73" s="191" t="n">
        <f aca="false">Таблица3[[#This Row],[Степень зрелости вспом]]</f>
        <v>48</v>
      </c>
      <c r="D73" s="218" t="n">
        <v>137</v>
      </c>
      <c r="E73" s="219"/>
      <c r="F73" s="217"/>
      <c r="G73" s="217" t="n">
        <v>13630</v>
      </c>
      <c r="H73" s="220"/>
      <c r="I73" s="217" t="n">
        <v>11517.3</v>
      </c>
      <c r="J73" s="216" t="s">
        <v>46</v>
      </c>
      <c r="K73" s="216" t="s">
        <v>47</v>
      </c>
      <c r="L73" s="216"/>
      <c r="M73" s="233" t="s">
        <v>57</v>
      </c>
      <c r="N73" s="216"/>
      <c r="O73" s="216"/>
      <c r="P73" s="216"/>
      <c r="Q73" s="216"/>
      <c r="R73" s="216" t="s">
        <v>58</v>
      </c>
      <c r="S73" s="216"/>
      <c r="T73" s="228" t="s">
        <v>50</v>
      </c>
      <c r="U73" s="195" t="str">
        <f aca="false">Таблица3[[#This Row],[Регистратор.Номенклатура]]</f>
        <v>Авола</v>
      </c>
      <c r="V73" s="230" t="n">
        <f aca="false">41*Таблица3[[#This Row],[Регистратор.Вес нетто]]/246500</f>
        <v>2.26705882352941</v>
      </c>
      <c r="W73" s="189" t="s">
        <v>51</v>
      </c>
      <c r="X73" s="189" t="s">
        <v>52</v>
      </c>
      <c r="Y73" s="216" t="n">
        <v>5</v>
      </c>
      <c r="Z73" s="221" t="n">
        <v>46181</v>
      </c>
      <c r="AA73" s="198"/>
      <c r="AB73" s="198"/>
      <c r="AC73" s="198" t="s">
        <v>53</v>
      </c>
      <c r="AD73" s="199" t="s">
        <v>54</v>
      </c>
      <c r="AE73" s="198" t="n">
        <v>86</v>
      </c>
      <c r="AF73" s="200" t="n">
        <v>46181</v>
      </c>
      <c r="AG73" s="198"/>
      <c r="AH73" s="198" t="n">
        <f aca="false">IFERROR(VLOOKUP(Таблица3[[#This Row],[№ акта]],'Степень зрелости 2026'!$H$12:$I$582,2,FALSE()),)</f>
        <v>48</v>
      </c>
    </row>
    <row r="74" customFormat="false" ht="23.85" hidden="true" customHeight="false" outlineLevel="0" collapsed="false">
      <c r="A74" s="216"/>
      <c r="B74" s="217"/>
      <c r="C74" s="191" t="n">
        <f aca="false">Таблица3[[#This Row],[Степень зрелости вспом]]</f>
        <v>49</v>
      </c>
      <c r="D74" s="218" t="n">
        <v>138</v>
      </c>
      <c r="E74" s="219"/>
      <c r="F74" s="217"/>
      <c r="G74" s="217" t="n">
        <v>6730</v>
      </c>
      <c r="H74" s="220"/>
      <c r="I74" s="217" t="n">
        <v>5653.2</v>
      </c>
      <c r="J74" s="216" t="s">
        <v>46</v>
      </c>
      <c r="K74" s="216" t="s">
        <v>47</v>
      </c>
      <c r="L74" s="216"/>
      <c r="M74" s="233" t="s">
        <v>48</v>
      </c>
      <c r="N74" s="216"/>
      <c r="O74" s="216"/>
      <c r="P74" s="216"/>
      <c r="Q74" s="216"/>
      <c r="R74" s="216" t="s">
        <v>49</v>
      </c>
      <c r="S74" s="216"/>
      <c r="T74" s="228" t="s">
        <v>50</v>
      </c>
      <c r="U74" s="195" t="str">
        <f aca="false">Таблица3[[#This Row],[Регистратор.Номенклатура]]</f>
        <v>Авола</v>
      </c>
      <c r="V74" s="230" t="n">
        <f aca="false">41*Таблица3[[#This Row],[Регистратор.Вес нетто]]/246500</f>
        <v>1.11939148073022</v>
      </c>
      <c r="W74" s="189" t="s">
        <v>51</v>
      </c>
      <c r="X74" s="189" t="s">
        <v>52</v>
      </c>
      <c r="Y74" s="216" t="n">
        <v>5</v>
      </c>
      <c r="Z74" s="221" t="n">
        <v>46181</v>
      </c>
      <c r="AA74" s="198"/>
      <c r="AB74" s="198"/>
      <c r="AC74" s="198" t="s">
        <v>53</v>
      </c>
      <c r="AD74" s="199" t="s">
        <v>54</v>
      </c>
      <c r="AE74" s="198" t="n">
        <v>87</v>
      </c>
      <c r="AF74" s="200" t="n">
        <v>46181</v>
      </c>
      <c r="AG74" s="198"/>
      <c r="AH74" s="198" t="n">
        <f aca="false">IFERROR(VLOOKUP(Таблица3[[#This Row],[№ акта]],'Степень зрелости 2026'!$H$12:$I$582,2,FALSE()),)</f>
        <v>49</v>
      </c>
    </row>
    <row r="75" customFormat="false" ht="23.85" hidden="true" customHeight="false" outlineLevel="0" collapsed="false">
      <c r="A75" s="216"/>
      <c r="B75" s="217"/>
      <c r="C75" s="191" t="n">
        <f aca="false">Таблица3[[#This Row],[Степень зрелости вспом]]</f>
        <v>49</v>
      </c>
      <c r="D75" s="218" t="n">
        <v>140</v>
      </c>
      <c r="E75" s="219"/>
      <c r="F75" s="217"/>
      <c r="G75" s="217" t="n">
        <v>6820</v>
      </c>
      <c r="H75" s="220"/>
      <c r="I75" s="217" t="n">
        <v>5558.3</v>
      </c>
      <c r="J75" s="216" t="s">
        <v>46</v>
      </c>
      <c r="K75" s="216" t="s">
        <v>47</v>
      </c>
      <c r="L75" s="216"/>
      <c r="M75" s="233" t="s">
        <v>48</v>
      </c>
      <c r="N75" s="216"/>
      <c r="O75" s="216"/>
      <c r="P75" s="216"/>
      <c r="Q75" s="216"/>
      <c r="R75" s="216" t="s">
        <v>49</v>
      </c>
      <c r="S75" s="216"/>
      <c r="T75" s="228" t="s">
        <v>50</v>
      </c>
      <c r="U75" s="195" t="str">
        <f aca="false">Таблица3[[#This Row],[Регистратор.Номенклатура]]</f>
        <v>Авола</v>
      </c>
      <c r="V75" s="230" t="n">
        <f aca="false">41*Таблица3[[#This Row],[Регистратор.Вес нетто]]/246500</f>
        <v>1.13436105476673</v>
      </c>
      <c r="W75" s="189" t="s">
        <v>51</v>
      </c>
      <c r="X75" s="189" t="s">
        <v>52</v>
      </c>
      <c r="Y75" s="216" t="n">
        <v>5</v>
      </c>
      <c r="Z75" s="221" t="n">
        <v>46181</v>
      </c>
      <c r="AA75" s="198"/>
      <c r="AB75" s="198"/>
      <c r="AC75" s="198" t="s">
        <v>53</v>
      </c>
      <c r="AD75" s="199" t="s">
        <v>54</v>
      </c>
      <c r="AE75" s="198" t="n">
        <v>88</v>
      </c>
      <c r="AF75" s="200" t="n">
        <v>46181</v>
      </c>
      <c r="AG75" s="198"/>
      <c r="AH75" s="198" t="n">
        <f aca="false">IFERROR(VLOOKUP(Таблица3[[#This Row],[№ акта]],'Степень зрелости 2026'!$H$12:$I$582,2,FALSE()),)</f>
        <v>49</v>
      </c>
    </row>
    <row r="76" customFormat="false" ht="35.05" hidden="true" customHeight="false" outlineLevel="0" collapsed="false">
      <c r="A76" s="216"/>
      <c r="B76" s="217"/>
      <c r="C76" s="191" t="n">
        <f aca="false">Таблица3[[#This Row],[Степень зрелости вспом]]</f>
        <v>50</v>
      </c>
      <c r="D76" s="218" t="n">
        <v>141</v>
      </c>
      <c r="E76" s="219"/>
      <c r="F76" s="217"/>
      <c r="G76" s="217" t="n">
        <v>13350</v>
      </c>
      <c r="H76" s="220"/>
      <c r="I76" s="217" t="n">
        <v>11547.7</v>
      </c>
      <c r="J76" s="216" t="s">
        <v>46</v>
      </c>
      <c r="K76" s="216" t="s">
        <v>47</v>
      </c>
      <c r="L76" s="216"/>
      <c r="M76" s="233" t="s">
        <v>386</v>
      </c>
      <c r="N76" s="216"/>
      <c r="O76" s="216"/>
      <c r="P76" s="216"/>
      <c r="Q76" s="216"/>
      <c r="R76" s="216" t="s">
        <v>387</v>
      </c>
      <c r="S76" s="216"/>
      <c r="T76" s="228" t="s">
        <v>50</v>
      </c>
      <c r="U76" s="195" t="str">
        <f aca="false">Таблица3[[#This Row],[Регистратор.Номенклатура]]</f>
        <v>Авола</v>
      </c>
      <c r="V76" s="230" t="n">
        <f aca="false">41*Таблица3[[#This Row],[Регистратор.Вес нетто]]/246500</f>
        <v>2.22048681541582</v>
      </c>
      <c r="W76" s="189" t="s">
        <v>51</v>
      </c>
      <c r="X76" s="189" t="s">
        <v>52</v>
      </c>
      <c r="Y76" s="216" t="n">
        <v>5</v>
      </c>
      <c r="Z76" s="221" t="n">
        <v>46181</v>
      </c>
      <c r="AA76" s="198"/>
      <c r="AB76" s="198"/>
      <c r="AC76" s="198" t="s">
        <v>53</v>
      </c>
      <c r="AD76" s="199" t="s">
        <v>54</v>
      </c>
      <c r="AE76" s="198" t="n">
        <v>89</v>
      </c>
      <c r="AF76" s="200" t="n">
        <v>46181</v>
      </c>
      <c r="AG76" s="198"/>
      <c r="AH76" s="198" t="n">
        <f aca="false">IFERROR(VLOOKUP(Таблица3[[#This Row],[№ акта]],'Степень зрелости 2026'!$H$12:$I$582,2,FALSE()),)</f>
        <v>50</v>
      </c>
    </row>
    <row r="77" customFormat="false" ht="19.4" hidden="true" customHeight="false" outlineLevel="0" collapsed="false">
      <c r="A77" s="216"/>
      <c r="B77" s="217"/>
      <c r="C77" s="191" t="n">
        <f aca="false">Таблица3[[#This Row],[Степень зрелости вспом]]</f>
        <v>51</v>
      </c>
      <c r="D77" s="218" t="n">
        <v>143</v>
      </c>
      <c r="E77" s="219"/>
      <c r="F77" s="217"/>
      <c r="G77" s="217" t="n">
        <v>13560</v>
      </c>
      <c r="H77" s="220"/>
      <c r="I77" s="217" t="n">
        <v>10915.8</v>
      </c>
      <c r="J77" s="216" t="s">
        <v>46</v>
      </c>
      <c r="K77" s="216" t="s">
        <v>47</v>
      </c>
      <c r="L77" s="216"/>
      <c r="M77" s="233" t="s">
        <v>57</v>
      </c>
      <c r="N77" s="216"/>
      <c r="O77" s="216"/>
      <c r="P77" s="216"/>
      <c r="Q77" s="216"/>
      <c r="R77" s="216" t="s">
        <v>58</v>
      </c>
      <c r="S77" s="216"/>
      <c r="T77" s="228" t="s">
        <v>50</v>
      </c>
      <c r="U77" s="195" t="str">
        <f aca="false">Таблица3[[#This Row],[Регистратор.Номенклатура]]</f>
        <v>Авола</v>
      </c>
      <c r="V77" s="230" t="n">
        <f aca="false">41*Таблица3[[#This Row],[Регистратор.Вес нетто]]/246500</f>
        <v>2.25541582150101</v>
      </c>
      <c r="W77" s="189" t="s">
        <v>51</v>
      </c>
      <c r="X77" s="189" t="s">
        <v>52</v>
      </c>
      <c r="Y77" s="216" t="n">
        <v>5</v>
      </c>
      <c r="Z77" s="221" t="n">
        <v>46181</v>
      </c>
      <c r="AA77" s="198"/>
      <c r="AB77" s="198"/>
      <c r="AC77" s="198" t="s">
        <v>53</v>
      </c>
      <c r="AD77" s="199" t="s">
        <v>54</v>
      </c>
      <c r="AE77" s="198" t="n">
        <v>90</v>
      </c>
      <c r="AF77" s="200" t="n">
        <v>46181</v>
      </c>
      <c r="AG77" s="198"/>
      <c r="AH77" s="198" t="n">
        <f aca="false">IFERROR(VLOOKUP(Таблица3[[#This Row],[№ акта]],'Степень зрелости 2026'!$H$12:$I$582,2,FALSE()),)</f>
        <v>51</v>
      </c>
    </row>
    <row r="78" customFormat="false" ht="23.85" hidden="true" customHeight="false" outlineLevel="0" collapsed="false">
      <c r="A78" s="216"/>
      <c r="B78" s="217"/>
      <c r="C78" s="191" t="n">
        <f aca="false">Таблица3[[#This Row],[Степень зрелости вспом]]</f>
        <v>49</v>
      </c>
      <c r="D78" s="218" t="n">
        <v>144</v>
      </c>
      <c r="E78" s="219"/>
      <c r="F78" s="217"/>
      <c r="G78" s="217" t="n">
        <v>13690</v>
      </c>
      <c r="H78" s="220"/>
      <c r="I78" s="217" t="n">
        <v>11362.7</v>
      </c>
      <c r="J78" s="216" t="s">
        <v>46</v>
      </c>
      <c r="K78" s="216" t="s">
        <v>47</v>
      </c>
      <c r="L78" s="216"/>
      <c r="M78" s="233" t="s">
        <v>48</v>
      </c>
      <c r="N78" s="216"/>
      <c r="O78" s="216"/>
      <c r="P78" s="216"/>
      <c r="Q78" s="216"/>
      <c r="R78" s="216" t="s">
        <v>49</v>
      </c>
      <c r="S78" s="216"/>
      <c r="T78" s="228" t="s">
        <v>50</v>
      </c>
      <c r="U78" s="195" t="str">
        <f aca="false">Таблица3[[#This Row],[Регистратор.Номенклатура]]</f>
        <v>Авола</v>
      </c>
      <c r="V78" s="230" t="n">
        <f aca="false">41*Таблица3[[#This Row],[Регистратор.Вес нетто]]/246500</f>
        <v>2.27703853955375</v>
      </c>
      <c r="W78" s="189" t="s">
        <v>51</v>
      </c>
      <c r="X78" s="189" t="s">
        <v>52</v>
      </c>
      <c r="Y78" s="216" t="n">
        <v>5</v>
      </c>
      <c r="Z78" s="221" t="n">
        <v>46181</v>
      </c>
      <c r="AA78" s="198"/>
      <c r="AB78" s="198"/>
      <c r="AC78" s="198" t="s">
        <v>53</v>
      </c>
      <c r="AD78" s="199" t="s">
        <v>54</v>
      </c>
      <c r="AE78" s="198" t="n">
        <v>91</v>
      </c>
      <c r="AF78" s="200" t="n">
        <v>46181</v>
      </c>
      <c r="AG78" s="198"/>
      <c r="AH78" s="198" t="n">
        <f aca="false">IFERROR(VLOOKUP(Таблица3[[#This Row],[№ акта]],'Степень зрелости 2026'!$H$12:$I$582,2,FALSE()),)</f>
        <v>49</v>
      </c>
    </row>
    <row r="79" customFormat="false" ht="23.85" hidden="true" customHeight="false" outlineLevel="0" collapsed="false">
      <c r="A79" s="216"/>
      <c r="B79" s="217"/>
      <c r="C79" s="191" t="n">
        <f aca="false">Таблица3[[#This Row],[Степень зрелости вспом]]</f>
        <v>51</v>
      </c>
      <c r="D79" s="218" t="n">
        <v>149</v>
      </c>
      <c r="E79" s="219"/>
      <c r="F79" s="217"/>
      <c r="G79" s="217" t="n">
        <v>13330</v>
      </c>
      <c r="H79" s="220"/>
      <c r="I79" s="217" t="n">
        <v>10863.9</v>
      </c>
      <c r="J79" s="216" t="s">
        <v>46</v>
      </c>
      <c r="K79" s="216" t="s">
        <v>47</v>
      </c>
      <c r="L79" s="216"/>
      <c r="M79" s="233" t="s">
        <v>48</v>
      </c>
      <c r="N79" s="216"/>
      <c r="O79" s="216"/>
      <c r="P79" s="216"/>
      <c r="Q79" s="216"/>
      <c r="R79" s="216" t="s">
        <v>49</v>
      </c>
      <c r="S79" s="216"/>
      <c r="T79" s="228" t="s">
        <v>50</v>
      </c>
      <c r="U79" s="195" t="str">
        <f aca="false">Таблица3[[#This Row],[Регистратор.Номенклатура]]</f>
        <v>Авола</v>
      </c>
      <c r="V79" s="230" t="n">
        <f aca="false">41*Таблица3[[#This Row],[Регистратор.Вес нетто]]/246500</f>
        <v>2.21716024340771</v>
      </c>
      <c r="W79" s="189" t="s">
        <v>51</v>
      </c>
      <c r="X79" s="189" t="s">
        <v>52</v>
      </c>
      <c r="Y79" s="216" t="n">
        <v>5</v>
      </c>
      <c r="Z79" s="221" t="n">
        <v>46181</v>
      </c>
      <c r="AA79" s="198"/>
      <c r="AB79" s="198"/>
      <c r="AC79" s="198" t="s">
        <v>53</v>
      </c>
      <c r="AD79" s="199" t="s">
        <v>54</v>
      </c>
      <c r="AE79" s="198" t="n">
        <v>95</v>
      </c>
      <c r="AF79" s="200" t="n">
        <v>46181</v>
      </c>
      <c r="AG79" s="198"/>
      <c r="AH79" s="198" t="n">
        <f aca="false">IFERROR(VLOOKUP(Таблица3[[#This Row],[№ акта]],'Степень зрелости 2026'!$H$12:$I$582,2,FALSE()),)</f>
        <v>51</v>
      </c>
    </row>
    <row r="80" customFormat="false" ht="35.05" hidden="true" customHeight="false" outlineLevel="0" collapsed="false">
      <c r="A80" s="216"/>
      <c r="B80" s="217"/>
      <c r="C80" s="191" t="n">
        <f aca="false">Таблица3[[#This Row],[Степень зрелости вспом]]</f>
        <v>48</v>
      </c>
      <c r="D80" s="218" t="n">
        <v>150</v>
      </c>
      <c r="E80" s="219"/>
      <c r="F80" s="217"/>
      <c r="G80" s="217" t="n">
        <v>13340</v>
      </c>
      <c r="H80" s="220"/>
      <c r="I80" s="217" t="n">
        <v>10738.7</v>
      </c>
      <c r="J80" s="216" t="s">
        <v>46</v>
      </c>
      <c r="K80" s="216" t="s">
        <v>47</v>
      </c>
      <c r="L80" s="216"/>
      <c r="M80" s="233" t="s">
        <v>386</v>
      </c>
      <c r="N80" s="216"/>
      <c r="O80" s="216"/>
      <c r="P80" s="216"/>
      <c r="Q80" s="216"/>
      <c r="R80" s="216" t="s">
        <v>387</v>
      </c>
      <c r="S80" s="216"/>
      <c r="T80" s="228" t="s">
        <v>50</v>
      </c>
      <c r="U80" s="195" t="str">
        <f aca="false">Таблица3[[#This Row],[Регистратор.Номенклатура]]</f>
        <v>Авола</v>
      </c>
      <c r="V80" s="230" t="n">
        <f aca="false">41*Таблица3[[#This Row],[Регистратор.Вес нетто]]/246500</f>
        <v>2.21882352941176</v>
      </c>
      <c r="W80" s="189" t="s">
        <v>51</v>
      </c>
      <c r="X80" s="189" t="s">
        <v>52</v>
      </c>
      <c r="Y80" s="216" t="n">
        <v>5</v>
      </c>
      <c r="Z80" s="221" t="n">
        <v>46181</v>
      </c>
      <c r="AA80" s="198"/>
      <c r="AB80" s="198"/>
      <c r="AC80" s="198" t="s">
        <v>53</v>
      </c>
      <c r="AD80" s="199" t="s">
        <v>54</v>
      </c>
      <c r="AE80" s="198" t="n">
        <v>96</v>
      </c>
      <c r="AF80" s="200" t="n">
        <v>46181</v>
      </c>
      <c r="AG80" s="198"/>
      <c r="AH80" s="198" t="n">
        <f aca="false">IFERROR(VLOOKUP(Таблица3[[#This Row],[№ акта]],'Степень зрелости 2026'!$H$12:$I$582,2,FALSE()),)</f>
        <v>48</v>
      </c>
    </row>
    <row r="81" customFormat="false" ht="35.05" hidden="true" customHeight="false" outlineLevel="0" collapsed="false">
      <c r="A81" s="216"/>
      <c r="B81" s="217"/>
      <c r="C81" s="191" t="n">
        <f aca="false">Таблица3[[#This Row],[Степень зрелости вспом]]</f>
        <v>51</v>
      </c>
      <c r="D81" s="218" t="n">
        <v>146</v>
      </c>
      <c r="E81" s="219"/>
      <c r="F81" s="217"/>
      <c r="G81" s="217" t="n">
        <v>13980</v>
      </c>
      <c r="H81" s="220"/>
      <c r="I81" s="217" t="n">
        <v>11952.9</v>
      </c>
      <c r="J81" s="216" t="s">
        <v>46</v>
      </c>
      <c r="K81" s="216" t="s">
        <v>47</v>
      </c>
      <c r="L81" s="216"/>
      <c r="M81" s="233" t="s">
        <v>386</v>
      </c>
      <c r="N81" s="216"/>
      <c r="O81" s="216"/>
      <c r="P81" s="216"/>
      <c r="Q81" s="216"/>
      <c r="R81" s="216" t="s">
        <v>387</v>
      </c>
      <c r="S81" s="216"/>
      <c r="T81" s="228" t="s">
        <v>50</v>
      </c>
      <c r="U81" s="195" t="str">
        <f aca="false">Таблица3[[#This Row],[Регистратор.Номенклатура]]</f>
        <v>Авола</v>
      </c>
      <c r="V81" s="230" t="n">
        <f aca="false">41*Таблица3[[#This Row],[Регистратор.Вес нетто]]/246500</f>
        <v>2.3252738336714</v>
      </c>
      <c r="W81" s="189" t="s">
        <v>51</v>
      </c>
      <c r="X81" s="189" t="s">
        <v>52</v>
      </c>
      <c r="Y81" s="216" t="n">
        <v>5</v>
      </c>
      <c r="Z81" s="221" t="n">
        <v>46181</v>
      </c>
      <c r="AA81" s="198"/>
      <c r="AB81" s="198"/>
      <c r="AC81" s="198" t="s">
        <v>53</v>
      </c>
      <c r="AD81" s="199" t="s">
        <v>54</v>
      </c>
      <c r="AE81" s="198" t="n">
        <v>92</v>
      </c>
      <c r="AF81" s="200" t="n">
        <v>46181</v>
      </c>
      <c r="AG81" s="198"/>
      <c r="AH81" s="198" t="n">
        <f aca="false">IFERROR(VLOOKUP(Таблица3[[#This Row],[№ акта]],'Степень зрелости 2026'!$H$12:$I$582,2,FALSE()),)</f>
        <v>51</v>
      </c>
    </row>
    <row r="82" customFormat="false" ht="19.4" hidden="true" customHeight="false" outlineLevel="0" collapsed="false">
      <c r="A82" s="216"/>
      <c r="B82" s="217"/>
      <c r="C82" s="191" t="n">
        <f aca="false">Таблица3[[#This Row],[Степень зрелости вспом]]</f>
        <v>50</v>
      </c>
      <c r="D82" s="218" t="n">
        <v>147</v>
      </c>
      <c r="E82" s="219"/>
      <c r="F82" s="217"/>
      <c r="G82" s="217" t="n">
        <v>13180</v>
      </c>
      <c r="H82" s="220"/>
      <c r="I82" s="217" t="n">
        <v>10873.5</v>
      </c>
      <c r="J82" s="216" t="s">
        <v>46</v>
      </c>
      <c r="K82" s="216" t="s">
        <v>47</v>
      </c>
      <c r="L82" s="216"/>
      <c r="M82" s="233" t="s">
        <v>57</v>
      </c>
      <c r="N82" s="216"/>
      <c r="O82" s="216"/>
      <c r="P82" s="216"/>
      <c r="Q82" s="216"/>
      <c r="R82" s="216" t="s">
        <v>58</v>
      </c>
      <c r="S82" s="216"/>
      <c r="T82" s="228" t="s">
        <v>50</v>
      </c>
      <c r="U82" s="195" t="str">
        <f aca="false">Таблица3[[#This Row],[Регистратор.Номенклатура]]</f>
        <v>Авола</v>
      </c>
      <c r="V82" s="230" t="n">
        <f aca="false">41*Таблица3[[#This Row],[Регистратор.Вес нетто]]/246500</f>
        <v>2.19221095334686</v>
      </c>
      <c r="W82" s="189" t="s">
        <v>51</v>
      </c>
      <c r="X82" s="189" t="s">
        <v>52</v>
      </c>
      <c r="Y82" s="216" t="n">
        <v>5</v>
      </c>
      <c r="Z82" s="221" t="n">
        <v>46181</v>
      </c>
      <c r="AA82" s="198"/>
      <c r="AB82" s="198"/>
      <c r="AC82" s="198" t="s">
        <v>53</v>
      </c>
      <c r="AD82" s="199" t="s">
        <v>54</v>
      </c>
      <c r="AE82" s="198" t="n">
        <v>93</v>
      </c>
      <c r="AF82" s="200" t="n">
        <v>46181</v>
      </c>
      <c r="AG82" s="198"/>
      <c r="AH82" s="198" t="n">
        <f aca="false">IFERROR(VLOOKUP(Таблица3[[#This Row],[№ акта]],'Степень зрелости 2026'!$H$12:$I$582,2,FALSE()),)</f>
        <v>50</v>
      </c>
    </row>
    <row r="83" customFormat="false" ht="35.05" hidden="true" customHeight="false" outlineLevel="0" collapsed="false">
      <c r="A83" s="216"/>
      <c r="B83" s="217"/>
      <c r="C83" s="191" t="n">
        <f aca="false">Таблица3[[#This Row],[Степень зрелости вспом]]</f>
        <v>48</v>
      </c>
      <c r="D83" s="218" t="n">
        <v>148</v>
      </c>
      <c r="E83" s="219"/>
      <c r="F83" s="217"/>
      <c r="G83" s="217" t="n">
        <v>13290</v>
      </c>
      <c r="H83" s="220"/>
      <c r="I83" s="217" t="n">
        <v>11230.1</v>
      </c>
      <c r="J83" s="216" t="s">
        <v>46</v>
      </c>
      <c r="K83" s="216" t="s">
        <v>47</v>
      </c>
      <c r="L83" s="216"/>
      <c r="M83" s="233" t="s">
        <v>55</v>
      </c>
      <c r="N83" s="216"/>
      <c r="O83" s="216"/>
      <c r="P83" s="216"/>
      <c r="Q83" s="216"/>
      <c r="R83" s="216" t="s">
        <v>56</v>
      </c>
      <c r="S83" s="216"/>
      <c r="T83" s="228" t="s">
        <v>50</v>
      </c>
      <c r="U83" s="195" t="str">
        <f aca="false">Таблица3[[#This Row],[Регистратор.Номенклатура]]</f>
        <v>Авола</v>
      </c>
      <c r="V83" s="230" t="n">
        <f aca="false">41*Таблица3[[#This Row],[Регистратор.Вес нетто]]/246500</f>
        <v>2.21050709939148</v>
      </c>
      <c r="W83" s="189" t="s">
        <v>51</v>
      </c>
      <c r="X83" s="189" t="s">
        <v>52</v>
      </c>
      <c r="Y83" s="216" t="n">
        <v>5</v>
      </c>
      <c r="Z83" s="221" t="n">
        <v>46181</v>
      </c>
      <c r="AA83" s="198"/>
      <c r="AB83" s="198"/>
      <c r="AC83" s="198" t="s">
        <v>53</v>
      </c>
      <c r="AD83" s="199" t="s">
        <v>54</v>
      </c>
      <c r="AE83" s="198" t="n">
        <v>94</v>
      </c>
      <c r="AF83" s="200" t="n">
        <v>46181</v>
      </c>
      <c r="AG83" s="198"/>
      <c r="AH83" s="198" t="n">
        <f aca="false">IFERROR(VLOOKUP(Таблица3[[#This Row],[№ акта]],'Степень зрелости 2026'!$H$12:$I$582,2,FALSE()),)</f>
        <v>48</v>
      </c>
    </row>
    <row r="84" customFormat="false" ht="19.4" hidden="true" customHeight="false" outlineLevel="0" collapsed="false">
      <c r="A84" s="216"/>
      <c r="B84" s="217"/>
      <c r="C84" s="191" t="n">
        <f aca="false">Таблица3[[#This Row],[Степень зрелости вспом]]</f>
        <v>53</v>
      </c>
      <c r="D84" s="218" t="n">
        <v>151</v>
      </c>
      <c r="E84" s="219"/>
      <c r="F84" s="217"/>
      <c r="G84" s="217" t="n">
        <v>13020</v>
      </c>
      <c r="H84" s="220"/>
      <c r="I84" s="217" t="n">
        <v>10611.3</v>
      </c>
      <c r="J84" s="216" t="s">
        <v>46</v>
      </c>
      <c r="K84" s="216" t="s">
        <v>47</v>
      </c>
      <c r="L84" s="216"/>
      <c r="M84" s="233" t="s">
        <v>57</v>
      </c>
      <c r="N84" s="216"/>
      <c r="O84" s="216"/>
      <c r="P84" s="216"/>
      <c r="Q84" s="216"/>
      <c r="R84" s="216" t="s">
        <v>58</v>
      </c>
      <c r="S84" s="216"/>
      <c r="T84" s="228" t="s">
        <v>50</v>
      </c>
      <c r="U84" s="195" t="str">
        <f aca="false">Таблица3[[#This Row],[Регистратор.Номенклатура]]</f>
        <v>Авола</v>
      </c>
      <c r="V84" s="230" t="n">
        <f aca="false">41*Таблица3[[#This Row],[Регистратор.Вес нетто]]/246500</f>
        <v>2.16559837728195</v>
      </c>
      <c r="W84" s="189" t="s">
        <v>51</v>
      </c>
      <c r="X84" s="189" t="s">
        <v>52</v>
      </c>
      <c r="Y84" s="216" t="n">
        <v>5</v>
      </c>
      <c r="Z84" s="221" t="n">
        <v>46181</v>
      </c>
      <c r="AA84" s="198"/>
      <c r="AB84" s="198"/>
      <c r="AC84" s="198" t="s">
        <v>302</v>
      </c>
      <c r="AD84" s="199" t="s">
        <v>54</v>
      </c>
      <c r="AE84" s="198" t="n">
        <v>97</v>
      </c>
      <c r="AF84" s="200" t="n">
        <v>46182</v>
      </c>
      <c r="AG84" s="198"/>
      <c r="AH84" s="198" t="n">
        <f aca="false">IFERROR(VLOOKUP(Таблица3[[#This Row],[№ акта]],'Степень зрелости 2026'!$H$12:$I$582,2,FALSE()),)</f>
        <v>53</v>
      </c>
    </row>
    <row r="85" customFormat="false" ht="35.05" hidden="true" customHeight="false" outlineLevel="0" collapsed="false">
      <c r="A85" s="216"/>
      <c r="B85" s="217"/>
      <c r="C85" s="191" t="n">
        <f aca="false">Таблица3[[#This Row],[Степень зрелости вспом]]</f>
        <v>52</v>
      </c>
      <c r="D85" s="218" t="n">
        <v>152</v>
      </c>
      <c r="E85" s="219"/>
      <c r="F85" s="217"/>
      <c r="G85" s="217" t="n">
        <v>13310</v>
      </c>
      <c r="H85" s="220"/>
      <c r="I85" s="217" t="n">
        <v>11113.9</v>
      </c>
      <c r="J85" s="216" t="s">
        <v>46</v>
      </c>
      <c r="K85" s="216" t="s">
        <v>47</v>
      </c>
      <c r="L85" s="216"/>
      <c r="M85" s="233" t="s">
        <v>55</v>
      </c>
      <c r="N85" s="216"/>
      <c r="O85" s="216"/>
      <c r="P85" s="216"/>
      <c r="Q85" s="216"/>
      <c r="R85" s="216" t="s">
        <v>56</v>
      </c>
      <c r="S85" s="216"/>
      <c r="T85" s="228" t="s">
        <v>50</v>
      </c>
      <c r="U85" s="195" t="str">
        <f aca="false">Таблица3[[#This Row],[Регистратор.Номенклатура]]</f>
        <v>Авола</v>
      </c>
      <c r="V85" s="230" t="n">
        <f aca="false">41*Таблица3[[#This Row],[Регистратор.Вес нетто]]/246500</f>
        <v>2.21383367139959</v>
      </c>
      <c r="W85" s="189" t="s">
        <v>51</v>
      </c>
      <c r="X85" s="189" t="s">
        <v>52</v>
      </c>
      <c r="Y85" s="216" t="n">
        <v>5</v>
      </c>
      <c r="Z85" s="221" t="n">
        <v>46181</v>
      </c>
      <c r="AA85" s="198"/>
      <c r="AB85" s="198"/>
      <c r="AC85" s="198" t="s">
        <v>53</v>
      </c>
      <c r="AD85" s="199" t="s">
        <v>54</v>
      </c>
      <c r="AE85" s="198" t="n">
        <v>98</v>
      </c>
      <c r="AF85" s="200" t="n">
        <v>46182</v>
      </c>
      <c r="AG85" s="198"/>
      <c r="AH85" s="198" t="n">
        <f aca="false">IFERROR(VLOOKUP(Таблица3[[#This Row],[№ акта]],'Степень зрелости 2026'!$H$12:$I$582,2,FALSE()),)</f>
        <v>52</v>
      </c>
    </row>
    <row r="86" customFormat="false" ht="23.85" hidden="true" customHeight="false" outlineLevel="0" collapsed="false">
      <c r="A86" s="216"/>
      <c r="B86" s="217"/>
      <c r="C86" s="191" t="n">
        <f aca="false">Таблица3[[#This Row],[Степень зрелости вспом]]</f>
        <v>53</v>
      </c>
      <c r="D86" s="218" t="n">
        <v>153</v>
      </c>
      <c r="E86" s="219"/>
      <c r="F86" s="217"/>
      <c r="G86" s="217" t="n">
        <v>13340</v>
      </c>
      <c r="H86" s="220"/>
      <c r="I86" s="217" t="n">
        <v>10605.3</v>
      </c>
      <c r="J86" s="216" t="s">
        <v>46</v>
      </c>
      <c r="K86" s="216" t="s">
        <v>47</v>
      </c>
      <c r="L86" s="216"/>
      <c r="M86" s="233" t="s">
        <v>48</v>
      </c>
      <c r="N86" s="216"/>
      <c r="O86" s="216"/>
      <c r="P86" s="216"/>
      <c r="Q86" s="216"/>
      <c r="R86" s="216" t="s">
        <v>49</v>
      </c>
      <c r="S86" s="216"/>
      <c r="T86" s="228" t="s">
        <v>50</v>
      </c>
      <c r="U86" s="195" t="str">
        <f aca="false">Таблица3[[#This Row],[Регистратор.Номенклатура]]</f>
        <v>Авола</v>
      </c>
      <c r="V86" s="230" t="n">
        <f aca="false">41*Таблица3[[#This Row],[Регистратор.Вес нетто]]/246500</f>
        <v>2.21882352941176</v>
      </c>
      <c r="W86" s="189" t="s">
        <v>51</v>
      </c>
      <c r="X86" s="189" t="s">
        <v>52</v>
      </c>
      <c r="Y86" s="216" t="n">
        <v>5</v>
      </c>
      <c r="Z86" s="221" t="n">
        <v>46181</v>
      </c>
      <c r="AA86" s="198"/>
      <c r="AB86" s="198"/>
      <c r="AC86" s="198" t="s">
        <v>302</v>
      </c>
      <c r="AD86" s="199" t="s">
        <v>54</v>
      </c>
      <c r="AE86" s="198" t="n">
        <v>99</v>
      </c>
      <c r="AF86" s="200" t="n">
        <v>46182</v>
      </c>
      <c r="AG86" s="198"/>
      <c r="AH86" s="198" t="n">
        <f aca="false">IFERROR(VLOOKUP(Таблица3[[#This Row],[№ акта]],'Степень зрелости 2026'!$H$12:$I$582,2,FALSE()),)</f>
        <v>53</v>
      </c>
    </row>
    <row r="87" s="215" customFormat="true" ht="19.4" hidden="true" customHeight="false" outlineLevel="0" collapsed="false">
      <c r="A87" s="202"/>
      <c r="B87" s="203"/>
      <c r="C87" s="204" t="n">
        <f aca="false">Таблица3[[#This Row],[Степень зрелости вспом]]</f>
        <v>50</v>
      </c>
      <c r="D87" s="205" t="n">
        <v>154</v>
      </c>
      <c r="E87" s="206"/>
      <c r="F87" s="203"/>
      <c r="G87" s="203" t="n">
        <v>13510</v>
      </c>
      <c r="H87" s="207"/>
      <c r="I87" s="203" t="n">
        <v>10605.3</v>
      </c>
      <c r="J87" s="202" t="s">
        <v>46</v>
      </c>
      <c r="K87" s="202" t="s">
        <v>47</v>
      </c>
      <c r="L87" s="202"/>
      <c r="M87" s="202" t="s">
        <v>386</v>
      </c>
      <c r="N87" s="202"/>
      <c r="O87" s="202"/>
      <c r="P87" s="202"/>
      <c r="Q87" s="208"/>
      <c r="R87" s="202" t="s">
        <v>387</v>
      </c>
      <c r="S87" s="202"/>
      <c r="T87" s="209" t="s">
        <v>50</v>
      </c>
      <c r="U87" s="209" t="str">
        <f aca="false">Таблица3[[#This Row],[Регистратор.Номенклатура]]</f>
        <v>Авола</v>
      </c>
      <c r="V87" s="232" t="n">
        <f aca="false">41*Таблица3[[#This Row],[Регистратор.Вес нетто]]/246500</f>
        <v>2.24709939148073</v>
      </c>
      <c r="W87" s="202" t="s">
        <v>51</v>
      </c>
      <c r="X87" s="202" t="s">
        <v>52</v>
      </c>
      <c r="Y87" s="202" t="n">
        <v>5</v>
      </c>
      <c r="Z87" s="211" t="n">
        <v>46181</v>
      </c>
      <c r="AA87" s="212"/>
      <c r="AB87" s="212"/>
      <c r="AC87" s="212" t="s">
        <v>53</v>
      </c>
      <c r="AD87" s="213" t="s">
        <v>54</v>
      </c>
      <c r="AE87" s="212" t="n">
        <v>100</v>
      </c>
      <c r="AF87" s="214" t="n">
        <v>46182</v>
      </c>
      <c r="AG87" s="212"/>
      <c r="AH87" s="212" t="n">
        <f aca="false">IFERROR(VLOOKUP(Таблица3[[#This Row],[№ акта]],'Степень зрелости 2026'!$H$12:$I$582,2,FALSE()),)</f>
        <v>50</v>
      </c>
    </row>
    <row r="88" customFormat="false" ht="19.4" hidden="false" customHeight="false" outlineLevel="0" collapsed="false">
      <c r="A88" s="216"/>
      <c r="B88" s="217"/>
      <c r="C88" s="191" t="n">
        <f aca="false">Таблица3[[#This Row],[Степень зрелости вспом]]</f>
        <v>48</v>
      </c>
      <c r="D88" s="218" t="n">
        <v>155</v>
      </c>
      <c r="E88" s="219"/>
      <c r="F88" s="217"/>
      <c r="G88" s="217" t="n">
        <v>13230</v>
      </c>
      <c r="H88" s="220"/>
      <c r="I88" s="217" t="n">
        <v>9988.7</v>
      </c>
      <c r="J88" s="216" t="s">
        <v>46</v>
      </c>
      <c r="K88" s="216" t="s">
        <v>47</v>
      </c>
      <c r="L88" s="216"/>
      <c r="M88" s="233" t="s">
        <v>57</v>
      </c>
      <c r="N88" s="216"/>
      <c r="O88" s="216"/>
      <c r="P88" s="216"/>
      <c r="Q88" s="216"/>
      <c r="R88" s="216" t="s">
        <v>58</v>
      </c>
      <c r="S88" s="216"/>
      <c r="T88" s="228" t="s">
        <v>50</v>
      </c>
      <c r="U88" s="195" t="str">
        <f aca="false">Таблица3[[#This Row],[Регистратор.Номенклатура]]</f>
        <v>Авола</v>
      </c>
      <c r="V88" s="230" t="n">
        <f aca="false">6*Таблица3[[#This Row],[Регистратор.Вес нетто]]/33500</f>
        <v>2.36955223880597</v>
      </c>
      <c r="W88" s="189" t="s">
        <v>51</v>
      </c>
      <c r="X88" s="189" t="s">
        <v>52</v>
      </c>
      <c r="Y88" s="216" t="n">
        <v>6</v>
      </c>
      <c r="Z88" s="221" t="n">
        <v>46182</v>
      </c>
      <c r="AA88" s="198"/>
      <c r="AB88" s="198"/>
      <c r="AC88" s="198" t="s">
        <v>53</v>
      </c>
      <c r="AD88" s="199" t="s">
        <v>54</v>
      </c>
      <c r="AE88" s="198" t="n">
        <v>101</v>
      </c>
      <c r="AF88" s="200" t="n">
        <v>46182</v>
      </c>
      <c r="AG88" s="198"/>
      <c r="AH88" s="198" t="n">
        <f aca="false">IFERROR(VLOOKUP(Таблица3[[#This Row],[№ акта]],'Степень зрелости 2026'!$H$12:$I$582,2,FALSE()),)</f>
        <v>48</v>
      </c>
    </row>
    <row r="89" customFormat="false" ht="35.05" hidden="false" customHeight="false" outlineLevel="0" collapsed="false">
      <c r="A89" s="216"/>
      <c r="B89" s="217"/>
      <c r="C89" s="191" t="n">
        <f aca="false">Таблица3[[#This Row],[Степень зрелости вспом]]</f>
        <v>50</v>
      </c>
      <c r="D89" s="218" t="n">
        <v>156</v>
      </c>
      <c r="E89" s="219"/>
      <c r="F89" s="217"/>
      <c r="G89" s="217" t="n">
        <v>13160</v>
      </c>
      <c r="H89" s="220"/>
      <c r="I89" s="217" t="n">
        <v>9935.8</v>
      </c>
      <c r="J89" s="216" t="s">
        <v>46</v>
      </c>
      <c r="K89" s="216" t="s">
        <v>47</v>
      </c>
      <c r="L89" s="216"/>
      <c r="M89" s="233" t="s">
        <v>55</v>
      </c>
      <c r="N89" s="216"/>
      <c r="O89" s="216"/>
      <c r="P89" s="216"/>
      <c r="Q89" s="216"/>
      <c r="R89" s="216" t="s">
        <v>56</v>
      </c>
      <c r="S89" s="216"/>
      <c r="T89" s="228" t="s">
        <v>50</v>
      </c>
      <c r="U89" s="195" t="str">
        <f aca="false">Таблица3[[#This Row],[Регистратор.Номенклатура]]</f>
        <v>Авола</v>
      </c>
      <c r="V89" s="230" t="n">
        <f aca="false">6*Таблица3[[#This Row],[Регистратор.Вес нетто]]/33500</f>
        <v>2.35701492537313</v>
      </c>
      <c r="W89" s="189" t="s">
        <v>51</v>
      </c>
      <c r="X89" s="189" t="s">
        <v>52</v>
      </c>
      <c r="Y89" s="216" t="n">
        <v>6</v>
      </c>
      <c r="Z89" s="221" t="n">
        <v>46182</v>
      </c>
      <c r="AA89" s="198"/>
      <c r="AB89" s="198"/>
      <c r="AC89" s="198" t="s">
        <v>53</v>
      </c>
      <c r="AD89" s="199" t="s">
        <v>54</v>
      </c>
      <c r="AE89" s="198" t="n">
        <v>102</v>
      </c>
      <c r="AF89" s="200" t="n">
        <v>46182</v>
      </c>
      <c r="AG89" s="198"/>
      <c r="AH89" s="198" t="n">
        <f aca="false">IFERROR(VLOOKUP(Таблица3[[#This Row],[№ акта]],'Степень зрелости 2026'!$H$12:$I$582,2,FALSE()),)</f>
        <v>50</v>
      </c>
    </row>
    <row r="90" customFormat="false" ht="23.85" hidden="false" customHeight="false" outlineLevel="0" collapsed="false">
      <c r="A90" s="216"/>
      <c r="B90" s="217"/>
      <c r="C90" s="191" t="n">
        <f aca="false">Таблица3[[#This Row],[Степень зрелости вспом]]</f>
        <v>50</v>
      </c>
      <c r="D90" s="218" t="n">
        <v>157</v>
      </c>
      <c r="E90" s="219"/>
      <c r="F90" s="217"/>
      <c r="G90" s="217" t="n">
        <v>7110</v>
      </c>
      <c r="H90" s="220"/>
      <c r="I90" s="217" t="n">
        <v>5510.3</v>
      </c>
      <c r="J90" s="216" t="s">
        <v>46</v>
      </c>
      <c r="K90" s="216" t="s">
        <v>47</v>
      </c>
      <c r="L90" s="216"/>
      <c r="M90" s="233" t="s">
        <v>48</v>
      </c>
      <c r="N90" s="216"/>
      <c r="O90" s="216"/>
      <c r="P90" s="216"/>
      <c r="Q90" s="216"/>
      <c r="R90" s="216" t="s">
        <v>49</v>
      </c>
      <c r="S90" s="216"/>
      <c r="T90" s="228" t="s">
        <v>50</v>
      </c>
      <c r="U90" s="195" t="str">
        <f aca="false">Таблица3[[#This Row],[Регистратор.Номенклатура]]</f>
        <v>Авола</v>
      </c>
      <c r="V90" s="230" t="n">
        <f aca="false">6*Таблица3[[#This Row],[Регистратор.Вес нетто]]/33500</f>
        <v>1.2734328358209</v>
      </c>
      <c r="W90" s="189" t="s">
        <v>51</v>
      </c>
      <c r="X90" s="189" t="s">
        <v>52</v>
      </c>
      <c r="Y90" s="216" t="n">
        <v>6</v>
      </c>
      <c r="Z90" s="221" t="n">
        <v>46182</v>
      </c>
      <c r="AA90" s="198"/>
      <c r="AB90" s="198"/>
      <c r="AC90" s="198" t="s">
        <v>53</v>
      </c>
      <c r="AD90" s="199" t="s">
        <v>54</v>
      </c>
      <c r="AE90" s="198" t="n">
        <v>103</v>
      </c>
      <c r="AF90" s="200" t="n">
        <v>46182</v>
      </c>
      <c r="AG90" s="198"/>
      <c r="AH90" s="198" t="n">
        <f aca="false">IFERROR(VLOOKUP(Таблица3[[#This Row],[№ акта]],'Степень зрелости 2026'!$H$12:$I$582,2,FALSE()),)</f>
        <v>50</v>
      </c>
    </row>
    <row r="91" customFormat="false" ht="35.05" hidden="false" customHeight="false" outlineLevel="0" collapsed="false">
      <c r="A91" s="216"/>
      <c r="B91" s="217"/>
      <c r="C91" s="191" t="n">
        <f aca="false">Таблица3[[#This Row],[Степень зрелости вспом]]</f>
        <v>51</v>
      </c>
      <c r="D91" s="218" t="n">
        <v>160</v>
      </c>
      <c r="E91" s="219"/>
      <c r="F91" s="217"/>
      <c r="G91" s="217" t="n">
        <v>13400</v>
      </c>
      <c r="H91" s="220"/>
      <c r="I91" s="217" t="n">
        <v>10653</v>
      </c>
      <c r="J91" s="216" t="s">
        <v>46</v>
      </c>
      <c r="K91" s="216" t="s">
        <v>68</v>
      </c>
      <c r="L91" s="216"/>
      <c r="M91" s="233" t="s">
        <v>386</v>
      </c>
      <c r="N91" s="216"/>
      <c r="O91" s="216"/>
      <c r="P91" s="216"/>
      <c r="Q91" s="216"/>
      <c r="R91" s="216" t="s">
        <v>387</v>
      </c>
      <c r="S91" s="216"/>
      <c r="T91" s="228" t="s">
        <v>67</v>
      </c>
      <c r="U91" s="195" t="str">
        <f aca="false">Таблица3[[#This Row],[Регистратор.Номенклатура]]</f>
        <v>Увертюра</v>
      </c>
      <c r="V91" s="230" t="n">
        <f aca="false">31*Таблица3[[#This Row],[Регистратор.Вес нетто]]/206840</f>
        <v>2.00831560626571</v>
      </c>
      <c r="W91" s="189" t="s">
        <v>51</v>
      </c>
      <c r="X91" s="189" t="s">
        <v>52</v>
      </c>
      <c r="Y91" s="216" t="n">
        <v>6</v>
      </c>
      <c r="Z91" s="221" t="n">
        <v>46182</v>
      </c>
      <c r="AA91" s="198"/>
      <c r="AB91" s="198"/>
      <c r="AC91" s="198" t="s">
        <v>53</v>
      </c>
      <c r="AD91" s="199" t="s">
        <v>54</v>
      </c>
      <c r="AE91" s="198" t="n">
        <v>104</v>
      </c>
      <c r="AF91" s="200" t="n">
        <v>46182</v>
      </c>
      <c r="AG91" s="198"/>
      <c r="AH91" s="198" t="n">
        <f aca="false">IFERROR(VLOOKUP(Таблица3[[#This Row],[№ акта]],'Степень зрелости 2026'!$H$12:$I$582,2,FALSE()),)</f>
        <v>51</v>
      </c>
    </row>
    <row r="92" customFormat="false" ht="23.85" hidden="false" customHeight="false" outlineLevel="0" collapsed="false">
      <c r="A92" s="216"/>
      <c r="B92" s="217"/>
      <c r="C92" s="191" t="n">
        <f aca="false">Таблица3[[#This Row],[Степень зрелости вспом]]</f>
        <v>53</v>
      </c>
      <c r="D92" s="218" t="n">
        <v>162</v>
      </c>
      <c r="E92" s="219"/>
      <c r="F92" s="217"/>
      <c r="G92" s="217" t="n">
        <v>13010</v>
      </c>
      <c r="H92" s="220"/>
      <c r="I92" s="217" t="n">
        <v>11513.8</v>
      </c>
      <c r="J92" s="216" t="s">
        <v>46</v>
      </c>
      <c r="K92" s="216" t="s">
        <v>68</v>
      </c>
      <c r="L92" s="216"/>
      <c r="M92" s="233" t="s">
        <v>380</v>
      </c>
      <c r="N92" s="216"/>
      <c r="O92" s="216"/>
      <c r="P92" s="216"/>
      <c r="Q92" s="216"/>
      <c r="R92" s="216" t="s">
        <v>381</v>
      </c>
      <c r="S92" s="216"/>
      <c r="T92" s="228" t="s">
        <v>67</v>
      </c>
      <c r="U92" s="195" t="str">
        <f aca="false">Таблица3[[#This Row],[Регистратор.Номенклатура]]</f>
        <v>Увертюра</v>
      </c>
      <c r="V92" s="230" t="n">
        <f aca="false">31*Таблица3[[#This Row],[Регистратор.Вес нетто]]/206840</f>
        <v>1.94986462966544</v>
      </c>
      <c r="W92" s="189" t="s">
        <v>51</v>
      </c>
      <c r="X92" s="189" t="s">
        <v>52</v>
      </c>
      <c r="Y92" s="216" t="n">
        <v>6</v>
      </c>
      <c r="Z92" s="221" t="n">
        <v>46182</v>
      </c>
      <c r="AA92" s="198"/>
      <c r="AB92" s="198"/>
      <c r="AC92" s="198" t="s">
        <v>302</v>
      </c>
      <c r="AD92" s="199" t="s">
        <v>54</v>
      </c>
      <c r="AE92" s="198" t="n">
        <v>106</v>
      </c>
      <c r="AF92" s="200" t="n">
        <v>46182</v>
      </c>
      <c r="AG92" s="198"/>
      <c r="AH92" s="198" t="n">
        <f aca="false">IFERROR(VLOOKUP(Таблица3[[#This Row],[№ акта]],'Степень зрелости 2026'!$H$12:$I$582,2,FALSE()),)</f>
        <v>53</v>
      </c>
    </row>
    <row r="93" customFormat="false" ht="35.05" hidden="false" customHeight="false" outlineLevel="0" collapsed="false">
      <c r="A93" s="198"/>
      <c r="B93" s="223"/>
      <c r="C93" s="234" t="n">
        <f aca="false">Таблица3[[#This Row],[Степень зрелости вспом]]</f>
        <v>53</v>
      </c>
      <c r="D93" s="224" t="n">
        <v>163</v>
      </c>
      <c r="E93" s="225"/>
      <c r="F93" s="223"/>
      <c r="G93" s="223" t="n">
        <v>13470</v>
      </c>
      <c r="H93" s="226"/>
      <c r="I93" s="223" t="n">
        <v>10978</v>
      </c>
      <c r="J93" s="198" t="s">
        <v>46</v>
      </c>
      <c r="K93" s="198" t="s">
        <v>68</v>
      </c>
      <c r="L93" s="198"/>
      <c r="M93" s="233" t="s">
        <v>388</v>
      </c>
      <c r="N93" s="198"/>
      <c r="O93" s="198"/>
      <c r="P93" s="198"/>
      <c r="Q93" s="198"/>
      <c r="R93" s="198" t="s">
        <v>389</v>
      </c>
      <c r="S93" s="198"/>
      <c r="T93" s="198" t="s">
        <v>67</v>
      </c>
      <c r="U93" s="198" t="str">
        <f aca="false">Таблица3[[#This Row],[Регистратор.Номенклатура]]</f>
        <v>Увертюра</v>
      </c>
      <c r="V93" s="230" t="n">
        <f aca="false">31*Таблица3[[#This Row],[Регистратор.Вес нетто]]/206840</f>
        <v>2.01880680719397</v>
      </c>
      <c r="W93" s="189" t="s">
        <v>51</v>
      </c>
      <c r="X93" s="189" t="s">
        <v>52</v>
      </c>
      <c r="Y93" s="216" t="n">
        <v>6</v>
      </c>
      <c r="Z93" s="221" t="n">
        <v>46182</v>
      </c>
      <c r="AA93" s="230"/>
      <c r="AB93" s="198"/>
      <c r="AC93" s="198" t="s">
        <v>302</v>
      </c>
      <c r="AD93" s="199" t="s">
        <v>54</v>
      </c>
      <c r="AE93" s="198" t="n">
        <v>107</v>
      </c>
      <c r="AF93" s="200" t="n">
        <v>46182</v>
      </c>
      <c r="AG93" s="198"/>
      <c r="AH93" s="198" t="n">
        <f aca="false">IFERROR(VLOOKUP(Таблица3[[#This Row],[№ акта]],'Степень зрелости 2026'!$H$12:$I$582,2,FALSE()),)</f>
        <v>53</v>
      </c>
    </row>
    <row r="94" customFormat="false" ht="23.85" hidden="false" customHeight="false" outlineLevel="0" collapsed="false">
      <c r="A94" s="198"/>
      <c r="B94" s="223"/>
      <c r="C94" s="234" t="n">
        <f aca="false">Таблица3[[#This Row],[Степень зрелости вспом]]</f>
        <v>56</v>
      </c>
      <c r="D94" s="224" t="n">
        <v>167</v>
      </c>
      <c r="E94" s="225"/>
      <c r="F94" s="223"/>
      <c r="G94" s="223" t="n">
        <v>13530</v>
      </c>
      <c r="H94" s="226"/>
      <c r="I94" s="223" t="n">
        <v>10756.3</v>
      </c>
      <c r="J94" s="198" t="s">
        <v>46</v>
      </c>
      <c r="K94" s="198" t="s">
        <v>68</v>
      </c>
      <c r="L94" s="198"/>
      <c r="M94" s="233" t="s">
        <v>48</v>
      </c>
      <c r="N94" s="198"/>
      <c r="O94" s="198"/>
      <c r="P94" s="198"/>
      <c r="Q94" s="198"/>
      <c r="R94" s="198" t="s">
        <v>49</v>
      </c>
      <c r="S94" s="198"/>
      <c r="T94" s="198" t="s">
        <v>67</v>
      </c>
      <c r="U94" s="198" t="str">
        <f aca="false">Таблица3[[#This Row],[Регистратор.Номенклатура]]</f>
        <v>Увертюра</v>
      </c>
      <c r="V94" s="230" t="n">
        <f aca="false">31*Таблица3[[#This Row],[Регистратор.Вес нетто]]/206840</f>
        <v>2.02779926513247</v>
      </c>
      <c r="W94" s="189" t="s">
        <v>51</v>
      </c>
      <c r="X94" s="189" t="s">
        <v>52</v>
      </c>
      <c r="Y94" s="216" t="n">
        <v>6</v>
      </c>
      <c r="Z94" s="221" t="n">
        <v>46182</v>
      </c>
      <c r="AA94" s="230"/>
      <c r="AB94" s="198"/>
      <c r="AC94" s="198" t="s">
        <v>302</v>
      </c>
      <c r="AD94" s="199" t="s">
        <v>54</v>
      </c>
      <c r="AE94" s="198" t="n">
        <v>108</v>
      </c>
      <c r="AF94" s="200" t="n">
        <v>46182</v>
      </c>
      <c r="AG94" s="198"/>
      <c r="AH94" s="198" t="n">
        <f aca="false">IFERROR(VLOOKUP(Таблица3[[#This Row],[№ акта]],'Степень зрелости 2026'!$H$12:$I$582,2,FALSE()),)</f>
        <v>56</v>
      </c>
    </row>
    <row r="95" customFormat="false" ht="35.05" hidden="false" customHeight="false" outlineLevel="0" collapsed="false">
      <c r="A95" s="198"/>
      <c r="B95" s="223"/>
      <c r="C95" s="234" t="n">
        <f aca="false">Таблица3[[#This Row],[Степень зрелости вспом]]</f>
        <v>50</v>
      </c>
      <c r="D95" s="224" t="n">
        <v>161</v>
      </c>
      <c r="E95" s="225"/>
      <c r="F95" s="223"/>
      <c r="G95" s="223" t="n">
        <v>4560</v>
      </c>
      <c r="H95" s="226"/>
      <c r="I95" s="223" t="n">
        <v>3762</v>
      </c>
      <c r="J95" s="198" t="s">
        <v>46</v>
      </c>
      <c r="K95" s="198" t="s">
        <v>68</v>
      </c>
      <c r="L95" s="198"/>
      <c r="M95" s="233" t="s">
        <v>378</v>
      </c>
      <c r="N95" s="198"/>
      <c r="O95" s="198"/>
      <c r="P95" s="198"/>
      <c r="Q95" s="198"/>
      <c r="R95" s="198" t="s">
        <v>379</v>
      </c>
      <c r="S95" s="198"/>
      <c r="T95" s="198" t="s">
        <v>67</v>
      </c>
      <c r="U95" s="198" t="str">
        <f aca="false">Таблица3[[#This Row],[Регистратор.Номенклатура]]</f>
        <v>Увертюра</v>
      </c>
      <c r="V95" s="230" t="n">
        <f aca="false">31*Таблица3[[#This Row],[Регистратор.Вес нетто]]/206840</f>
        <v>0.683426803326243</v>
      </c>
      <c r="W95" s="189" t="s">
        <v>51</v>
      </c>
      <c r="X95" s="189" t="s">
        <v>52</v>
      </c>
      <c r="Y95" s="216" t="n">
        <v>6</v>
      </c>
      <c r="Z95" s="221" t="n">
        <v>46182</v>
      </c>
      <c r="AA95" s="230"/>
      <c r="AB95" s="198"/>
      <c r="AC95" s="198" t="s">
        <v>53</v>
      </c>
      <c r="AD95" s="199" t="s">
        <v>54</v>
      </c>
      <c r="AE95" s="198" t="n">
        <v>105</v>
      </c>
      <c r="AF95" s="200" t="n">
        <v>46182</v>
      </c>
      <c r="AG95" s="198"/>
      <c r="AH95" s="198" t="n">
        <f aca="false">IFERROR(VLOOKUP(Таблица3[[#This Row],[№ акта]],'Степень зрелости 2026'!$H$12:$I$582,2,FALSE()),)</f>
        <v>50</v>
      </c>
    </row>
    <row r="96" customFormat="false" ht="35.05" hidden="false" customHeight="false" outlineLevel="0" collapsed="false">
      <c r="A96" s="198"/>
      <c r="B96" s="223"/>
      <c r="C96" s="234" t="n">
        <f aca="false">Таблица3[[#This Row],[Степень зрелости вспом]]</f>
        <v>54</v>
      </c>
      <c r="D96" s="224" t="n">
        <v>168</v>
      </c>
      <c r="E96" s="225"/>
      <c r="F96" s="223"/>
      <c r="G96" s="223" t="n">
        <v>4090</v>
      </c>
      <c r="H96" s="226"/>
      <c r="I96" s="223" t="n">
        <v>3456.1</v>
      </c>
      <c r="J96" s="198" t="s">
        <v>46</v>
      </c>
      <c r="K96" s="198" t="s">
        <v>68</v>
      </c>
      <c r="L96" s="198"/>
      <c r="M96" s="233" t="s">
        <v>378</v>
      </c>
      <c r="N96" s="198"/>
      <c r="O96" s="198"/>
      <c r="P96" s="198"/>
      <c r="Q96" s="198"/>
      <c r="R96" s="198" t="s">
        <v>379</v>
      </c>
      <c r="S96" s="198"/>
      <c r="T96" s="198" t="s">
        <v>67</v>
      </c>
      <c r="U96" s="198" t="str">
        <f aca="false">Таблица3[[#This Row],[Регистратор.Номенклатура]]</f>
        <v>Увертюра</v>
      </c>
      <c r="V96" s="230" t="n">
        <f aca="false">31*Таблица3[[#This Row],[Регистратор.Вес нетто]]/206840</f>
        <v>0.612985882807968</v>
      </c>
      <c r="W96" s="189" t="s">
        <v>51</v>
      </c>
      <c r="X96" s="189" t="s">
        <v>52</v>
      </c>
      <c r="Y96" s="216" t="n">
        <v>6</v>
      </c>
      <c r="Z96" s="221" t="n">
        <v>46182</v>
      </c>
      <c r="AA96" s="230"/>
      <c r="AB96" s="198"/>
      <c r="AC96" s="198" t="s">
        <v>302</v>
      </c>
      <c r="AD96" s="199" t="s">
        <v>54</v>
      </c>
      <c r="AE96" s="198" t="n">
        <v>109</v>
      </c>
      <c r="AF96" s="200" t="n">
        <v>46182</v>
      </c>
      <c r="AG96" s="198"/>
      <c r="AH96" s="198" t="n">
        <f aca="false">IFERROR(VLOOKUP(Таблица3[[#This Row],[№ акта]],'Степень зрелости 2026'!$H$12:$I$582,2,FALSE()),)</f>
        <v>54</v>
      </c>
    </row>
    <row r="97" customFormat="false" ht="23.85" hidden="false" customHeight="false" outlineLevel="0" collapsed="false">
      <c r="A97" s="198"/>
      <c r="B97" s="223"/>
      <c r="C97" s="234" t="n">
        <f aca="false">Таблица3[[#This Row],[Степень зрелости вспом]]</f>
        <v>54</v>
      </c>
      <c r="D97" s="224" t="n">
        <v>173</v>
      </c>
      <c r="E97" s="225"/>
      <c r="F97" s="223"/>
      <c r="G97" s="223" t="n">
        <v>13100</v>
      </c>
      <c r="H97" s="226"/>
      <c r="I97" s="223" t="n">
        <v>10283.5</v>
      </c>
      <c r="J97" s="198" t="s">
        <v>46</v>
      </c>
      <c r="K97" s="198" t="s">
        <v>68</v>
      </c>
      <c r="L97" s="198"/>
      <c r="M97" s="233" t="s">
        <v>48</v>
      </c>
      <c r="N97" s="198"/>
      <c r="O97" s="198"/>
      <c r="P97" s="198"/>
      <c r="Q97" s="198"/>
      <c r="R97" s="198" t="s">
        <v>49</v>
      </c>
      <c r="S97" s="198"/>
      <c r="T97" s="198" t="s">
        <v>67</v>
      </c>
      <c r="U97" s="198" t="str">
        <f aca="false">Таблица3[[#This Row],[Регистратор.Номенклатура]]</f>
        <v>Увертюра</v>
      </c>
      <c r="V97" s="230" t="n">
        <f aca="false">31*Таблица3[[#This Row],[Регистратор.Вес нетто]]/206840</f>
        <v>1.9633533165732</v>
      </c>
      <c r="W97" s="189" t="s">
        <v>51</v>
      </c>
      <c r="X97" s="189" t="s">
        <v>52</v>
      </c>
      <c r="Y97" s="216" t="n">
        <v>6</v>
      </c>
      <c r="Z97" s="221" t="n">
        <v>46182</v>
      </c>
      <c r="AA97" s="230"/>
      <c r="AB97" s="198"/>
      <c r="AC97" s="198" t="s">
        <v>302</v>
      </c>
      <c r="AD97" s="199" t="s">
        <v>54</v>
      </c>
      <c r="AE97" s="198" t="n">
        <v>113</v>
      </c>
      <c r="AF97" s="200" t="n">
        <v>46182</v>
      </c>
      <c r="AG97" s="198"/>
      <c r="AH97" s="198" t="n">
        <f aca="false">IFERROR(VLOOKUP(Таблица3[[#This Row],[№ акта]],'Степень зрелости 2026'!$H$12:$I$582,2,FALSE()),)+54</f>
        <v>54</v>
      </c>
    </row>
    <row r="98" customFormat="false" ht="35.05" hidden="false" customHeight="false" outlineLevel="0" collapsed="false">
      <c r="A98" s="198"/>
      <c r="B98" s="223"/>
      <c r="C98" s="234" t="n">
        <f aca="false">Таблица3[[#This Row],[Степень зрелости вспом]]</f>
        <v>56</v>
      </c>
      <c r="D98" s="224" t="n">
        <v>170</v>
      </c>
      <c r="E98" s="225"/>
      <c r="F98" s="223"/>
      <c r="G98" s="223" t="n">
        <v>13410</v>
      </c>
      <c r="H98" s="226"/>
      <c r="I98" s="223" t="n">
        <v>12136.1</v>
      </c>
      <c r="J98" s="198" t="s">
        <v>46</v>
      </c>
      <c r="K98" s="198" t="s">
        <v>68</v>
      </c>
      <c r="L98" s="198"/>
      <c r="M98" s="233" t="s">
        <v>386</v>
      </c>
      <c r="N98" s="198"/>
      <c r="O98" s="198"/>
      <c r="P98" s="198"/>
      <c r="Q98" s="198"/>
      <c r="R98" s="198" t="s">
        <v>387</v>
      </c>
      <c r="S98" s="198"/>
      <c r="T98" s="198" t="s">
        <v>67</v>
      </c>
      <c r="U98" s="198" t="str">
        <f aca="false">Таблица3[[#This Row],[Регистратор.Номенклатура]]</f>
        <v>Увертюра</v>
      </c>
      <c r="V98" s="230" t="n">
        <f aca="false">31*Таблица3[[#This Row],[Регистратор.Вес нетто]]/206840</f>
        <v>2.00981434925546</v>
      </c>
      <c r="W98" s="189" t="s">
        <v>51</v>
      </c>
      <c r="X98" s="189" t="s">
        <v>52</v>
      </c>
      <c r="Y98" s="216" t="n">
        <v>6</v>
      </c>
      <c r="Z98" s="221" t="n">
        <v>46182</v>
      </c>
      <c r="AA98" s="230"/>
      <c r="AB98" s="198"/>
      <c r="AC98" s="198" t="s">
        <v>302</v>
      </c>
      <c r="AD98" s="199" t="s">
        <v>54</v>
      </c>
      <c r="AE98" s="198" t="n">
        <v>110</v>
      </c>
      <c r="AF98" s="200" t="n">
        <v>46182</v>
      </c>
      <c r="AG98" s="198"/>
      <c r="AH98" s="198" t="n">
        <f aca="false">IFERROR(VLOOKUP(Таблица3[[#This Row],[№ акта]],'Степень зрелости 2026'!$H$12:$I$582,2,FALSE()),)</f>
        <v>56</v>
      </c>
    </row>
    <row r="99" customFormat="false" ht="23.85" hidden="false" customHeight="false" outlineLevel="0" collapsed="false">
      <c r="A99" s="198"/>
      <c r="B99" s="223"/>
      <c r="C99" s="234" t="n">
        <f aca="false">Таблица3[[#This Row],[Степень зрелости вспом]]</f>
        <v>54</v>
      </c>
      <c r="D99" s="224" t="n">
        <v>171</v>
      </c>
      <c r="E99" s="225"/>
      <c r="F99" s="223"/>
      <c r="G99" s="223" t="n">
        <v>13300</v>
      </c>
      <c r="H99" s="226"/>
      <c r="I99" s="223" t="n">
        <v>11238.5</v>
      </c>
      <c r="J99" s="198" t="s">
        <v>46</v>
      </c>
      <c r="K99" s="198" t="s">
        <v>68</v>
      </c>
      <c r="L99" s="198"/>
      <c r="M99" s="233" t="s">
        <v>380</v>
      </c>
      <c r="N99" s="198"/>
      <c r="O99" s="198"/>
      <c r="P99" s="198"/>
      <c r="Q99" s="198"/>
      <c r="R99" s="198" t="s">
        <v>381</v>
      </c>
      <c r="S99" s="198"/>
      <c r="T99" s="198" t="s">
        <v>67</v>
      </c>
      <c r="U99" s="198" t="str">
        <f aca="false">Таблица3[[#This Row],[Регистратор.Номенклатура]]</f>
        <v>Увертюра</v>
      </c>
      <c r="V99" s="230" t="n">
        <f aca="false">31*Таблица3[[#This Row],[Регистратор.Вес нетто]]/206840</f>
        <v>1.99332817636821</v>
      </c>
      <c r="W99" s="189" t="s">
        <v>51</v>
      </c>
      <c r="X99" s="189" t="s">
        <v>52</v>
      </c>
      <c r="Y99" s="216" t="n">
        <v>6</v>
      </c>
      <c r="Z99" s="221" t="n">
        <v>46182</v>
      </c>
      <c r="AA99" s="230"/>
      <c r="AB99" s="198"/>
      <c r="AC99" s="198" t="s">
        <v>302</v>
      </c>
      <c r="AD99" s="199" t="s">
        <v>54</v>
      </c>
      <c r="AE99" s="198" t="n">
        <v>111</v>
      </c>
      <c r="AF99" s="200" t="n">
        <v>46182</v>
      </c>
      <c r="AG99" s="198"/>
      <c r="AH99" s="198" t="n">
        <f aca="false">IFERROR(VLOOKUP(Таблица3[[#This Row],[№ акта]],'Степень зрелости 2026'!$H$12:$I$582,2,FALSE()),)</f>
        <v>54</v>
      </c>
    </row>
    <row r="100" customFormat="false" ht="35.05" hidden="false" customHeight="false" outlineLevel="0" collapsed="false">
      <c r="A100" s="198"/>
      <c r="B100" s="223"/>
      <c r="C100" s="234" t="n">
        <f aca="false">Таблица3[[#This Row],[Степень зрелости вспом]]</f>
        <v>51</v>
      </c>
      <c r="D100" s="224" t="n">
        <v>172</v>
      </c>
      <c r="E100" s="225"/>
      <c r="F100" s="223"/>
      <c r="G100" s="223" t="n">
        <v>13070</v>
      </c>
      <c r="H100" s="226"/>
      <c r="I100" s="223" t="n">
        <v>11566.9</v>
      </c>
      <c r="J100" s="198" t="s">
        <v>46</v>
      </c>
      <c r="K100" s="198" t="s">
        <v>68</v>
      </c>
      <c r="L100" s="198"/>
      <c r="M100" s="233" t="s">
        <v>388</v>
      </c>
      <c r="N100" s="198"/>
      <c r="O100" s="198"/>
      <c r="P100" s="198"/>
      <c r="Q100" s="198"/>
      <c r="R100" s="198" t="s">
        <v>389</v>
      </c>
      <c r="S100" s="198"/>
      <c r="T100" s="198" t="s">
        <v>67</v>
      </c>
      <c r="U100" s="198" t="str">
        <f aca="false">Таблица3[[#This Row],[Регистратор.Номенклатура]]</f>
        <v>Увертюра</v>
      </c>
      <c r="V100" s="230" t="n">
        <f aca="false">31*Таблица3[[#This Row],[Регистратор.Вес нетто]]/206840</f>
        <v>1.95885708760395</v>
      </c>
      <c r="W100" s="189" t="s">
        <v>51</v>
      </c>
      <c r="X100" s="189" t="s">
        <v>52</v>
      </c>
      <c r="Y100" s="216" t="n">
        <v>6</v>
      </c>
      <c r="Z100" s="221" t="n">
        <v>46182</v>
      </c>
      <c r="AA100" s="230"/>
      <c r="AB100" s="198"/>
      <c r="AC100" s="198" t="s">
        <v>53</v>
      </c>
      <c r="AD100" s="199" t="s">
        <v>54</v>
      </c>
      <c r="AE100" s="198" t="n">
        <v>112</v>
      </c>
      <c r="AF100" s="200" t="n">
        <v>46182</v>
      </c>
      <c r="AG100" s="198"/>
      <c r="AH100" s="198" t="n">
        <f aca="false">IFERROR(VLOOKUP(Таблица3[[#This Row],[№ акта]],'Степень зрелости 2026'!$H$12:$I$582,2,FALSE()),)</f>
        <v>51</v>
      </c>
    </row>
    <row r="101" customFormat="false" ht="35.05" hidden="false" customHeight="false" outlineLevel="0" collapsed="false">
      <c r="A101" s="198"/>
      <c r="B101" s="223"/>
      <c r="C101" s="234" t="n">
        <f aca="false">Таблица3[[#This Row],[Степень зрелости вспом]]</f>
        <v>54</v>
      </c>
      <c r="D101" s="224" t="n">
        <v>175</v>
      </c>
      <c r="E101" s="225"/>
      <c r="F101" s="223"/>
      <c r="G101" s="223" t="n">
        <v>13270</v>
      </c>
      <c r="H101" s="226"/>
      <c r="I101" s="223" t="n">
        <v>11611.3</v>
      </c>
      <c r="J101" s="198" t="s">
        <v>46</v>
      </c>
      <c r="K101" s="198" t="s">
        <v>68</v>
      </c>
      <c r="L101" s="198"/>
      <c r="M101" s="233" t="s">
        <v>386</v>
      </c>
      <c r="N101" s="198"/>
      <c r="O101" s="198"/>
      <c r="P101" s="198"/>
      <c r="Q101" s="198"/>
      <c r="R101" s="198" t="s">
        <v>387</v>
      </c>
      <c r="S101" s="198"/>
      <c r="T101" s="198" t="s">
        <v>67</v>
      </c>
      <c r="U101" s="198" t="str">
        <f aca="false">Таблица3[[#This Row],[Регистратор.Номенклатура]]</f>
        <v>Увертюра</v>
      </c>
      <c r="V101" s="230" t="n">
        <f aca="false">31*Таблица3[[#This Row],[Регистратор.Вес нетто]]/206840</f>
        <v>1.98883194739896</v>
      </c>
      <c r="W101" s="189" t="s">
        <v>51</v>
      </c>
      <c r="X101" s="189" t="s">
        <v>52</v>
      </c>
      <c r="Y101" s="216" t="n">
        <v>6</v>
      </c>
      <c r="Z101" s="221" t="n">
        <v>46182</v>
      </c>
      <c r="AA101" s="230"/>
      <c r="AB101" s="198"/>
      <c r="AC101" s="198" t="s">
        <v>302</v>
      </c>
      <c r="AD101" s="199" t="s">
        <v>54</v>
      </c>
      <c r="AE101" s="198" t="n">
        <v>115</v>
      </c>
      <c r="AF101" s="200" t="n">
        <v>46182</v>
      </c>
      <c r="AG101" s="198"/>
      <c r="AH101" s="198" t="n">
        <f aca="false">IFERROR(VLOOKUP(Таблица3[[#This Row],[№ акта]],'Степень зрелости 2026'!$H$12:$I$582,2,FALSE()),)+54</f>
        <v>54</v>
      </c>
    </row>
    <row r="102" customFormat="false" ht="35.05" hidden="false" customHeight="false" outlineLevel="0" collapsed="false">
      <c r="A102" s="198"/>
      <c r="B102" s="223"/>
      <c r="C102" s="234" t="n">
        <f aca="false">Таблица3[[#This Row],[Степень зрелости вспом]]</f>
        <v>53</v>
      </c>
      <c r="D102" s="224" t="n">
        <v>174</v>
      </c>
      <c r="E102" s="225"/>
      <c r="F102" s="223"/>
      <c r="G102" s="223" t="n">
        <v>4430</v>
      </c>
      <c r="H102" s="226"/>
      <c r="I102" s="223" t="n">
        <v>3743.4</v>
      </c>
      <c r="J102" s="198" t="s">
        <v>46</v>
      </c>
      <c r="K102" s="198" t="s">
        <v>68</v>
      </c>
      <c r="L102" s="198"/>
      <c r="M102" s="233" t="s">
        <v>378</v>
      </c>
      <c r="N102" s="198"/>
      <c r="O102" s="198"/>
      <c r="P102" s="198"/>
      <c r="Q102" s="198"/>
      <c r="R102" s="198" t="s">
        <v>379</v>
      </c>
      <c r="S102" s="198"/>
      <c r="T102" s="198" t="s">
        <v>67</v>
      </c>
      <c r="U102" s="198" t="str">
        <f aca="false">Таблица3[[#This Row],[Регистратор.Номенклатура]]</f>
        <v>Увертюра</v>
      </c>
      <c r="V102" s="230" t="n">
        <f aca="false">31*Таблица3[[#This Row],[Регистратор.Вес нетто]]/206840</f>
        <v>0.663943144459486</v>
      </c>
      <c r="W102" s="189" t="s">
        <v>51</v>
      </c>
      <c r="X102" s="189" t="s">
        <v>52</v>
      </c>
      <c r="Y102" s="216" t="n">
        <v>6</v>
      </c>
      <c r="Z102" s="221" t="n">
        <v>46182</v>
      </c>
      <c r="AA102" s="230"/>
      <c r="AB102" s="198"/>
      <c r="AC102" s="198" t="s">
        <v>302</v>
      </c>
      <c r="AD102" s="199" t="s">
        <v>54</v>
      </c>
      <c r="AE102" s="198" t="n">
        <v>114</v>
      </c>
      <c r="AF102" s="200" t="n">
        <v>46182</v>
      </c>
      <c r="AG102" s="198"/>
      <c r="AH102" s="198" t="n">
        <f aca="false">IFERROR(VLOOKUP(Таблица3[[#This Row],[№ акта]],'Степень зрелости 2026'!$H$12:$I$582,2,FALSE()),)</f>
        <v>53</v>
      </c>
    </row>
    <row r="103" customFormat="false" ht="23.85" hidden="false" customHeight="false" outlineLevel="0" collapsed="false">
      <c r="A103" s="198"/>
      <c r="B103" s="223"/>
      <c r="C103" s="234" t="n">
        <f aca="false">Таблица3[[#This Row],[Степень зрелости вспом]]</f>
        <v>55</v>
      </c>
      <c r="D103" s="224" t="n">
        <v>178</v>
      </c>
      <c r="E103" s="225"/>
      <c r="F103" s="223"/>
      <c r="G103" s="223" t="n">
        <v>12880</v>
      </c>
      <c r="H103" s="226"/>
      <c r="I103" s="223" t="n">
        <v>11527.6</v>
      </c>
      <c r="J103" s="198" t="s">
        <v>46</v>
      </c>
      <c r="K103" s="198" t="s">
        <v>68</v>
      </c>
      <c r="L103" s="198"/>
      <c r="M103" s="233" t="s">
        <v>380</v>
      </c>
      <c r="N103" s="198"/>
      <c r="O103" s="198"/>
      <c r="P103" s="198"/>
      <c r="Q103" s="198"/>
      <c r="R103" s="198" t="s">
        <v>381</v>
      </c>
      <c r="S103" s="198"/>
      <c r="T103" s="198" t="s">
        <v>67</v>
      </c>
      <c r="U103" s="198" t="str">
        <f aca="false">Таблица3[[#This Row],[Регистратор.Номенклатура]]</f>
        <v>Увертюра</v>
      </c>
      <c r="V103" s="230" t="n">
        <f aca="false">31*Таблица3[[#This Row],[Регистратор.Вес нетто]]/206840</f>
        <v>1.93038097079869</v>
      </c>
      <c r="W103" s="189" t="s">
        <v>51</v>
      </c>
      <c r="X103" s="189" t="s">
        <v>52</v>
      </c>
      <c r="Y103" s="216" t="n">
        <v>6</v>
      </c>
      <c r="Z103" s="221" t="n">
        <v>46182</v>
      </c>
      <c r="AA103" s="230"/>
      <c r="AB103" s="198"/>
      <c r="AC103" s="198" t="s">
        <v>302</v>
      </c>
      <c r="AD103" s="199" t="s">
        <v>54</v>
      </c>
      <c r="AE103" s="198" t="n">
        <v>116</v>
      </c>
      <c r="AF103" s="200" t="n">
        <v>46182</v>
      </c>
      <c r="AG103" s="198"/>
      <c r="AH103" s="198" t="n">
        <f aca="false">IFERROR(VLOOKUP(Таблица3[[#This Row],[№ акта]],'Степень зрелости 2026'!$H$12:$I$582,2,FALSE()),)+55</f>
        <v>55</v>
      </c>
    </row>
    <row r="104" customFormat="false" ht="35.05" hidden="false" customHeight="false" outlineLevel="0" collapsed="false">
      <c r="A104" s="198"/>
      <c r="B104" s="223"/>
      <c r="C104" s="234" t="n">
        <f aca="false">Таблица3[[#This Row],[Степень зрелости вспом]]</f>
        <v>56</v>
      </c>
      <c r="D104" s="224" t="n">
        <v>179</v>
      </c>
      <c r="E104" s="225"/>
      <c r="F104" s="223"/>
      <c r="G104" s="223" t="n">
        <v>12970</v>
      </c>
      <c r="H104" s="226"/>
      <c r="I104" s="223" t="n">
        <v>10700.3</v>
      </c>
      <c r="J104" s="198" t="s">
        <v>46</v>
      </c>
      <c r="K104" s="198" t="s">
        <v>68</v>
      </c>
      <c r="L104" s="198"/>
      <c r="M104" s="233" t="s">
        <v>388</v>
      </c>
      <c r="N104" s="198"/>
      <c r="O104" s="198"/>
      <c r="P104" s="198"/>
      <c r="Q104" s="198"/>
      <c r="R104" s="198" t="s">
        <v>389</v>
      </c>
      <c r="S104" s="198"/>
      <c r="T104" s="198" t="s">
        <v>67</v>
      </c>
      <c r="U104" s="198" t="str">
        <f aca="false">Таблица3[[#This Row],[Регистратор.Номенклатура]]</f>
        <v>Увертюра</v>
      </c>
      <c r="V104" s="230" t="n">
        <f aca="false">31*Таблица3[[#This Row],[Регистратор.Вес нетто]]/206840</f>
        <v>1.94386965770644</v>
      </c>
      <c r="W104" s="189" t="s">
        <v>51</v>
      </c>
      <c r="X104" s="189" t="s">
        <v>52</v>
      </c>
      <c r="Y104" s="216" t="n">
        <v>6</v>
      </c>
      <c r="Z104" s="221" t="n">
        <v>46182</v>
      </c>
      <c r="AA104" s="230"/>
      <c r="AB104" s="198"/>
      <c r="AC104" s="198" t="s">
        <v>302</v>
      </c>
      <c r="AD104" s="199" t="s">
        <v>54</v>
      </c>
      <c r="AE104" s="198" t="n">
        <v>117</v>
      </c>
      <c r="AF104" s="200" t="n">
        <v>46182</v>
      </c>
      <c r="AG104" s="198"/>
      <c r="AH104" s="198" t="n">
        <f aca="false">IFERROR(VLOOKUP(Таблица3[[#This Row],[№ акта]],'Степень зрелости 2026'!$H$12:$I$582,2,FALSE()),)+56</f>
        <v>56</v>
      </c>
    </row>
    <row r="105" customFormat="false" ht="23.85" hidden="false" customHeight="false" outlineLevel="0" collapsed="false">
      <c r="A105" s="198"/>
      <c r="B105" s="223"/>
      <c r="C105" s="234" t="n">
        <f aca="false">Таблица3[[#This Row],[Степень зрелости вспом]]</f>
        <v>55</v>
      </c>
      <c r="D105" s="224" t="n">
        <v>180</v>
      </c>
      <c r="E105" s="225"/>
      <c r="F105" s="223"/>
      <c r="G105" s="223" t="n">
        <v>15420</v>
      </c>
      <c r="H105" s="226"/>
      <c r="I105" s="223" t="n">
        <v>13338.3</v>
      </c>
      <c r="J105" s="198" t="s">
        <v>46</v>
      </c>
      <c r="K105" s="198" t="s">
        <v>68</v>
      </c>
      <c r="L105" s="198"/>
      <c r="M105" s="233" t="s">
        <v>48</v>
      </c>
      <c r="N105" s="198"/>
      <c r="O105" s="198"/>
      <c r="P105" s="198"/>
      <c r="Q105" s="198"/>
      <c r="R105" s="198" t="s">
        <v>49</v>
      </c>
      <c r="S105" s="198"/>
      <c r="T105" s="198" t="s">
        <v>67</v>
      </c>
      <c r="U105" s="198" t="str">
        <f aca="false">Таблица3[[#This Row],[Регистратор.Номенклатура]]</f>
        <v>Увертюра</v>
      </c>
      <c r="V105" s="230" t="n">
        <f aca="false">31*Таблица3[[#This Row],[Регистратор.Вес нетто]]/206840</f>
        <v>2.31106169019532</v>
      </c>
      <c r="W105" s="189" t="s">
        <v>51</v>
      </c>
      <c r="X105" s="189" t="s">
        <v>52</v>
      </c>
      <c r="Y105" s="216" t="n">
        <v>6</v>
      </c>
      <c r="Z105" s="221" t="n">
        <v>46182</v>
      </c>
      <c r="AA105" s="230"/>
      <c r="AB105" s="198"/>
      <c r="AC105" s="198" t="s">
        <v>302</v>
      </c>
      <c r="AD105" s="199" t="s">
        <v>54</v>
      </c>
      <c r="AE105" s="198" t="n">
        <v>118</v>
      </c>
      <c r="AF105" s="200" t="n">
        <v>46182</v>
      </c>
      <c r="AG105" s="198"/>
      <c r="AH105" s="198" t="n">
        <f aca="false">IFERROR(VLOOKUP(Таблица3[[#This Row],[№ акта]],'Степень зрелости 2026'!$H$12:$I$582,2,FALSE()),)+55</f>
        <v>55</v>
      </c>
    </row>
    <row r="106" customFormat="false" ht="35.05" hidden="false" customHeight="false" outlineLevel="0" collapsed="false">
      <c r="A106" s="198"/>
      <c r="B106" s="223"/>
      <c r="C106" s="234" t="n">
        <f aca="false">Таблица3[[#This Row],[Степень зрелости вспом]]</f>
        <v>55</v>
      </c>
      <c r="D106" s="224" t="n">
        <v>181</v>
      </c>
      <c r="E106" s="225"/>
      <c r="F106" s="223"/>
      <c r="G106" s="223" t="n">
        <v>4250</v>
      </c>
      <c r="H106" s="226"/>
      <c r="I106" s="223" t="n">
        <v>3591.2</v>
      </c>
      <c r="J106" s="198" t="s">
        <v>46</v>
      </c>
      <c r="K106" s="198" t="s">
        <v>68</v>
      </c>
      <c r="L106" s="198"/>
      <c r="M106" s="233" t="s">
        <v>378</v>
      </c>
      <c r="N106" s="198"/>
      <c r="O106" s="198"/>
      <c r="P106" s="198"/>
      <c r="Q106" s="198"/>
      <c r="R106" s="198" t="s">
        <v>379</v>
      </c>
      <c r="S106" s="198"/>
      <c r="T106" s="198" t="s">
        <v>69</v>
      </c>
      <c r="U106" s="198" t="str">
        <f aca="false">Таблица3[[#This Row],[Регистратор.Номенклатура]]</f>
        <v>Увертюра</v>
      </c>
      <c r="V106" s="230" t="n">
        <f aca="false">9*Таблица3[[#This Row],[Регистратор.Вес нетто]]/69350</f>
        <v>0.55155010814708</v>
      </c>
      <c r="W106" s="189" t="s">
        <v>51</v>
      </c>
      <c r="X106" s="189" t="s">
        <v>52</v>
      </c>
      <c r="Y106" s="216" t="n">
        <v>6</v>
      </c>
      <c r="Z106" s="221" t="n">
        <v>46182</v>
      </c>
      <c r="AA106" s="230"/>
      <c r="AB106" s="198"/>
      <c r="AC106" s="198" t="s">
        <v>302</v>
      </c>
      <c r="AD106" s="199" t="s">
        <v>54</v>
      </c>
      <c r="AE106" s="198" t="n">
        <v>119</v>
      </c>
      <c r="AF106" s="200" t="n">
        <v>46183</v>
      </c>
      <c r="AG106" s="198"/>
      <c r="AH106" s="198" t="n">
        <f aca="false">IFERROR(VLOOKUP(Таблица3[[#This Row],[№ акта]],'Степень зрелости 2026'!$H$12:$I$582,2,FALSE()),)+55</f>
        <v>55</v>
      </c>
    </row>
    <row r="107" customFormat="false" ht="35.05" hidden="false" customHeight="false" outlineLevel="0" collapsed="false">
      <c r="A107" s="198"/>
      <c r="B107" s="223"/>
      <c r="C107" s="234" t="n">
        <f aca="false">Таблица3[[#This Row],[Степень зрелости вспом]]</f>
        <v>56</v>
      </c>
      <c r="D107" s="224" t="n">
        <v>182</v>
      </c>
      <c r="E107" s="225"/>
      <c r="F107" s="223"/>
      <c r="G107" s="223" t="n">
        <v>12980</v>
      </c>
      <c r="H107" s="226"/>
      <c r="I107" s="223" t="n">
        <v>10968.1</v>
      </c>
      <c r="J107" s="198" t="s">
        <v>46</v>
      </c>
      <c r="K107" s="198" t="s">
        <v>68</v>
      </c>
      <c r="L107" s="198"/>
      <c r="M107" s="233" t="s">
        <v>386</v>
      </c>
      <c r="N107" s="198"/>
      <c r="O107" s="198"/>
      <c r="P107" s="198"/>
      <c r="Q107" s="198"/>
      <c r="R107" s="198" t="s">
        <v>387</v>
      </c>
      <c r="S107" s="198"/>
      <c r="T107" s="198" t="s">
        <v>69</v>
      </c>
      <c r="U107" s="198" t="str">
        <f aca="false">Таблица3[[#This Row],[Регистратор.Номенклатура]]</f>
        <v>Увертюра</v>
      </c>
      <c r="V107" s="230" t="n">
        <f aca="false">9*Таблица3[[#This Row],[Регистратор.Вес нетто]]/69350</f>
        <v>1.6844989185292</v>
      </c>
      <c r="W107" s="189" t="s">
        <v>51</v>
      </c>
      <c r="X107" s="189" t="s">
        <v>52</v>
      </c>
      <c r="Y107" s="216" t="n">
        <v>6</v>
      </c>
      <c r="Z107" s="221" t="n">
        <v>46182</v>
      </c>
      <c r="AA107" s="230"/>
      <c r="AB107" s="198"/>
      <c r="AC107" s="198" t="s">
        <v>302</v>
      </c>
      <c r="AD107" s="199" t="s">
        <v>54</v>
      </c>
      <c r="AE107" s="198" t="n">
        <v>120</v>
      </c>
      <c r="AF107" s="200" t="n">
        <v>46183</v>
      </c>
      <c r="AG107" s="198"/>
      <c r="AH107" s="198" t="n">
        <f aca="false">IFERROR(VLOOKUP(Таблица3[[#This Row],[№ акта]],'Степень зрелости 2026'!$H$12:$I$582,2,FALSE()),)+56</f>
        <v>56</v>
      </c>
    </row>
    <row r="108" customFormat="false" ht="23.85" hidden="false" customHeight="false" outlineLevel="0" collapsed="false">
      <c r="A108" s="198"/>
      <c r="B108" s="223"/>
      <c r="C108" s="234" t="n">
        <f aca="false">Таблица3[[#This Row],[Степень зрелости вспом]]</f>
        <v>54</v>
      </c>
      <c r="D108" s="224" t="n">
        <v>184</v>
      </c>
      <c r="E108" s="225"/>
      <c r="F108" s="223"/>
      <c r="G108" s="223" t="n">
        <v>13060</v>
      </c>
      <c r="H108" s="226"/>
      <c r="I108" s="223" t="n">
        <v>11688.7</v>
      </c>
      <c r="J108" s="198" t="s">
        <v>46</v>
      </c>
      <c r="K108" s="198" t="s">
        <v>68</v>
      </c>
      <c r="L108" s="198"/>
      <c r="M108" s="233" t="s">
        <v>380</v>
      </c>
      <c r="N108" s="198"/>
      <c r="O108" s="198"/>
      <c r="P108" s="198"/>
      <c r="Q108" s="198"/>
      <c r="R108" s="198" t="s">
        <v>381</v>
      </c>
      <c r="S108" s="198"/>
      <c r="T108" s="198" t="s">
        <v>69</v>
      </c>
      <c r="U108" s="198" t="str">
        <f aca="false">Таблица3[[#This Row],[Регистратор.Номенклатура]]</f>
        <v>Увертюра</v>
      </c>
      <c r="V108" s="230" t="n">
        <f aca="false">9*Таблица3[[#This Row],[Регистратор.Вес нетто]]/69350</f>
        <v>1.69488103821197</v>
      </c>
      <c r="W108" s="189" t="s">
        <v>51</v>
      </c>
      <c r="X108" s="189" t="s">
        <v>52</v>
      </c>
      <c r="Y108" s="216" t="n">
        <v>6</v>
      </c>
      <c r="Z108" s="221" t="n">
        <v>46182</v>
      </c>
      <c r="AA108" s="230"/>
      <c r="AB108" s="198"/>
      <c r="AC108" s="198" t="s">
        <v>302</v>
      </c>
      <c r="AD108" s="199" t="s">
        <v>54</v>
      </c>
      <c r="AE108" s="198" t="n">
        <v>121</v>
      </c>
      <c r="AF108" s="200" t="n">
        <v>46183</v>
      </c>
      <c r="AG108" s="198"/>
      <c r="AH108" s="198" t="n">
        <f aca="false">IFERROR(VLOOKUP(Таблица3[[#This Row],[№ акта]],'Степень зрелости 2026'!$H$12:$I$582,2,FALSE()),)</f>
        <v>54</v>
      </c>
    </row>
    <row r="109" customFormat="false" ht="35.05" hidden="false" customHeight="false" outlineLevel="0" collapsed="false">
      <c r="A109" s="198"/>
      <c r="B109" s="223"/>
      <c r="C109" s="234" t="n">
        <f aca="false">Таблица3[[#This Row],[Степень зрелости вспом]]</f>
        <v>54</v>
      </c>
      <c r="D109" s="224" t="n">
        <v>185</v>
      </c>
      <c r="E109" s="225"/>
      <c r="F109" s="223"/>
      <c r="G109" s="223" t="n">
        <v>12930</v>
      </c>
      <c r="H109" s="226"/>
      <c r="I109" s="223" t="n">
        <v>11701.6</v>
      </c>
      <c r="J109" s="198" t="s">
        <v>46</v>
      </c>
      <c r="K109" s="198" t="s">
        <v>68</v>
      </c>
      <c r="L109" s="198"/>
      <c r="M109" s="233" t="s">
        <v>388</v>
      </c>
      <c r="N109" s="198"/>
      <c r="O109" s="198"/>
      <c r="P109" s="198"/>
      <c r="Q109" s="198"/>
      <c r="R109" s="198" t="s">
        <v>389</v>
      </c>
      <c r="S109" s="198"/>
      <c r="T109" s="198" t="s">
        <v>69</v>
      </c>
      <c r="U109" s="198" t="str">
        <f aca="false">Таблица3[[#This Row],[Регистратор.Номенклатура]]</f>
        <v>Увертюра</v>
      </c>
      <c r="V109" s="230" t="n">
        <f aca="false">9*Таблица3[[#This Row],[Регистратор.Вес нетто]]/69350</f>
        <v>1.67801009372747</v>
      </c>
      <c r="W109" s="189" t="s">
        <v>51</v>
      </c>
      <c r="X109" s="189" t="s">
        <v>52</v>
      </c>
      <c r="Y109" s="216" t="n">
        <v>6</v>
      </c>
      <c r="Z109" s="221" t="n">
        <v>46182</v>
      </c>
      <c r="AA109" s="230"/>
      <c r="AB109" s="198"/>
      <c r="AC109" s="198" t="s">
        <v>302</v>
      </c>
      <c r="AD109" s="199" t="s">
        <v>54</v>
      </c>
      <c r="AE109" s="198" t="n">
        <v>122</v>
      </c>
      <c r="AF109" s="200" t="n">
        <v>46183</v>
      </c>
      <c r="AG109" s="198"/>
      <c r="AH109" s="198" t="n">
        <f aca="false">IFERROR(VLOOKUP(Таблица3[[#This Row],[№ акта]],'Степень зрелости 2026'!$H$12:$I$582,2,FALSE()),)</f>
        <v>54</v>
      </c>
    </row>
    <row r="110" customFormat="false" ht="35.05" hidden="false" customHeight="false" outlineLevel="0" collapsed="false">
      <c r="A110" s="198"/>
      <c r="B110" s="223"/>
      <c r="C110" s="234" t="n">
        <f aca="false">Таблица3[[#This Row],[Степень зрелости вспом]]</f>
        <v>0</v>
      </c>
      <c r="D110" s="224" t="n">
        <v>119</v>
      </c>
      <c r="E110" s="225"/>
      <c r="F110" s="223"/>
      <c r="G110" s="223" t="n">
        <v>15390</v>
      </c>
      <c r="H110" s="226"/>
      <c r="I110" s="235" t="n">
        <v>15390</v>
      </c>
      <c r="J110" s="198"/>
      <c r="K110" s="198" t="s">
        <v>68</v>
      </c>
      <c r="L110" s="198"/>
      <c r="M110" s="233" t="s">
        <v>390</v>
      </c>
      <c r="N110" s="198"/>
      <c r="O110" s="198"/>
      <c r="P110" s="198"/>
      <c r="Q110" s="198"/>
      <c r="R110" s="198" t="s">
        <v>391</v>
      </c>
      <c r="S110" s="198"/>
      <c r="T110" s="198" t="s">
        <v>67</v>
      </c>
      <c r="U110" s="198" t="s">
        <v>68</v>
      </c>
      <c r="V110" s="230" t="n">
        <f aca="false">31*Таблица3[[#This Row],[Регистратор.Вес нетто]]/206840</f>
        <v>2.30656546122607</v>
      </c>
      <c r="W110" s="189" t="s">
        <v>51</v>
      </c>
      <c r="X110" s="189" t="s">
        <v>52</v>
      </c>
      <c r="Y110" s="216" t="n">
        <v>6</v>
      </c>
      <c r="Z110" s="221" t="n">
        <v>46182</v>
      </c>
      <c r="AA110" s="230" t="n">
        <f aca="false">Таблица3[[#This Row],[Регистратор.Вес нетто]]</f>
        <v>15390</v>
      </c>
      <c r="AB110" s="198" t="s">
        <v>392</v>
      </c>
      <c r="AC110" s="198" t="s">
        <v>276</v>
      </c>
      <c r="AD110" s="199"/>
      <c r="AE110" s="198"/>
      <c r="AF110" s="200"/>
      <c r="AG110" s="198"/>
      <c r="AH110" s="198"/>
    </row>
    <row r="111" customFormat="false" ht="23.85" hidden="false" customHeight="false" outlineLevel="0" collapsed="false">
      <c r="A111" s="198"/>
      <c r="B111" s="223"/>
      <c r="C111" s="234" t="n">
        <f aca="false">Таблица3[[#This Row],[Степень зрелости вспом]]</f>
        <v>0</v>
      </c>
      <c r="D111" s="224" t="n">
        <v>122</v>
      </c>
      <c r="E111" s="225"/>
      <c r="F111" s="223"/>
      <c r="G111" s="223" t="n">
        <v>17540</v>
      </c>
      <c r="H111" s="226"/>
      <c r="I111" s="235" t="n">
        <v>17540</v>
      </c>
      <c r="J111" s="198"/>
      <c r="K111" s="198" t="s">
        <v>68</v>
      </c>
      <c r="L111" s="198"/>
      <c r="M111" s="233" t="s">
        <v>393</v>
      </c>
      <c r="N111" s="198"/>
      <c r="O111" s="198"/>
      <c r="P111" s="198"/>
      <c r="Q111" s="198"/>
      <c r="R111" s="198" t="s">
        <v>394</v>
      </c>
      <c r="S111" s="198"/>
      <c r="T111" s="198" t="s">
        <v>67</v>
      </c>
      <c r="U111" s="198" t="s">
        <v>68</v>
      </c>
      <c r="V111" s="230" t="n">
        <f aca="false">31*Таблица3[[#This Row],[Регистратор.Вес нетто]]/206840</f>
        <v>2.62879520402243</v>
      </c>
      <c r="W111" s="189" t="s">
        <v>51</v>
      </c>
      <c r="X111" s="189" t="s">
        <v>52</v>
      </c>
      <c r="Y111" s="216" t="n">
        <v>6</v>
      </c>
      <c r="Z111" s="221" t="n">
        <v>46182</v>
      </c>
      <c r="AA111" s="230" t="n">
        <f aca="false">Таблица3[[#This Row],[Регистратор.Вес нетто]]</f>
        <v>17540</v>
      </c>
      <c r="AB111" s="198" t="s">
        <v>392</v>
      </c>
      <c r="AC111" s="198" t="s">
        <v>276</v>
      </c>
      <c r="AD111" s="199"/>
      <c r="AE111" s="198"/>
      <c r="AF111" s="200"/>
      <c r="AG111" s="198"/>
      <c r="AH111" s="198"/>
    </row>
    <row r="112" customFormat="false" ht="35.05" hidden="false" customHeight="false" outlineLevel="0" collapsed="false">
      <c r="A112" s="198"/>
      <c r="B112" s="223"/>
      <c r="C112" s="234" t="n">
        <f aca="false">Таблица3[[#This Row],[Степень зрелости вспом]]</f>
        <v>0</v>
      </c>
      <c r="D112" s="224" t="n">
        <v>128</v>
      </c>
      <c r="E112" s="225"/>
      <c r="F112" s="223"/>
      <c r="G112" s="223" t="n">
        <v>13030</v>
      </c>
      <c r="H112" s="226"/>
      <c r="I112" s="235" t="n">
        <v>13030</v>
      </c>
      <c r="J112" s="198"/>
      <c r="K112" s="198" t="s">
        <v>68</v>
      </c>
      <c r="L112" s="198"/>
      <c r="M112" s="233" t="s">
        <v>395</v>
      </c>
      <c r="N112" s="198"/>
      <c r="O112" s="198"/>
      <c r="P112" s="198"/>
      <c r="Q112" s="198"/>
      <c r="R112" s="198" t="s">
        <v>396</v>
      </c>
      <c r="S112" s="198"/>
      <c r="T112" s="198" t="s">
        <v>69</v>
      </c>
      <c r="U112" s="198" t="s">
        <v>68</v>
      </c>
      <c r="V112" s="230" t="n">
        <f aca="false">9*Таблица3[[#This Row],[Регистратор.Вес нетто]]/69350</f>
        <v>1.69098774333093</v>
      </c>
      <c r="W112" s="189" t="s">
        <v>51</v>
      </c>
      <c r="X112" s="189" t="s">
        <v>52</v>
      </c>
      <c r="Y112" s="216" t="n">
        <v>6</v>
      </c>
      <c r="Z112" s="221" t="n">
        <v>46182</v>
      </c>
      <c r="AA112" s="230" t="n">
        <f aca="false">Таблица3[[#This Row],[Регистратор.Вес нетто]]</f>
        <v>13030</v>
      </c>
      <c r="AB112" s="198" t="s">
        <v>397</v>
      </c>
      <c r="AC112" s="198" t="s">
        <v>276</v>
      </c>
      <c r="AD112" s="199"/>
      <c r="AE112" s="198"/>
      <c r="AF112" s="200"/>
      <c r="AG112" s="198"/>
      <c r="AH112" s="198"/>
    </row>
    <row r="113" customFormat="false" ht="35.05" hidden="false" customHeight="false" outlineLevel="0" collapsed="false">
      <c r="A113" s="198"/>
      <c r="B113" s="223"/>
      <c r="C113" s="234" t="n">
        <f aca="false">Таблица3[[#This Row],[Степень зрелости вспом]]</f>
        <v>0</v>
      </c>
      <c r="D113" s="224" t="n">
        <v>129</v>
      </c>
      <c r="E113" s="225"/>
      <c r="F113" s="223"/>
      <c r="G113" s="223" t="n">
        <v>13100</v>
      </c>
      <c r="H113" s="226"/>
      <c r="I113" s="235" t="n">
        <v>13100</v>
      </c>
      <c r="J113" s="198"/>
      <c r="K113" s="198" t="s">
        <v>68</v>
      </c>
      <c r="L113" s="198"/>
      <c r="M113" s="233" t="s">
        <v>398</v>
      </c>
      <c r="N113" s="198"/>
      <c r="O113" s="198"/>
      <c r="P113" s="198"/>
      <c r="Q113" s="198"/>
      <c r="R113" s="198" t="s">
        <v>399</v>
      </c>
      <c r="S113" s="198"/>
      <c r="T113" s="198" t="s">
        <v>69</v>
      </c>
      <c r="U113" s="198" t="s">
        <v>68</v>
      </c>
      <c r="V113" s="230" t="n">
        <f aca="false">9*Таблица3[[#This Row],[Регистратор.Вес нетто]]/69350</f>
        <v>1.70007209805335</v>
      </c>
      <c r="W113" s="189" t="s">
        <v>51</v>
      </c>
      <c r="X113" s="189" t="s">
        <v>52</v>
      </c>
      <c r="Y113" s="216" t="n">
        <v>6</v>
      </c>
      <c r="Z113" s="221" t="n">
        <v>46182</v>
      </c>
      <c r="AA113" s="230" t="n">
        <f aca="false">Таблица3[[#This Row],[Регистратор.Вес нетто]]</f>
        <v>13100</v>
      </c>
      <c r="AB113" s="198" t="s">
        <v>397</v>
      </c>
      <c r="AC113" s="198" t="s">
        <v>276</v>
      </c>
      <c r="AD113" s="199"/>
      <c r="AE113" s="198"/>
      <c r="AF113" s="200"/>
      <c r="AG113" s="198"/>
      <c r="AH113" s="198"/>
    </row>
    <row r="114" customFormat="false" ht="15" hidden="false" customHeight="false" outlineLevel="0" collapsed="false">
      <c r="A114" s="198"/>
      <c r="B114" s="223" t="n">
        <f aca="false">SUBTOTAL(109,Таблица3[Количество])</f>
        <v>0</v>
      </c>
      <c r="C114" s="236" t="n">
        <f aca="false">IFERROR(SUBTOTAL(101,Таблица3[Значение
финометра]),)</f>
        <v>45.0769230769231</v>
      </c>
      <c r="D114" s="224"/>
      <c r="E114" s="225"/>
      <c r="F114" s="223" t="n">
        <f aca="false">SUBTOTAL(109,Таблица3[Регистратор.Вес брутто])</f>
        <v>0</v>
      </c>
      <c r="G114" s="223" t="n">
        <f aca="false">SUBTOTAL(109,Таблица3[Регистратор.Вес нетто])</f>
        <v>309690</v>
      </c>
      <c r="H114" s="223" t="n">
        <f aca="false">SUBTOTAL(109,Таблица3[Регистратор.Вес тары])</f>
        <v>0</v>
      </c>
      <c r="I114" s="223"/>
      <c r="J114" s="198"/>
      <c r="K114" s="198"/>
      <c r="L114" s="198"/>
      <c r="M114" s="198"/>
      <c r="N114" s="198"/>
      <c r="O114" s="198"/>
      <c r="P114" s="198"/>
      <c r="Q114" s="198"/>
      <c r="R114" s="198"/>
      <c r="S114" s="198"/>
      <c r="T114" s="198"/>
      <c r="U114" s="198"/>
      <c r="V114" s="230" t="n">
        <f aca="false">SUBTOTAL(109,Таблица3[Площадь уборки, га])</f>
        <v>46</v>
      </c>
      <c r="W114" s="198"/>
      <c r="Y114" s="198"/>
      <c r="Z114" s="198"/>
      <c r="AA114" s="230" t="n">
        <f aca="false">SUBTOTAL(109,Таблица3[Продажа])</f>
        <v>59060</v>
      </c>
      <c r="AB114" s="198"/>
      <c r="AC114" s="198"/>
      <c r="AD114" s="198"/>
      <c r="AE114" s="198"/>
      <c r="AF114" s="198"/>
      <c r="AG114" s="198"/>
      <c r="AH114" s="198"/>
    </row>
  </sheetData>
  <dataValidations count="4">
    <dataValidation allowBlank="false" errorStyle="stop" operator="between" showDropDown="false" showErrorMessage="true" showInputMessage="true" sqref="X1:X113" type="none">
      <formula1>0</formula1>
      <formula2>0</formula2>
    </dataValidation>
    <dataValidation allowBlank="false" errorStyle="stop" operator="between" showDropDown="false" showErrorMessage="true" showInputMessage="true" sqref="W1" type="list">
      <formula1>'Данные 2025'!$D$4:$D$11</formula1>
      <formula2>0</formula2>
    </dataValidation>
    <dataValidation allowBlank="true" errorStyle="stop" operator="between" showDropDown="false" showErrorMessage="true" showInputMessage="true" sqref="AC2:AC113" type="list">
      <formula1>'Данные 2025'!$D$27:$D$31</formula1>
      <formula2>0</formula2>
    </dataValidation>
    <dataValidation allowBlank="false" errorStyle="stop" operator="between" showDropDown="false" showErrorMessage="true" showInputMessage="true" sqref="W2:W113" type="list">
      <formula1>'Данные 2026'!$D$4:$D$7</formula1>
      <formula2>0</formula2>
    </dataValidation>
  </dataValidation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595"/>
  <sheetViews>
    <sheetView showFormulas="false" showGridLines="true" showRowColHeaders="true" showZeros="true" rightToLeft="false" tabSelected="false" showOutlineSymbols="true" defaultGridColor="true" view="normal" topLeftCell="Q1" colorId="64" zoomScale="100" zoomScaleNormal="100" zoomScalePageLayoutView="100" workbookViewId="0">
      <pane xSplit="0" ySplit="1" topLeftCell="A2" activePane="bottomLeft" state="frozen"/>
      <selection pane="topLeft" activeCell="Q1" activeCellId="0" sqref="Q1"/>
      <selection pane="bottomLeft" activeCell="X10" activeCellId="0" sqref="X10"/>
    </sheetView>
  </sheetViews>
  <sheetFormatPr defaultColWidth="8.859375" defaultRowHeight="15" customHeight="true" zeroHeight="false" outlineLevelRow="0" outlineLevelCol="2"/>
  <cols>
    <col collapsed="false" customWidth="true" hidden="true" outlineLevel="0" max="1" min="1" style="0" width="11.43"/>
    <col collapsed="false" customWidth="true" hidden="true" outlineLevel="0" max="2" min="2" style="0" width="12"/>
    <col collapsed="false" customWidth="true" hidden="false" outlineLevel="0" max="3" min="3" style="0" width="10.14"/>
    <col collapsed="false" customWidth="true" hidden="false" outlineLevel="1" max="4" min="4" style="0" width="11.71"/>
    <col collapsed="false" customWidth="true" hidden="false" outlineLevel="1" max="5" min="5" style="22" width="11.71"/>
    <col collapsed="false" customWidth="true" hidden="false" outlineLevel="2" max="6" min="6" style="0" width="15"/>
    <col collapsed="false" customWidth="true" hidden="false" outlineLevel="1" max="7" min="7" style="0" width="14.42"/>
    <col collapsed="false" customWidth="true" hidden="false" outlineLevel="2" max="8" min="8" style="0" width="15.42"/>
    <col collapsed="false" customWidth="true" hidden="false" outlineLevel="1" max="9" min="9" style="0" width="14.29"/>
    <col collapsed="false" customWidth="true" hidden="false" outlineLevel="1" max="10" min="10" style="0" width="17.15"/>
    <col collapsed="false" customWidth="true" hidden="false" outlineLevel="1" max="11" min="11" style="0" width="8.71"/>
    <col collapsed="false" customWidth="true" hidden="false" outlineLevel="1" max="12" min="12" style="0" width="12.71"/>
    <col collapsed="false" customWidth="true" hidden="false" outlineLevel="1" max="13" min="13" style="0" width="14.42"/>
    <col collapsed="false" customWidth="true" hidden="false" outlineLevel="2" max="14" min="14" style="0" width="10.71"/>
    <col collapsed="false" customWidth="true" hidden="false" outlineLevel="2" max="15" min="15" style="0" width="13.42"/>
    <col collapsed="false" customWidth="true" hidden="false" outlineLevel="2" max="16" min="16" style="0" width="22.57"/>
    <col collapsed="false" customWidth="true" hidden="false" outlineLevel="2" max="17" min="17" style="0" width="29.71"/>
    <col collapsed="false" customWidth="true" hidden="false" outlineLevel="1" max="18" min="18" style="0" width="17.15"/>
    <col collapsed="false" customWidth="true" hidden="true" outlineLevel="2" max="19" min="19" style="0" width="15"/>
    <col collapsed="true" customWidth="false" hidden="false" outlineLevel="1" max="20" min="20" style="0" width="8.86"/>
    <col collapsed="false" customWidth="false" hidden="false" outlineLevel="1" max="21" min="21" style="0" width="8.86"/>
    <col collapsed="false" customWidth="true" hidden="false" outlineLevel="1" max="22" min="22" style="82" width="10.71"/>
    <col collapsed="false" customWidth="true" hidden="false" outlineLevel="1" max="23" min="23" style="0" width="17.29"/>
    <col collapsed="false" customWidth="true" hidden="false" outlineLevel="1" max="24" min="24" style="0" width="10"/>
    <col collapsed="false" customWidth="false" hidden="false" outlineLevel="1" max="25" min="25" style="0" width="8.86"/>
    <col collapsed="false" customWidth="true" hidden="false" outlineLevel="1" max="26" min="26" style="0" width="10.14"/>
    <col collapsed="false" customWidth="true" hidden="false" outlineLevel="1" max="27" min="27" style="0" width="11.43"/>
    <col collapsed="false" customWidth="true" hidden="false" outlineLevel="1" max="28" min="28" style="0" width="14"/>
    <col collapsed="false" customWidth="true" hidden="false" outlineLevel="0" max="29" min="29" style="0" width="12"/>
    <col collapsed="false" customWidth="true" hidden="false" outlineLevel="0" max="30" min="30" style="0" width="15.14"/>
    <col collapsed="false" customWidth="true" hidden="true" outlineLevel="1" max="33" min="31" style="0" width="13.86"/>
    <col collapsed="false" customWidth="false" hidden="true" outlineLevel="1" max="34" min="34" style="0" width="8.86"/>
    <col collapsed="false" customWidth="false" hidden="false" outlineLevel="0" max="38" min="38" style="82" width="8.86"/>
    <col collapsed="false" customWidth="true" hidden="true" outlineLevel="0" max="50" min="42" style="0" width="11.53"/>
  </cols>
  <sheetData>
    <row r="1" s="188" customFormat="true" ht="59.25" hidden="false" customHeight="true" outlineLevel="0" collapsed="false">
      <c r="A1" s="180" t="s">
        <v>12</v>
      </c>
      <c r="B1" s="180" t="s">
        <v>13</v>
      </c>
      <c r="C1" s="181" t="s">
        <v>14</v>
      </c>
      <c r="D1" s="180" t="s">
        <v>15</v>
      </c>
      <c r="E1" s="182" t="s">
        <v>16</v>
      </c>
      <c r="F1" s="180" t="s">
        <v>17</v>
      </c>
      <c r="G1" s="181" t="s">
        <v>18</v>
      </c>
      <c r="H1" s="180" t="s">
        <v>19</v>
      </c>
      <c r="I1" s="181" t="s">
        <v>20</v>
      </c>
      <c r="J1" s="180" t="s">
        <v>21</v>
      </c>
      <c r="K1" s="180" t="s">
        <v>22</v>
      </c>
      <c r="L1" s="180" t="s">
        <v>23</v>
      </c>
      <c r="M1" s="180" t="s">
        <v>24</v>
      </c>
      <c r="N1" s="183" t="s">
        <v>25</v>
      </c>
      <c r="O1" s="183" t="s">
        <v>26</v>
      </c>
      <c r="P1" s="183" t="s">
        <v>27</v>
      </c>
      <c r="Q1" s="183" t="s">
        <v>28</v>
      </c>
      <c r="R1" s="180" t="s">
        <v>29</v>
      </c>
      <c r="S1" s="183" t="s">
        <v>30</v>
      </c>
      <c r="T1" s="184" t="s">
        <v>31</v>
      </c>
      <c r="U1" s="184" t="s">
        <v>32</v>
      </c>
      <c r="V1" s="185" t="s">
        <v>33</v>
      </c>
      <c r="W1" s="180" t="s">
        <v>34</v>
      </c>
      <c r="X1" s="180" t="s">
        <v>35</v>
      </c>
      <c r="Y1" s="180" t="s">
        <v>36</v>
      </c>
      <c r="Z1" s="180" t="s">
        <v>37</v>
      </c>
      <c r="AA1" s="186" t="s">
        <v>38</v>
      </c>
      <c r="AB1" s="186" t="s">
        <v>39</v>
      </c>
      <c r="AC1" s="187" t="s">
        <v>40</v>
      </c>
      <c r="AD1" s="187" t="s">
        <v>41</v>
      </c>
      <c r="AE1" s="187" t="s">
        <v>42</v>
      </c>
      <c r="AF1" s="187" t="s">
        <v>43</v>
      </c>
      <c r="AG1" s="187" t="s">
        <v>44</v>
      </c>
      <c r="AH1" s="187" t="s">
        <v>45</v>
      </c>
      <c r="AI1" s="237" t="s">
        <v>400</v>
      </c>
      <c r="AJ1" s="237" t="s">
        <v>401</v>
      </c>
      <c r="AK1" s="237" t="s">
        <v>402</v>
      </c>
      <c r="AL1" s="238" t="s">
        <v>403</v>
      </c>
      <c r="AM1" s="239" t="s">
        <v>404</v>
      </c>
      <c r="AN1" s="239" t="s">
        <v>405</v>
      </c>
      <c r="AP1" s="188" t="s">
        <v>406</v>
      </c>
      <c r="AQ1" s="188" t="s">
        <v>407</v>
      </c>
      <c r="AR1" s="188" t="s">
        <v>31</v>
      </c>
      <c r="AS1" s="188" t="s">
        <v>408</v>
      </c>
      <c r="AT1" s="188" t="s">
        <v>34</v>
      </c>
    </row>
    <row r="2" customFormat="false" ht="28.35" hidden="false" customHeight="false" outlineLevel="0" collapsed="false">
      <c r="A2" s="189" t="s">
        <v>358</v>
      </c>
      <c r="B2" s="190" t="n">
        <v>9803.9</v>
      </c>
      <c r="C2" s="191" t="n">
        <v>40</v>
      </c>
      <c r="D2" s="192" t="n">
        <v>44</v>
      </c>
      <c r="E2" s="193" t="n">
        <v>45804</v>
      </c>
      <c r="F2" s="190" t="n">
        <v>27380</v>
      </c>
      <c r="G2" s="190" t="n">
        <v>13430</v>
      </c>
      <c r="H2" s="194" t="n">
        <v>13950</v>
      </c>
      <c r="I2" s="190" t="n">
        <v>9803.9</v>
      </c>
      <c r="J2" s="189" t="s">
        <v>409</v>
      </c>
      <c r="K2" s="189" t="s">
        <v>252</v>
      </c>
      <c r="L2" s="189" t="s">
        <v>410</v>
      </c>
      <c r="M2" s="189" t="s">
        <v>411</v>
      </c>
      <c r="N2" s="189" t="s">
        <v>412</v>
      </c>
      <c r="O2" s="189" t="s">
        <v>413</v>
      </c>
      <c r="P2" s="189"/>
      <c r="Q2" s="189" t="s">
        <v>414</v>
      </c>
      <c r="R2" s="189" t="s">
        <v>381</v>
      </c>
      <c r="S2" s="189" t="s">
        <v>415</v>
      </c>
      <c r="T2" s="195" t="s">
        <v>416</v>
      </c>
      <c r="U2" s="195" t="str">
        <f aca="false">Таблица310[[#This Row],[Регистратор.Номенклатура]]</f>
        <v>Преладо</v>
      </c>
      <c r="V2" s="196" t="n">
        <f aca="false">18*Таблица310[[#This Row],[Регистратор.Вес нетто]]/69300</f>
        <v>3.48831168831169</v>
      </c>
      <c r="W2" s="189" t="s">
        <v>323</v>
      </c>
      <c r="X2" s="189" t="s">
        <v>52</v>
      </c>
      <c r="Y2" s="189" t="n">
        <v>1</v>
      </c>
      <c r="Z2" s="197" t="n">
        <v>45804</v>
      </c>
      <c r="AA2" s="198"/>
      <c r="AB2" s="198"/>
      <c r="AC2" s="198" t="s">
        <v>53</v>
      </c>
      <c r="AD2" s="198" t="s">
        <v>417</v>
      </c>
      <c r="AE2" s="198" t="n">
        <v>44</v>
      </c>
      <c r="AF2" s="200" t="n">
        <v>45804</v>
      </c>
      <c r="AG2" s="198" t="n">
        <v>65889</v>
      </c>
      <c r="AH2" s="198" t="n">
        <f aca="false">VLOOKUP(Таблица310[[#This Row],[№ акта]],'Степень зрелости 2025'!$H$13:$I$583,2,FALSE())</f>
        <v>40</v>
      </c>
      <c r="AI2" s="198" t="str">
        <f aca="false">VLOOKUP(Таблица310[[#This Row],[№ акта]],$AQ$1:$AT$594,2,FALSE())</f>
        <v> 2/4</v>
      </c>
      <c r="AJ2" s="198" t="str">
        <f aca="false">Таблица310[[#This Row],[Регистратор.Номенклатура]]</f>
        <v>Преладо</v>
      </c>
      <c r="AK2" s="198" t="str">
        <f aca="false">VLOOKUP(Таблица310[[#This Row],[№ акта]],$AQ$1:$AT$594,4,FALSE())</f>
        <v>Учхоз Кубань (богара)</v>
      </c>
      <c r="AL2" s="230" t="n">
        <f aca="false">VLOOKUP(Таблица310[[#This Row],[№ акта]],$AQ$1:$AT$594,3,FALSE())</f>
        <v>3.48831168831169</v>
      </c>
      <c r="AM2" s="198" t="str">
        <f aca="false">IF(Таблица310[[#This Row],[Площадь уборки, га]]=Таблица310[[#This Row],[Площадь уборки до корр]],"нет","да")</f>
        <v>нет</v>
      </c>
      <c r="AN2" s="230" t="n">
        <f aca="false">Таблица310[[#This Row],[Площадь уборки до корр]]-Таблица310[[#This Row],[Площадь уборки, га]]</f>
        <v>0</v>
      </c>
      <c r="AQ2" s="0" t="n">
        <v>44</v>
      </c>
      <c r="AR2" s="0" t="s">
        <v>416</v>
      </c>
      <c r="AS2" s="0" t="n">
        <v>3.48831168831169</v>
      </c>
      <c r="AT2" s="0" t="s">
        <v>323</v>
      </c>
    </row>
    <row r="3" customFormat="false" ht="28.35" hidden="false" customHeight="false" outlineLevel="0" collapsed="false">
      <c r="A3" s="189" t="s">
        <v>358</v>
      </c>
      <c r="B3" s="190" t="n">
        <v>10337.8</v>
      </c>
      <c r="C3" s="191" t="n">
        <v>42</v>
      </c>
      <c r="D3" s="192" t="n">
        <v>45</v>
      </c>
      <c r="E3" s="193" t="n">
        <v>45804</v>
      </c>
      <c r="F3" s="190" t="n">
        <v>28260</v>
      </c>
      <c r="G3" s="190" t="n">
        <v>13970</v>
      </c>
      <c r="H3" s="194" t="n">
        <v>14290</v>
      </c>
      <c r="I3" s="190" t="n">
        <v>10337.8</v>
      </c>
      <c r="J3" s="189" t="s">
        <v>409</v>
      </c>
      <c r="K3" s="189" t="s">
        <v>252</v>
      </c>
      <c r="L3" s="189" t="s">
        <v>410</v>
      </c>
      <c r="M3" s="189" t="s">
        <v>376</v>
      </c>
      <c r="N3" s="189" t="s">
        <v>418</v>
      </c>
      <c r="O3" s="189" t="s">
        <v>419</v>
      </c>
      <c r="P3" s="189"/>
      <c r="Q3" s="189" t="s">
        <v>420</v>
      </c>
      <c r="R3" s="189" t="s">
        <v>377</v>
      </c>
      <c r="S3" s="189" t="s">
        <v>421</v>
      </c>
      <c r="T3" s="195" t="s">
        <v>416</v>
      </c>
      <c r="U3" s="195" t="str">
        <f aca="false">Таблица310[[#This Row],[Регистратор.Номенклатура]]</f>
        <v>Преладо</v>
      </c>
      <c r="V3" s="196" t="n">
        <f aca="false">18*Таблица310[[#This Row],[Регистратор.Вес нетто]]/69300</f>
        <v>3.62857142857143</v>
      </c>
      <c r="W3" s="189" t="s">
        <v>323</v>
      </c>
      <c r="X3" s="189" t="s">
        <v>52</v>
      </c>
      <c r="Y3" s="189" t="n">
        <v>1</v>
      </c>
      <c r="Z3" s="197" t="n">
        <v>45804</v>
      </c>
      <c r="AA3" s="198"/>
      <c r="AB3" s="198"/>
      <c r="AC3" s="198" t="s">
        <v>53</v>
      </c>
      <c r="AD3" s="198" t="s">
        <v>417</v>
      </c>
      <c r="AE3" s="198" t="n">
        <v>45</v>
      </c>
      <c r="AF3" s="200" t="n">
        <v>45804</v>
      </c>
      <c r="AG3" s="198" t="n">
        <v>65901</v>
      </c>
      <c r="AH3" s="198" t="n">
        <f aca="false">VLOOKUP(Таблица310[[#This Row],[№ акта]],'Степень зрелости 2025'!$H$13:$I$583,2,FALSE())</f>
        <v>42</v>
      </c>
      <c r="AI3" s="198" t="str">
        <f aca="false">VLOOKUP(Таблица310[[#This Row],[№ акта]],$AQ$1:$AT$594,2,FALSE())</f>
        <v> 2/4</v>
      </c>
      <c r="AJ3" s="198" t="str">
        <f aca="false">Таблица310[[#This Row],[Регистратор.Номенклатура]]</f>
        <v>Преладо</v>
      </c>
      <c r="AK3" s="198" t="str">
        <f aca="false">VLOOKUP(Таблица310[[#This Row],[№ акта]],$AQ$1:$AT$594,4,FALSE())</f>
        <v>Учхоз Кубань (богара)</v>
      </c>
      <c r="AL3" s="230" t="n">
        <f aca="false">VLOOKUP(Таблица310[[#This Row],[№ акта]],$AQ$1:$AT$594,3,FALSE())</f>
        <v>3.62857142857143</v>
      </c>
      <c r="AM3" s="198" t="str">
        <f aca="false">IF(Таблица310[[#This Row],[Площадь уборки, га]]=Таблица310[[#This Row],[Площадь уборки до корр]],"нет","да")</f>
        <v>нет</v>
      </c>
      <c r="AN3" s="230" t="n">
        <f aca="false">Таблица310[[#This Row],[Площадь уборки до корр]]-Таблица310[[#This Row],[Площадь уборки, га]]</f>
        <v>0</v>
      </c>
      <c r="AQ3" s="0" t="n">
        <v>45</v>
      </c>
      <c r="AR3" s="0" t="s">
        <v>416</v>
      </c>
      <c r="AS3" s="0" t="n">
        <v>3.62857142857143</v>
      </c>
      <c r="AT3" s="0" t="s">
        <v>323</v>
      </c>
    </row>
    <row r="4" customFormat="false" ht="37.3" hidden="false" customHeight="false" outlineLevel="0" collapsed="false">
      <c r="A4" s="189" t="s">
        <v>358</v>
      </c>
      <c r="B4" s="190" t="n">
        <v>1599</v>
      </c>
      <c r="C4" s="191" t="n">
        <v>37</v>
      </c>
      <c r="D4" s="192" t="n">
        <v>46</v>
      </c>
      <c r="E4" s="193" t="n">
        <v>45804</v>
      </c>
      <c r="F4" s="190" t="n">
        <v>11320</v>
      </c>
      <c r="G4" s="190" t="n">
        <v>2050</v>
      </c>
      <c r="H4" s="194" t="n">
        <v>9270</v>
      </c>
      <c r="I4" s="190" t="n">
        <v>1599</v>
      </c>
      <c r="J4" s="189" t="s">
        <v>422</v>
      </c>
      <c r="K4" s="189" t="s">
        <v>423</v>
      </c>
      <c r="L4" s="189" t="s">
        <v>133</v>
      </c>
      <c r="M4" s="189" t="s">
        <v>411</v>
      </c>
      <c r="N4" s="189" t="s">
        <v>424</v>
      </c>
      <c r="O4" s="189" t="s">
        <v>425</v>
      </c>
      <c r="P4" s="189"/>
      <c r="Q4" s="201" t="n">
        <v>701</v>
      </c>
      <c r="R4" s="189" t="s">
        <v>381</v>
      </c>
      <c r="S4" s="189"/>
      <c r="T4" s="189" t="s">
        <v>133</v>
      </c>
      <c r="U4" s="195" t="str">
        <f aca="false">Таблица310[[#This Row],[Регистратор.Номенклатура]]</f>
        <v>Оскар</v>
      </c>
      <c r="V4" s="196" t="n">
        <v>1</v>
      </c>
      <c r="W4" s="189" t="s">
        <v>324</v>
      </c>
      <c r="X4" s="189" t="s">
        <v>52</v>
      </c>
      <c r="Y4" s="189" t="n">
        <v>1</v>
      </c>
      <c r="Z4" s="197" t="n">
        <v>45804</v>
      </c>
      <c r="AA4" s="198"/>
      <c r="AB4" s="198"/>
      <c r="AC4" s="198" t="s">
        <v>299</v>
      </c>
      <c r="AD4" s="198" t="s">
        <v>417</v>
      </c>
      <c r="AE4" s="198" t="n">
        <v>46</v>
      </c>
      <c r="AF4" s="200" t="n">
        <v>45804</v>
      </c>
      <c r="AG4" s="198" t="n">
        <v>1</v>
      </c>
      <c r="AH4" s="198" t="n">
        <f aca="false">VLOOKUP(Таблица310[[#This Row],[№ акта]],'Степень зрелости 2025'!$H$13:$I$583,2,FALSE())</f>
        <v>37</v>
      </c>
      <c r="AI4" s="198" t="str">
        <f aca="false">VLOOKUP(Таблица310[[#This Row],[№ акта]],$AQ$1:$AT$594,2,FALSE())</f>
        <v>А-44</v>
      </c>
      <c r="AJ4" s="198" t="str">
        <f aca="false">Таблица310[[#This Row],[Регистратор.Номенклатура]]</f>
        <v>Оскар</v>
      </c>
      <c r="AK4" s="198" t="str">
        <f aca="false">VLOOKUP(Таблица310[[#This Row],[№ акта]],$AQ$1:$AT$594,4,FALSE())</f>
        <v>ГРК собственные семена (богара)</v>
      </c>
      <c r="AL4" s="230" t="n">
        <f aca="false">VLOOKUP(Таблица310[[#This Row],[№ акта]],$AQ$1:$AT$594,3,FALSE())</f>
        <v>1</v>
      </c>
      <c r="AM4" s="198" t="str">
        <f aca="false">IF(Таблица310[[#This Row],[Площадь уборки, га]]=Таблица310[[#This Row],[Площадь уборки до корр]],"нет","да")</f>
        <v>нет</v>
      </c>
      <c r="AN4" s="230" t="n">
        <f aca="false">Таблица310[[#This Row],[Площадь уборки до корр]]-Таблица310[[#This Row],[Площадь уборки, га]]</f>
        <v>0</v>
      </c>
      <c r="AQ4" s="0" t="n">
        <v>46</v>
      </c>
      <c r="AR4" s="0" t="s">
        <v>133</v>
      </c>
      <c r="AS4" s="0" t="n">
        <v>1</v>
      </c>
      <c r="AT4" s="0" t="s">
        <v>324</v>
      </c>
    </row>
    <row r="5" customFormat="false" ht="28.35" hidden="false" customHeight="false" outlineLevel="0" collapsed="false">
      <c r="A5" s="189" t="s">
        <v>358</v>
      </c>
      <c r="B5" s="190" t="n">
        <f aca="false">Таблица310[[#This Row],[Регистратор.Вес чистый]]</f>
        <v>11040</v>
      </c>
      <c r="C5" s="191" t="n">
        <v>43</v>
      </c>
      <c r="D5" s="192" t="n">
        <v>47</v>
      </c>
      <c r="E5" s="193" t="n">
        <v>45805</v>
      </c>
      <c r="F5" s="190" t="n">
        <v>27680</v>
      </c>
      <c r="G5" s="190" t="n">
        <v>13800</v>
      </c>
      <c r="H5" s="194" t="n">
        <v>13880</v>
      </c>
      <c r="I5" s="190" t="n">
        <v>11040</v>
      </c>
      <c r="J5" s="189" t="s">
        <v>409</v>
      </c>
      <c r="K5" s="189" t="s">
        <v>252</v>
      </c>
      <c r="L5" s="189" t="s">
        <v>410</v>
      </c>
      <c r="M5" s="189" t="s">
        <v>359</v>
      </c>
      <c r="N5" s="189"/>
      <c r="O5" s="189"/>
      <c r="P5" s="189"/>
      <c r="Q5" s="189"/>
      <c r="R5" s="189" t="s">
        <v>426</v>
      </c>
      <c r="S5" s="189"/>
      <c r="T5" s="195" t="s">
        <v>416</v>
      </c>
      <c r="U5" s="195" t="str">
        <f aca="false">Таблица310[[#This Row],[Регистратор.Номенклатура]]</f>
        <v>Преладо</v>
      </c>
      <c r="V5" s="196" t="n">
        <f aca="false">18*Таблица310[[#This Row],[Регистратор.Вес нетто]]/69300</f>
        <v>3.58441558441558</v>
      </c>
      <c r="W5" s="189" t="s">
        <v>323</v>
      </c>
      <c r="X5" s="189" t="s">
        <v>52</v>
      </c>
      <c r="Y5" s="189" t="n">
        <v>1</v>
      </c>
      <c r="Z5" s="197" t="n">
        <v>45804</v>
      </c>
      <c r="AA5" s="198"/>
      <c r="AB5" s="198"/>
      <c r="AC5" s="198" t="s">
        <v>53</v>
      </c>
      <c r="AD5" s="198" t="s">
        <v>417</v>
      </c>
      <c r="AE5" s="198" t="n">
        <v>47</v>
      </c>
      <c r="AF5" s="200" t="n">
        <v>45805</v>
      </c>
      <c r="AG5" s="198" t="n">
        <v>65902</v>
      </c>
      <c r="AH5" s="198" t="e">
        <f aca="false">VLOOKUP(Таблица310[[#This Row],[№ акта]],'Степень зрелости 2025'!$H$13:$I$583,2,FALSE())</f>
        <v>#N/A</v>
      </c>
      <c r="AI5" s="198" t="str">
        <f aca="false">VLOOKUP(Таблица310[[#This Row],[№ акта]],$AQ$1:$AT$594,2,FALSE())</f>
        <v> 2/4</v>
      </c>
      <c r="AJ5" s="198" t="str">
        <f aca="false">Таблица310[[#This Row],[Регистратор.Номенклатура]]</f>
        <v>Преладо</v>
      </c>
      <c r="AK5" s="198" t="str">
        <f aca="false">VLOOKUP(Таблица310[[#This Row],[№ акта]],$AQ$1:$AT$594,4,FALSE())</f>
        <v>Учхоз Кубань (богара)</v>
      </c>
      <c r="AL5" s="230" t="n">
        <f aca="false">VLOOKUP(Таблица310[[#This Row],[№ акта]],$AQ$1:$AT$594,3,FALSE())</f>
        <v>3.58441558441558</v>
      </c>
      <c r="AM5" s="198" t="str">
        <f aca="false">IF(Таблица310[[#This Row],[Площадь уборки, га]]=Таблица310[[#This Row],[Площадь уборки до корр]],"нет","да")</f>
        <v>нет</v>
      </c>
      <c r="AN5" s="230" t="n">
        <f aca="false">Таблица310[[#This Row],[Площадь уборки до корр]]-Таблица310[[#This Row],[Площадь уборки, га]]</f>
        <v>0</v>
      </c>
      <c r="AQ5" s="0" t="n">
        <v>47</v>
      </c>
      <c r="AR5" s="0" t="s">
        <v>416</v>
      </c>
      <c r="AS5" s="0" t="n">
        <v>3.58441558441558</v>
      </c>
      <c r="AT5" s="0" t="s">
        <v>323</v>
      </c>
    </row>
    <row r="6" customFormat="false" ht="28.35" hidden="false" customHeight="false" outlineLevel="0" collapsed="false">
      <c r="A6" s="189" t="s">
        <v>358</v>
      </c>
      <c r="B6" s="190" t="n">
        <v>11099.5</v>
      </c>
      <c r="C6" s="191" t="n">
        <v>41</v>
      </c>
      <c r="D6" s="192" t="n">
        <v>48</v>
      </c>
      <c r="E6" s="193" t="n">
        <v>45805</v>
      </c>
      <c r="F6" s="190" t="n">
        <v>34970</v>
      </c>
      <c r="G6" s="190" t="n">
        <v>14050</v>
      </c>
      <c r="H6" s="194" t="n">
        <v>20920</v>
      </c>
      <c r="I6" s="190" t="n">
        <v>11099.5</v>
      </c>
      <c r="J6" s="189" t="s">
        <v>409</v>
      </c>
      <c r="K6" s="189" t="s">
        <v>252</v>
      </c>
      <c r="L6" s="189" t="s">
        <v>410</v>
      </c>
      <c r="M6" s="189" t="s">
        <v>427</v>
      </c>
      <c r="N6" s="189" t="s">
        <v>428</v>
      </c>
      <c r="O6" s="189" t="s">
        <v>429</v>
      </c>
      <c r="P6" s="189"/>
      <c r="Q6" s="189" t="s">
        <v>430</v>
      </c>
      <c r="R6" s="189" t="s">
        <v>431</v>
      </c>
      <c r="S6" s="189" t="s">
        <v>432</v>
      </c>
      <c r="T6" s="195" t="s">
        <v>416</v>
      </c>
      <c r="U6" s="195" t="str">
        <f aca="false">Таблица310[[#This Row],[Регистратор.Номенклатура]]</f>
        <v>Преладо</v>
      </c>
      <c r="V6" s="196" t="n">
        <f aca="false">18*Таблица310[[#This Row],[Регистратор.Вес нетто]]/69300</f>
        <v>3.64935064935065</v>
      </c>
      <c r="W6" s="189" t="s">
        <v>323</v>
      </c>
      <c r="X6" s="189" t="s">
        <v>52</v>
      </c>
      <c r="Y6" s="189" t="n">
        <v>1</v>
      </c>
      <c r="Z6" s="197" t="n">
        <v>45804</v>
      </c>
      <c r="AA6" s="198"/>
      <c r="AB6" s="198"/>
      <c r="AC6" s="198" t="s">
        <v>53</v>
      </c>
      <c r="AD6" s="198" t="s">
        <v>417</v>
      </c>
      <c r="AE6" s="198" t="n">
        <v>48</v>
      </c>
      <c r="AF6" s="200" t="n">
        <v>45805</v>
      </c>
      <c r="AG6" s="198" t="n">
        <v>65903</v>
      </c>
      <c r="AH6" s="198" t="n">
        <f aca="false">VLOOKUP(Таблица310[[#This Row],[№ акта]],'Степень зрелости 2025'!$H$13:$I$583,2,FALSE())</f>
        <v>41</v>
      </c>
      <c r="AI6" s="198" t="str">
        <f aca="false">VLOOKUP(Таблица310[[#This Row],[№ акта]],$AQ$1:$AT$594,2,FALSE())</f>
        <v> 2/4</v>
      </c>
      <c r="AJ6" s="198" t="str">
        <f aca="false">Таблица310[[#This Row],[Регистратор.Номенклатура]]</f>
        <v>Преладо</v>
      </c>
      <c r="AK6" s="198" t="str">
        <f aca="false">VLOOKUP(Таблица310[[#This Row],[№ акта]],$AQ$1:$AT$594,4,FALSE())</f>
        <v>Учхоз Кубань (богара)</v>
      </c>
      <c r="AL6" s="230" t="n">
        <f aca="false">VLOOKUP(Таблица310[[#This Row],[№ акта]],$AQ$1:$AT$594,3,FALSE())</f>
        <v>3.64935064935065</v>
      </c>
      <c r="AM6" s="198" t="str">
        <f aca="false">IF(Таблица310[[#This Row],[Площадь уборки, га]]=Таблица310[[#This Row],[Площадь уборки до корр]],"нет","да")</f>
        <v>нет</v>
      </c>
      <c r="AN6" s="230" t="n">
        <f aca="false">Таблица310[[#This Row],[Площадь уборки до корр]]-Таблица310[[#This Row],[Площадь уборки, га]]</f>
        <v>0</v>
      </c>
      <c r="AQ6" s="0" t="n">
        <v>48</v>
      </c>
      <c r="AR6" s="0" t="s">
        <v>416</v>
      </c>
      <c r="AS6" s="0" t="n">
        <v>3.64935064935065</v>
      </c>
      <c r="AT6" s="0" t="s">
        <v>323</v>
      </c>
    </row>
    <row r="7" customFormat="false" ht="28.35" hidden="false" customHeight="false" outlineLevel="0" collapsed="false">
      <c r="A7" s="189" t="s">
        <v>358</v>
      </c>
      <c r="B7" s="190" t="n">
        <v>9624.2</v>
      </c>
      <c r="C7" s="191" t="n">
        <v>45</v>
      </c>
      <c r="D7" s="192" t="n">
        <v>52</v>
      </c>
      <c r="E7" s="193" t="n">
        <v>45805</v>
      </c>
      <c r="F7" s="190" t="n">
        <v>28940</v>
      </c>
      <c r="G7" s="190" t="n">
        <v>14050</v>
      </c>
      <c r="H7" s="194" t="n">
        <v>14890</v>
      </c>
      <c r="I7" s="190" t="n">
        <v>9624.2</v>
      </c>
      <c r="J7" s="189" t="s">
        <v>409</v>
      </c>
      <c r="K7" s="189" t="s">
        <v>252</v>
      </c>
      <c r="L7" s="189" t="s">
        <v>410</v>
      </c>
      <c r="M7" s="189" t="s">
        <v>433</v>
      </c>
      <c r="N7" s="189" t="s">
        <v>434</v>
      </c>
      <c r="O7" s="189" t="s">
        <v>435</v>
      </c>
      <c r="P7" s="189"/>
      <c r="Q7" s="189" t="s">
        <v>436</v>
      </c>
      <c r="R7" s="189" t="s">
        <v>437</v>
      </c>
      <c r="S7" s="189" t="s">
        <v>438</v>
      </c>
      <c r="T7" s="195" t="s">
        <v>416</v>
      </c>
      <c r="U7" s="195" t="str">
        <f aca="false">Таблица310[[#This Row],[Регистратор.Номенклатура]]</f>
        <v>Преладо</v>
      </c>
      <c r="V7" s="196" t="n">
        <f aca="false">18*Таблица310[[#This Row],[Регистратор.Вес нетто]]/69300</f>
        <v>3.64935064935065</v>
      </c>
      <c r="W7" s="189" t="s">
        <v>323</v>
      </c>
      <c r="X7" s="189" t="s">
        <v>52</v>
      </c>
      <c r="Y7" s="189" t="n">
        <v>1</v>
      </c>
      <c r="Z7" s="197" t="n">
        <v>45804</v>
      </c>
      <c r="AA7" s="198"/>
      <c r="AB7" s="198"/>
      <c r="AC7" s="198" t="s">
        <v>53</v>
      </c>
      <c r="AD7" s="198" t="s">
        <v>417</v>
      </c>
      <c r="AE7" s="198" t="n">
        <v>52</v>
      </c>
      <c r="AF7" s="200" t="n">
        <v>45805</v>
      </c>
      <c r="AG7" s="198" t="n">
        <v>65904</v>
      </c>
      <c r="AH7" s="198" t="n">
        <f aca="false">VLOOKUP(Таблица310[[#This Row],[№ акта]],'Степень зрелости 2025'!$H$13:$I$583,2,FALSE())</f>
        <v>45</v>
      </c>
      <c r="AI7" s="198" t="str">
        <f aca="false">VLOOKUP(Таблица310[[#This Row],[№ акта]],$AQ$1:$AT$594,2,FALSE())</f>
        <v> 2/4</v>
      </c>
      <c r="AJ7" s="198" t="str">
        <f aca="false">Таблица310[[#This Row],[Регистратор.Номенклатура]]</f>
        <v>Преладо</v>
      </c>
      <c r="AK7" s="198" t="str">
        <f aca="false">VLOOKUP(Таблица310[[#This Row],[№ акта]],$AQ$1:$AT$594,4,FALSE())</f>
        <v>Учхоз Кубань (богара)</v>
      </c>
      <c r="AL7" s="230" t="n">
        <f aca="false">VLOOKUP(Таблица310[[#This Row],[№ акта]],$AQ$1:$AT$594,3,FALSE())</f>
        <v>3.64935064935065</v>
      </c>
      <c r="AM7" s="198" t="str">
        <f aca="false">IF(Таблица310[[#This Row],[Площадь уборки, га]]=Таблица310[[#This Row],[Площадь уборки до корр]],"нет","да")</f>
        <v>нет</v>
      </c>
      <c r="AN7" s="230" t="n">
        <f aca="false">Таблица310[[#This Row],[Площадь уборки до корр]]-Таблица310[[#This Row],[Площадь уборки, га]]</f>
        <v>0</v>
      </c>
      <c r="AQ7" s="0" t="n">
        <v>52</v>
      </c>
      <c r="AR7" s="0" t="s">
        <v>416</v>
      </c>
      <c r="AS7" s="0" t="n">
        <v>3.64935064935065</v>
      </c>
      <c r="AT7" s="0" t="s">
        <v>323</v>
      </c>
    </row>
    <row r="8" customFormat="false" ht="28.35" hidden="false" customHeight="false" outlineLevel="0" collapsed="false">
      <c r="A8" s="189" t="s">
        <v>358</v>
      </c>
      <c r="B8" s="190" t="n">
        <v>9713.3</v>
      </c>
      <c r="C8" s="191" t="n">
        <v>45</v>
      </c>
      <c r="D8" s="192" t="n">
        <v>53</v>
      </c>
      <c r="E8" s="193" t="n">
        <v>45805</v>
      </c>
      <c r="F8" s="190" t="n">
        <v>38160</v>
      </c>
      <c r="G8" s="190" t="n">
        <v>14180</v>
      </c>
      <c r="H8" s="194" t="n">
        <v>24140</v>
      </c>
      <c r="I8" s="190" t="n">
        <v>9713.3</v>
      </c>
      <c r="J8" s="189" t="s">
        <v>409</v>
      </c>
      <c r="K8" s="189" t="s">
        <v>252</v>
      </c>
      <c r="L8" s="189" t="s">
        <v>410</v>
      </c>
      <c r="M8" s="189" t="s">
        <v>439</v>
      </c>
      <c r="N8" s="189" t="s">
        <v>440</v>
      </c>
      <c r="O8" s="189" t="s">
        <v>441</v>
      </c>
      <c r="P8" s="189"/>
      <c r="Q8" s="189" t="s">
        <v>442</v>
      </c>
      <c r="R8" s="189" t="s">
        <v>443</v>
      </c>
      <c r="S8" s="189" t="s">
        <v>444</v>
      </c>
      <c r="T8" s="195" t="s">
        <v>416</v>
      </c>
      <c r="U8" s="195" t="str">
        <f aca="false">Таблица310[[#This Row],[Регистратор.Номенклатура]]</f>
        <v>Преладо</v>
      </c>
      <c r="V8" s="196" t="n">
        <f aca="false">27*Таблица310[[#This Row],[Регистратор.Вес нетто]]/98620</f>
        <v>3.88217400121679</v>
      </c>
      <c r="W8" s="189" t="s">
        <v>323</v>
      </c>
      <c r="X8" s="189" t="s">
        <v>52</v>
      </c>
      <c r="Y8" s="189" t="n">
        <v>2</v>
      </c>
      <c r="Z8" s="197" t="n">
        <v>45805</v>
      </c>
      <c r="AA8" s="198"/>
      <c r="AB8" s="198"/>
      <c r="AC8" s="198" t="s">
        <v>53</v>
      </c>
      <c r="AD8" s="198" t="s">
        <v>417</v>
      </c>
      <c r="AE8" s="198" t="n">
        <v>53</v>
      </c>
      <c r="AF8" s="200" t="n">
        <v>45805</v>
      </c>
      <c r="AG8" s="198" t="n">
        <v>65905</v>
      </c>
      <c r="AH8" s="198" t="n">
        <f aca="false">VLOOKUP(Таблица310[[#This Row],[№ акта]],'Степень зрелости 2025'!$H$13:$I$583,2,FALSE())</f>
        <v>45</v>
      </c>
      <c r="AI8" s="198" t="str">
        <f aca="false">VLOOKUP(Таблица310[[#This Row],[№ акта]],$AQ$1:$AT$594,2,FALSE())</f>
        <v> 2/4</v>
      </c>
      <c r="AJ8" s="198" t="str">
        <f aca="false">Таблица310[[#This Row],[Регистратор.Номенклатура]]</f>
        <v>Преладо</v>
      </c>
      <c r="AK8" s="198" t="str">
        <f aca="false">VLOOKUP(Таблица310[[#This Row],[№ акта]],$AQ$1:$AT$594,4,FALSE())</f>
        <v>Учхоз Кубань (богара)</v>
      </c>
      <c r="AL8" s="230" t="n">
        <f aca="false">VLOOKUP(Таблица310[[#This Row],[№ акта]],$AQ$1:$AT$594,3,FALSE())</f>
        <v>3.88217400121679</v>
      </c>
      <c r="AM8" s="198" t="str">
        <f aca="false">IF(Таблица310[[#This Row],[Площадь уборки, га]]=Таблица310[[#This Row],[Площадь уборки до корр]],"нет","да")</f>
        <v>нет</v>
      </c>
      <c r="AN8" s="230" t="n">
        <f aca="false">Таблица310[[#This Row],[Площадь уборки до корр]]-Таблица310[[#This Row],[Площадь уборки, га]]</f>
        <v>0</v>
      </c>
      <c r="AQ8" s="0" t="n">
        <v>53</v>
      </c>
      <c r="AR8" s="0" t="s">
        <v>416</v>
      </c>
      <c r="AS8" s="0" t="n">
        <v>3.88217400121679</v>
      </c>
      <c r="AT8" s="0" t="s">
        <v>323</v>
      </c>
    </row>
    <row r="9" customFormat="false" ht="28.35" hidden="false" customHeight="false" outlineLevel="0" collapsed="false">
      <c r="A9" s="189" t="s">
        <v>358</v>
      </c>
      <c r="B9" s="190" t="n">
        <v>9806.4</v>
      </c>
      <c r="C9" s="191" t="n">
        <v>44</v>
      </c>
      <c r="D9" s="192" t="n">
        <v>54</v>
      </c>
      <c r="E9" s="193" t="n">
        <v>45805</v>
      </c>
      <c r="F9" s="190" t="n">
        <v>29800</v>
      </c>
      <c r="G9" s="190" t="n">
        <v>14110</v>
      </c>
      <c r="H9" s="194" t="n">
        <v>15690</v>
      </c>
      <c r="I9" s="190" t="n">
        <v>9806.4</v>
      </c>
      <c r="J9" s="189" t="s">
        <v>409</v>
      </c>
      <c r="K9" s="189" t="s">
        <v>252</v>
      </c>
      <c r="L9" s="189" t="s">
        <v>410</v>
      </c>
      <c r="M9" s="189" t="s">
        <v>445</v>
      </c>
      <c r="N9" s="189" t="s">
        <v>446</v>
      </c>
      <c r="O9" s="189" t="s">
        <v>447</v>
      </c>
      <c r="P9" s="189"/>
      <c r="Q9" s="189" t="s">
        <v>448</v>
      </c>
      <c r="R9" s="189" t="s">
        <v>449</v>
      </c>
      <c r="S9" s="189" t="s">
        <v>450</v>
      </c>
      <c r="T9" s="195" t="s">
        <v>416</v>
      </c>
      <c r="U9" s="195" t="str">
        <f aca="false">Таблица310[[#This Row],[Регистратор.Номенклатура]]</f>
        <v>Преладо</v>
      </c>
      <c r="V9" s="196" t="n">
        <f aca="false">27*Таблица310[[#This Row],[Регистратор.Вес нетто]]/98620</f>
        <v>3.86300953153519</v>
      </c>
      <c r="W9" s="189" t="s">
        <v>323</v>
      </c>
      <c r="X9" s="189" t="s">
        <v>52</v>
      </c>
      <c r="Y9" s="189" t="n">
        <v>2</v>
      </c>
      <c r="Z9" s="197" t="n">
        <v>45805</v>
      </c>
      <c r="AA9" s="198"/>
      <c r="AB9" s="198"/>
      <c r="AC9" s="198" t="s">
        <v>53</v>
      </c>
      <c r="AD9" s="198" t="s">
        <v>417</v>
      </c>
      <c r="AE9" s="198" t="n">
        <v>54</v>
      </c>
      <c r="AF9" s="200" t="n">
        <v>45805</v>
      </c>
      <c r="AG9" s="198" t="n">
        <v>65907</v>
      </c>
      <c r="AH9" s="198" t="n">
        <f aca="false">VLOOKUP(Таблица310[[#This Row],[№ акта]],'Степень зрелости 2025'!$H$13:$I$583,2,FALSE())</f>
        <v>44</v>
      </c>
      <c r="AI9" s="198" t="str">
        <f aca="false">VLOOKUP(Таблица310[[#This Row],[№ акта]],$AQ$1:$AT$594,2,FALSE())</f>
        <v> 2/4</v>
      </c>
      <c r="AJ9" s="198" t="str">
        <f aca="false">Таблица310[[#This Row],[Регистратор.Номенклатура]]</f>
        <v>Преладо</v>
      </c>
      <c r="AK9" s="198" t="str">
        <f aca="false">VLOOKUP(Таблица310[[#This Row],[№ акта]],$AQ$1:$AT$594,4,FALSE())</f>
        <v>Учхоз Кубань (богара)</v>
      </c>
      <c r="AL9" s="230" t="n">
        <f aca="false">VLOOKUP(Таблица310[[#This Row],[№ акта]],$AQ$1:$AT$594,3,FALSE())</f>
        <v>3.86300953153519</v>
      </c>
      <c r="AM9" s="198" t="str">
        <f aca="false">IF(Таблица310[[#This Row],[Площадь уборки, га]]=Таблица310[[#This Row],[Площадь уборки до корр]],"нет","да")</f>
        <v>нет</v>
      </c>
      <c r="AN9" s="230" t="n">
        <f aca="false">Таблица310[[#This Row],[Площадь уборки до корр]]-Таблица310[[#This Row],[Площадь уборки, га]]</f>
        <v>0</v>
      </c>
      <c r="AQ9" s="0" t="n">
        <v>54</v>
      </c>
      <c r="AR9" s="0" t="s">
        <v>416</v>
      </c>
      <c r="AS9" s="0" t="n">
        <v>3.86300953153519</v>
      </c>
      <c r="AT9" s="0" t="s">
        <v>323</v>
      </c>
    </row>
    <row r="10" customFormat="false" ht="28.35" hidden="false" customHeight="false" outlineLevel="0" collapsed="false">
      <c r="A10" s="189" t="s">
        <v>358</v>
      </c>
      <c r="B10" s="190" t="n">
        <v>10519.7</v>
      </c>
      <c r="C10" s="191" t="n">
        <v>44</v>
      </c>
      <c r="D10" s="192" t="n">
        <v>55</v>
      </c>
      <c r="E10" s="193" t="n">
        <v>45805</v>
      </c>
      <c r="F10" s="190" t="n">
        <v>29560</v>
      </c>
      <c r="G10" s="190" t="n">
        <v>14510</v>
      </c>
      <c r="H10" s="194" t="n">
        <v>15050</v>
      </c>
      <c r="I10" s="190" t="n">
        <v>10519.7</v>
      </c>
      <c r="J10" s="189" t="s">
        <v>409</v>
      </c>
      <c r="K10" s="189" t="s">
        <v>252</v>
      </c>
      <c r="L10" s="189" t="s">
        <v>410</v>
      </c>
      <c r="M10" s="189" t="s">
        <v>451</v>
      </c>
      <c r="N10" s="189" t="s">
        <v>452</v>
      </c>
      <c r="O10" s="189" t="s">
        <v>453</v>
      </c>
      <c r="P10" s="189"/>
      <c r="Q10" s="189" t="s">
        <v>454</v>
      </c>
      <c r="R10" s="189" t="s">
        <v>455</v>
      </c>
      <c r="S10" s="189" t="s">
        <v>456</v>
      </c>
      <c r="T10" s="195" t="s">
        <v>416</v>
      </c>
      <c r="U10" s="195" t="str">
        <f aca="false">Таблица310[[#This Row],[Регистратор.Номенклатура]]</f>
        <v>Преладо</v>
      </c>
      <c r="V10" s="196" t="n">
        <f aca="false">27*Таблица310[[#This Row],[Регистратор.Вес нетто]]/98620</f>
        <v>3.97252078685865</v>
      </c>
      <c r="W10" s="189" t="s">
        <v>323</v>
      </c>
      <c r="X10" s="189" t="s">
        <v>52</v>
      </c>
      <c r="Y10" s="189" t="n">
        <v>2</v>
      </c>
      <c r="Z10" s="197" t="n">
        <v>45805</v>
      </c>
      <c r="AA10" s="198"/>
      <c r="AB10" s="198"/>
      <c r="AC10" s="198" t="s">
        <v>53</v>
      </c>
      <c r="AD10" s="198" t="s">
        <v>417</v>
      </c>
      <c r="AE10" s="198" t="n">
        <v>55</v>
      </c>
      <c r="AF10" s="200" t="n">
        <v>45805</v>
      </c>
      <c r="AG10" s="198" t="n">
        <v>65906</v>
      </c>
      <c r="AH10" s="198" t="n">
        <f aca="false">VLOOKUP(Таблица310[[#This Row],[№ акта]],'Степень зрелости 2025'!$H$13:$I$583,2,FALSE())</f>
        <v>44</v>
      </c>
      <c r="AI10" s="198" t="str">
        <f aca="false">VLOOKUP(Таблица310[[#This Row],[№ акта]],$AQ$1:$AT$594,2,FALSE())</f>
        <v> 2/4</v>
      </c>
      <c r="AJ10" s="198" t="str">
        <f aca="false">Таблица310[[#This Row],[Регистратор.Номенклатура]]</f>
        <v>Преладо</v>
      </c>
      <c r="AK10" s="198" t="str">
        <f aca="false">VLOOKUP(Таблица310[[#This Row],[№ акта]],$AQ$1:$AT$594,4,FALSE())</f>
        <v>Учхоз Кубань (богара)</v>
      </c>
      <c r="AL10" s="230" t="n">
        <f aca="false">VLOOKUP(Таблица310[[#This Row],[№ акта]],$AQ$1:$AT$594,3,FALSE())</f>
        <v>3.97252078685865</v>
      </c>
      <c r="AM10" s="198" t="str">
        <f aca="false">IF(Таблица310[[#This Row],[Площадь уборки, га]]=Таблица310[[#This Row],[Площадь уборки до корр]],"нет","да")</f>
        <v>нет</v>
      </c>
      <c r="AN10" s="230" t="n">
        <f aca="false">Таблица310[[#This Row],[Площадь уборки до корр]]-Таблица310[[#This Row],[Площадь уборки, га]]</f>
        <v>0</v>
      </c>
      <c r="AQ10" s="0" t="n">
        <v>55</v>
      </c>
      <c r="AR10" s="0" t="s">
        <v>416</v>
      </c>
      <c r="AS10" s="0" t="n">
        <v>3.97252078685865</v>
      </c>
      <c r="AT10" s="0" t="s">
        <v>323</v>
      </c>
    </row>
    <row r="11" customFormat="false" ht="28.35" hidden="false" customHeight="false" outlineLevel="0" collapsed="false">
      <c r="A11" s="189" t="s">
        <v>358</v>
      </c>
      <c r="B11" s="190" t="n">
        <v>9792.5</v>
      </c>
      <c r="C11" s="191" t="n">
        <v>43</v>
      </c>
      <c r="D11" s="192" t="n">
        <v>56</v>
      </c>
      <c r="E11" s="193" t="n">
        <v>45805</v>
      </c>
      <c r="F11" s="190" t="n">
        <v>28960</v>
      </c>
      <c r="G11" s="190" t="n">
        <v>14090</v>
      </c>
      <c r="H11" s="194" t="n">
        <v>14870</v>
      </c>
      <c r="I11" s="190" t="n">
        <v>9792.5</v>
      </c>
      <c r="J11" s="189" t="s">
        <v>409</v>
      </c>
      <c r="K11" s="189" t="s">
        <v>252</v>
      </c>
      <c r="L11" s="189" t="s">
        <v>410</v>
      </c>
      <c r="M11" s="189" t="s">
        <v>457</v>
      </c>
      <c r="N11" s="189" t="s">
        <v>458</v>
      </c>
      <c r="O11" s="189" t="s">
        <v>459</v>
      </c>
      <c r="P11" s="189"/>
      <c r="Q11" s="189" t="s">
        <v>460</v>
      </c>
      <c r="R11" s="189" t="s">
        <v>366</v>
      </c>
      <c r="S11" s="189" t="s">
        <v>461</v>
      </c>
      <c r="T11" s="195" t="s">
        <v>416</v>
      </c>
      <c r="U11" s="195" t="str">
        <f aca="false">Таблица310[[#This Row],[Регистратор.Номенклатура]]</f>
        <v>Преладо</v>
      </c>
      <c r="V11" s="196" t="n">
        <f aca="false">27*Таблица310[[#This Row],[Регистратор.Вес нетто]]/98620</f>
        <v>3.85753396876901</v>
      </c>
      <c r="W11" s="189" t="s">
        <v>323</v>
      </c>
      <c r="X11" s="189" t="s">
        <v>52</v>
      </c>
      <c r="Y11" s="189" t="n">
        <v>2</v>
      </c>
      <c r="Z11" s="197" t="n">
        <v>45805</v>
      </c>
      <c r="AA11" s="198"/>
      <c r="AB11" s="198"/>
      <c r="AC11" s="198" t="s">
        <v>53</v>
      </c>
      <c r="AD11" s="198" t="s">
        <v>417</v>
      </c>
      <c r="AE11" s="198" t="n">
        <v>56</v>
      </c>
      <c r="AF11" s="200" t="n">
        <v>45805</v>
      </c>
      <c r="AG11" s="198" t="n">
        <v>65908</v>
      </c>
      <c r="AH11" s="198" t="n">
        <f aca="false">VLOOKUP(Таблица310[[#This Row],[№ акта]],'Степень зрелости 2025'!$H$13:$I$583,2,FALSE())</f>
        <v>43</v>
      </c>
      <c r="AI11" s="198" t="str">
        <f aca="false">VLOOKUP(Таблица310[[#This Row],[№ акта]],$AQ$1:$AT$594,2,FALSE())</f>
        <v> 2/4</v>
      </c>
      <c r="AJ11" s="198" t="str">
        <f aca="false">Таблица310[[#This Row],[Регистратор.Номенклатура]]</f>
        <v>Преладо</v>
      </c>
      <c r="AK11" s="198" t="str">
        <f aca="false">VLOOKUP(Таблица310[[#This Row],[№ акта]],$AQ$1:$AT$594,4,FALSE())</f>
        <v>Учхоз Кубань (богара)</v>
      </c>
      <c r="AL11" s="230" t="n">
        <f aca="false">VLOOKUP(Таблица310[[#This Row],[№ акта]],$AQ$1:$AT$594,3,FALSE())</f>
        <v>3.85753396876901</v>
      </c>
      <c r="AM11" s="198" t="str">
        <f aca="false">IF(Таблица310[[#This Row],[Площадь уборки, га]]=Таблица310[[#This Row],[Площадь уборки до корр]],"нет","да")</f>
        <v>нет</v>
      </c>
      <c r="AN11" s="230" t="n">
        <f aca="false">Таблица310[[#This Row],[Площадь уборки до корр]]-Таблица310[[#This Row],[Площадь уборки, га]]</f>
        <v>0</v>
      </c>
      <c r="AQ11" s="0" t="n">
        <v>56</v>
      </c>
      <c r="AR11" s="0" t="s">
        <v>416</v>
      </c>
      <c r="AS11" s="0" t="n">
        <v>3.85753396876901</v>
      </c>
      <c r="AT11" s="0" t="s">
        <v>323</v>
      </c>
    </row>
    <row r="12" customFormat="false" ht="28.35" hidden="false" customHeight="false" outlineLevel="0" collapsed="false">
      <c r="A12" s="189" t="s">
        <v>358</v>
      </c>
      <c r="B12" s="190" t="n">
        <v>9588</v>
      </c>
      <c r="C12" s="191" t="n">
        <v>42</v>
      </c>
      <c r="D12" s="192" t="n">
        <v>57</v>
      </c>
      <c r="E12" s="193" t="n">
        <v>45806</v>
      </c>
      <c r="F12" s="190" t="n">
        <v>28680</v>
      </c>
      <c r="G12" s="190" t="n">
        <v>14100</v>
      </c>
      <c r="H12" s="194" t="n">
        <v>14580</v>
      </c>
      <c r="I12" s="190" t="n">
        <v>9588</v>
      </c>
      <c r="J12" s="189" t="s">
        <v>409</v>
      </c>
      <c r="K12" s="189" t="s">
        <v>252</v>
      </c>
      <c r="L12" s="189" t="s">
        <v>410</v>
      </c>
      <c r="M12" s="189" t="s">
        <v>55</v>
      </c>
      <c r="N12" s="189" t="s">
        <v>462</v>
      </c>
      <c r="O12" s="189" t="s">
        <v>463</v>
      </c>
      <c r="P12" s="189"/>
      <c r="Q12" s="189" t="s">
        <v>464</v>
      </c>
      <c r="R12" s="189" t="s">
        <v>56</v>
      </c>
      <c r="S12" s="189" t="s">
        <v>465</v>
      </c>
      <c r="T12" s="195" t="s">
        <v>416</v>
      </c>
      <c r="U12" s="195" t="str">
        <f aca="false">Таблица310[[#This Row],[Регистратор.Номенклатура]]</f>
        <v>Преладо</v>
      </c>
      <c r="V12" s="196" t="n">
        <f aca="false">27*Таблица310[[#This Row],[Регистратор.Вес нетто]]/98620</f>
        <v>3.8602717501521</v>
      </c>
      <c r="W12" s="189" t="s">
        <v>323</v>
      </c>
      <c r="X12" s="189" t="s">
        <v>52</v>
      </c>
      <c r="Y12" s="189" t="n">
        <v>2</v>
      </c>
      <c r="Z12" s="197" t="n">
        <v>45805</v>
      </c>
      <c r="AA12" s="198"/>
      <c r="AB12" s="198"/>
      <c r="AC12" s="198" t="s">
        <v>53</v>
      </c>
      <c r="AD12" s="198" t="s">
        <v>417</v>
      </c>
      <c r="AE12" s="198" t="n">
        <v>57</v>
      </c>
      <c r="AF12" s="200" t="n">
        <v>45806</v>
      </c>
      <c r="AG12" s="198" t="n">
        <v>65909</v>
      </c>
      <c r="AH12" s="198" t="n">
        <f aca="false">VLOOKUP(Таблица310[[#This Row],[№ акта]],'Степень зрелости 2025'!$H$13:$I$583,2,FALSE())</f>
        <v>42</v>
      </c>
      <c r="AI12" s="198" t="str">
        <f aca="false">VLOOKUP(Таблица310[[#This Row],[№ акта]],$AQ$1:$AT$594,2,FALSE())</f>
        <v> 2/4</v>
      </c>
      <c r="AJ12" s="198" t="str">
        <f aca="false">Таблица310[[#This Row],[Регистратор.Номенклатура]]</f>
        <v>Преладо</v>
      </c>
      <c r="AK12" s="198" t="str">
        <f aca="false">VLOOKUP(Таблица310[[#This Row],[№ акта]],$AQ$1:$AT$594,4,FALSE())</f>
        <v>Учхоз Кубань (богара)</v>
      </c>
      <c r="AL12" s="230" t="n">
        <f aca="false">VLOOKUP(Таблица310[[#This Row],[№ акта]],$AQ$1:$AT$594,3,FALSE())</f>
        <v>3.8602717501521</v>
      </c>
      <c r="AM12" s="198" t="str">
        <f aca="false">IF(Таблица310[[#This Row],[Площадь уборки, га]]=Таблица310[[#This Row],[Площадь уборки до корр]],"нет","да")</f>
        <v>нет</v>
      </c>
      <c r="AN12" s="230" t="n">
        <f aca="false">Таблица310[[#This Row],[Площадь уборки до корр]]-Таблица310[[#This Row],[Площадь уборки, га]]</f>
        <v>0</v>
      </c>
      <c r="AQ12" s="0" t="n">
        <v>57</v>
      </c>
      <c r="AR12" s="0" t="s">
        <v>416</v>
      </c>
      <c r="AS12" s="0" t="n">
        <v>3.8602717501521</v>
      </c>
      <c r="AT12" s="0" t="s">
        <v>323</v>
      </c>
    </row>
    <row r="13" customFormat="false" ht="28.35" hidden="false" customHeight="false" outlineLevel="0" collapsed="false">
      <c r="A13" s="189" t="s">
        <v>358</v>
      </c>
      <c r="B13" s="190" t="n">
        <v>10150</v>
      </c>
      <c r="C13" s="191" t="n">
        <v>45</v>
      </c>
      <c r="D13" s="192" t="n">
        <v>58</v>
      </c>
      <c r="E13" s="193" t="n">
        <v>45806</v>
      </c>
      <c r="F13" s="190" t="n">
        <v>28830</v>
      </c>
      <c r="G13" s="190" t="n">
        <v>14000</v>
      </c>
      <c r="H13" s="194" t="n">
        <v>14830</v>
      </c>
      <c r="I13" s="190" t="n">
        <v>10150</v>
      </c>
      <c r="J13" s="189" t="s">
        <v>409</v>
      </c>
      <c r="K13" s="189" t="s">
        <v>252</v>
      </c>
      <c r="L13" s="189" t="s">
        <v>410</v>
      </c>
      <c r="M13" s="189" t="s">
        <v>466</v>
      </c>
      <c r="N13" s="189" t="s">
        <v>467</v>
      </c>
      <c r="O13" s="189" t="s">
        <v>468</v>
      </c>
      <c r="P13" s="189"/>
      <c r="Q13" s="189" t="s">
        <v>469</v>
      </c>
      <c r="R13" s="189" t="s">
        <v>470</v>
      </c>
      <c r="S13" s="189" t="s">
        <v>471</v>
      </c>
      <c r="T13" s="195" t="s">
        <v>416</v>
      </c>
      <c r="U13" s="195" t="str">
        <f aca="false">Таблица310[[#This Row],[Регистратор.Номенклатура]]</f>
        <v>Преладо</v>
      </c>
      <c r="V13" s="196" t="n">
        <f aca="false">27*Таблица310[[#This Row],[Регистратор.Вес нетто]]/98620</f>
        <v>3.83289393632123</v>
      </c>
      <c r="W13" s="189" t="s">
        <v>323</v>
      </c>
      <c r="X13" s="189" t="s">
        <v>52</v>
      </c>
      <c r="Y13" s="189" t="n">
        <v>2</v>
      </c>
      <c r="Z13" s="197" t="n">
        <v>45805</v>
      </c>
      <c r="AA13" s="198"/>
      <c r="AB13" s="198"/>
      <c r="AC13" s="198" t="s">
        <v>53</v>
      </c>
      <c r="AD13" s="198" t="s">
        <v>417</v>
      </c>
      <c r="AE13" s="198" t="n">
        <v>58</v>
      </c>
      <c r="AF13" s="200" t="n">
        <v>45806</v>
      </c>
      <c r="AG13" s="198" t="n">
        <v>65910</v>
      </c>
      <c r="AH13" s="198" t="n">
        <f aca="false">VLOOKUP(Таблица310[[#This Row],[№ акта]],'Степень зрелости 2025'!$H$13:$I$583,2,FALSE())</f>
        <v>45</v>
      </c>
      <c r="AI13" s="198" t="str">
        <f aca="false">VLOOKUP(Таблица310[[#This Row],[№ акта]],$AQ$1:$AT$594,2,FALSE())</f>
        <v> 2/4</v>
      </c>
      <c r="AJ13" s="198" t="str">
        <f aca="false">Таблица310[[#This Row],[Регистратор.Номенклатура]]</f>
        <v>Преладо</v>
      </c>
      <c r="AK13" s="198" t="str">
        <f aca="false">VLOOKUP(Таблица310[[#This Row],[№ акта]],$AQ$1:$AT$594,4,FALSE())</f>
        <v>Учхоз Кубань (богара)</v>
      </c>
      <c r="AL13" s="230" t="n">
        <f aca="false">VLOOKUP(Таблица310[[#This Row],[№ акта]],$AQ$1:$AT$594,3,FALSE())</f>
        <v>3.83289393632123</v>
      </c>
      <c r="AM13" s="198" t="str">
        <f aca="false">IF(Таблица310[[#This Row],[Площадь уборки, га]]=Таблица310[[#This Row],[Площадь уборки до корр]],"нет","да")</f>
        <v>нет</v>
      </c>
      <c r="AN13" s="230" t="n">
        <f aca="false">Таблица310[[#This Row],[Площадь уборки до корр]]-Таблица310[[#This Row],[Площадь уборки, га]]</f>
        <v>0</v>
      </c>
      <c r="AQ13" s="0" t="n">
        <v>58</v>
      </c>
      <c r="AR13" s="0" t="s">
        <v>416</v>
      </c>
      <c r="AS13" s="0" t="n">
        <v>3.83289393632123</v>
      </c>
      <c r="AT13" s="0" t="s">
        <v>323</v>
      </c>
    </row>
    <row r="14" customFormat="false" ht="28.35" hidden="false" customHeight="false" outlineLevel="0" collapsed="false">
      <c r="A14" s="189" t="s">
        <v>358</v>
      </c>
      <c r="B14" s="190" t="n">
        <v>9653</v>
      </c>
      <c r="C14" s="191" t="n">
        <v>45</v>
      </c>
      <c r="D14" s="192" t="n">
        <v>59</v>
      </c>
      <c r="E14" s="193" t="n">
        <v>45806</v>
      </c>
      <c r="F14" s="190" t="n">
        <v>29110</v>
      </c>
      <c r="G14" s="190" t="n">
        <v>13790</v>
      </c>
      <c r="H14" s="194" t="n">
        <v>15320</v>
      </c>
      <c r="I14" s="190" t="n">
        <v>9653</v>
      </c>
      <c r="J14" s="189" t="s">
        <v>409</v>
      </c>
      <c r="K14" s="189" t="s">
        <v>252</v>
      </c>
      <c r="L14" s="189" t="s">
        <v>410</v>
      </c>
      <c r="M14" s="189" t="s">
        <v>472</v>
      </c>
      <c r="N14" s="189" t="s">
        <v>473</v>
      </c>
      <c r="O14" s="189" t="s">
        <v>474</v>
      </c>
      <c r="P14" s="189"/>
      <c r="Q14" s="189" t="s">
        <v>475</v>
      </c>
      <c r="R14" s="189" t="s">
        <v>476</v>
      </c>
      <c r="S14" s="189" t="s">
        <v>477</v>
      </c>
      <c r="T14" s="195" t="s">
        <v>416</v>
      </c>
      <c r="U14" s="195" t="str">
        <f aca="false">Таблица310[[#This Row],[Регистратор.Номенклатура]]</f>
        <v>Преладо</v>
      </c>
      <c r="V14" s="196" t="n">
        <f aca="false">27*Таблица310[[#This Row],[Регистратор.Вес нетто]]/98620</f>
        <v>3.77540052727641</v>
      </c>
      <c r="W14" s="189" t="s">
        <v>323</v>
      </c>
      <c r="X14" s="189" t="s">
        <v>52</v>
      </c>
      <c r="Y14" s="189" t="n">
        <v>2</v>
      </c>
      <c r="Z14" s="197" t="n">
        <v>45805</v>
      </c>
      <c r="AA14" s="198"/>
      <c r="AB14" s="198"/>
      <c r="AC14" s="198" t="s">
        <v>53</v>
      </c>
      <c r="AD14" s="198" t="s">
        <v>417</v>
      </c>
      <c r="AE14" s="198" t="n">
        <v>59</v>
      </c>
      <c r="AF14" s="200" t="n">
        <v>45806</v>
      </c>
      <c r="AG14" s="198" t="n">
        <v>65911</v>
      </c>
      <c r="AH14" s="198" t="n">
        <f aca="false">VLOOKUP(Таблица310[[#This Row],[№ акта]],'Степень зрелости 2025'!$H$13:$I$583,2,FALSE())</f>
        <v>45</v>
      </c>
      <c r="AI14" s="198" t="str">
        <f aca="false">VLOOKUP(Таблица310[[#This Row],[№ акта]],$AQ$1:$AT$594,2,FALSE())</f>
        <v> 2/4</v>
      </c>
      <c r="AJ14" s="198" t="str">
        <f aca="false">Таблица310[[#This Row],[Регистратор.Номенклатура]]</f>
        <v>Преладо</v>
      </c>
      <c r="AK14" s="198" t="str">
        <f aca="false">VLOOKUP(Таблица310[[#This Row],[№ акта]],$AQ$1:$AT$594,4,FALSE())</f>
        <v>Учхоз Кубань (богара)</v>
      </c>
      <c r="AL14" s="230" t="n">
        <f aca="false">VLOOKUP(Таблица310[[#This Row],[№ акта]],$AQ$1:$AT$594,3,FALSE())</f>
        <v>3.77540052727641</v>
      </c>
      <c r="AM14" s="198" t="str">
        <f aca="false">IF(Таблица310[[#This Row],[Площадь уборки, га]]=Таблица310[[#This Row],[Площадь уборки до корр]],"нет","да")</f>
        <v>нет</v>
      </c>
      <c r="AN14" s="230" t="n">
        <f aca="false">Таблица310[[#This Row],[Площадь уборки до корр]]-Таблица310[[#This Row],[Площадь уборки, га]]</f>
        <v>0</v>
      </c>
      <c r="AQ14" s="0" t="n">
        <v>59</v>
      </c>
      <c r="AR14" s="0" t="s">
        <v>416</v>
      </c>
      <c r="AS14" s="0" t="n">
        <v>3.77540052727641</v>
      </c>
      <c r="AT14" s="0" t="s">
        <v>323</v>
      </c>
    </row>
    <row r="15" customFormat="false" ht="37.3" hidden="false" customHeight="false" outlineLevel="0" collapsed="false">
      <c r="A15" s="189" t="s">
        <v>358</v>
      </c>
      <c r="B15" s="190" t="n">
        <v>3080.6</v>
      </c>
      <c r="C15" s="191" t="n">
        <v>41</v>
      </c>
      <c r="D15" s="192" t="n">
        <v>72</v>
      </c>
      <c r="E15" s="193" t="n">
        <v>45806</v>
      </c>
      <c r="F15" s="190" t="n">
        <v>13930</v>
      </c>
      <c r="G15" s="190" t="n">
        <v>4220</v>
      </c>
      <c r="H15" s="194" t="n">
        <v>9710</v>
      </c>
      <c r="I15" s="190" t="n">
        <v>3080.6</v>
      </c>
      <c r="J15" s="189" t="s">
        <v>422</v>
      </c>
      <c r="K15" s="189" t="s">
        <v>423</v>
      </c>
      <c r="L15" s="189" t="s">
        <v>133</v>
      </c>
      <c r="M15" s="189" t="s">
        <v>472</v>
      </c>
      <c r="N15" s="189" t="s">
        <v>478</v>
      </c>
      <c r="O15" s="189" t="s">
        <v>479</v>
      </c>
      <c r="P15" s="189"/>
      <c r="Q15" s="240" t="n">
        <v>702.703</v>
      </c>
      <c r="R15" s="189" t="s">
        <v>476</v>
      </c>
      <c r="S15" s="189" t="s">
        <v>477</v>
      </c>
      <c r="T15" s="189" t="s">
        <v>133</v>
      </c>
      <c r="U15" s="195" t="str">
        <f aca="false">Таблица310[[#This Row],[Регистратор.Номенклатура]]</f>
        <v>Оскар</v>
      </c>
      <c r="V15" s="196" t="n">
        <f aca="false">5*Таблица310[[#This Row],[Регистратор.Вес нетто]]/10740</f>
        <v>1.96461824953445</v>
      </c>
      <c r="W15" s="189" t="s">
        <v>324</v>
      </c>
      <c r="X15" s="189" t="s">
        <v>52</v>
      </c>
      <c r="Y15" s="189" t="n">
        <v>2</v>
      </c>
      <c r="Z15" s="197" t="n">
        <v>45806</v>
      </c>
      <c r="AA15" s="198"/>
      <c r="AB15" s="198"/>
      <c r="AC15" s="198" t="s">
        <v>53</v>
      </c>
      <c r="AD15" s="198" t="s">
        <v>417</v>
      </c>
      <c r="AE15" s="198" t="n">
        <v>72</v>
      </c>
      <c r="AF15" s="200" t="n">
        <v>45806</v>
      </c>
      <c r="AG15" s="198" t="n">
        <v>2</v>
      </c>
      <c r="AH15" s="198" t="n">
        <f aca="false">VLOOKUP(Таблица310[[#This Row],[№ акта]],'Степень зрелости 2025'!$H$13:$I$583,2,FALSE())</f>
        <v>41</v>
      </c>
      <c r="AI15" s="198" t="str">
        <f aca="false">VLOOKUP(Таблица310[[#This Row],[№ акта]],$AQ$1:$AT$594,2,FALSE())</f>
        <v>А-44</v>
      </c>
      <c r="AJ15" s="198" t="str">
        <f aca="false">Таблица310[[#This Row],[Регистратор.Номенклатура]]</f>
        <v>Оскар</v>
      </c>
      <c r="AK15" s="198" t="str">
        <f aca="false">VLOOKUP(Таблица310[[#This Row],[№ акта]],$AQ$1:$AT$594,4,FALSE())</f>
        <v>ГРК собственные семена (богара)</v>
      </c>
      <c r="AL15" s="230" t="n">
        <f aca="false">VLOOKUP(Таблица310[[#This Row],[№ акта]],$AQ$1:$AT$594,3,FALSE())</f>
        <v>1.96461824953445</v>
      </c>
      <c r="AM15" s="198" t="str">
        <f aca="false">IF(Таблица310[[#This Row],[Площадь уборки, га]]=Таблица310[[#This Row],[Площадь уборки до корр]],"нет","да")</f>
        <v>нет</v>
      </c>
      <c r="AN15" s="230" t="n">
        <f aca="false">Таблица310[[#This Row],[Площадь уборки до корр]]-Таблица310[[#This Row],[Площадь уборки, га]]</f>
        <v>0</v>
      </c>
      <c r="AQ15" s="0" t="n">
        <v>72</v>
      </c>
      <c r="AR15" s="0" t="s">
        <v>133</v>
      </c>
      <c r="AS15" s="0" t="n">
        <v>1.96461824953445</v>
      </c>
      <c r="AT15" s="0" t="s">
        <v>324</v>
      </c>
    </row>
    <row r="16" customFormat="false" ht="37.3" hidden="false" customHeight="false" outlineLevel="0" collapsed="false">
      <c r="A16" s="189" t="s">
        <v>358</v>
      </c>
      <c r="B16" s="190" t="n">
        <v>5020.4</v>
      </c>
      <c r="C16" s="191" t="n">
        <v>44</v>
      </c>
      <c r="D16" s="192" t="n">
        <v>73</v>
      </c>
      <c r="E16" s="193" t="n">
        <v>45806</v>
      </c>
      <c r="F16" s="190" t="n">
        <v>21910</v>
      </c>
      <c r="G16" s="190" t="n">
        <v>6520</v>
      </c>
      <c r="H16" s="194" t="n">
        <v>15390</v>
      </c>
      <c r="I16" s="190" t="n">
        <v>5020.4</v>
      </c>
      <c r="J16" s="189" t="s">
        <v>422</v>
      </c>
      <c r="K16" s="189" t="s">
        <v>423</v>
      </c>
      <c r="L16" s="189" t="s">
        <v>133</v>
      </c>
      <c r="M16" s="189" t="s">
        <v>472</v>
      </c>
      <c r="N16" s="189" t="s">
        <v>452</v>
      </c>
      <c r="O16" s="189" t="s">
        <v>480</v>
      </c>
      <c r="P16" s="189"/>
      <c r="Q16" s="189" t="s">
        <v>481</v>
      </c>
      <c r="R16" s="189" t="s">
        <v>476</v>
      </c>
      <c r="S16" s="189" t="s">
        <v>477</v>
      </c>
      <c r="T16" s="189" t="s">
        <v>133</v>
      </c>
      <c r="U16" s="195" t="str">
        <f aca="false">Таблица310[[#This Row],[Регистратор.Номенклатура]]</f>
        <v>Оскар</v>
      </c>
      <c r="V16" s="196" t="n">
        <f aca="false">5*Таблица310[[#This Row],[Регистратор.Вес нетто]]/10740</f>
        <v>3.03538175046555</v>
      </c>
      <c r="W16" s="189" t="s">
        <v>324</v>
      </c>
      <c r="X16" s="189" t="s">
        <v>52</v>
      </c>
      <c r="Y16" s="189" t="n">
        <v>2</v>
      </c>
      <c r="Z16" s="197" t="n">
        <v>45806</v>
      </c>
      <c r="AA16" s="198"/>
      <c r="AB16" s="198"/>
      <c r="AC16" s="198" t="s">
        <v>53</v>
      </c>
      <c r="AD16" s="198" t="s">
        <v>417</v>
      </c>
      <c r="AE16" s="198" t="n">
        <v>73</v>
      </c>
      <c r="AF16" s="200" t="n">
        <v>45806</v>
      </c>
      <c r="AG16" s="198" t="n">
        <v>3</v>
      </c>
      <c r="AH16" s="198" t="n">
        <f aca="false">VLOOKUP(Таблица310[[#This Row],[№ акта]],'Степень зрелости 2025'!$H$13:$I$583,2,FALSE())</f>
        <v>44</v>
      </c>
      <c r="AI16" s="198" t="str">
        <f aca="false">VLOOKUP(Таблица310[[#This Row],[№ акта]],$AQ$1:$AT$594,2,FALSE())</f>
        <v>А-44</v>
      </c>
      <c r="AJ16" s="198" t="str">
        <f aca="false">Таблица310[[#This Row],[Регистратор.Номенклатура]]</f>
        <v>Оскар</v>
      </c>
      <c r="AK16" s="198" t="str">
        <f aca="false">VLOOKUP(Таблица310[[#This Row],[№ акта]],$AQ$1:$AT$594,4,FALSE())</f>
        <v>ГРК собственные семена (богара)</v>
      </c>
      <c r="AL16" s="230" t="n">
        <f aca="false">VLOOKUP(Таблица310[[#This Row],[№ акта]],$AQ$1:$AT$594,3,FALSE())</f>
        <v>3.03538175046555</v>
      </c>
      <c r="AM16" s="198" t="str">
        <f aca="false">IF(Таблица310[[#This Row],[Площадь уборки, га]]=Таблица310[[#This Row],[Площадь уборки до корр]],"нет","да")</f>
        <v>нет</v>
      </c>
      <c r="AN16" s="230" t="n">
        <f aca="false">Таблица310[[#This Row],[Площадь уборки до корр]]-Таблица310[[#This Row],[Площадь уборки, га]]</f>
        <v>0</v>
      </c>
      <c r="AQ16" s="0" t="n">
        <v>73</v>
      </c>
      <c r="AR16" s="0" t="s">
        <v>133</v>
      </c>
      <c r="AS16" s="0" t="n">
        <v>3.03538175046555</v>
      </c>
      <c r="AT16" s="0" t="s">
        <v>324</v>
      </c>
    </row>
    <row r="17" customFormat="false" ht="37.3" hidden="false" customHeight="false" outlineLevel="0" collapsed="false">
      <c r="A17" s="216" t="s">
        <v>358</v>
      </c>
      <c r="B17" s="217" t="n">
        <v>3306.9</v>
      </c>
      <c r="C17" s="241" t="n">
        <v>43</v>
      </c>
      <c r="D17" s="218" t="n">
        <v>74</v>
      </c>
      <c r="E17" s="219" t="n">
        <v>45808</v>
      </c>
      <c r="F17" s="217" t="n">
        <v>14120</v>
      </c>
      <c r="G17" s="217" t="n">
        <v>4380</v>
      </c>
      <c r="H17" s="220" t="n">
        <v>9740</v>
      </c>
      <c r="I17" s="217" t="n">
        <v>3306.9</v>
      </c>
      <c r="J17" s="216" t="s">
        <v>422</v>
      </c>
      <c r="K17" s="216" t="s">
        <v>423</v>
      </c>
      <c r="L17" s="216" t="s">
        <v>133</v>
      </c>
      <c r="M17" s="189" t="s">
        <v>376</v>
      </c>
      <c r="N17" s="216" t="s">
        <v>482</v>
      </c>
      <c r="O17" s="216" t="s">
        <v>483</v>
      </c>
      <c r="P17" s="216"/>
      <c r="Q17" s="216" t="n">
        <v>706.901</v>
      </c>
      <c r="R17" s="216" t="s">
        <v>377</v>
      </c>
      <c r="S17" s="216" t="s">
        <v>421</v>
      </c>
      <c r="T17" s="216" t="s">
        <v>133</v>
      </c>
      <c r="U17" s="195" t="str">
        <f aca="false">Таблица310[[#This Row],[Регистратор.Номенклатура]]</f>
        <v>Оскар</v>
      </c>
      <c r="V17" s="222" t="n">
        <f aca="false">30*Таблица310[[#This Row],[Регистратор.Вес нетто]]/55610</f>
        <v>2.36288437331415</v>
      </c>
      <c r="W17" s="189" t="s">
        <v>324</v>
      </c>
      <c r="X17" s="189" t="s">
        <v>52</v>
      </c>
      <c r="Y17" s="216" t="n">
        <v>3</v>
      </c>
      <c r="Z17" s="221" t="n">
        <v>45808</v>
      </c>
      <c r="AA17" s="198"/>
      <c r="AB17" s="198"/>
      <c r="AC17" s="198" t="s">
        <v>53</v>
      </c>
      <c r="AD17" s="198" t="s">
        <v>417</v>
      </c>
      <c r="AE17" s="198" t="n">
        <v>74</v>
      </c>
      <c r="AF17" s="200" t="n">
        <v>45808</v>
      </c>
      <c r="AG17" s="198" t="n">
        <v>4</v>
      </c>
      <c r="AH17" s="198" t="n">
        <f aca="false">VLOOKUP(Таблица310[[#This Row],[№ акта]],'Степень зрелости 2025'!$H$13:$I$583,2,FALSE())</f>
        <v>43</v>
      </c>
      <c r="AI17" s="198" t="str">
        <f aca="false">VLOOKUP(Таблица310[[#This Row],[№ акта]],$AQ$1:$AT$594,2,FALSE())</f>
        <v>А-44</v>
      </c>
      <c r="AJ17" s="198" t="str">
        <f aca="false">Таблица310[[#This Row],[Регистратор.Номенклатура]]</f>
        <v>Оскар</v>
      </c>
      <c r="AK17" s="198" t="str">
        <f aca="false">VLOOKUP(Таблица310[[#This Row],[№ акта]],$AQ$1:$AT$594,4,FALSE())</f>
        <v>ГРК собственные семена (богара)</v>
      </c>
      <c r="AL17" s="230" t="n">
        <f aca="false">VLOOKUP(Таблица310[[#This Row],[№ акта]],$AQ$1:$AT$594,3,FALSE())</f>
        <v>2.36288437331415</v>
      </c>
      <c r="AM17" s="198" t="str">
        <f aca="false">IF(Таблица310[[#This Row],[Площадь уборки, га]]=Таблица310[[#This Row],[Площадь уборки до корр]],"нет","да")</f>
        <v>нет</v>
      </c>
      <c r="AN17" s="230" t="n">
        <f aca="false">Таблица310[[#This Row],[Площадь уборки до корр]]-Таблица310[[#This Row],[Площадь уборки, га]]</f>
        <v>0</v>
      </c>
      <c r="AQ17" s="0" t="n">
        <v>74</v>
      </c>
      <c r="AR17" s="0" t="s">
        <v>133</v>
      </c>
      <c r="AS17" s="0" t="n">
        <v>2.36288437331415</v>
      </c>
      <c r="AT17" s="0" t="s">
        <v>324</v>
      </c>
    </row>
    <row r="18" customFormat="false" ht="37.3" hidden="false" customHeight="false" outlineLevel="0" collapsed="false">
      <c r="A18" s="216" t="s">
        <v>358</v>
      </c>
      <c r="B18" s="217" t="n">
        <v>3557.2</v>
      </c>
      <c r="C18" s="241" t="n">
        <v>42</v>
      </c>
      <c r="D18" s="218" t="n">
        <v>75</v>
      </c>
      <c r="E18" s="219" t="n">
        <v>45808</v>
      </c>
      <c r="F18" s="217" t="n">
        <v>14320</v>
      </c>
      <c r="G18" s="217" t="n">
        <v>4590</v>
      </c>
      <c r="H18" s="220" t="n">
        <v>9730</v>
      </c>
      <c r="I18" s="217" t="n">
        <v>3557.2</v>
      </c>
      <c r="J18" s="216" t="s">
        <v>422</v>
      </c>
      <c r="K18" s="216" t="s">
        <v>423</v>
      </c>
      <c r="L18" s="216" t="s">
        <v>133</v>
      </c>
      <c r="M18" s="189" t="s">
        <v>376</v>
      </c>
      <c r="N18" s="216" t="s">
        <v>484</v>
      </c>
      <c r="O18" s="216" t="s">
        <v>485</v>
      </c>
      <c r="P18" s="216"/>
      <c r="Q18" s="216" t="n">
        <v>707.902</v>
      </c>
      <c r="R18" s="216" t="s">
        <v>377</v>
      </c>
      <c r="S18" s="216" t="s">
        <v>421</v>
      </c>
      <c r="T18" s="216" t="s">
        <v>133</v>
      </c>
      <c r="U18" s="195" t="str">
        <f aca="false">Таблица310[[#This Row],[Регистратор.Номенклатура]]</f>
        <v>Оскар</v>
      </c>
      <c r="V18" s="222" t="n">
        <f aca="false">30*Таблица310[[#This Row],[Регистратор.Вес нетто]]/55610</f>
        <v>2.47617335011689</v>
      </c>
      <c r="W18" s="189" t="s">
        <v>324</v>
      </c>
      <c r="X18" s="189" t="s">
        <v>52</v>
      </c>
      <c r="Y18" s="216" t="n">
        <v>3</v>
      </c>
      <c r="Z18" s="221" t="n">
        <v>45808</v>
      </c>
      <c r="AA18" s="198"/>
      <c r="AB18" s="198"/>
      <c r="AC18" s="198" t="s">
        <v>53</v>
      </c>
      <c r="AD18" s="198" t="s">
        <v>417</v>
      </c>
      <c r="AE18" s="198" t="n">
        <v>75</v>
      </c>
      <c r="AF18" s="200" t="n">
        <v>45808</v>
      </c>
      <c r="AG18" s="198" t="n">
        <v>5</v>
      </c>
      <c r="AH18" s="198" t="n">
        <f aca="false">VLOOKUP(Таблица310[[#This Row],[№ акта]],'Степень зрелости 2025'!$H$13:$I$583,2,FALSE())</f>
        <v>42</v>
      </c>
      <c r="AI18" s="198" t="str">
        <f aca="false">VLOOKUP(Таблица310[[#This Row],[№ акта]],$AQ$1:$AT$594,2,FALSE())</f>
        <v>А-44</v>
      </c>
      <c r="AJ18" s="198" t="str">
        <f aca="false">Таблица310[[#This Row],[Регистратор.Номенклатура]]</f>
        <v>Оскар</v>
      </c>
      <c r="AK18" s="198" t="str">
        <f aca="false">VLOOKUP(Таблица310[[#This Row],[№ акта]],$AQ$1:$AT$594,4,FALSE())</f>
        <v>ГРК собственные семена (богара)</v>
      </c>
      <c r="AL18" s="230" t="n">
        <f aca="false">VLOOKUP(Таблица310[[#This Row],[№ акта]],$AQ$1:$AT$594,3,FALSE())</f>
        <v>2.47617335011689</v>
      </c>
      <c r="AM18" s="198" t="str">
        <f aca="false">IF(Таблица310[[#This Row],[Площадь уборки, га]]=Таблица310[[#This Row],[Площадь уборки до корр]],"нет","да")</f>
        <v>нет</v>
      </c>
      <c r="AN18" s="230" t="n">
        <f aca="false">Таблица310[[#This Row],[Площадь уборки до корр]]-Таблица310[[#This Row],[Площадь уборки, га]]</f>
        <v>0</v>
      </c>
      <c r="AQ18" s="0" t="n">
        <v>75</v>
      </c>
      <c r="AR18" s="0" t="s">
        <v>133</v>
      </c>
      <c r="AS18" s="0" t="n">
        <v>2.47617335011689</v>
      </c>
      <c r="AT18" s="0" t="s">
        <v>324</v>
      </c>
    </row>
    <row r="19" customFormat="false" ht="37.3" hidden="false" customHeight="false" outlineLevel="0" collapsed="false">
      <c r="A19" s="216" t="s">
        <v>358</v>
      </c>
      <c r="B19" s="217" t="n">
        <v>6263.4</v>
      </c>
      <c r="C19" s="241" t="n">
        <v>45</v>
      </c>
      <c r="D19" s="218" t="n">
        <v>76</v>
      </c>
      <c r="E19" s="219" t="n">
        <v>45808</v>
      </c>
      <c r="F19" s="217" t="n">
        <v>23120</v>
      </c>
      <c r="G19" s="217" t="n">
        <v>8760</v>
      </c>
      <c r="H19" s="220" t="n">
        <v>14360</v>
      </c>
      <c r="I19" s="217" t="n">
        <v>6263.4</v>
      </c>
      <c r="J19" s="216" t="s">
        <v>422</v>
      </c>
      <c r="K19" s="216" t="s">
        <v>423</v>
      </c>
      <c r="L19" s="216" t="s">
        <v>133</v>
      </c>
      <c r="M19" s="189" t="s">
        <v>376</v>
      </c>
      <c r="N19" s="216" t="s">
        <v>486</v>
      </c>
      <c r="O19" s="216" t="s">
        <v>487</v>
      </c>
      <c r="P19" s="216"/>
      <c r="Q19" s="216" t="s">
        <v>488</v>
      </c>
      <c r="R19" s="216" t="s">
        <v>377</v>
      </c>
      <c r="S19" s="216" t="s">
        <v>421</v>
      </c>
      <c r="T19" s="216" t="s">
        <v>133</v>
      </c>
      <c r="U19" s="195" t="str">
        <f aca="false">Таблица310[[#This Row],[Регистратор.Номенклатура]]</f>
        <v>Оскар</v>
      </c>
      <c r="V19" s="222" t="n">
        <f aca="false">30*Таблица310[[#This Row],[Регистратор.Вес нетто]]/55610</f>
        <v>4.7257687466283</v>
      </c>
      <c r="W19" s="189" t="s">
        <v>324</v>
      </c>
      <c r="X19" s="189" t="s">
        <v>52</v>
      </c>
      <c r="Y19" s="216" t="n">
        <v>3</v>
      </c>
      <c r="Z19" s="221" t="n">
        <v>45808</v>
      </c>
      <c r="AA19" s="198"/>
      <c r="AB19" s="198"/>
      <c r="AC19" s="198" t="s">
        <v>53</v>
      </c>
      <c r="AD19" s="198" t="s">
        <v>417</v>
      </c>
      <c r="AE19" s="198" t="n">
        <v>76</v>
      </c>
      <c r="AF19" s="200" t="n">
        <v>45808</v>
      </c>
      <c r="AG19" s="198" t="n">
        <v>6</v>
      </c>
      <c r="AH19" s="198" t="n">
        <f aca="false">VLOOKUP(Таблица310[[#This Row],[№ акта]],'Степень зрелости 2025'!$H$13:$I$583,2,FALSE())</f>
        <v>45</v>
      </c>
      <c r="AI19" s="198" t="str">
        <f aca="false">VLOOKUP(Таблица310[[#This Row],[№ акта]],$AQ$1:$AT$594,2,FALSE())</f>
        <v>А-44</v>
      </c>
      <c r="AJ19" s="198" t="str">
        <f aca="false">Таблица310[[#This Row],[Регистратор.Номенклатура]]</f>
        <v>Оскар</v>
      </c>
      <c r="AK19" s="198" t="str">
        <f aca="false">VLOOKUP(Таблица310[[#This Row],[№ акта]],$AQ$1:$AT$594,4,FALSE())</f>
        <v>ГРК собственные семена (богара)</v>
      </c>
      <c r="AL19" s="230" t="n">
        <f aca="false">VLOOKUP(Таблица310[[#This Row],[№ акта]],$AQ$1:$AT$594,3,FALSE())</f>
        <v>4.7257687466283</v>
      </c>
      <c r="AM19" s="198" t="str">
        <f aca="false">IF(Таблица310[[#This Row],[Площадь уборки, га]]=Таблица310[[#This Row],[Площадь уборки до корр]],"нет","да")</f>
        <v>нет</v>
      </c>
      <c r="AN19" s="230" t="n">
        <f aca="false">Таблица310[[#This Row],[Площадь уборки до корр]]-Таблица310[[#This Row],[Площадь уборки, га]]</f>
        <v>0</v>
      </c>
      <c r="AQ19" s="0" t="n">
        <v>76</v>
      </c>
      <c r="AR19" s="0" t="s">
        <v>133</v>
      </c>
      <c r="AS19" s="0" t="n">
        <v>4.7257687466283</v>
      </c>
      <c r="AT19" s="0" t="s">
        <v>324</v>
      </c>
    </row>
    <row r="20" customFormat="false" ht="37.3" hidden="false" customHeight="false" outlineLevel="0" collapsed="false">
      <c r="A20" s="216" t="s">
        <v>358</v>
      </c>
      <c r="B20" s="217" t="n">
        <f aca="false">Таблица310[[#This Row],[Регистратор.Вес чистый]]</f>
        <v>3291.3</v>
      </c>
      <c r="C20" s="241" t="n">
        <v>45</v>
      </c>
      <c r="D20" s="218" t="n">
        <v>77</v>
      </c>
      <c r="E20" s="219" t="n">
        <v>45808</v>
      </c>
      <c r="F20" s="217" t="n">
        <v>14470</v>
      </c>
      <c r="G20" s="217" t="n">
        <v>4770</v>
      </c>
      <c r="H20" s="220" t="n">
        <v>9700</v>
      </c>
      <c r="I20" s="217" t="n">
        <v>3291.3</v>
      </c>
      <c r="J20" s="216" t="s">
        <v>422</v>
      </c>
      <c r="K20" s="216" t="s">
        <v>423</v>
      </c>
      <c r="L20" s="216" t="s">
        <v>133</v>
      </c>
      <c r="M20" s="189" t="s">
        <v>376</v>
      </c>
      <c r="N20" s="216"/>
      <c r="O20" s="216"/>
      <c r="P20" s="216"/>
      <c r="Q20" s="216"/>
      <c r="R20" s="216" t="s">
        <v>377</v>
      </c>
      <c r="S20" s="216"/>
      <c r="T20" s="216" t="s">
        <v>133</v>
      </c>
      <c r="U20" s="195" t="str">
        <f aca="false">Таблица310[[#This Row],[Регистратор.Номенклатура]]</f>
        <v>Оскар</v>
      </c>
      <c r="V20" s="222" t="n">
        <f aca="false">30*Таблица310[[#This Row],[Регистратор.Вес нетто]]/55610</f>
        <v>2.57327818737637</v>
      </c>
      <c r="W20" s="189" t="s">
        <v>324</v>
      </c>
      <c r="X20" s="189" t="s">
        <v>52</v>
      </c>
      <c r="Y20" s="216" t="n">
        <v>3</v>
      </c>
      <c r="Z20" s="221" t="n">
        <v>45808</v>
      </c>
      <c r="AA20" s="198"/>
      <c r="AB20" s="198"/>
      <c r="AC20" s="198" t="s">
        <v>53</v>
      </c>
      <c r="AD20" s="198" t="s">
        <v>417</v>
      </c>
      <c r="AE20" s="198" t="n">
        <v>77</v>
      </c>
      <c r="AF20" s="200" t="n">
        <v>45808</v>
      </c>
      <c r="AG20" s="198" t="n">
        <v>7</v>
      </c>
      <c r="AH20" s="198" t="n">
        <f aca="false">VLOOKUP(Таблица310[[#This Row],[№ акта]],'Степень зрелости 2025'!$H$13:$I$583,2,FALSE())</f>
        <v>45</v>
      </c>
      <c r="AI20" s="198" t="str">
        <f aca="false">VLOOKUP(Таблица310[[#This Row],[№ акта]],$AQ$1:$AT$594,2,FALSE())</f>
        <v>А-44</v>
      </c>
      <c r="AJ20" s="198" t="str">
        <f aca="false">Таблица310[[#This Row],[Регистратор.Номенклатура]]</f>
        <v>Оскар</v>
      </c>
      <c r="AK20" s="198" t="str">
        <f aca="false">VLOOKUP(Таблица310[[#This Row],[№ акта]],$AQ$1:$AT$594,4,FALSE())</f>
        <v>ГРК собственные семена (богара)</v>
      </c>
      <c r="AL20" s="230" t="n">
        <f aca="false">VLOOKUP(Таблица310[[#This Row],[№ акта]],$AQ$1:$AT$594,3,FALSE())</f>
        <v>2.57327818737637</v>
      </c>
      <c r="AM20" s="198" t="str">
        <f aca="false">IF(Таблица310[[#This Row],[Площадь уборки, га]]=Таблица310[[#This Row],[Площадь уборки до корр]],"нет","да")</f>
        <v>нет</v>
      </c>
      <c r="AN20" s="230" t="n">
        <f aca="false">Таблица310[[#This Row],[Площадь уборки до корр]]-Таблица310[[#This Row],[Площадь уборки, га]]</f>
        <v>0</v>
      </c>
      <c r="AQ20" s="0" t="n">
        <v>77</v>
      </c>
      <c r="AR20" s="0" t="s">
        <v>133</v>
      </c>
      <c r="AS20" s="0" t="n">
        <v>2.57327818737637</v>
      </c>
      <c r="AT20" s="0" t="s">
        <v>324</v>
      </c>
    </row>
    <row r="21" customFormat="false" ht="37.3" hidden="false" customHeight="false" outlineLevel="0" collapsed="false">
      <c r="A21" s="216" t="s">
        <v>358</v>
      </c>
      <c r="B21" s="217" t="n">
        <v>2981.5</v>
      </c>
      <c r="C21" s="241" t="n">
        <v>45</v>
      </c>
      <c r="D21" s="218" t="n">
        <v>78</v>
      </c>
      <c r="E21" s="219" t="n">
        <v>45808</v>
      </c>
      <c r="F21" s="217" t="n">
        <v>14140</v>
      </c>
      <c r="G21" s="217" t="n">
        <v>4450</v>
      </c>
      <c r="H21" s="220" t="n">
        <v>9690</v>
      </c>
      <c r="I21" s="217" t="n">
        <v>2981.5</v>
      </c>
      <c r="J21" s="216" t="s">
        <v>422</v>
      </c>
      <c r="K21" s="216" t="s">
        <v>423</v>
      </c>
      <c r="L21" s="216" t="s">
        <v>133</v>
      </c>
      <c r="M21" s="189" t="s">
        <v>376</v>
      </c>
      <c r="N21" s="216" t="s">
        <v>489</v>
      </c>
      <c r="O21" s="216" t="s">
        <v>490</v>
      </c>
      <c r="P21" s="216"/>
      <c r="Q21" s="216" t="n">
        <v>710.907</v>
      </c>
      <c r="R21" s="216" t="s">
        <v>377</v>
      </c>
      <c r="S21" s="216" t="s">
        <v>421</v>
      </c>
      <c r="T21" s="216" t="s">
        <v>133</v>
      </c>
      <c r="U21" s="195" t="str">
        <f aca="false">Таблица310[[#This Row],[Регистратор.Номенклатура]]</f>
        <v>Оскар</v>
      </c>
      <c r="V21" s="222" t="n">
        <f aca="false">30*Таблица310[[#This Row],[Регистратор.Вес нетто]]/55610</f>
        <v>2.40064736558173</v>
      </c>
      <c r="W21" s="189" t="s">
        <v>324</v>
      </c>
      <c r="X21" s="189" t="s">
        <v>52</v>
      </c>
      <c r="Y21" s="216" t="n">
        <v>3</v>
      </c>
      <c r="Z21" s="221" t="n">
        <v>45808</v>
      </c>
      <c r="AA21" s="198"/>
      <c r="AB21" s="198"/>
      <c r="AC21" s="198" t="s">
        <v>53</v>
      </c>
      <c r="AD21" s="198" t="s">
        <v>417</v>
      </c>
      <c r="AE21" s="198" t="n">
        <v>78</v>
      </c>
      <c r="AF21" s="200" t="n">
        <v>45808</v>
      </c>
      <c r="AG21" s="198" t="n">
        <v>8</v>
      </c>
      <c r="AH21" s="198" t="n">
        <f aca="false">VLOOKUP(Таблица310[[#This Row],[№ акта]],'Степень зрелости 2025'!$H$13:$I$583,2,FALSE())</f>
        <v>45</v>
      </c>
      <c r="AI21" s="198" t="str">
        <f aca="false">VLOOKUP(Таблица310[[#This Row],[№ акта]],$AQ$1:$AT$594,2,FALSE())</f>
        <v>А-44</v>
      </c>
      <c r="AJ21" s="198" t="str">
        <f aca="false">Таблица310[[#This Row],[Регистратор.Номенклатура]]</f>
        <v>Оскар</v>
      </c>
      <c r="AK21" s="198" t="str">
        <f aca="false">VLOOKUP(Таблица310[[#This Row],[№ акта]],$AQ$1:$AT$594,4,FALSE())</f>
        <v>ГРК собственные семена (богара)</v>
      </c>
      <c r="AL21" s="230" t="n">
        <f aca="false">VLOOKUP(Таблица310[[#This Row],[№ акта]],$AQ$1:$AT$594,3,FALSE())</f>
        <v>2.40064736558173</v>
      </c>
      <c r="AM21" s="198" t="str">
        <f aca="false">IF(Таблица310[[#This Row],[Площадь уборки, га]]=Таблица310[[#This Row],[Площадь уборки до корр]],"нет","да")</f>
        <v>нет</v>
      </c>
      <c r="AN21" s="230" t="n">
        <f aca="false">Таблица310[[#This Row],[Площадь уборки до корр]]-Таблица310[[#This Row],[Площадь уборки, га]]</f>
        <v>0</v>
      </c>
      <c r="AQ21" s="0" t="n">
        <v>78</v>
      </c>
      <c r="AR21" s="0" t="s">
        <v>133</v>
      </c>
      <c r="AS21" s="0" t="n">
        <v>2.40064736558173</v>
      </c>
      <c r="AT21" s="0" t="s">
        <v>324</v>
      </c>
    </row>
    <row r="22" customFormat="false" ht="37.3" hidden="false" customHeight="false" outlineLevel="0" collapsed="false">
      <c r="A22" s="216" t="s">
        <v>358</v>
      </c>
      <c r="B22" s="217" t="n">
        <v>7171</v>
      </c>
      <c r="C22" s="241" t="n">
        <v>46</v>
      </c>
      <c r="D22" s="218" t="n">
        <v>79</v>
      </c>
      <c r="E22" s="219" t="n">
        <v>45808</v>
      </c>
      <c r="F22" s="217" t="n">
        <v>24430</v>
      </c>
      <c r="G22" s="217" t="n">
        <v>10100</v>
      </c>
      <c r="H22" s="220" t="n">
        <v>14330</v>
      </c>
      <c r="I22" s="217" t="n">
        <v>7171</v>
      </c>
      <c r="J22" s="216" t="s">
        <v>422</v>
      </c>
      <c r="K22" s="216" t="s">
        <v>423</v>
      </c>
      <c r="L22" s="216" t="s">
        <v>133</v>
      </c>
      <c r="M22" s="189" t="s">
        <v>376</v>
      </c>
      <c r="N22" s="216" t="s">
        <v>491</v>
      </c>
      <c r="O22" s="216" t="s">
        <v>492</v>
      </c>
      <c r="P22" s="216"/>
      <c r="Q22" s="216" t="s">
        <v>493</v>
      </c>
      <c r="R22" s="216" t="s">
        <v>377</v>
      </c>
      <c r="S22" s="216" t="s">
        <v>421</v>
      </c>
      <c r="T22" s="216" t="s">
        <v>133</v>
      </c>
      <c r="U22" s="195" t="str">
        <f aca="false">Таблица310[[#This Row],[Регистратор.Номенклатура]]</f>
        <v>Оскар</v>
      </c>
      <c r="V22" s="222" t="n">
        <f aca="false">30*Таблица310[[#This Row],[Регистратор.Вес нетто]]/55610</f>
        <v>5.44866031289337</v>
      </c>
      <c r="W22" s="189" t="s">
        <v>324</v>
      </c>
      <c r="X22" s="189" t="s">
        <v>52</v>
      </c>
      <c r="Y22" s="216" t="n">
        <v>3</v>
      </c>
      <c r="Z22" s="221" t="n">
        <v>45808</v>
      </c>
      <c r="AA22" s="198"/>
      <c r="AB22" s="198"/>
      <c r="AC22" s="198" t="s">
        <v>53</v>
      </c>
      <c r="AD22" s="198" t="s">
        <v>417</v>
      </c>
      <c r="AE22" s="198" t="n">
        <v>79</v>
      </c>
      <c r="AF22" s="200" t="n">
        <v>45808</v>
      </c>
      <c r="AG22" s="198" t="n">
        <v>9</v>
      </c>
      <c r="AH22" s="198" t="n">
        <f aca="false">VLOOKUP(Таблица310[[#This Row],[№ акта]],'Степень зрелости 2025'!$H$13:$I$583,2,FALSE())</f>
        <v>46</v>
      </c>
      <c r="AI22" s="198" t="str">
        <f aca="false">VLOOKUP(Таблица310[[#This Row],[№ акта]],$AQ$1:$AT$594,2,FALSE())</f>
        <v>А-44</v>
      </c>
      <c r="AJ22" s="198" t="str">
        <f aca="false">Таблица310[[#This Row],[Регистратор.Номенклатура]]</f>
        <v>Оскар</v>
      </c>
      <c r="AK22" s="198" t="str">
        <f aca="false">VLOOKUP(Таблица310[[#This Row],[№ акта]],$AQ$1:$AT$594,4,FALSE())</f>
        <v>ГРК собственные семена (богара)</v>
      </c>
      <c r="AL22" s="230" t="n">
        <f aca="false">VLOOKUP(Таблица310[[#This Row],[№ акта]],$AQ$1:$AT$594,3,FALSE())</f>
        <v>5.44866031289337</v>
      </c>
      <c r="AM22" s="198" t="str">
        <f aca="false">IF(Таблица310[[#This Row],[Площадь уборки, га]]=Таблица310[[#This Row],[Площадь уборки до корр]],"нет","да")</f>
        <v>нет</v>
      </c>
      <c r="AN22" s="230" t="n">
        <f aca="false">Таблица310[[#This Row],[Площадь уборки до корр]]-Таблица310[[#This Row],[Площадь уборки, га]]</f>
        <v>0</v>
      </c>
      <c r="AQ22" s="0" t="n">
        <v>79</v>
      </c>
      <c r="AR22" s="0" t="s">
        <v>133</v>
      </c>
      <c r="AS22" s="0" t="n">
        <v>5.44866031289337</v>
      </c>
      <c r="AT22" s="0" t="s">
        <v>324</v>
      </c>
    </row>
    <row r="23" customFormat="false" ht="37.3" hidden="false" customHeight="false" outlineLevel="0" collapsed="false">
      <c r="A23" s="216" t="s">
        <v>358</v>
      </c>
      <c r="B23" s="217" t="n">
        <v>7130.2</v>
      </c>
      <c r="C23" s="241" t="n">
        <v>50</v>
      </c>
      <c r="D23" s="218" t="n">
        <v>80</v>
      </c>
      <c r="E23" s="219" t="n">
        <v>45808</v>
      </c>
      <c r="F23" s="217" t="n">
        <v>23580</v>
      </c>
      <c r="G23" s="217" t="n">
        <v>9260</v>
      </c>
      <c r="H23" s="220" t="n">
        <v>14320</v>
      </c>
      <c r="I23" s="217" t="n">
        <v>7130.2</v>
      </c>
      <c r="J23" s="216" t="s">
        <v>422</v>
      </c>
      <c r="K23" s="216" t="s">
        <v>423</v>
      </c>
      <c r="L23" s="216" t="s">
        <v>133</v>
      </c>
      <c r="M23" s="189" t="s">
        <v>376</v>
      </c>
      <c r="N23" s="216" t="s">
        <v>494</v>
      </c>
      <c r="O23" s="216" t="s">
        <v>495</v>
      </c>
      <c r="P23" s="216"/>
      <c r="Q23" s="216" t="s">
        <v>496</v>
      </c>
      <c r="R23" s="216" t="s">
        <v>377</v>
      </c>
      <c r="S23" s="216" t="s">
        <v>421</v>
      </c>
      <c r="T23" s="216" t="s">
        <v>133</v>
      </c>
      <c r="U23" s="195" t="str">
        <f aca="false">Таблица310[[#This Row],[Регистратор.Номенклатура]]</f>
        <v>Оскар</v>
      </c>
      <c r="V23" s="222" t="n">
        <f aca="false">30*Таблица310[[#This Row],[Регистратор.Вес нетто]]/55610</f>
        <v>4.99550440568243</v>
      </c>
      <c r="W23" s="189" t="s">
        <v>324</v>
      </c>
      <c r="X23" s="189" t="s">
        <v>52</v>
      </c>
      <c r="Y23" s="216" t="n">
        <v>3</v>
      </c>
      <c r="Z23" s="221" t="n">
        <v>45808</v>
      </c>
      <c r="AA23" s="198"/>
      <c r="AB23" s="198"/>
      <c r="AC23" s="198" t="s">
        <v>53</v>
      </c>
      <c r="AD23" s="198" t="s">
        <v>417</v>
      </c>
      <c r="AE23" s="198" t="n">
        <v>80</v>
      </c>
      <c r="AF23" s="200" t="n">
        <v>45808</v>
      </c>
      <c r="AG23" s="198" t="n">
        <v>10</v>
      </c>
      <c r="AH23" s="198" t="n">
        <f aca="false">VLOOKUP(Таблица310[[#This Row],[№ акта]],'Степень зрелости 2025'!$H$13:$I$583,2,FALSE())</f>
        <v>50</v>
      </c>
      <c r="AI23" s="198" t="str">
        <f aca="false">VLOOKUP(Таблица310[[#This Row],[№ акта]],$AQ$1:$AT$594,2,FALSE())</f>
        <v>А-44</v>
      </c>
      <c r="AJ23" s="198" t="str">
        <f aca="false">Таблица310[[#This Row],[Регистратор.Номенклатура]]</f>
        <v>Оскар</v>
      </c>
      <c r="AK23" s="198" t="str">
        <f aca="false">VLOOKUP(Таблица310[[#This Row],[№ акта]],$AQ$1:$AT$594,4,FALSE())</f>
        <v>ГРК собственные семена (богара)</v>
      </c>
      <c r="AL23" s="230" t="n">
        <f aca="false">VLOOKUP(Таблица310[[#This Row],[№ акта]],$AQ$1:$AT$594,3,FALSE())</f>
        <v>4.99550440568243</v>
      </c>
      <c r="AM23" s="198" t="str">
        <f aca="false">IF(Таблица310[[#This Row],[Площадь уборки, га]]=Таблица310[[#This Row],[Площадь уборки до корр]],"нет","да")</f>
        <v>нет</v>
      </c>
      <c r="AN23" s="230" t="n">
        <f aca="false">Таблица310[[#This Row],[Площадь уборки до корр]]-Таблица310[[#This Row],[Площадь уборки, га]]</f>
        <v>0</v>
      </c>
      <c r="AQ23" s="0" t="n">
        <v>80</v>
      </c>
      <c r="AR23" s="0" t="s">
        <v>133</v>
      </c>
      <c r="AS23" s="0" t="n">
        <v>4.99550440568243</v>
      </c>
      <c r="AT23" s="0" t="s">
        <v>324</v>
      </c>
    </row>
    <row r="24" customFormat="false" ht="37.3" hidden="false" customHeight="false" outlineLevel="0" collapsed="false">
      <c r="A24" s="216" t="s">
        <v>358</v>
      </c>
      <c r="B24" s="217" t="n">
        <v>6789</v>
      </c>
      <c r="C24" s="241" t="n">
        <v>49</v>
      </c>
      <c r="D24" s="218" t="n">
        <v>81</v>
      </c>
      <c r="E24" s="219" t="n">
        <v>45809</v>
      </c>
      <c r="F24" s="217" t="n">
        <v>23620</v>
      </c>
      <c r="G24" s="217" t="n">
        <v>9300</v>
      </c>
      <c r="H24" s="220" t="n">
        <v>14320</v>
      </c>
      <c r="I24" s="217" t="n">
        <v>6789</v>
      </c>
      <c r="J24" s="216" t="s">
        <v>422</v>
      </c>
      <c r="K24" s="216" t="s">
        <v>423</v>
      </c>
      <c r="L24" s="216" t="s">
        <v>133</v>
      </c>
      <c r="M24" s="189" t="s">
        <v>376</v>
      </c>
      <c r="N24" s="216" t="s">
        <v>497</v>
      </c>
      <c r="O24" s="216" t="s">
        <v>498</v>
      </c>
      <c r="P24" s="216"/>
      <c r="Q24" s="216" t="s">
        <v>499</v>
      </c>
      <c r="R24" s="216" t="s">
        <v>377</v>
      </c>
      <c r="S24" s="216"/>
      <c r="T24" s="216" t="s">
        <v>133</v>
      </c>
      <c r="U24" s="195" t="str">
        <f aca="false">Таблица310[[#This Row],[Регистратор.Номенклатура]]</f>
        <v>Оскар</v>
      </c>
      <c r="V24" s="222" t="n">
        <f aca="false">30*Таблица310[[#This Row],[Регистратор.Вес нетто]]/55610</f>
        <v>5.01708325840676</v>
      </c>
      <c r="W24" s="189" t="s">
        <v>324</v>
      </c>
      <c r="X24" s="189" t="s">
        <v>52</v>
      </c>
      <c r="Y24" s="216" t="n">
        <v>3</v>
      </c>
      <c r="Z24" s="221" t="n">
        <v>45808</v>
      </c>
      <c r="AA24" s="198"/>
      <c r="AB24" s="198"/>
      <c r="AC24" s="198" t="s">
        <v>53</v>
      </c>
      <c r="AD24" s="198" t="s">
        <v>417</v>
      </c>
      <c r="AE24" s="198" t="n">
        <v>81</v>
      </c>
      <c r="AF24" s="200" t="n">
        <v>45809</v>
      </c>
      <c r="AG24" s="198" t="n">
        <v>11</v>
      </c>
      <c r="AH24" s="198" t="n">
        <f aca="false">VLOOKUP(Таблица310[[#This Row],[№ акта]],'Степень зрелости 2025'!$H$13:$I$583,2,FALSE())</f>
        <v>49</v>
      </c>
      <c r="AI24" s="198" t="str">
        <f aca="false">VLOOKUP(Таблица310[[#This Row],[№ акта]],$AQ$1:$AT$594,2,FALSE())</f>
        <v>А-44</v>
      </c>
      <c r="AJ24" s="198" t="str">
        <f aca="false">Таблица310[[#This Row],[Регистратор.Номенклатура]]</f>
        <v>Оскар</v>
      </c>
      <c r="AK24" s="198" t="str">
        <f aca="false">VLOOKUP(Таблица310[[#This Row],[№ акта]],$AQ$1:$AT$594,4,FALSE())</f>
        <v>ГРК собственные семена (богара)</v>
      </c>
      <c r="AL24" s="230" t="n">
        <f aca="false">VLOOKUP(Таблица310[[#This Row],[№ акта]],$AQ$1:$AT$594,3,FALSE())</f>
        <v>5.01708325840676</v>
      </c>
      <c r="AM24" s="198" t="str">
        <f aca="false">IF(Таблица310[[#This Row],[Площадь уборки, га]]=Таблица310[[#This Row],[Площадь уборки до корр]],"нет","да")</f>
        <v>нет</v>
      </c>
      <c r="AN24" s="230" t="n">
        <f aca="false">Таблица310[[#This Row],[Площадь уборки до корр]]-Таблица310[[#This Row],[Площадь уборки, га]]</f>
        <v>0</v>
      </c>
      <c r="AQ24" s="0" t="n">
        <v>81</v>
      </c>
      <c r="AR24" s="0" t="s">
        <v>133</v>
      </c>
      <c r="AS24" s="0" t="n">
        <v>5.01708325840676</v>
      </c>
      <c r="AT24" s="0" t="s">
        <v>324</v>
      </c>
    </row>
    <row r="25" customFormat="false" ht="37.3" hidden="false" customHeight="false" outlineLevel="0" collapsed="false">
      <c r="A25" s="216" t="s">
        <v>358</v>
      </c>
      <c r="B25" s="217" t="n">
        <v>6688.8</v>
      </c>
      <c r="C25" s="241" t="n">
        <v>49</v>
      </c>
      <c r="D25" s="218" t="n">
        <v>82</v>
      </c>
      <c r="E25" s="219" t="n">
        <v>45809</v>
      </c>
      <c r="F25" s="217" t="n">
        <v>23600</v>
      </c>
      <c r="G25" s="217" t="n">
        <v>9290</v>
      </c>
      <c r="H25" s="220" t="n">
        <v>14310</v>
      </c>
      <c r="I25" s="217" t="n">
        <v>6688.8</v>
      </c>
      <c r="J25" s="216" t="s">
        <v>422</v>
      </c>
      <c r="K25" s="216" t="s">
        <v>423</v>
      </c>
      <c r="L25" s="216" t="s">
        <v>133</v>
      </c>
      <c r="M25" s="189" t="s">
        <v>376</v>
      </c>
      <c r="N25" s="216" t="s">
        <v>500</v>
      </c>
      <c r="O25" s="216" t="s">
        <v>501</v>
      </c>
      <c r="P25" s="216"/>
      <c r="Q25" s="216" t="s">
        <v>502</v>
      </c>
      <c r="R25" s="216" t="s">
        <v>377</v>
      </c>
      <c r="S25" s="216" t="s">
        <v>421</v>
      </c>
      <c r="T25" s="216" t="s">
        <v>133</v>
      </c>
      <c r="U25" s="195" t="str">
        <f aca="false">Таблица310[[#This Row],[Регистратор.Номенклатура]]</f>
        <v>Оскар</v>
      </c>
      <c r="V25" s="222" t="n">
        <f aca="false">26*Таблица310[[#This Row],[Регистратор.Вес нетто]]/69140</f>
        <v>3.49349146658953</v>
      </c>
      <c r="W25" s="216" t="s">
        <v>324</v>
      </c>
      <c r="X25" s="216" t="s">
        <v>52</v>
      </c>
      <c r="Y25" s="216" t="n">
        <v>4</v>
      </c>
      <c r="Z25" s="221" t="n">
        <v>45809</v>
      </c>
      <c r="AA25" s="198"/>
      <c r="AB25" s="198"/>
      <c r="AC25" s="198" t="s">
        <v>53</v>
      </c>
      <c r="AD25" s="198" t="s">
        <v>417</v>
      </c>
      <c r="AE25" s="198" t="n">
        <v>82</v>
      </c>
      <c r="AF25" s="200" t="n">
        <v>45809</v>
      </c>
      <c r="AG25" s="198" t="n">
        <v>12</v>
      </c>
      <c r="AH25" s="198" t="n">
        <f aca="false">VLOOKUP(Таблица310[[#This Row],[№ акта]],'Степень зрелости 2025'!$H$13:$I$583,2,FALSE())</f>
        <v>49</v>
      </c>
      <c r="AI25" s="198" t="str">
        <f aca="false">VLOOKUP(Таблица310[[#This Row],[№ акта]],$AQ$1:$AT$594,2,FALSE())</f>
        <v>А-44</v>
      </c>
      <c r="AJ25" s="198" t="str">
        <f aca="false">Таблица310[[#This Row],[Регистратор.Номенклатура]]</f>
        <v>Оскар</v>
      </c>
      <c r="AK25" s="198" t="str">
        <f aca="false">VLOOKUP(Таблица310[[#This Row],[№ акта]],$AQ$1:$AT$594,4,FALSE())</f>
        <v>ГРК собственные семена (богара)</v>
      </c>
      <c r="AL25" s="230" t="n">
        <f aca="false">VLOOKUP(Таблица310[[#This Row],[№ акта]],$AQ$1:$AT$594,3,FALSE())</f>
        <v>3.49349146658953</v>
      </c>
      <c r="AM25" s="198" t="str">
        <f aca="false">IF(Таблица310[[#This Row],[Площадь уборки, га]]=Таблица310[[#This Row],[Площадь уборки до корр]],"нет","да")</f>
        <v>нет</v>
      </c>
      <c r="AN25" s="230" t="n">
        <f aca="false">Таблица310[[#This Row],[Площадь уборки до корр]]-Таблица310[[#This Row],[Площадь уборки, га]]</f>
        <v>0</v>
      </c>
      <c r="AQ25" s="0" t="n">
        <v>82</v>
      </c>
      <c r="AR25" s="0" t="s">
        <v>133</v>
      </c>
      <c r="AS25" s="0" t="n">
        <v>3.49349146658953</v>
      </c>
      <c r="AT25" s="0" t="s">
        <v>324</v>
      </c>
    </row>
    <row r="26" customFormat="false" ht="37.3" hidden="false" customHeight="false" outlineLevel="0" collapsed="false">
      <c r="A26" s="198" t="s">
        <v>358</v>
      </c>
      <c r="B26" s="223" t="n">
        <v>7212.7</v>
      </c>
      <c r="C26" s="234" t="n">
        <v>50</v>
      </c>
      <c r="D26" s="224" t="n">
        <v>83</v>
      </c>
      <c r="E26" s="225" t="n">
        <v>45809</v>
      </c>
      <c r="F26" s="223" t="n">
        <v>23430</v>
      </c>
      <c r="G26" s="223" t="n">
        <v>9130</v>
      </c>
      <c r="H26" s="226" t="n">
        <v>14300</v>
      </c>
      <c r="I26" s="223" t="n">
        <v>7212.7</v>
      </c>
      <c r="J26" s="198" t="s">
        <v>422</v>
      </c>
      <c r="K26" s="198" t="s">
        <v>423</v>
      </c>
      <c r="L26" s="198" t="s">
        <v>133</v>
      </c>
      <c r="M26" s="189" t="s">
        <v>376</v>
      </c>
      <c r="N26" s="198" t="s">
        <v>503</v>
      </c>
      <c r="O26" s="198" t="s">
        <v>504</v>
      </c>
      <c r="P26" s="198"/>
      <c r="Q26" s="198" t="s">
        <v>505</v>
      </c>
      <c r="R26" s="198" t="s">
        <v>377</v>
      </c>
      <c r="S26" s="198" t="s">
        <v>421</v>
      </c>
      <c r="T26" s="198" t="s">
        <v>133</v>
      </c>
      <c r="U26" s="195" t="str">
        <f aca="false">Таблица310[[#This Row],[Регистратор.Номенклатура]]</f>
        <v>Оскар</v>
      </c>
      <c r="V26" s="222" t="n">
        <f aca="false">26*Таблица310[[#This Row],[Регистратор.Вес нетто]]/69140</f>
        <v>3.43332369106161</v>
      </c>
      <c r="W26" s="216" t="s">
        <v>324</v>
      </c>
      <c r="X26" s="198" t="s">
        <v>52</v>
      </c>
      <c r="Y26" s="198" t="n">
        <v>4</v>
      </c>
      <c r="Z26" s="221" t="n">
        <v>45809</v>
      </c>
      <c r="AA26" s="198"/>
      <c r="AB26" s="198"/>
      <c r="AC26" s="198" t="s">
        <v>53</v>
      </c>
      <c r="AD26" s="198" t="s">
        <v>417</v>
      </c>
      <c r="AE26" s="198" t="n">
        <v>83</v>
      </c>
      <c r="AF26" s="200" t="n">
        <v>45809</v>
      </c>
      <c r="AG26" s="198" t="n">
        <v>13</v>
      </c>
      <c r="AH26" s="198" t="n">
        <f aca="false">VLOOKUP(Таблица310[[#This Row],[№ акта]],'Степень зрелости 2025'!$H$13:$I$583,2,FALSE())</f>
        <v>50</v>
      </c>
      <c r="AI26" s="198" t="str">
        <f aca="false">VLOOKUP(Таблица310[[#This Row],[№ акта]],$AQ$1:$AT$594,2,FALSE())</f>
        <v>А-44</v>
      </c>
      <c r="AJ26" s="198" t="str">
        <f aca="false">Таблица310[[#This Row],[Регистратор.Номенклатура]]</f>
        <v>Оскар</v>
      </c>
      <c r="AK26" s="198" t="str">
        <f aca="false">VLOOKUP(Таблица310[[#This Row],[№ акта]],$AQ$1:$AT$594,4,FALSE())</f>
        <v>ГРК собственные семена (богара)</v>
      </c>
      <c r="AL26" s="230" t="n">
        <f aca="false">VLOOKUP(Таблица310[[#This Row],[№ акта]],$AQ$1:$AT$594,3,FALSE())</f>
        <v>3.43332369106161</v>
      </c>
      <c r="AM26" s="198" t="str">
        <f aca="false">IF(Таблица310[[#This Row],[Площадь уборки, га]]=Таблица310[[#This Row],[Площадь уборки до корр]],"нет","да")</f>
        <v>нет</v>
      </c>
      <c r="AN26" s="230" t="n">
        <f aca="false">Таблица310[[#This Row],[Площадь уборки до корр]]-Таблица310[[#This Row],[Площадь уборки, га]]</f>
        <v>0</v>
      </c>
      <c r="AQ26" s="0" t="n">
        <v>83</v>
      </c>
      <c r="AR26" s="0" t="s">
        <v>133</v>
      </c>
      <c r="AS26" s="0" t="n">
        <v>3.43332369106161</v>
      </c>
      <c r="AT26" s="0" t="s">
        <v>324</v>
      </c>
    </row>
    <row r="27" customFormat="false" ht="37.3" hidden="false" customHeight="false" outlineLevel="0" collapsed="false">
      <c r="A27" s="216" t="s">
        <v>358</v>
      </c>
      <c r="B27" s="217" t="n">
        <v>3182</v>
      </c>
      <c r="C27" s="241" t="n">
        <v>50</v>
      </c>
      <c r="D27" s="218" t="n">
        <v>84</v>
      </c>
      <c r="E27" s="219" t="n">
        <v>45809</v>
      </c>
      <c r="F27" s="217" t="n">
        <v>18150</v>
      </c>
      <c r="G27" s="217" t="n">
        <v>4300</v>
      </c>
      <c r="H27" s="220" t="n">
        <v>13850</v>
      </c>
      <c r="I27" s="217" t="n">
        <v>3182</v>
      </c>
      <c r="J27" s="216" t="s">
        <v>422</v>
      </c>
      <c r="K27" s="216" t="s">
        <v>423</v>
      </c>
      <c r="L27" s="216" t="s">
        <v>133</v>
      </c>
      <c r="M27" s="189" t="s">
        <v>359</v>
      </c>
      <c r="N27" s="216" t="s">
        <v>506</v>
      </c>
      <c r="O27" s="216" t="s">
        <v>507</v>
      </c>
      <c r="P27" s="216"/>
      <c r="Q27" s="216" t="n">
        <v>725.726</v>
      </c>
      <c r="R27" s="216" t="s">
        <v>426</v>
      </c>
      <c r="S27" s="216"/>
      <c r="T27" s="216" t="s">
        <v>133</v>
      </c>
      <c r="U27" s="195" t="str">
        <f aca="false">Таблица310[[#This Row],[Регистратор.Номенклатура]]</f>
        <v>Оскар</v>
      </c>
      <c r="V27" s="222" t="n">
        <f aca="false">26*Таблица310[[#This Row],[Регистратор.Вес нетто]]/69140</f>
        <v>1.6170089673127</v>
      </c>
      <c r="W27" s="189" t="s">
        <v>324</v>
      </c>
      <c r="X27" s="189" t="s">
        <v>52</v>
      </c>
      <c r="Y27" s="216" t="n">
        <v>4</v>
      </c>
      <c r="Z27" s="221" t="n">
        <v>45809</v>
      </c>
      <c r="AA27" s="198"/>
      <c r="AB27" s="198"/>
      <c r="AC27" s="198" t="s">
        <v>53</v>
      </c>
      <c r="AD27" s="198" t="s">
        <v>417</v>
      </c>
      <c r="AE27" s="198" t="n">
        <v>84</v>
      </c>
      <c r="AF27" s="200" t="n">
        <v>45809</v>
      </c>
      <c r="AG27" s="198" t="n">
        <v>14</v>
      </c>
      <c r="AH27" s="198" t="n">
        <f aca="false">VLOOKUP(Таблица310[[#This Row],[№ акта]],'Степень зрелости 2025'!$H$13:$I$583,2,FALSE())</f>
        <v>50</v>
      </c>
      <c r="AI27" s="198" t="str">
        <f aca="false">VLOOKUP(Таблица310[[#This Row],[№ акта]],$AQ$1:$AT$594,2,FALSE())</f>
        <v>А-44</v>
      </c>
      <c r="AJ27" s="198" t="str">
        <f aca="false">Таблица310[[#This Row],[Регистратор.Номенклатура]]</f>
        <v>Оскар</v>
      </c>
      <c r="AK27" s="198" t="str">
        <f aca="false">VLOOKUP(Таблица310[[#This Row],[№ акта]],$AQ$1:$AT$594,4,FALSE())</f>
        <v>ГРК собственные семена (богара)</v>
      </c>
      <c r="AL27" s="230" t="n">
        <f aca="false">VLOOKUP(Таблица310[[#This Row],[№ акта]],$AQ$1:$AT$594,3,FALSE())</f>
        <v>1.6170089673127</v>
      </c>
      <c r="AM27" s="198" t="str">
        <f aca="false">IF(Таблица310[[#This Row],[Площадь уборки, га]]=Таблица310[[#This Row],[Площадь уборки до корр]],"нет","да")</f>
        <v>нет</v>
      </c>
      <c r="AN27" s="230" t="n">
        <f aca="false">Таблица310[[#This Row],[Площадь уборки до корр]]-Таблица310[[#This Row],[Площадь уборки, га]]</f>
        <v>0</v>
      </c>
      <c r="AQ27" s="0" t="n">
        <v>84</v>
      </c>
      <c r="AR27" s="0" t="s">
        <v>133</v>
      </c>
      <c r="AS27" s="0" t="n">
        <v>1.6170089673127</v>
      </c>
      <c r="AT27" s="0" t="s">
        <v>324</v>
      </c>
    </row>
    <row r="28" customFormat="false" ht="37.3" hidden="false" customHeight="false" outlineLevel="0" collapsed="false">
      <c r="A28" s="216" t="s">
        <v>358</v>
      </c>
      <c r="B28" s="217" t="n">
        <v>6361.8</v>
      </c>
      <c r="C28" s="241" t="n">
        <v>48</v>
      </c>
      <c r="D28" s="218" t="n">
        <v>85</v>
      </c>
      <c r="E28" s="219" t="n">
        <v>45809</v>
      </c>
      <c r="F28" s="217" t="n">
        <v>23060</v>
      </c>
      <c r="G28" s="217" t="n">
        <v>9220</v>
      </c>
      <c r="H28" s="220" t="n">
        <v>13840</v>
      </c>
      <c r="I28" s="217" t="n">
        <v>6361.8</v>
      </c>
      <c r="J28" s="216" t="s">
        <v>422</v>
      </c>
      <c r="K28" s="216" t="s">
        <v>423</v>
      </c>
      <c r="L28" s="216" t="s">
        <v>133</v>
      </c>
      <c r="M28" s="189" t="s">
        <v>359</v>
      </c>
      <c r="N28" s="216" t="s">
        <v>508</v>
      </c>
      <c r="O28" s="216" t="s">
        <v>509</v>
      </c>
      <c r="P28" s="216"/>
      <c r="Q28" s="216" t="s">
        <v>510</v>
      </c>
      <c r="R28" s="216" t="s">
        <v>426</v>
      </c>
      <c r="S28" s="216"/>
      <c r="T28" s="216" t="s">
        <v>133</v>
      </c>
      <c r="U28" s="195" t="str">
        <f aca="false">Таблица310[[#This Row],[Регистратор.Номенклатура]]</f>
        <v>Оскар</v>
      </c>
      <c r="V28" s="222" t="n">
        <f aca="false">26*Таблица310[[#This Row],[Регистратор.Вес нетто]]/69140</f>
        <v>3.46716806479607</v>
      </c>
      <c r="W28" s="189" t="s">
        <v>324</v>
      </c>
      <c r="X28" s="189" t="s">
        <v>52</v>
      </c>
      <c r="Y28" s="216" t="n">
        <v>4</v>
      </c>
      <c r="Z28" s="221" t="n">
        <v>45809</v>
      </c>
      <c r="AA28" s="198"/>
      <c r="AB28" s="198"/>
      <c r="AC28" s="198" t="s">
        <v>53</v>
      </c>
      <c r="AD28" s="198" t="s">
        <v>417</v>
      </c>
      <c r="AE28" s="198" t="n">
        <v>85</v>
      </c>
      <c r="AF28" s="200" t="n">
        <v>45809</v>
      </c>
      <c r="AG28" s="198" t="n">
        <v>15</v>
      </c>
      <c r="AH28" s="198" t="n">
        <f aca="false">VLOOKUP(Таблица310[[#This Row],[№ акта]],'Степень зрелости 2025'!$H$13:$I$583,2,FALSE())</f>
        <v>48</v>
      </c>
      <c r="AI28" s="198" t="str">
        <f aca="false">VLOOKUP(Таблица310[[#This Row],[№ акта]],$AQ$1:$AT$594,2,FALSE())</f>
        <v>А-44</v>
      </c>
      <c r="AJ28" s="198" t="str">
        <f aca="false">Таблица310[[#This Row],[Регистратор.Номенклатура]]</f>
        <v>Оскар</v>
      </c>
      <c r="AK28" s="198" t="str">
        <f aca="false">VLOOKUP(Таблица310[[#This Row],[№ акта]],$AQ$1:$AT$594,4,FALSE())</f>
        <v>ГРК собственные семена (богара)</v>
      </c>
      <c r="AL28" s="230" t="n">
        <f aca="false">VLOOKUP(Таблица310[[#This Row],[№ акта]],$AQ$1:$AT$594,3,FALSE())</f>
        <v>3.46716806479607</v>
      </c>
      <c r="AM28" s="198" t="str">
        <f aca="false">IF(Таблица310[[#This Row],[Площадь уборки, га]]=Таблица310[[#This Row],[Площадь уборки до корр]],"нет","да")</f>
        <v>нет</v>
      </c>
      <c r="AN28" s="230" t="n">
        <f aca="false">Таблица310[[#This Row],[Площадь уборки до корр]]-Таблица310[[#This Row],[Площадь уборки, га]]</f>
        <v>0</v>
      </c>
      <c r="AQ28" s="0" t="n">
        <v>85</v>
      </c>
      <c r="AR28" s="0" t="s">
        <v>133</v>
      </c>
      <c r="AS28" s="0" t="n">
        <v>3.46716806479607</v>
      </c>
      <c r="AT28" s="0" t="s">
        <v>324</v>
      </c>
    </row>
    <row r="29" customFormat="false" ht="28.35" hidden="false" customHeight="false" outlineLevel="0" collapsed="false">
      <c r="A29" s="216" t="s">
        <v>358</v>
      </c>
      <c r="B29" s="217" t="n">
        <v>11319</v>
      </c>
      <c r="C29" s="241" t="n">
        <v>56</v>
      </c>
      <c r="D29" s="218" t="n">
        <v>86</v>
      </c>
      <c r="E29" s="219" t="n">
        <v>45809</v>
      </c>
      <c r="F29" s="217" t="n">
        <v>28520</v>
      </c>
      <c r="G29" s="217" t="n">
        <v>13720</v>
      </c>
      <c r="H29" s="220" t="n">
        <v>14800</v>
      </c>
      <c r="I29" s="217" t="n">
        <v>11319</v>
      </c>
      <c r="J29" s="216" t="s">
        <v>409</v>
      </c>
      <c r="K29" s="216" t="s">
        <v>252</v>
      </c>
      <c r="L29" s="216" t="s">
        <v>410</v>
      </c>
      <c r="M29" s="189" t="s">
        <v>511</v>
      </c>
      <c r="N29" s="216" t="s">
        <v>512</v>
      </c>
      <c r="O29" s="216" t="s">
        <v>513</v>
      </c>
      <c r="P29" s="216"/>
      <c r="Q29" s="216" t="s">
        <v>514</v>
      </c>
      <c r="R29" s="216" t="s">
        <v>515</v>
      </c>
      <c r="S29" s="216"/>
      <c r="T29" s="227" t="s">
        <v>416</v>
      </c>
      <c r="U29" s="195" t="str">
        <f aca="false">Таблица310[[#This Row],[Регистратор.Номенклатура]]</f>
        <v>Преладо</v>
      </c>
      <c r="V29" s="222" t="n">
        <f aca="false">27*Таблица310[[#This Row],[Регистратор.Вес нетто]]/137050</f>
        <v>2.70295512586647</v>
      </c>
      <c r="W29" s="216" t="s">
        <v>323</v>
      </c>
      <c r="X29" s="216" t="s">
        <v>52</v>
      </c>
      <c r="Y29" s="216" t="n">
        <v>3</v>
      </c>
      <c r="Z29" s="221" t="n">
        <v>45809</v>
      </c>
      <c r="AA29" s="198"/>
      <c r="AB29" s="198"/>
      <c r="AC29" s="198" t="s">
        <v>302</v>
      </c>
      <c r="AD29" s="198" t="s">
        <v>417</v>
      </c>
      <c r="AE29" s="198" t="n">
        <v>86</v>
      </c>
      <c r="AF29" s="200" t="n">
        <v>45809</v>
      </c>
      <c r="AG29" s="198" t="n">
        <v>65912</v>
      </c>
      <c r="AH29" s="198" t="n">
        <f aca="false">VLOOKUP(Таблица310[[#This Row],[№ акта]],'Степень зрелости 2025'!$H$13:$I$583,2,FALSE())</f>
        <v>56</v>
      </c>
      <c r="AI29" s="198" t="str">
        <f aca="false">VLOOKUP(Таблица310[[#This Row],[№ акта]],$AQ$1:$AT$594,2,FALSE())</f>
        <v> 2/4</v>
      </c>
      <c r="AJ29" s="198" t="str">
        <f aca="false">Таблица310[[#This Row],[Регистратор.Номенклатура]]</f>
        <v>Преладо</v>
      </c>
      <c r="AK29" s="198" t="str">
        <f aca="false">VLOOKUP(Таблица310[[#This Row],[№ акта]],$AQ$1:$AT$594,4,FALSE())</f>
        <v>Учхоз Кубань (богара)</v>
      </c>
      <c r="AL29" s="230" t="n">
        <f aca="false">VLOOKUP(Таблица310[[#This Row],[№ акта]],$AQ$1:$AT$594,3,FALSE())</f>
        <v>2.70295512586647</v>
      </c>
      <c r="AM29" s="198" t="str">
        <f aca="false">IF(Таблица310[[#This Row],[Площадь уборки, га]]=Таблица310[[#This Row],[Площадь уборки до корр]],"нет","да")</f>
        <v>нет</v>
      </c>
      <c r="AN29" s="230" t="n">
        <f aca="false">Таблица310[[#This Row],[Площадь уборки до корр]]-Таблица310[[#This Row],[Площадь уборки, га]]</f>
        <v>0</v>
      </c>
      <c r="AQ29" s="0" t="n">
        <v>86</v>
      </c>
      <c r="AR29" s="0" t="s">
        <v>416</v>
      </c>
      <c r="AS29" s="0" t="n">
        <v>2.70295512586647</v>
      </c>
      <c r="AT29" s="0" t="s">
        <v>323</v>
      </c>
    </row>
    <row r="30" customFormat="false" ht="37.3" hidden="false" customHeight="false" outlineLevel="0" collapsed="false">
      <c r="A30" s="216" t="s">
        <v>358</v>
      </c>
      <c r="B30" s="217" t="n">
        <f aca="false">Таблица310[[#This Row],[Регистратор.Вес чистый]]</f>
        <v>10166.4</v>
      </c>
      <c r="C30" s="241" t="n">
        <v>53</v>
      </c>
      <c r="D30" s="218" t="n">
        <v>87</v>
      </c>
      <c r="E30" s="219" t="n">
        <v>45809</v>
      </c>
      <c r="F30" s="217" t="n">
        <v>27950</v>
      </c>
      <c r="G30" s="217" t="n">
        <v>14120</v>
      </c>
      <c r="H30" s="220" t="n">
        <v>13830</v>
      </c>
      <c r="I30" s="217" t="n">
        <v>10166.4</v>
      </c>
      <c r="J30" s="216" t="s">
        <v>422</v>
      </c>
      <c r="K30" s="216" t="s">
        <v>423</v>
      </c>
      <c r="L30" s="216" t="s">
        <v>133</v>
      </c>
      <c r="M30" s="189" t="s">
        <v>359</v>
      </c>
      <c r="N30" s="216"/>
      <c r="O30" s="216"/>
      <c r="P30" s="216"/>
      <c r="Q30" s="216"/>
      <c r="R30" s="216" t="s">
        <v>426</v>
      </c>
      <c r="S30" s="216"/>
      <c r="T30" s="216" t="s">
        <v>133</v>
      </c>
      <c r="U30" s="195" t="str">
        <f aca="false">Таблица310[[#This Row],[Регистратор.Номенклатура]]</f>
        <v>Оскар</v>
      </c>
      <c r="V30" s="222" t="n">
        <f aca="false">26*Таблица310[[#This Row],[Регистратор.Вес нетто]]/69140</f>
        <v>5.30980619033844</v>
      </c>
      <c r="W30" s="189" t="s">
        <v>324</v>
      </c>
      <c r="X30" s="189" t="s">
        <v>52</v>
      </c>
      <c r="Y30" s="216" t="n">
        <v>4</v>
      </c>
      <c r="Z30" s="221" t="n">
        <v>45809</v>
      </c>
      <c r="AA30" s="198"/>
      <c r="AB30" s="198"/>
      <c r="AC30" s="198" t="s">
        <v>302</v>
      </c>
      <c r="AD30" s="198" t="s">
        <v>417</v>
      </c>
      <c r="AE30" s="198" t="n">
        <v>87</v>
      </c>
      <c r="AF30" s="200" t="n">
        <v>45809</v>
      </c>
      <c r="AG30" s="198" t="n">
        <v>16</v>
      </c>
      <c r="AH30" s="198" t="n">
        <f aca="false">VLOOKUP(Таблица310[[#This Row],[№ акта]],'Степень зрелости 2025'!$H$13:$I$583,2,FALSE())</f>
        <v>53</v>
      </c>
      <c r="AI30" s="198" t="str">
        <f aca="false">VLOOKUP(Таблица310[[#This Row],[№ акта]],$AQ$1:$AT$594,2,FALSE())</f>
        <v>А-44</v>
      </c>
      <c r="AJ30" s="198" t="str">
        <f aca="false">Таблица310[[#This Row],[Регистратор.Номенклатура]]</f>
        <v>Оскар</v>
      </c>
      <c r="AK30" s="198" t="str">
        <f aca="false">VLOOKUP(Таблица310[[#This Row],[№ акта]],$AQ$1:$AT$594,4,FALSE())</f>
        <v>ГРК собственные семена (богара)</v>
      </c>
      <c r="AL30" s="230" t="n">
        <f aca="false">VLOOKUP(Таблица310[[#This Row],[№ акта]],$AQ$1:$AT$594,3,FALSE())</f>
        <v>5.30980619033844</v>
      </c>
      <c r="AM30" s="198" t="str">
        <f aca="false">IF(Таблица310[[#This Row],[Площадь уборки, га]]=Таблица310[[#This Row],[Площадь уборки до корр]],"нет","да")</f>
        <v>нет</v>
      </c>
      <c r="AN30" s="230" t="n">
        <f aca="false">Таблица310[[#This Row],[Площадь уборки до корр]]-Таблица310[[#This Row],[Площадь уборки, га]]</f>
        <v>0</v>
      </c>
      <c r="AQ30" s="0" t="n">
        <v>87</v>
      </c>
      <c r="AR30" s="0" t="s">
        <v>133</v>
      </c>
      <c r="AS30" s="0" t="n">
        <v>5.30980619033844</v>
      </c>
      <c r="AT30" s="0" t="s">
        <v>324</v>
      </c>
    </row>
    <row r="31" customFormat="false" ht="28.35" hidden="false" customHeight="false" outlineLevel="0" collapsed="false">
      <c r="A31" s="216" t="s">
        <v>358</v>
      </c>
      <c r="B31" s="217" t="n">
        <v>10631.4</v>
      </c>
      <c r="C31" s="241" t="n">
        <v>55</v>
      </c>
      <c r="D31" s="218" t="n">
        <v>88</v>
      </c>
      <c r="E31" s="219" t="n">
        <v>45809</v>
      </c>
      <c r="F31" s="217" t="n">
        <v>27720</v>
      </c>
      <c r="G31" s="217" t="n">
        <v>13630</v>
      </c>
      <c r="H31" s="220" t="n">
        <v>14090</v>
      </c>
      <c r="I31" s="217" t="n">
        <v>10631.4</v>
      </c>
      <c r="J31" s="216" t="s">
        <v>409</v>
      </c>
      <c r="K31" s="216" t="s">
        <v>252</v>
      </c>
      <c r="L31" s="216" t="s">
        <v>410</v>
      </c>
      <c r="M31" s="189" t="s">
        <v>411</v>
      </c>
      <c r="N31" s="216" t="s">
        <v>516</v>
      </c>
      <c r="O31" s="216" t="s">
        <v>517</v>
      </c>
      <c r="P31" s="216"/>
      <c r="Q31" s="216" t="s">
        <v>518</v>
      </c>
      <c r="R31" s="216" t="s">
        <v>381</v>
      </c>
      <c r="S31" s="216"/>
      <c r="T31" s="227" t="s">
        <v>416</v>
      </c>
      <c r="U31" s="195" t="str">
        <f aca="false">Таблица310[[#This Row],[Регистратор.Номенклатура]]</f>
        <v>Преладо</v>
      </c>
      <c r="V31" s="222" t="n">
        <f aca="false">27*Таблица310[[#This Row],[Регистратор.Вес нетто]]/137050</f>
        <v>2.68522437066764</v>
      </c>
      <c r="W31" s="216" t="s">
        <v>323</v>
      </c>
      <c r="X31" s="216" t="s">
        <v>52</v>
      </c>
      <c r="Y31" s="216" t="n">
        <v>3</v>
      </c>
      <c r="Z31" s="221" t="n">
        <v>45809</v>
      </c>
      <c r="AA31" s="198"/>
      <c r="AB31" s="198"/>
      <c r="AC31" s="198" t="s">
        <v>302</v>
      </c>
      <c r="AD31" s="198" t="s">
        <v>417</v>
      </c>
      <c r="AE31" s="198" t="n">
        <v>88</v>
      </c>
      <c r="AF31" s="200" t="n">
        <v>45809</v>
      </c>
      <c r="AG31" s="198" t="n">
        <v>65914</v>
      </c>
      <c r="AH31" s="198" t="n">
        <f aca="false">VLOOKUP(Таблица310[[#This Row],[№ акта]],'Степень зрелости 2025'!$H$13:$I$583,2,FALSE())</f>
        <v>55</v>
      </c>
      <c r="AI31" s="198" t="str">
        <f aca="false">VLOOKUP(Таблица310[[#This Row],[№ акта]],$AQ$1:$AT$594,2,FALSE())</f>
        <v> 2/4</v>
      </c>
      <c r="AJ31" s="198" t="str">
        <f aca="false">Таблица310[[#This Row],[Регистратор.Номенклатура]]</f>
        <v>Преладо</v>
      </c>
      <c r="AK31" s="198" t="str">
        <f aca="false">VLOOKUP(Таблица310[[#This Row],[№ акта]],$AQ$1:$AT$594,4,FALSE())</f>
        <v>Учхоз Кубань (богара)</v>
      </c>
      <c r="AL31" s="230" t="n">
        <f aca="false">VLOOKUP(Таблица310[[#This Row],[№ акта]],$AQ$1:$AT$594,3,FALSE())</f>
        <v>2.68522437066764</v>
      </c>
      <c r="AM31" s="198" t="str">
        <f aca="false">IF(Таблица310[[#This Row],[Площадь уборки, га]]=Таблица310[[#This Row],[Площадь уборки до корр]],"нет","да")</f>
        <v>нет</v>
      </c>
      <c r="AN31" s="230" t="n">
        <f aca="false">Таблица310[[#This Row],[Площадь уборки до корр]]-Таблица310[[#This Row],[Площадь уборки, га]]</f>
        <v>0</v>
      </c>
      <c r="AQ31" s="0" t="n">
        <v>88</v>
      </c>
      <c r="AR31" s="0" t="s">
        <v>416</v>
      </c>
      <c r="AS31" s="0" t="n">
        <v>2.68522437066764</v>
      </c>
      <c r="AT31" s="0" t="s">
        <v>323</v>
      </c>
    </row>
    <row r="32" customFormat="false" ht="28.35" hidden="false" customHeight="false" outlineLevel="0" collapsed="false">
      <c r="A32" s="216" t="s">
        <v>358</v>
      </c>
      <c r="B32" s="217" t="n">
        <v>10665</v>
      </c>
      <c r="C32" s="241" t="n">
        <v>52</v>
      </c>
      <c r="D32" s="218" t="n">
        <v>89</v>
      </c>
      <c r="E32" s="219" t="n">
        <v>45809</v>
      </c>
      <c r="F32" s="217" t="n">
        <v>29140</v>
      </c>
      <c r="G32" s="217" t="n">
        <v>13500</v>
      </c>
      <c r="H32" s="220" t="n">
        <v>15640</v>
      </c>
      <c r="I32" s="217" t="n">
        <v>10665</v>
      </c>
      <c r="J32" s="216" t="s">
        <v>409</v>
      </c>
      <c r="K32" s="216" t="s">
        <v>252</v>
      </c>
      <c r="L32" s="216" t="s">
        <v>410</v>
      </c>
      <c r="M32" s="189" t="s">
        <v>519</v>
      </c>
      <c r="N32" s="216" t="s">
        <v>520</v>
      </c>
      <c r="O32" s="216" t="s">
        <v>521</v>
      </c>
      <c r="P32" s="216"/>
      <c r="Q32" s="216" t="s">
        <v>522</v>
      </c>
      <c r="R32" s="216" t="s">
        <v>523</v>
      </c>
      <c r="S32" s="216"/>
      <c r="T32" s="227" t="s">
        <v>416</v>
      </c>
      <c r="U32" s="195" t="str">
        <f aca="false">Таблица310[[#This Row],[Регистратор.Номенклатура]]</f>
        <v>Преладо</v>
      </c>
      <c r="V32" s="222" t="n">
        <f aca="false">27*Таблица310[[#This Row],[Регистратор.Вес нетто]]/137050</f>
        <v>2.65961327982488</v>
      </c>
      <c r="W32" s="216" t="s">
        <v>323</v>
      </c>
      <c r="X32" s="216" t="s">
        <v>52</v>
      </c>
      <c r="Y32" s="216" t="n">
        <v>3</v>
      </c>
      <c r="Z32" s="221" t="n">
        <v>45809</v>
      </c>
      <c r="AA32" s="198"/>
      <c r="AB32" s="198"/>
      <c r="AC32" s="198" t="s">
        <v>53</v>
      </c>
      <c r="AD32" s="198" t="s">
        <v>417</v>
      </c>
      <c r="AE32" s="198" t="n">
        <v>89</v>
      </c>
      <c r="AF32" s="200" t="n">
        <v>45809</v>
      </c>
      <c r="AG32" s="198" t="n">
        <v>65915</v>
      </c>
      <c r="AH32" s="198" t="n">
        <f aca="false">VLOOKUP(Таблица310[[#This Row],[№ акта]],'Степень зрелости 2025'!$H$13:$I$583,2,FALSE())</f>
        <v>52</v>
      </c>
      <c r="AI32" s="198" t="str">
        <f aca="false">VLOOKUP(Таблица310[[#This Row],[№ акта]],$AQ$1:$AT$594,2,FALSE())</f>
        <v> 2/4</v>
      </c>
      <c r="AJ32" s="198" t="str">
        <f aca="false">Таблица310[[#This Row],[Регистратор.Номенклатура]]</f>
        <v>Преладо</v>
      </c>
      <c r="AK32" s="198" t="str">
        <f aca="false">VLOOKUP(Таблица310[[#This Row],[№ акта]],$AQ$1:$AT$594,4,FALSE())</f>
        <v>Учхоз Кубань (богара)</v>
      </c>
      <c r="AL32" s="230" t="n">
        <f aca="false">VLOOKUP(Таблица310[[#This Row],[№ акта]],$AQ$1:$AT$594,3,FALSE())</f>
        <v>2.65961327982488</v>
      </c>
      <c r="AM32" s="198" t="str">
        <f aca="false">IF(Таблица310[[#This Row],[Площадь уборки, га]]=Таблица310[[#This Row],[Площадь уборки до корр]],"нет","да")</f>
        <v>нет</v>
      </c>
      <c r="AN32" s="230" t="n">
        <f aca="false">Таблица310[[#This Row],[Площадь уборки до корр]]-Таблица310[[#This Row],[Площадь уборки, га]]</f>
        <v>0</v>
      </c>
      <c r="AQ32" s="0" t="n">
        <v>89</v>
      </c>
      <c r="AR32" s="0" t="s">
        <v>416</v>
      </c>
      <c r="AS32" s="0" t="n">
        <v>2.65961327982488</v>
      </c>
      <c r="AT32" s="0" t="s">
        <v>323</v>
      </c>
    </row>
    <row r="33" customFormat="false" ht="28.35" hidden="false" customHeight="false" outlineLevel="0" collapsed="false">
      <c r="A33" s="216" t="s">
        <v>358</v>
      </c>
      <c r="B33" s="217" t="n">
        <v>11478.9</v>
      </c>
      <c r="C33" s="241" t="n">
        <v>51</v>
      </c>
      <c r="D33" s="218" t="n">
        <v>90</v>
      </c>
      <c r="E33" s="219" t="n">
        <v>45809</v>
      </c>
      <c r="F33" s="217" t="n">
        <v>28320</v>
      </c>
      <c r="G33" s="217" t="n">
        <v>13830</v>
      </c>
      <c r="H33" s="220" t="n">
        <v>14490</v>
      </c>
      <c r="I33" s="217" t="n">
        <v>11478.9</v>
      </c>
      <c r="J33" s="216" t="s">
        <v>409</v>
      </c>
      <c r="K33" s="216" t="s">
        <v>252</v>
      </c>
      <c r="L33" s="216" t="s">
        <v>410</v>
      </c>
      <c r="M33" s="189" t="s">
        <v>363</v>
      </c>
      <c r="N33" s="216" t="s">
        <v>524</v>
      </c>
      <c r="O33" s="216" t="s">
        <v>525</v>
      </c>
      <c r="P33" s="216"/>
      <c r="Q33" s="216" t="s">
        <v>526</v>
      </c>
      <c r="R33" s="216" t="s">
        <v>364</v>
      </c>
      <c r="S33" s="216"/>
      <c r="T33" s="227" t="s">
        <v>416</v>
      </c>
      <c r="U33" s="195" t="str">
        <f aca="false">Таблица310[[#This Row],[Регистратор.Номенклатура]]</f>
        <v>Преладо</v>
      </c>
      <c r="V33" s="222" t="n">
        <f aca="false">27*Таблица310[[#This Row],[Регистратор.Вес нетто]]/137050</f>
        <v>2.72462604888727</v>
      </c>
      <c r="W33" s="216" t="s">
        <v>323</v>
      </c>
      <c r="X33" s="216" t="s">
        <v>52</v>
      </c>
      <c r="Y33" s="216" t="n">
        <v>3</v>
      </c>
      <c r="Z33" s="221" t="n">
        <v>45809</v>
      </c>
      <c r="AA33" s="198"/>
      <c r="AB33" s="198"/>
      <c r="AC33" s="198" t="s">
        <v>53</v>
      </c>
      <c r="AD33" s="198" t="s">
        <v>417</v>
      </c>
      <c r="AE33" s="198" t="n">
        <v>90</v>
      </c>
      <c r="AF33" s="200" t="n">
        <v>45809</v>
      </c>
      <c r="AG33" s="198" t="n">
        <v>65916</v>
      </c>
      <c r="AH33" s="198" t="n">
        <f aca="false">VLOOKUP(Таблица310[[#This Row],[№ акта]],'Степень зрелости 2025'!$H$13:$I$583,2,FALSE())</f>
        <v>51</v>
      </c>
      <c r="AI33" s="198" t="str">
        <f aca="false">VLOOKUP(Таблица310[[#This Row],[№ акта]],$AQ$1:$AT$594,2,FALSE())</f>
        <v> 2/4</v>
      </c>
      <c r="AJ33" s="198" t="str">
        <f aca="false">Таблица310[[#This Row],[Регистратор.Номенклатура]]</f>
        <v>Преладо</v>
      </c>
      <c r="AK33" s="198" t="str">
        <f aca="false">VLOOKUP(Таблица310[[#This Row],[№ акта]],$AQ$1:$AT$594,4,FALSE())</f>
        <v>Учхоз Кубань (богара)</v>
      </c>
      <c r="AL33" s="230" t="n">
        <f aca="false">VLOOKUP(Таблица310[[#This Row],[№ акта]],$AQ$1:$AT$594,3,FALSE())</f>
        <v>2.72462604888727</v>
      </c>
      <c r="AM33" s="198" t="str">
        <f aca="false">IF(Таблица310[[#This Row],[Площадь уборки, га]]=Таблица310[[#This Row],[Площадь уборки до корр]],"нет","да")</f>
        <v>нет</v>
      </c>
      <c r="AN33" s="230" t="n">
        <f aca="false">Таблица310[[#This Row],[Площадь уборки до корр]]-Таблица310[[#This Row],[Площадь уборки, га]]</f>
        <v>0</v>
      </c>
      <c r="AQ33" s="0" t="n">
        <v>90</v>
      </c>
      <c r="AR33" s="0" t="s">
        <v>416</v>
      </c>
      <c r="AS33" s="0" t="n">
        <v>2.72462604888727</v>
      </c>
      <c r="AT33" s="0" t="s">
        <v>323</v>
      </c>
    </row>
    <row r="34" customFormat="false" ht="28.35" hidden="false" customHeight="false" outlineLevel="0" collapsed="false">
      <c r="A34" s="198" t="s">
        <v>358</v>
      </c>
      <c r="B34" s="223" t="n">
        <v>10826.4</v>
      </c>
      <c r="C34" s="234" t="n">
        <v>50</v>
      </c>
      <c r="D34" s="224" t="n">
        <v>91</v>
      </c>
      <c r="E34" s="225" t="n">
        <v>45809</v>
      </c>
      <c r="F34" s="223" t="n">
        <v>29030</v>
      </c>
      <c r="G34" s="223" t="n">
        <v>13880</v>
      </c>
      <c r="H34" s="226" t="n">
        <v>15150</v>
      </c>
      <c r="I34" s="223" t="n">
        <v>10826.4</v>
      </c>
      <c r="J34" s="198" t="s">
        <v>409</v>
      </c>
      <c r="K34" s="198" t="s">
        <v>252</v>
      </c>
      <c r="L34" s="198" t="s">
        <v>410</v>
      </c>
      <c r="M34" s="189" t="s">
        <v>386</v>
      </c>
      <c r="N34" s="198" t="s">
        <v>527</v>
      </c>
      <c r="O34" s="198" t="s">
        <v>528</v>
      </c>
      <c r="P34" s="198"/>
      <c r="Q34" s="198" t="s">
        <v>529</v>
      </c>
      <c r="R34" s="198" t="s">
        <v>387</v>
      </c>
      <c r="S34" s="198" t="s">
        <v>530</v>
      </c>
      <c r="T34" s="228" t="s">
        <v>416</v>
      </c>
      <c r="U34" s="195" t="str">
        <f aca="false">Таблица310[[#This Row],[Регистратор.Номенклатура]]</f>
        <v>Преладо</v>
      </c>
      <c r="V34" s="222" t="n">
        <f aca="false">27*Таблица310[[#This Row],[Регистратор.Вес нетто]]/137050</f>
        <v>2.73447646844217</v>
      </c>
      <c r="W34" s="198" t="s">
        <v>323</v>
      </c>
      <c r="X34" s="198" t="s">
        <v>52</v>
      </c>
      <c r="Y34" s="198" t="n">
        <v>3</v>
      </c>
      <c r="Z34" s="221" t="n">
        <v>45809</v>
      </c>
      <c r="AA34" s="198"/>
      <c r="AB34" s="198"/>
      <c r="AC34" s="198" t="s">
        <v>53</v>
      </c>
      <c r="AD34" s="198" t="s">
        <v>417</v>
      </c>
      <c r="AE34" s="198" t="n">
        <v>91</v>
      </c>
      <c r="AF34" s="200" t="n">
        <v>45809</v>
      </c>
      <c r="AG34" s="198" t="n">
        <v>65917</v>
      </c>
      <c r="AH34" s="198" t="n">
        <f aca="false">VLOOKUP(Таблица310[[#This Row],[№ акта]],'Степень зрелости 2025'!$H$13:$I$583,2,FALSE())</f>
        <v>50</v>
      </c>
      <c r="AI34" s="198" t="str">
        <f aca="false">VLOOKUP(Таблица310[[#This Row],[№ акта]],$AQ$1:$AT$594,2,FALSE())</f>
        <v> 2/4</v>
      </c>
      <c r="AJ34" s="198" t="str">
        <f aca="false">Таблица310[[#This Row],[Регистратор.Номенклатура]]</f>
        <v>Преладо</v>
      </c>
      <c r="AK34" s="198" t="str">
        <f aca="false">VLOOKUP(Таблица310[[#This Row],[№ акта]],$AQ$1:$AT$594,4,FALSE())</f>
        <v>Учхоз Кубань (богара)</v>
      </c>
      <c r="AL34" s="230" t="n">
        <f aca="false">VLOOKUP(Таблица310[[#This Row],[№ акта]],$AQ$1:$AT$594,3,FALSE())</f>
        <v>2.73447646844217</v>
      </c>
      <c r="AM34" s="198" t="str">
        <f aca="false">IF(Таблица310[[#This Row],[Площадь уборки, га]]=Таблица310[[#This Row],[Площадь уборки до корр]],"нет","да")</f>
        <v>нет</v>
      </c>
      <c r="AN34" s="230" t="n">
        <f aca="false">Таблица310[[#This Row],[Площадь уборки до корр]]-Таблица310[[#This Row],[Площадь уборки, га]]</f>
        <v>0</v>
      </c>
      <c r="AQ34" s="0" t="n">
        <v>91</v>
      </c>
      <c r="AR34" s="0" t="s">
        <v>416</v>
      </c>
      <c r="AS34" s="0" t="n">
        <v>2.73447646844217</v>
      </c>
      <c r="AT34" s="0" t="s">
        <v>323</v>
      </c>
    </row>
    <row r="35" customFormat="false" ht="23.25" hidden="false" customHeight="true" outlineLevel="0" collapsed="false">
      <c r="A35" s="216" t="s">
        <v>358</v>
      </c>
      <c r="B35" s="217" t="n">
        <v>10052.1</v>
      </c>
      <c r="C35" s="241" t="n">
        <v>51</v>
      </c>
      <c r="D35" s="218" t="n">
        <v>92</v>
      </c>
      <c r="E35" s="219" t="n">
        <v>45809</v>
      </c>
      <c r="F35" s="217" t="n">
        <v>29310</v>
      </c>
      <c r="G35" s="217" t="n">
        <v>13770</v>
      </c>
      <c r="H35" s="220" t="n">
        <v>15540</v>
      </c>
      <c r="I35" s="217" t="n">
        <v>10052.1</v>
      </c>
      <c r="J35" s="216" t="s">
        <v>409</v>
      </c>
      <c r="K35" s="216" t="s">
        <v>252</v>
      </c>
      <c r="L35" s="216" t="s">
        <v>410</v>
      </c>
      <c r="M35" s="189" t="s">
        <v>57</v>
      </c>
      <c r="N35" s="216" t="s">
        <v>531</v>
      </c>
      <c r="O35" s="216" t="s">
        <v>532</v>
      </c>
      <c r="P35" s="216"/>
      <c r="Q35" s="216" t="s">
        <v>533</v>
      </c>
      <c r="R35" s="216" t="s">
        <v>58</v>
      </c>
      <c r="S35" s="216"/>
      <c r="T35" s="227" t="s">
        <v>416</v>
      </c>
      <c r="U35" s="195" t="str">
        <f aca="false">Таблица310[[#This Row],[Регистратор.Номенклатура]]</f>
        <v>Преладо</v>
      </c>
      <c r="V35" s="222" t="n">
        <f aca="false">27*Таблица310[[#This Row],[Регистратор.Вес нетто]]/137050</f>
        <v>2.71280554542138</v>
      </c>
      <c r="W35" s="216" t="s">
        <v>323</v>
      </c>
      <c r="X35" s="216" t="s">
        <v>52</v>
      </c>
      <c r="Y35" s="216" t="n">
        <v>3</v>
      </c>
      <c r="Z35" s="221" t="n">
        <v>45809</v>
      </c>
      <c r="AA35" s="198"/>
      <c r="AB35" s="198"/>
      <c r="AC35" s="198" t="s">
        <v>53</v>
      </c>
      <c r="AD35" s="198" t="s">
        <v>417</v>
      </c>
      <c r="AE35" s="198" t="n">
        <v>92</v>
      </c>
      <c r="AF35" s="200" t="n">
        <v>45809</v>
      </c>
      <c r="AG35" s="198" t="n">
        <v>65918</v>
      </c>
      <c r="AH35" s="198" t="n">
        <f aca="false">VLOOKUP(Таблица310[[#This Row],[№ акта]],'Степень зрелости 2025'!$H$13:$I$583,2,FALSE())</f>
        <v>51</v>
      </c>
      <c r="AI35" s="198" t="str">
        <f aca="false">VLOOKUP(Таблица310[[#This Row],[№ акта]],$AQ$1:$AT$594,2,FALSE())</f>
        <v> 2/4</v>
      </c>
      <c r="AJ35" s="198" t="str">
        <f aca="false">Таблица310[[#This Row],[Регистратор.Номенклатура]]</f>
        <v>Преладо</v>
      </c>
      <c r="AK35" s="198" t="str">
        <f aca="false">VLOOKUP(Таблица310[[#This Row],[№ акта]],$AQ$1:$AT$594,4,FALSE())</f>
        <v>Учхоз Кубань (богара)</v>
      </c>
      <c r="AL35" s="230" t="n">
        <f aca="false">VLOOKUP(Таблица310[[#This Row],[№ акта]],$AQ$1:$AT$594,3,FALSE())</f>
        <v>2.71280554542138</v>
      </c>
      <c r="AM35" s="198" t="str">
        <f aca="false">IF(Таблица310[[#This Row],[Площадь уборки, га]]=Таблица310[[#This Row],[Площадь уборки до корр]],"нет","да")</f>
        <v>нет</v>
      </c>
      <c r="AN35" s="230" t="n">
        <f aca="false">Таблица310[[#This Row],[Площадь уборки до корр]]-Таблица310[[#This Row],[Площадь уборки, га]]</f>
        <v>0</v>
      </c>
      <c r="AQ35" s="0" t="n">
        <v>92</v>
      </c>
      <c r="AR35" s="0" t="s">
        <v>416</v>
      </c>
      <c r="AS35" s="0" t="n">
        <v>2.71280554542138</v>
      </c>
      <c r="AT35" s="0" t="s">
        <v>323</v>
      </c>
    </row>
    <row r="36" customFormat="false" ht="23.25" hidden="false" customHeight="true" outlineLevel="0" collapsed="false">
      <c r="A36" s="216" t="s">
        <v>358</v>
      </c>
      <c r="B36" s="217" t="n">
        <v>8514.6</v>
      </c>
      <c r="C36" s="241" t="n">
        <v>51</v>
      </c>
      <c r="D36" s="218" t="n">
        <v>93</v>
      </c>
      <c r="E36" s="219" t="n">
        <v>45809</v>
      </c>
      <c r="F36" s="217" t="n">
        <v>26540</v>
      </c>
      <c r="G36" s="217" t="n">
        <v>12340</v>
      </c>
      <c r="H36" s="220" t="n">
        <v>14200</v>
      </c>
      <c r="I36" s="217" t="n">
        <v>8514.6</v>
      </c>
      <c r="J36" s="216" t="s">
        <v>422</v>
      </c>
      <c r="K36" s="216" t="s">
        <v>423</v>
      </c>
      <c r="L36" s="216" t="s">
        <v>133</v>
      </c>
      <c r="M36" s="189" t="s">
        <v>411</v>
      </c>
      <c r="N36" s="216" t="s">
        <v>534</v>
      </c>
      <c r="O36" s="216" t="s">
        <v>535</v>
      </c>
      <c r="P36" s="216"/>
      <c r="Q36" s="216" t="s">
        <v>536</v>
      </c>
      <c r="R36" s="216" t="s">
        <v>381</v>
      </c>
      <c r="S36" s="216"/>
      <c r="T36" s="216" t="s">
        <v>133</v>
      </c>
      <c r="U36" s="195" t="str">
        <f aca="false">Таблица310[[#This Row],[Регистратор.Номенклатура]]</f>
        <v>Оскар</v>
      </c>
      <c r="V36" s="222" t="n">
        <f aca="false">26*Таблица310[[#This Row],[Регистратор.Вес нетто]]/69140</f>
        <v>4.6404396875904</v>
      </c>
      <c r="W36" s="189" t="s">
        <v>324</v>
      </c>
      <c r="X36" s="189" t="s">
        <v>52</v>
      </c>
      <c r="Y36" s="216" t="n">
        <v>4</v>
      </c>
      <c r="Z36" s="221" t="n">
        <v>45809</v>
      </c>
      <c r="AA36" s="198"/>
      <c r="AB36" s="198"/>
      <c r="AC36" s="198" t="s">
        <v>53</v>
      </c>
      <c r="AD36" s="198" t="s">
        <v>417</v>
      </c>
      <c r="AE36" s="198" t="n">
        <v>93</v>
      </c>
      <c r="AF36" s="200" t="n">
        <v>45809</v>
      </c>
      <c r="AG36" s="198" t="n">
        <v>17</v>
      </c>
      <c r="AH36" s="198" t="n">
        <f aca="false">VLOOKUP(Таблица310[[#This Row],[№ акта]],'Степень зрелости 2025'!$H$13:$I$583,2,FALSE())</f>
        <v>51</v>
      </c>
      <c r="AI36" s="198" t="str">
        <f aca="false">VLOOKUP(Таблица310[[#This Row],[№ акта]],$AQ$1:$AT$594,2,FALSE())</f>
        <v>А-44</v>
      </c>
      <c r="AJ36" s="198" t="str">
        <f aca="false">Таблица310[[#This Row],[Регистратор.Номенклатура]]</f>
        <v>Оскар</v>
      </c>
      <c r="AK36" s="198" t="str">
        <f aca="false">VLOOKUP(Таблица310[[#This Row],[№ акта]],$AQ$1:$AT$594,4,FALSE())</f>
        <v>ГРК собственные семена (богара)</v>
      </c>
      <c r="AL36" s="230" t="n">
        <f aca="false">VLOOKUP(Таблица310[[#This Row],[№ акта]],$AQ$1:$AT$594,3,FALSE())</f>
        <v>4.6404396875904</v>
      </c>
      <c r="AM36" s="198" t="str">
        <f aca="false">IF(Таблица310[[#This Row],[Площадь уборки, га]]=Таблица310[[#This Row],[Площадь уборки до корр]],"нет","да")</f>
        <v>нет</v>
      </c>
      <c r="AN36" s="230" t="n">
        <f aca="false">Таблица310[[#This Row],[Площадь уборки до корр]]-Таблица310[[#This Row],[Площадь уборки, га]]</f>
        <v>0</v>
      </c>
      <c r="AQ36" s="0" t="n">
        <v>93</v>
      </c>
      <c r="AR36" s="0" t="s">
        <v>133</v>
      </c>
      <c r="AS36" s="0" t="n">
        <v>4.6404396875904</v>
      </c>
      <c r="AT36" s="0" t="s">
        <v>324</v>
      </c>
    </row>
    <row r="37" customFormat="false" ht="23.25" hidden="false" customHeight="true" outlineLevel="0" collapsed="false">
      <c r="A37" s="216" t="s">
        <v>358</v>
      </c>
      <c r="B37" s="217" t="n">
        <v>10252.5</v>
      </c>
      <c r="C37" s="241" t="n">
        <v>53</v>
      </c>
      <c r="D37" s="218" t="n">
        <v>94</v>
      </c>
      <c r="E37" s="219" t="n">
        <v>45809</v>
      </c>
      <c r="F37" s="217" t="n">
        <v>28810</v>
      </c>
      <c r="G37" s="217" t="n">
        <v>13670</v>
      </c>
      <c r="H37" s="220" t="n">
        <v>15140</v>
      </c>
      <c r="I37" s="217" t="n">
        <v>10252.5</v>
      </c>
      <c r="J37" s="216" t="s">
        <v>409</v>
      </c>
      <c r="K37" s="216" t="s">
        <v>252</v>
      </c>
      <c r="L37" s="216" t="s">
        <v>410</v>
      </c>
      <c r="M37" s="189" t="s">
        <v>537</v>
      </c>
      <c r="N37" s="216" t="s">
        <v>538</v>
      </c>
      <c r="O37" s="216" t="s">
        <v>539</v>
      </c>
      <c r="P37" s="216"/>
      <c r="Q37" s="216" t="s">
        <v>540</v>
      </c>
      <c r="R37" s="216" t="s">
        <v>541</v>
      </c>
      <c r="S37" s="216"/>
      <c r="T37" s="227" t="s">
        <v>416</v>
      </c>
      <c r="U37" s="195" t="str">
        <f aca="false">Таблица310[[#This Row],[Регистратор.Номенклатура]]</f>
        <v>Преладо</v>
      </c>
      <c r="V37" s="222" t="n">
        <f aca="false">27*Таблица310[[#This Row],[Регистратор.Вес нетто]]/137050</f>
        <v>2.69310470631157</v>
      </c>
      <c r="W37" s="216" t="s">
        <v>323</v>
      </c>
      <c r="X37" s="216" t="s">
        <v>52</v>
      </c>
      <c r="Y37" s="216" t="n">
        <v>3</v>
      </c>
      <c r="Z37" s="221" t="n">
        <v>45809</v>
      </c>
      <c r="AA37" s="198"/>
      <c r="AB37" s="198"/>
      <c r="AC37" s="198" t="s">
        <v>302</v>
      </c>
      <c r="AD37" s="198" t="s">
        <v>417</v>
      </c>
      <c r="AE37" s="198" t="n">
        <v>94</v>
      </c>
      <c r="AF37" s="200" t="n">
        <v>45809</v>
      </c>
      <c r="AG37" s="198" t="n">
        <v>65919</v>
      </c>
      <c r="AH37" s="198" t="n">
        <f aca="false">VLOOKUP(Таблица310[[#This Row],[№ акта]],'Степень зрелости 2025'!$H$13:$I$583,2,FALSE())</f>
        <v>53</v>
      </c>
      <c r="AI37" s="198" t="str">
        <f aca="false">VLOOKUP(Таблица310[[#This Row],[№ акта]],$AQ$1:$AT$594,2,FALSE())</f>
        <v> 2/4</v>
      </c>
      <c r="AJ37" s="198" t="str">
        <f aca="false">Таблица310[[#This Row],[Регистратор.Номенклатура]]</f>
        <v>Преладо</v>
      </c>
      <c r="AK37" s="198" t="str">
        <f aca="false">VLOOKUP(Таблица310[[#This Row],[№ акта]],$AQ$1:$AT$594,4,FALSE())</f>
        <v>Учхоз Кубань (богара)</v>
      </c>
      <c r="AL37" s="230" t="n">
        <f aca="false">VLOOKUP(Таблица310[[#This Row],[№ акта]],$AQ$1:$AT$594,3,FALSE())</f>
        <v>2.69310470631157</v>
      </c>
      <c r="AM37" s="198" t="str">
        <f aca="false">IF(Таблица310[[#This Row],[Площадь уборки, га]]=Таблица310[[#This Row],[Площадь уборки до корр]],"нет","да")</f>
        <v>нет</v>
      </c>
      <c r="AN37" s="230" t="n">
        <f aca="false">Таблица310[[#This Row],[Площадь уборки до корр]]-Таблица310[[#This Row],[Площадь уборки, га]]</f>
        <v>0</v>
      </c>
      <c r="AQ37" s="0" t="n">
        <v>94</v>
      </c>
      <c r="AR37" s="0" t="s">
        <v>416</v>
      </c>
      <c r="AS37" s="0" t="n">
        <v>2.69310470631157</v>
      </c>
      <c r="AT37" s="0" t="s">
        <v>323</v>
      </c>
    </row>
    <row r="38" customFormat="false" ht="23.25" hidden="false" customHeight="true" outlineLevel="0" collapsed="false">
      <c r="A38" s="216" t="s">
        <v>358</v>
      </c>
      <c r="B38" s="217" t="n">
        <v>10472.8</v>
      </c>
      <c r="C38" s="241" t="n">
        <v>53</v>
      </c>
      <c r="D38" s="218" t="n">
        <v>96</v>
      </c>
      <c r="E38" s="219" t="n">
        <v>45810</v>
      </c>
      <c r="F38" s="217" t="n">
        <v>28330</v>
      </c>
      <c r="G38" s="217" t="n">
        <v>13780</v>
      </c>
      <c r="H38" s="220" t="n">
        <v>14550</v>
      </c>
      <c r="I38" s="217" t="n">
        <v>10472.8</v>
      </c>
      <c r="J38" s="216" t="s">
        <v>409</v>
      </c>
      <c r="K38" s="216" t="s">
        <v>252</v>
      </c>
      <c r="L38" s="216" t="s">
        <v>410</v>
      </c>
      <c r="M38" s="189" t="s">
        <v>542</v>
      </c>
      <c r="N38" s="216" t="s">
        <v>543</v>
      </c>
      <c r="O38" s="216" t="s">
        <v>544</v>
      </c>
      <c r="P38" s="216"/>
      <c r="Q38" s="216" t="s">
        <v>545</v>
      </c>
      <c r="R38" s="216" t="s">
        <v>546</v>
      </c>
      <c r="S38" s="216"/>
      <c r="T38" s="227" t="s">
        <v>416</v>
      </c>
      <c r="U38" s="195" t="str">
        <f aca="false">Таблица310[[#This Row],[Регистратор.Номенклатура]]</f>
        <v>Преладо</v>
      </c>
      <c r="V38" s="222" t="n">
        <f aca="false">27*Таблица310[[#This Row],[Регистратор.Вес нетто]]/137050</f>
        <v>2.71477562933236</v>
      </c>
      <c r="W38" s="216" t="s">
        <v>323</v>
      </c>
      <c r="X38" s="216" t="s">
        <v>52</v>
      </c>
      <c r="Y38" s="216" t="n">
        <v>3</v>
      </c>
      <c r="Z38" s="221" t="n">
        <v>45809</v>
      </c>
      <c r="AA38" s="198"/>
      <c r="AB38" s="198"/>
      <c r="AC38" s="198" t="s">
        <v>302</v>
      </c>
      <c r="AD38" s="198" t="s">
        <v>417</v>
      </c>
      <c r="AE38" s="198" t="n">
        <v>96</v>
      </c>
      <c r="AF38" s="200" t="n">
        <v>45810</v>
      </c>
      <c r="AG38" s="198" t="n">
        <v>65920</v>
      </c>
      <c r="AH38" s="198" t="n">
        <f aca="false">VLOOKUP(Таблица310[[#This Row],[№ акта]],'Степень зрелости 2025'!$H$13:$I$583,2,FALSE())</f>
        <v>53</v>
      </c>
      <c r="AI38" s="198" t="str">
        <f aca="false">VLOOKUP(Таблица310[[#This Row],[№ акта]],$AQ$1:$AT$594,2,FALSE())</f>
        <v> 2/4</v>
      </c>
      <c r="AJ38" s="198" t="str">
        <f aca="false">Таблица310[[#This Row],[Регистратор.Номенклатура]]</f>
        <v>Преладо</v>
      </c>
      <c r="AK38" s="198" t="str">
        <f aca="false">VLOOKUP(Таблица310[[#This Row],[№ акта]],$AQ$1:$AT$594,4,FALSE())</f>
        <v>Учхоз Кубань (богара)</v>
      </c>
      <c r="AL38" s="230" t="n">
        <f aca="false">VLOOKUP(Таблица310[[#This Row],[№ акта]],$AQ$1:$AT$594,3,FALSE())</f>
        <v>2.71477562933236</v>
      </c>
      <c r="AM38" s="198" t="str">
        <f aca="false">IF(Таблица310[[#This Row],[Площадь уборки, га]]=Таблица310[[#This Row],[Площадь уборки до корр]],"нет","да")</f>
        <v>нет</v>
      </c>
      <c r="AN38" s="230" t="n">
        <f aca="false">Таблица310[[#This Row],[Площадь уборки до корр]]-Таблица310[[#This Row],[Площадь уборки, га]]</f>
        <v>0</v>
      </c>
      <c r="AQ38" s="0" t="n">
        <v>96</v>
      </c>
      <c r="AR38" s="0" t="s">
        <v>416</v>
      </c>
      <c r="AS38" s="0" t="n">
        <v>2.71477562933236</v>
      </c>
      <c r="AT38" s="0" t="s">
        <v>323</v>
      </c>
    </row>
    <row r="39" customFormat="false" ht="23.25" hidden="false" customHeight="true" outlineLevel="0" collapsed="false">
      <c r="A39" s="216" t="s">
        <v>358</v>
      </c>
      <c r="B39" s="217" t="n">
        <v>10728.2</v>
      </c>
      <c r="C39" s="241" t="n">
        <v>52</v>
      </c>
      <c r="D39" s="218" t="n">
        <v>97</v>
      </c>
      <c r="E39" s="219" t="n">
        <v>45810</v>
      </c>
      <c r="F39" s="217" t="n">
        <v>28370</v>
      </c>
      <c r="G39" s="217" t="n">
        <v>13580</v>
      </c>
      <c r="H39" s="220" t="n">
        <v>14790</v>
      </c>
      <c r="I39" s="217" t="n">
        <v>10728.2</v>
      </c>
      <c r="J39" s="216" t="s">
        <v>409</v>
      </c>
      <c r="K39" s="216" t="s">
        <v>252</v>
      </c>
      <c r="L39" s="216" t="s">
        <v>410</v>
      </c>
      <c r="M39" s="189" t="s">
        <v>547</v>
      </c>
      <c r="N39" s="216" t="s">
        <v>548</v>
      </c>
      <c r="O39" s="216" t="s">
        <v>549</v>
      </c>
      <c r="P39" s="216"/>
      <c r="Q39" s="216" t="s">
        <v>550</v>
      </c>
      <c r="R39" s="216" t="s">
        <v>551</v>
      </c>
      <c r="S39" s="216" t="s">
        <v>552</v>
      </c>
      <c r="T39" s="227" t="s">
        <v>416</v>
      </c>
      <c r="U39" s="195" t="str">
        <f aca="false">Таблица310[[#This Row],[Регистратор.Номенклатура]]</f>
        <v>Преладо</v>
      </c>
      <c r="V39" s="222" t="n">
        <f aca="false">27*Таблица310[[#This Row],[Регистратор.Вес нетто]]/137050</f>
        <v>2.67537395111273</v>
      </c>
      <c r="W39" s="216" t="s">
        <v>323</v>
      </c>
      <c r="X39" s="216" t="s">
        <v>52</v>
      </c>
      <c r="Y39" s="216" t="n">
        <v>3</v>
      </c>
      <c r="Z39" s="221" t="n">
        <v>45809</v>
      </c>
      <c r="AA39" s="198"/>
      <c r="AB39" s="198"/>
      <c r="AC39" s="198" t="s">
        <v>53</v>
      </c>
      <c r="AD39" s="198" t="s">
        <v>417</v>
      </c>
      <c r="AE39" s="198" t="n">
        <v>97</v>
      </c>
      <c r="AF39" s="200" t="n">
        <v>45810</v>
      </c>
      <c r="AG39" s="198" t="n">
        <v>65921</v>
      </c>
      <c r="AH39" s="198" t="n">
        <f aca="false">VLOOKUP(Таблица310[[#This Row],[№ акта]],'Степень зрелости 2025'!$H$13:$I$583,2,FALSE())</f>
        <v>52</v>
      </c>
      <c r="AI39" s="198" t="str">
        <f aca="false">VLOOKUP(Таблица310[[#This Row],[№ акта]],$AQ$1:$AT$594,2,FALSE())</f>
        <v> 2/4</v>
      </c>
      <c r="AJ39" s="198" t="str">
        <f aca="false">Таблица310[[#This Row],[Регистратор.Номенклатура]]</f>
        <v>Преладо</v>
      </c>
      <c r="AK39" s="198" t="str">
        <f aca="false">VLOOKUP(Таблица310[[#This Row],[№ акта]],$AQ$1:$AT$594,4,FALSE())</f>
        <v>Учхоз Кубань (богара)</v>
      </c>
      <c r="AL39" s="230" t="n">
        <f aca="false">VLOOKUP(Таблица310[[#This Row],[№ акта]],$AQ$1:$AT$594,3,FALSE())</f>
        <v>2.67537395111273</v>
      </c>
      <c r="AM39" s="198" t="str">
        <f aca="false">IF(Таблица310[[#This Row],[Площадь уборки, га]]=Таблица310[[#This Row],[Площадь уборки до корр]],"нет","да")</f>
        <v>нет</v>
      </c>
      <c r="AN39" s="230" t="n">
        <f aca="false">Таблица310[[#This Row],[Площадь уборки до корр]]-Таблица310[[#This Row],[Площадь уборки, га]]</f>
        <v>0</v>
      </c>
      <c r="AQ39" s="0" t="n">
        <v>97</v>
      </c>
      <c r="AR39" s="0" t="s">
        <v>416</v>
      </c>
      <c r="AS39" s="0" t="n">
        <v>2.67537395111273</v>
      </c>
      <c r="AT39" s="0" t="s">
        <v>323</v>
      </c>
    </row>
    <row r="40" customFormat="false" ht="28.35" hidden="false" customHeight="false" outlineLevel="0" collapsed="false">
      <c r="A40" s="216" t="s">
        <v>358</v>
      </c>
      <c r="B40" s="217" t="n">
        <v>10404.4</v>
      </c>
      <c r="C40" s="241" t="n">
        <v>51</v>
      </c>
      <c r="D40" s="218" t="n">
        <v>98</v>
      </c>
      <c r="E40" s="219" t="n">
        <v>45810</v>
      </c>
      <c r="F40" s="217" t="n">
        <v>28660</v>
      </c>
      <c r="G40" s="217" t="n">
        <v>13690</v>
      </c>
      <c r="H40" s="220" t="n">
        <v>14970</v>
      </c>
      <c r="I40" s="217" t="n">
        <v>10404.4</v>
      </c>
      <c r="J40" s="216" t="s">
        <v>409</v>
      </c>
      <c r="K40" s="216" t="s">
        <v>252</v>
      </c>
      <c r="L40" s="216" t="s">
        <v>410</v>
      </c>
      <c r="M40" s="189" t="s">
        <v>553</v>
      </c>
      <c r="N40" s="216" t="s">
        <v>554</v>
      </c>
      <c r="O40" s="216" t="s">
        <v>555</v>
      </c>
      <c r="P40" s="216"/>
      <c r="Q40" s="216" t="s">
        <v>556</v>
      </c>
      <c r="R40" s="216" t="s">
        <v>557</v>
      </c>
      <c r="S40" s="216" t="s">
        <v>558</v>
      </c>
      <c r="T40" s="227" t="s">
        <v>416</v>
      </c>
      <c r="U40" s="195" t="str">
        <f aca="false">Таблица310[[#This Row],[Регистратор.Номенклатура]]</f>
        <v>Преладо</v>
      </c>
      <c r="V40" s="222" t="n">
        <f aca="false">27*Таблица310[[#This Row],[Регистратор.Вес нетто]]/137050</f>
        <v>2.69704487413353</v>
      </c>
      <c r="W40" s="216" t="s">
        <v>323</v>
      </c>
      <c r="X40" s="216" t="s">
        <v>52</v>
      </c>
      <c r="Y40" s="216" t="n">
        <v>3</v>
      </c>
      <c r="Z40" s="221" t="n">
        <v>45809</v>
      </c>
      <c r="AA40" s="198"/>
      <c r="AB40" s="198"/>
      <c r="AC40" s="198" t="s">
        <v>53</v>
      </c>
      <c r="AD40" s="198" t="s">
        <v>417</v>
      </c>
      <c r="AE40" s="198" t="n">
        <v>98</v>
      </c>
      <c r="AF40" s="200" t="n">
        <v>45810</v>
      </c>
      <c r="AG40" s="198" t="n">
        <v>65922</v>
      </c>
      <c r="AH40" s="198" t="n">
        <f aca="false">VLOOKUP(Таблица310[[#This Row],[№ акта]],'Степень зрелости 2025'!$H$13:$I$583,2,FALSE())</f>
        <v>51</v>
      </c>
      <c r="AI40" s="198" t="str">
        <f aca="false">VLOOKUP(Таблица310[[#This Row],[№ акта]],$AQ$1:$AT$594,2,FALSE())</f>
        <v> 2/4</v>
      </c>
      <c r="AJ40" s="198" t="str">
        <f aca="false">Таблица310[[#This Row],[Регистратор.Номенклатура]]</f>
        <v>Преладо</v>
      </c>
      <c r="AK40" s="198" t="str">
        <f aca="false">VLOOKUP(Таблица310[[#This Row],[№ акта]],$AQ$1:$AT$594,4,FALSE())</f>
        <v>Учхоз Кубань (богара)</v>
      </c>
      <c r="AL40" s="230" t="n">
        <f aca="false">VLOOKUP(Таблица310[[#This Row],[№ акта]],$AQ$1:$AT$594,3,FALSE())</f>
        <v>2.69704487413353</v>
      </c>
      <c r="AM40" s="198" t="str">
        <f aca="false">IF(Таблица310[[#This Row],[Площадь уборки, га]]=Таблица310[[#This Row],[Площадь уборки до корр]],"нет","да")</f>
        <v>нет</v>
      </c>
      <c r="AN40" s="230" t="n">
        <f aca="false">Таблица310[[#This Row],[Площадь уборки до корр]]-Таблица310[[#This Row],[Площадь уборки, га]]</f>
        <v>0</v>
      </c>
      <c r="AQ40" s="0" t="n">
        <v>98</v>
      </c>
      <c r="AR40" s="0" t="s">
        <v>416</v>
      </c>
      <c r="AS40" s="0" t="n">
        <v>2.69704487413353</v>
      </c>
      <c r="AT40" s="0" t="s">
        <v>323</v>
      </c>
    </row>
    <row r="41" customFormat="false" ht="37.3" hidden="false" customHeight="false" outlineLevel="0" collapsed="false">
      <c r="A41" s="198" t="s">
        <v>358</v>
      </c>
      <c r="B41" s="223" t="n">
        <v>7625.4</v>
      </c>
      <c r="C41" s="234" t="n">
        <v>52</v>
      </c>
      <c r="D41" s="224" t="n">
        <v>99</v>
      </c>
      <c r="E41" s="225" t="n">
        <v>45810</v>
      </c>
      <c r="F41" s="223" t="n">
        <v>24560</v>
      </c>
      <c r="G41" s="223" t="n">
        <v>10740</v>
      </c>
      <c r="H41" s="226" t="n">
        <v>13820</v>
      </c>
      <c r="I41" s="223" t="n">
        <v>7625.4</v>
      </c>
      <c r="J41" s="198" t="s">
        <v>422</v>
      </c>
      <c r="K41" s="198" t="s">
        <v>423</v>
      </c>
      <c r="L41" s="198" t="s">
        <v>133</v>
      </c>
      <c r="M41" s="189" t="s">
        <v>359</v>
      </c>
      <c r="N41" s="198" t="s">
        <v>559</v>
      </c>
      <c r="O41" s="198" t="s">
        <v>560</v>
      </c>
      <c r="P41" s="198"/>
      <c r="Q41" s="198" t="s">
        <v>561</v>
      </c>
      <c r="R41" s="198" t="s">
        <v>426</v>
      </c>
      <c r="S41" s="198" t="s">
        <v>562</v>
      </c>
      <c r="T41" s="198" t="s">
        <v>133</v>
      </c>
      <c r="U41" s="195" t="str">
        <f aca="false">Таблица310[[#This Row],[Регистратор.Номенклатура]]</f>
        <v>Оскар</v>
      </c>
      <c r="V41" s="222" t="n">
        <f aca="false">26*Таблица310[[#This Row],[Регистратор.Вес нетто]]/69140</f>
        <v>4.03876193231125</v>
      </c>
      <c r="W41" s="216" t="s">
        <v>324</v>
      </c>
      <c r="X41" s="198" t="s">
        <v>52</v>
      </c>
      <c r="Y41" s="198" t="n">
        <v>4</v>
      </c>
      <c r="Z41" s="221" t="n">
        <v>45809</v>
      </c>
      <c r="AA41" s="198"/>
      <c r="AB41" s="198"/>
      <c r="AC41" s="198" t="s">
        <v>53</v>
      </c>
      <c r="AD41" s="198" t="s">
        <v>417</v>
      </c>
      <c r="AE41" s="198" t="n">
        <v>99</v>
      </c>
      <c r="AF41" s="200" t="n">
        <v>45810</v>
      </c>
      <c r="AG41" s="198" t="n">
        <v>18</v>
      </c>
      <c r="AH41" s="198" t="n">
        <f aca="false">VLOOKUP(Таблица310[[#This Row],[№ акта]],'Степень зрелости 2025'!$H$13:$I$583,2,FALSE())</f>
        <v>52</v>
      </c>
      <c r="AI41" s="198" t="str">
        <f aca="false">VLOOKUP(Таблица310[[#This Row],[№ акта]],$AQ$1:$AT$594,2,FALSE())</f>
        <v>А-44</v>
      </c>
      <c r="AJ41" s="198" t="str">
        <f aca="false">Таблица310[[#This Row],[Регистратор.Номенклатура]]</f>
        <v>Оскар</v>
      </c>
      <c r="AK41" s="198" t="str">
        <f aca="false">VLOOKUP(Таблица310[[#This Row],[№ акта]],$AQ$1:$AT$594,4,FALSE())</f>
        <v>ГРК собственные семена (богара)</v>
      </c>
      <c r="AL41" s="230" t="n">
        <f aca="false">VLOOKUP(Таблица310[[#This Row],[№ акта]],$AQ$1:$AT$594,3,FALSE())</f>
        <v>4.03876193231125</v>
      </c>
      <c r="AM41" s="198" t="str">
        <f aca="false">IF(Таблица310[[#This Row],[Площадь уборки, га]]=Таблица310[[#This Row],[Площадь уборки до корр]],"нет","да")</f>
        <v>нет</v>
      </c>
      <c r="AN41" s="230" t="n">
        <f aca="false">Таблица310[[#This Row],[Площадь уборки до корр]]-Таблица310[[#This Row],[Площадь уборки, га]]</f>
        <v>0</v>
      </c>
      <c r="AQ41" s="0" t="n">
        <v>99</v>
      </c>
      <c r="AR41" s="0" t="s">
        <v>133</v>
      </c>
      <c r="AS41" s="0" t="n">
        <v>4.03876193231125</v>
      </c>
      <c r="AT41" s="0" t="s">
        <v>324</v>
      </c>
    </row>
    <row r="42" customFormat="false" ht="28.35" hidden="false" customHeight="false" outlineLevel="0" collapsed="false">
      <c r="A42" s="198" t="s">
        <v>358</v>
      </c>
      <c r="B42" s="223" t="n">
        <v>10252.5</v>
      </c>
      <c r="C42" s="234" t="n">
        <v>49</v>
      </c>
      <c r="D42" s="224" t="n">
        <v>100</v>
      </c>
      <c r="E42" s="225" t="n">
        <v>45810</v>
      </c>
      <c r="F42" s="223" t="n">
        <v>28060</v>
      </c>
      <c r="G42" s="223" t="n">
        <v>13670</v>
      </c>
      <c r="H42" s="226" t="n">
        <v>14390</v>
      </c>
      <c r="I42" s="223" t="n">
        <v>10252.5</v>
      </c>
      <c r="J42" s="198" t="s">
        <v>409</v>
      </c>
      <c r="K42" s="198" t="s">
        <v>252</v>
      </c>
      <c r="L42" s="198" t="s">
        <v>410</v>
      </c>
      <c r="M42" s="189" t="s">
        <v>395</v>
      </c>
      <c r="N42" s="198" t="s">
        <v>563</v>
      </c>
      <c r="O42" s="198" t="s">
        <v>564</v>
      </c>
      <c r="P42" s="198"/>
      <c r="Q42" s="198" t="s">
        <v>565</v>
      </c>
      <c r="R42" s="198" t="s">
        <v>566</v>
      </c>
      <c r="S42" s="198" t="s">
        <v>567</v>
      </c>
      <c r="T42" s="228" t="s">
        <v>416</v>
      </c>
      <c r="U42" s="195" t="str">
        <f aca="false">Таблица310[[#This Row],[Регистратор.Номенклатура]]</f>
        <v>Преладо</v>
      </c>
      <c r="V42" s="230" t="n">
        <f aca="false">10*Таблица310[[#This Row],[Регистратор.Вес нетто]]/54770</f>
        <v>2.49589191163045</v>
      </c>
      <c r="W42" s="198" t="s">
        <v>323</v>
      </c>
      <c r="X42" s="198" t="s">
        <v>52</v>
      </c>
      <c r="Y42" s="198" t="n">
        <v>4</v>
      </c>
      <c r="Z42" s="221" t="n">
        <v>45810</v>
      </c>
      <c r="AA42" s="198"/>
      <c r="AB42" s="198"/>
      <c r="AC42" s="198" t="s">
        <v>53</v>
      </c>
      <c r="AD42" s="198" t="s">
        <v>417</v>
      </c>
      <c r="AE42" s="198" t="n">
        <v>100</v>
      </c>
      <c r="AF42" s="200" t="n">
        <v>45810</v>
      </c>
      <c r="AG42" s="198" t="n">
        <v>65923</v>
      </c>
      <c r="AH42" s="198" t="n">
        <f aca="false">VLOOKUP(Таблица310[[#This Row],[№ акта]],'Степень зрелости 2025'!$H$13:$I$583,2,FALSE())</f>
        <v>49</v>
      </c>
      <c r="AI42" s="198" t="str">
        <f aca="false">VLOOKUP(Таблица310[[#This Row],[№ акта]],$AQ$1:$AT$594,2,FALSE())</f>
        <v> 2/4</v>
      </c>
      <c r="AJ42" s="198" t="str">
        <f aca="false">Таблица310[[#This Row],[Регистратор.Номенклатура]]</f>
        <v>Преладо</v>
      </c>
      <c r="AK42" s="198" t="str">
        <f aca="false">VLOOKUP(Таблица310[[#This Row],[№ акта]],$AQ$1:$AT$594,4,FALSE())</f>
        <v>Учхоз Кубань (богара)</v>
      </c>
      <c r="AL42" s="230" t="n">
        <f aca="false">VLOOKUP(Таблица310[[#This Row],[№ акта]],$AQ$1:$AT$594,3,FALSE())</f>
        <v>2.49589191163045</v>
      </c>
      <c r="AM42" s="198" t="str">
        <f aca="false">IF(Таблица310[[#This Row],[Площадь уборки, га]]=Таблица310[[#This Row],[Площадь уборки до корр]],"нет","да")</f>
        <v>нет</v>
      </c>
      <c r="AN42" s="230" t="n">
        <f aca="false">Таблица310[[#This Row],[Площадь уборки до корр]]-Таблица310[[#This Row],[Площадь уборки, га]]</f>
        <v>0</v>
      </c>
      <c r="AQ42" s="0" t="n">
        <v>100</v>
      </c>
      <c r="AR42" s="0" t="s">
        <v>416</v>
      </c>
      <c r="AS42" s="0" t="n">
        <v>2.49589191163045</v>
      </c>
      <c r="AT42" s="0" t="s">
        <v>323</v>
      </c>
    </row>
    <row r="43" customFormat="false" ht="28.35" hidden="false" customHeight="false" outlineLevel="0" collapsed="false">
      <c r="A43" s="198" t="s">
        <v>358</v>
      </c>
      <c r="B43" s="223" t="n">
        <v>10273.5</v>
      </c>
      <c r="C43" s="234" t="n">
        <v>52</v>
      </c>
      <c r="D43" s="224" t="n">
        <v>101</v>
      </c>
      <c r="E43" s="225" t="n">
        <v>45810</v>
      </c>
      <c r="F43" s="223" t="n">
        <v>28740</v>
      </c>
      <c r="G43" s="223" t="n">
        <v>13790</v>
      </c>
      <c r="H43" s="226" t="n">
        <v>14950</v>
      </c>
      <c r="I43" s="223" t="n">
        <v>10273.5</v>
      </c>
      <c r="J43" s="198" t="s">
        <v>409</v>
      </c>
      <c r="K43" s="198" t="s">
        <v>252</v>
      </c>
      <c r="L43" s="198" t="s">
        <v>410</v>
      </c>
      <c r="M43" s="189" t="s">
        <v>48</v>
      </c>
      <c r="N43" s="198" t="s">
        <v>568</v>
      </c>
      <c r="O43" s="198" t="s">
        <v>569</v>
      </c>
      <c r="P43" s="198"/>
      <c r="Q43" s="198" t="s">
        <v>570</v>
      </c>
      <c r="R43" s="198" t="s">
        <v>49</v>
      </c>
      <c r="S43" s="198" t="s">
        <v>571</v>
      </c>
      <c r="T43" s="228" t="s">
        <v>416</v>
      </c>
      <c r="U43" s="195" t="str">
        <f aca="false">Таблица310[[#This Row],[Регистратор.Номенклатура]]</f>
        <v>Преладо</v>
      </c>
      <c r="V43" s="230" t="n">
        <f aca="false">10*Таблица310[[#This Row],[Регистратор.Вес нетто]]/54770</f>
        <v>2.51780171626803</v>
      </c>
      <c r="W43" s="198" t="s">
        <v>323</v>
      </c>
      <c r="X43" s="198" t="s">
        <v>52</v>
      </c>
      <c r="Y43" s="198" t="n">
        <v>4</v>
      </c>
      <c r="Z43" s="221" t="n">
        <v>45810</v>
      </c>
      <c r="AA43" s="198"/>
      <c r="AB43" s="198"/>
      <c r="AC43" s="198" t="s">
        <v>302</v>
      </c>
      <c r="AD43" s="198" t="s">
        <v>417</v>
      </c>
      <c r="AE43" s="198" t="n">
        <v>101</v>
      </c>
      <c r="AF43" s="200" t="n">
        <v>45810</v>
      </c>
      <c r="AG43" s="198" t="n">
        <v>65924</v>
      </c>
      <c r="AH43" s="198" t="n">
        <f aca="false">VLOOKUP(Таблица310[[#This Row],[№ акта]],'Степень зрелости 2025'!$H$13:$I$583,2,FALSE())</f>
        <v>52</v>
      </c>
      <c r="AI43" s="198" t="str">
        <f aca="false">VLOOKUP(Таблица310[[#This Row],[№ акта]],$AQ$1:$AT$594,2,FALSE())</f>
        <v> 2/4</v>
      </c>
      <c r="AJ43" s="198" t="str">
        <f aca="false">Таблица310[[#This Row],[Регистратор.Номенклатура]]</f>
        <v>Преладо</v>
      </c>
      <c r="AK43" s="198" t="str">
        <f aca="false">VLOOKUP(Таблица310[[#This Row],[№ акта]],$AQ$1:$AT$594,4,FALSE())</f>
        <v>Учхоз Кубань (богара)</v>
      </c>
      <c r="AL43" s="230" t="n">
        <f aca="false">VLOOKUP(Таблица310[[#This Row],[№ акта]],$AQ$1:$AT$594,3,FALSE())</f>
        <v>2.51780171626803</v>
      </c>
      <c r="AM43" s="198" t="str">
        <f aca="false">IF(Таблица310[[#This Row],[Площадь уборки, га]]=Таблица310[[#This Row],[Площадь уборки до корр]],"нет","да")</f>
        <v>нет</v>
      </c>
      <c r="AN43" s="230" t="n">
        <f aca="false">Таблица310[[#This Row],[Площадь уборки до корр]]-Таблица310[[#This Row],[Площадь уборки, га]]</f>
        <v>0</v>
      </c>
      <c r="AQ43" s="0" t="n">
        <v>101</v>
      </c>
      <c r="AR43" s="0" t="s">
        <v>416</v>
      </c>
      <c r="AS43" s="0" t="n">
        <v>2.51780171626803</v>
      </c>
      <c r="AT43" s="0" t="s">
        <v>323</v>
      </c>
    </row>
    <row r="44" customFormat="false" ht="37.3" hidden="false" customHeight="false" outlineLevel="0" collapsed="false">
      <c r="A44" s="198" t="s">
        <v>358</v>
      </c>
      <c r="B44" s="223" t="n">
        <v>9796</v>
      </c>
      <c r="C44" s="234" t="n">
        <v>50</v>
      </c>
      <c r="D44" s="224" t="n">
        <v>102</v>
      </c>
      <c r="E44" s="225" t="n">
        <v>45810</v>
      </c>
      <c r="F44" s="223" t="n">
        <v>26590</v>
      </c>
      <c r="G44" s="223" t="n">
        <v>12400</v>
      </c>
      <c r="H44" s="226" t="n">
        <v>14190</v>
      </c>
      <c r="I44" s="223" t="n">
        <v>9796</v>
      </c>
      <c r="J44" s="198" t="s">
        <v>422</v>
      </c>
      <c r="K44" s="198" t="s">
        <v>423</v>
      </c>
      <c r="L44" s="198" t="s">
        <v>133</v>
      </c>
      <c r="M44" s="189" t="s">
        <v>411</v>
      </c>
      <c r="N44" s="198" t="s">
        <v>572</v>
      </c>
      <c r="O44" s="198" t="s">
        <v>573</v>
      </c>
      <c r="P44" s="198"/>
      <c r="Q44" s="198" t="s">
        <v>574</v>
      </c>
      <c r="R44" s="198" t="s">
        <v>381</v>
      </c>
      <c r="S44" s="198" t="s">
        <v>415</v>
      </c>
      <c r="T44" s="198" t="s">
        <v>133</v>
      </c>
      <c r="U44" s="195" t="str">
        <f aca="false">Таблица310[[#This Row],[Регистратор.Номенклатура]]</f>
        <v>Оскар</v>
      </c>
      <c r="V44" s="230" t="n">
        <f aca="false">18*Таблица310[[#This Row],[Регистратор.Вес нетто]]/72040</f>
        <v>3.09827873403665</v>
      </c>
      <c r="W44" s="216" t="s">
        <v>324</v>
      </c>
      <c r="X44" s="198" t="s">
        <v>52</v>
      </c>
      <c r="Y44" s="198" t="n">
        <v>5</v>
      </c>
      <c r="Z44" s="221" t="n">
        <v>45810</v>
      </c>
      <c r="AA44" s="198"/>
      <c r="AB44" s="198"/>
      <c r="AC44" s="198" t="s">
        <v>53</v>
      </c>
      <c r="AD44" s="198" t="s">
        <v>417</v>
      </c>
      <c r="AE44" s="198" t="n">
        <v>102</v>
      </c>
      <c r="AF44" s="200" t="n">
        <v>45810</v>
      </c>
      <c r="AG44" s="198" t="n">
        <v>19</v>
      </c>
      <c r="AH44" s="198" t="n">
        <f aca="false">VLOOKUP(Таблица310[[#This Row],[№ акта]],'Степень зрелости 2025'!$H$13:$I$583,2,FALSE())</f>
        <v>50</v>
      </c>
      <c r="AI44" s="198" t="str">
        <f aca="false">VLOOKUP(Таблица310[[#This Row],[№ акта]],$AQ$1:$AT$594,2,FALSE())</f>
        <v>А-44</v>
      </c>
      <c r="AJ44" s="198" t="str">
        <f aca="false">Таблица310[[#This Row],[Регистратор.Номенклатура]]</f>
        <v>Оскар</v>
      </c>
      <c r="AK44" s="198" t="str">
        <f aca="false">VLOOKUP(Таблица310[[#This Row],[№ акта]],$AQ$1:$AT$594,4,FALSE())</f>
        <v>ГРК собственные семена (богара)</v>
      </c>
      <c r="AL44" s="230" t="n">
        <f aca="false">VLOOKUP(Таблица310[[#This Row],[№ акта]],$AQ$1:$AT$594,3,FALSE())</f>
        <v>3.09827873403665</v>
      </c>
      <c r="AM44" s="198" t="str">
        <f aca="false">IF(Таблица310[[#This Row],[Площадь уборки, га]]=Таблица310[[#This Row],[Площадь уборки до корр]],"нет","да")</f>
        <v>нет</v>
      </c>
      <c r="AN44" s="230" t="n">
        <f aca="false">Таблица310[[#This Row],[Площадь уборки до корр]]-Таблица310[[#This Row],[Площадь уборки, га]]</f>
        <v>0</v>
      </c>
      <c r="AQ44" s="0" t="n">
        <v>102</v>
      </c>
      <c r="AR44" s="0" t="s">
        <v>133</v>
      </c>
      <c r="AS44" s="0" t="n">
        <v>3.09827873403665</v>
      </c>
      <c r="AT44" s="0" t="s">
        <v>324</v>
      </c>
    </row>
    <row r="45" customFormat="false" ht="28.35" hidden="false" customHeight="false" outlineLevel="0" collapsed="false">
      <c r="A45" s="198" t="s">
        <v>358</v>
      </c>
      <c r="B45" s="223" t="n">
        <v>10564.6</v>
      </c>
      <c r="C45" s="234" t="n">
        <v>49</v>
      </c>
      <c r="D45" s="224" t="n">
        <v>103</v>
      </c>
      <c r="E45" s="225" t="n">
        <v>45810</v>
      </c>
      <c r="F45" s="223" t="n">
        <v>28190</v>
      </c>
      <c r="G45" s="223" t="n">
        <v>13810</v>
      </c>
      <c r="H45" s="226" t="n">
        <v>14380</v>
      </c>
      <c r="I45" s="223" t="n">
        <v>10564.6</v>
      </c>
      <c r="J45" s="198" t="s">
        <v>409</v>
      </c>
      <c r="K45" s="198" t="s">
        <v>252</v>
      </c>
      <c r="L45" s="198" t="s">
        <v>410</v>
      </c>
      <c r="M45" s="189" t="s">
        <v>384</v>
      </c>
      <c r="N45" s="198" t="s">
        <v>575</v>
      </c>
      <c r="O45" s="198" t="s">
        <v>576</v>
      </c>
      <c r="P45" s="198"/>
      <c r="Q45" s="198" t="s">
        <v>577</v>
      </c>
      <c r="R45" s="198" t="s">
        <v>385</v>
      </c>
      <c r="S45" s="198" t="s">
        <v>578</v>
      </c>
      <c r="T45" s="228" t="s">
        <v>416</v>
      </c>
      <c r="U45" s="195" t="str">
        <f aca="false">Таблица310[[#This Row],[Регистратор.Номенклатура]]</f>
        <v>Преладо</v>
      </c>
      <c r="V45" s="230" t="n">
        <f aca="false">10*Таблица310[[#This Row],[Регистратор.Вес нетто]]/54770</f>
        <v>2.52145335037429</v>
      </c>
      <c r="W45" s="198" t="s">
        <v>323</v>
      </c>
      <c r="X45" s="198" t="s">
        <v>52</v>
      </c>
      <c r="Y45" s="198" t="n">
        <v>4</v>
      </c>
      <c r="Z45" s="221" t="n">
        <v>45810</v>
      </c>
      <c r="AA45" s="198"/>
      <c r="AB45" s="198" t="s">
        <v>579</v>
      </c>
      <c r="AC45" s="198" t="s">
        <v>53</v>
      </c>
      <c r="AD45" s="198" t="s">
        <v>417</v>
      </c>
      <c r="AE45" s="198" t="n">
        <v>103</v>
      </c>
      <c r="AF45" s="200" t="n">
        <v>45810</v>
      </c>
      <c r="AG45" s="198" t="n">
        <v>65927</v>
      </c>
      <c r="AH45" s="198" t="n">
        <f aca="false">VLOOKUP(Таблица310[[#This Row],[№ акта]],'Степень зрелости 2025'!$H$13:$I$583,2,FALSE())</f>
        <v>49</v>
      </c>
      <c r="AI45" s="198" t="str">
        <f aca="false">VLOOKUP(Таблица310[[#This Row],[№ акта]],$AQ$1:$AT$594,2,FALSE())</f>
        <v> 2/4</v>
      </c>
      <c r="AJ45" s="198" t="str">
        <f aca="false">Таблица310[[#This Row],[Регистратор.Номенклатура]]</f>
        <v>Преладо</v>
      </c>
      <c r="AK45" s="198" t="str">
        <f aca="false">VLOOKUP(Таблица310[[#This Row],[№ акта]],$AQ$1:$AT$594,4,FALSE())</f>
        <v>Учхоз Кубань (богара)</v>
      </c>
      <c r="AL45" s="230" t="n">
        <f aca="false">VLOOKUP(Таблица310[[#This Row],[№ акта]],$AQ$1:$AT$594,3,FALSE())</f>
        <v>2.52145335037429</v>
      </c>
      <c r="AM45" s="198" t="str">
        <f aca="false">IF(Таблица310[[#This Row],[Площадь уборки, га]]=Таблица310[[#This Row],[Площадь уборки до корр]],"нет","да")</f>
        <v>нет</v>
      </c>
      <c r="AN45" s="230" t="n">
        <f aca="false">Таблица310[[#This Row],[Площадь уборки до корр]]-Таблица310[[#This Row],[Площадь уборки, га]]</f>
        <v>0</v>
      </c>
      <c r="AQ45" s="0" t="n">
        <v>103</v>
      </c>
      <c r="AR45" s="0" t="s">
        <v>416</v>
      </c>
      <c r="AS45" s="0" t="n">
        <v>2.52145335037429</v>
      </c>
      <c r="AT45" s="0" t="s">
        <v>323</v>
      </c>
    </row>
    <row r="46" customFormat="false" ht="28.35" hidden="false" customHeight="false" outlineLevel="0" collapsed="false">
      <c r="A46" s="198" t="s">
        <v>358</v>
      </c>
      <c r="B46" s="223" t="n">
        <v>10462.5</v>
      </c>
      <c r="C46" s="234" t="n">
        <v>52</v>
      </c>
      <c r="D46" s="224" t="n">
        <v>104</v>
      </c>
      <c r="E46" s="225" t="n">
        <v>45810</v>
      </c>
      <c r="F46" s="223" t="n">
        <v>28300</v>
      </c>
      <c r="G46" s="223" t="n">
        <v>13500</v>
      </c>
      <c r="H46" s="226" t="n">
        <v>14800</v>
      </c>
      <c r="I46" s="223" t="n">
        <v>10462.5</v>
      </c>
      <c r="J46" s="198" t="s">
        <v>409</v>
      </c>
      <c r="K46" s="198" t="s">
        <v>252</v>
      </c>
      <c r="L46" s="198" t="s">
        <v>410</v>
      </c>
      <c r="M46" s="189" t="s">
        <v>361</v>
      </c>
      <c r="N46" s="198" t="s">
        <v>580</v>
      </c>
      <c r="O46" s="198" t="s">
        <v>581</v>
      </c>
      <c r="P46" s="198"/>
      <c r="Q46" s="198" t="s">
        <v>582</v>
      </c>
      <c r="R46" s="198" t="s">
        <v>362</v>
      </c>
      <c r="S46" s="198" t="s">
        <v>583</v>
      </c>
      <c r="T46" s="228" t="s">
        <v>416</v>
      </c>
      <c r="U46" s="195" t="str">
        <f aca="false">Таблица310[[#This Row],[Регистратор.Номенклатура]]</f>
        <v>Преладо</v>
      </c>
      <c r="V46" s="230" t="n">
        <f aca="false">10*Таблица310[[#This Row],[Регистратор.Вес нетто]]/54770</f>
        <v>2.46485302172722</v>
      </c>
      <c r="W46" s="198" t="s">
        <v>323</v>
      </c>
      <c r="X46" s="198" t="s">
        <v>52</v>
      </c>
      <c r="Y46" s="198" t="n">
        <v>4</v>
      </c>
      <c r="Z46" s="221" t="n">
        <v>45810</v>
      </c>
      <c r="AA46" s="198"/>
      <c r="AB46" s="198"/>
      <c r="AC46" s="198" t="s">
        <v>53</v>
      </c>
      <c r="AD46" s="198" t="s">
        <v>417</v>
      </c>
      <c r="AE46" s="198" t="n">
        <v>104</v>
      </c>
      <c r="AF46" s="200" t="n">
        <v>45810</v>
      </c>
      <c r="AG46" s="198" t="n">
        <v>65928</v>
      </c>
      <c r="AH46" s="198" t="n">
        <f aca="false">VLOOKUP(Таблица310[[#This Row],[№ акта]],'Степень зрелости 2025'!$H$13:$I$583,2,FALSE())</f>
        <v>52</v>
      </c>
      <c r="AI46" s="198" t="str">
        <f aca="false">VLOOKUP(Таблица310[[#This Row],[№ акта]],$AQ$1:$AT$594,2,FALSE())</f>
        <v> 2/4</v>
      </c>
      <c r="AJ46" s="198" t="str">
        <f aca="false">Таблица310[[#This Row],[Регистратор.Номенклатура]]</f>
        <v>Преладо</v>
      </c>
      <c r="AK46" s="198" t="str">
        <f aca="false">VLOOKUP(Таблица310[[#This Row],[№ акта]],$AQ$1:$AT$594,4,FALSE())</f>
        <v>Учхоз Кубань (богара)</v>
      </c>
      <c r="AL46" s="230" t="n">
        <f aca="false">VLOOKUP(Таблица310[[#This Row],[№ акта]],$AQ$1:$AT$594,3,FALSE())</f>
        <v>2.46485302172722</v>
      </c>
      <c r="AM46" s="198" t="str">
        <f aca="false">IF(Таблица310[[#This Row],[Площадь уборки, га]]=Таблица310[[#This Row],[Площадь уборки до корр]],"нет","да")</f>
        <v>нет</v>
      </c>
      <c r="AN46" s="230" t="n">
        <f aca="false">Таблица310[[#This Row],[Площадь уборки до корр]]-Таблица310[[#This Row],[Площадь уборки, га]]</f>
        <v>0</v>
      </c>
      <c r="AQ46" s="0" t="n">
        <v>104</v>
      </c>
      <c r="AR46" s="0" t="s">
        <v>416</v>
      </c>
      <c r="AS46" s="0" t="n">
        <v>2.46485302172722</v>
      </c>
      <c r="AT46" s="0" t="s">
        <v>323</v>
      </c>
    </row>
    <row r="47" customFormat="false" ht="28.35" hidden="false" customHeight="false" outlineLevel="0" collapsed="false">
      <c r="A47" s="198" t="s">
        <v>358</v>
      </c>
      <c r="B47" s="223" t="n">
        <v>10542.5</v>
      </c>
      <c r="C47" s="234" t="n">
        <v>49</v>
      </c>
      <c r="D47" s="224" t="n">
        <v>105</v>
      </c>
      <c r="E47" s="225" t="n">
        <v>45810</v>
      </c>
      <c r="F47" s="223" t="n">
        <v>28400</v>
      </c>
      <c r="G47" s="223" t="n">
        <v>13430</v>
      </c>
      <c r="H47" s="226" t="n">
        <v>14970</v>
      </c>
      <c r="I47" s="223" t="n">
        <v>10542.5</v>
      </c>
      <c r="J47" s="198" t="s">
        <v>409</v>
      </c>
      <c r="K47" s="198" t="s">
        <v>584</v>
      </c>
      <c r="L47" s="198" t="s">
        <v>410</v>
      </c>
      <c r="M47" s="189" t="s">
        <v>371</v>
      </c>
      <c r="N47" s="198" t="s">
        <v>585</v>
      </c>
      <c r="O47" s="198" t="s">
        <v>586</v>
      </c>
      <c r="P47" s="198"/>
      <c r="Q47" s="198" t="s">
        <v>587</v>
      </c>
      <c r="R47" s="198" t="s">
        <v>372</v>
      </c>
      <c r="S47" s="198" t="s">
        <v>588</v>
      </c>
      <c r="T47" s="228" t="s">
        <v>416</v>
      </c>
      <c r="U47" s="195" t="str">
        <f aca="false">Таблица310[[#This Row],[Регистратор.Номенклатура]]</f>
        <v>Изюминка</v>
      </c>
      <c r="V47" s="230" t="n">
        <f aca="false">12*Таблица310[[#This Row],[Регистратор.Вес нетто]]/71490</f>
        <v>2.25430130088124</v>
      </c>
      <c r="W47" s="198" t="s">
        <v>323</v>
      </c>
      <c r="X47" s="198" t="s">
        <v>52</v>
      </c>
      <c r="Y47" s="198" t="n">
        <v>4</v>
      </c>
      <c r="Z47" s="221" t="n">
        <v>45810</v>
      </c>
      <c r="AA47" s="198"/>
      <c r="AB47" s="198"/>
      <c r="AC47" s="198" t="s">
        <v>53</v>
      </c>
      <c r="AD47" s="198" t="s">
        <v>417</v>
      </c>
      <c r="AE47" s="198" t="n">
        <v>105</v>
      </c>
      <c r="AF47" s="200" t="n">
        <v>45810</v>
      </c>
      <c r="AG47" s="198" t="n">
        <v>65929</v>
      </c>
      <c r="AH47" s="198" t="n">
        <f aca="false">VLOOKUP(Таблица310[[#This Row],[№ акта]],'Степень зрелости 2025'!$H$13:$I$583,2,FALSE())</f>
        <v>49</v>
      </c>
      <c r="AI47" s="198" t="str">
        <f aca="false">VLOOKUP(Таблица310[[#This Row],[№ акта]],$AQ$1:$AT$594,2,FALSE())</f>
        <v> 2/4</v>
      </c>
      <c r="AJ47" s="198" t="str">
        <f aca="false">Таблица310[[#This Row],[Регистратор.Номенклатура]]</f>
        <v>Изюминка</v>
      </c>
      <c r="AK47" s="198" t="str">
        <f aca="false">VLOOKUP(Таблица310[[#This Row],[№ акта]],$AQ$1:$AT$594,4,FALSE())</f>
        <v>Учхоз Кубань (богара)</v>
      </c>
      <c r="AL47" s="230" t="n">
        <f aca="false">VLOOKUP(Таблица310[[#This Row],[№ акта]],$AQ$1:$AT$594,3,FALSE())</f>
        <v>2.25430130088124</v>
      </c>
      <c r="AM47" s="198" t="str">
        <f aca="false">IF(Таблица310[[#This Row],[Площадь уборки, га]]=Таблица310[[#This Row],[Площадь уборки до корр]],"нет","да")</f>
        <v>нет</v>
      </c>
      <c r="AN47" s="230" t="n">
        <f aca="false">Таблица310[[#This Row],[Площадь уборки до корр]]-Таблица310[[#This Row],[Площадь уборки, га]]</f>
        <v>0</v>
      </c>
      <c r="AQ47" s="0" t="n">
        <v>105</v>
      </c>
      <c r="AR47" s="0" t="s">
        <v>416</v>
      </c>
      <c r="AS47" s="0" t="n">
        <v>2.25430130088124</v>
      </c>
      <c r="AT47" s="0" t="s">
        <v>323</v>
      </c>
    </row>
    <row r="48" customFormat="false" ht="28.35" hidden="false" customHeight="false" outlineLevel="0" collapsed="false">
      <c r="A48" s="198" t="s">
        <v>358</v>
      </c>
      <c r="B48" s="223" t="n">
        <v>10625.5</v>
      </c>
      <c r="C48" s="234" t="n">
        <v>56</v>
      </c>
      <c r="D48" s="224" t="n">
        <v>106</v>
      </c>
      <c r="E48" s="225" t="n">
        <v>45810</v>
      </c>
      <c r="F48" s="223" t="n">
        <v>32140</v>
      </c>
      <c r="G48" s="223" t="n">
        <v>13450</v>
      </c>
      <c r="H48" s="226" t="n">
        <v>18690</v>
      </c>
      <c r="I48" s="223" t="n">
        <v>10625.5</v>
      </c>
      <c r="J48" s="198" t="s">
        <v>409</v>
      </c>
      <c r="K48" s="198" t="s">
        <v>584</v>
      </c>
      <c r="L48" s="198" t="s">
        <v>410</v>
      </c>
      <c r="M48" s="189" t="s">
        <v>365</v>
      </c>
      <c r="N48" s="198" t="s">
        <v>589</v>
      </c>
      <c r="O48" s="198" t="s">
        <v>590</v>
      </c>
      <c r="P48" s="198"/>
      <c r="Q48" s="198" t="s">
        <v>591</v>
      </c>
      <c r="R48" s="198" t="s">
        <v>373</v>
      </c>
      <c r="S48" s="198" t="s">
        <v>592</v>
      </c>
      <c r="T48" s="228" t="s">
        <v>416</v>
      </c>
      <c r="U48" s="195" t="str">
        <f aca="false">Таблица310[[#This Row],[Регистратор.Номенклатура]]</f>
        <v>Изюминка</v>
      </c>
      <c r="V48" s="230" t="n">
        <f aca="false">12*Таблица310[[#This Row],[Регистратор.Вес нетто]]/71490</f>
        <v>2.25765841376416</v>
      </c>
      <c r="W48" s="198" t="s">
        <v>323</v>
      </c>
      <c r="X48" s="198" t="s">
        <v>52</v>
      </c>
      <c r="Y48" s="198" t="n">
        <v>4</v>
      </c>
      <c r="Z48" s="221" t="n">
        <v>45810</v>
      </c>
      <c r="AA48" s="198"/>
      <c r="AB48" s="198"/>
      <c r="AC48" s="198" t="s">
        <v>302</v>
      </c>
      <c r="AD48" s="198" t="s">
        <v>417</v>
      </c>
      <c r="AE48" s="198" t="n">
        <v>106</v>
      </c>
      <c r="AF48" s="200" t="n">
        <v>45810</v>
      </c>
      <c r="AG48" s="198" t="n">
        <v>65940</v>
      </c>
      <c r="AH48" s="198" t="n">
        <f aca="false">VLOOKUP(Таблица310[[#This Row],[№ акта]],'Степень зрелости 2025'!$H$13:$I$583,2,FALSE())</f>
        <v>56</v>
      </c>
      <c r="AI48" s="198" t="str">
        <f aca="false">VLOOKUP(Таблица310[[#This Row],[№ акта]],$AQ$1:$AT$594,2,FALSE())</f>
        <v> 2/4</v>
      </c>
      <c r="AJ48" s="198" t="str">
        <f aca="false">Таблица310[[#This Row],[Регистратор.Номенклатура]]</f>
        <v>Изюминка</v>
      </c>
      <c r="AK48" s="198" t="str">
        <f aca="false">VLOOKUP(Таблица310[[#This Row],[№ акта]],$AQ$1:$AT$594,4,FALSE())</f>
        <v>Учхоз Кубань (богара)</v>
      </c>
      <c r="AL48" s="230" t="n">
        <f aca="false">VLOOKUP(Таблица310[[#This Row],[№ акта]],$AQ$1:$AT$594,3,FALSE())</f>
        <v>2.25765841376416</v>
      </c>
      <c r="AM48" s="198" t="str">
        <f aca="false">IF(Таблица310[[#This Row],[Площадь уборки, га]]=Таблица310[[#This Row],[Площадь уборки до корр]],"нет","да")</f>
        <v>нет</v>
      </c>
      <c r="AN48" s="230" t="n">
        <f aca="false">Таблица310[[#This Row],[Площадь уборки до корр]]-Таблица310[[#This Row],[Площадь уборки, га]]</f>
        <v>0</v>
      </c>
      <c r="AQ48" s="0" t="n">
        <v>106</v>
      </c>
      <c r="AR48" s="0" t="s">
        <v>416</v>
      </c>
      <c r="AS48" s="0" t="n">
        <v>2.25765841376416</v>
      </c>
      <c r="AT48" s="0" t="s">
        <v>323</v>
      </c>
    </row>
    <row r="49" customFormat="false" ht="28.35" hidden="false" customHeight="false" outlineLevel="0" collapsed="false">
      <c r="A49" s="198" t="s">
        <v>358</v>
      </c>
      <c r="B49" s="223" t="n">
        <v>11246.9</v>
      </c>
      <c r="C49" s="234" t="n">
        <v>56</v>
      </c>
      <c r="D49" s="224" t="n">
        <v>107</v>
      </c>
      <c r="E49" s="225" t="n">
        <v>45810</v>
      </c>
      <c r="F49" s="223" t="n">
        <v>28920</v>
      </c>
      <c r="G49" s="223" t="n">
        <v>13310</v>
      </c>
      <c r="H49" s="226" t="n">
        <v>15610</v>
      </c>
      <c r="I49" s="223" t="n">
        <v>11246.9</v>
      </c>
      <c r="J49" s="198" t="s">
        <v>409</v>
      </c>
      <c r="K49" s="198" t="s">
        <v>584</v>
      </c>
      <c r="L49" s="198" t="s">
        <v>410</v>
      </c>
      <c r="M49" s="189" t="s">
        <v>445</v>
      </c>
      <c r="N49" s="198" t="s">
        <v>593</v>
      </c>
      <c r="O49" s="198" t="s">
        <v>594</v>
      </c>
      <c r="P49" s="198"/>
      <c r="Q49" s="198" t="s">
        <v>595</v>
      </c>
      <c r="R49" s="198" t="s">
        <v>449</v>
      </c>
      <c r="S49" s="198" t="s">
        <v>450</v>
      </c>
      <c r="T49" s="228" t="s">
        <v>416</v>
      </c>
      <c r="U49" s="195" t="str">
        <f aca="false">Таблица310[[#This Row],[Регистратор.Номенклатура]]</f>
        <v>Изюминка</v>
      </c>
      <c r="V49" s="230" t="n">
        <f aca="false">12*Таблица310[[#This Row],[Регистратор.Вес нетто]]/71490</f>
        <v>2.23415862358372</v>
      </c>
      <c r="W49" s="198" t="s">
        <v>323</v>
      </c>
      <c r="X49" s="198" t="s">
        <v>52</v>
      </c>
      <c r="Y49" s="198" t="n">
        <v>4</v>
      </c>
      <c r="Z49" s="221" t="n">
        <v>45810</v>
      </c>
      <c r="AA49" s="198"/>
      <c r="AB49" s="198"/>
      <c r="AC49" s="198" t="s">
        <v>302</v>
      </c>
      <c r="AD49" s="198" t="s">
        <v>417</v>
      </c>
      <c r="AE49" s="198" t="n">
        <v>107</v>
      </c>
      <c r="AF49" s="200" t="n">
        <v>45810</v>
      </c>
      <c r="AG49" s="198" t="n">
        <v>65925</v>
      </c>
      <c r="AH49" s="198" t="n">
        <f aca="false">VLOOKUP(Таблица310[[#This Row],[№ акта]],'Степень зрелости 2025'!$H$13:$I$583,2,FALSE())</f>
        <v>56</v>
      </c>
      <c r="AI49" s="198" t="str">
        <f aca="false">VLOOKUP(Таблица310[[#This Row],[№ акта]],$AQ$1:$AT$594,2,FALSE())</f>
        <v> 2/4</v>
      </c>
      <c r="AJ49" s="198" t="str">
        <f aca="false">Таблица310[[#This Row],[Регистратор.Номенклатура]]</f>
        <v>Изюминка</v>
      </c>
      <c r="AK49" s="198" t="str">
        <f aca="false">VLOOKUP(Таблица310[[#This Row],[№ акта]],$AQ$1:$AT$594,4,FALSE())</f>
        <v>Учхоз Кубань (богара)</v>
      </c>
      <c r="AL49" s="230" t="n">
        <f aca="false">VLOOKUP(Таблица310[[#This Row],[№ акта]],$AQ$1:$AT$594,3,FALSE())</f>
        <v>2.23415862358372</v>
      </c>
      <c r="AM49" s="198" t="str">
        <f aca="false">IF(Таблица310[[#This Row],[Площадь уборки, га]]=Таблица310[[#This Row],[Площадь уборки до корр]],"нет","да")</f>
        <v>нет</v>
      </c>
      <c r="AN49" s="230" t="n">
        <f aca="false">Таблица310[[#This Row],[Площадь уборки до корр]]-Таблица310[[#This Row],[Площадь уборки, га]]</f>
        <v>0</v>
      </c>
      <c r="AQ49" s="0" t="n">
        <v>107</v>
      </c>
      <c r="AR49" s="0" t="s">
        <v>416</v>
      </c>
      <c r="AS49" s="0" t="n">
        <v>2.23415862358372</v>
      </c>
      <c r="AT49" s="0" t="s">
        <v>323</v>
      </c>
    </row>
    <row r="50" customFormat="false" ht="37.3" hidden="false" customHeight="false" outlineLevel="0" collapsed="false">
      <c r="A50" s="198" t="s">
        <v>358</v>
      </c>
      <c r="B50" s="223" t="n">
        <v>7714.8</v>
      </c>
      <c r="C50" s="234" t="n">
        <v>55</v>
      </c>
      <c r="D50" s="224" t="n">
        <v>108</v>
      </c>
      <c r="E50" s="225" t="n">
        <v>45810</v>
      </c>
      <c r="F50" s="223" t="n">
        <v>23520</v>
      </c>
      <c r="G50" s="223" t="n">
        <v>9130</v>
      </c>
      <c r="H50" s="226" t="n">
        <v>14390</v>
      </c>
      <c r="I50" s="223" t="n">
        <v>7714.8</v>
      </c>
      <c r="J50" s="198" t="s">
        <v>422</v>
      </c>
      <c r="K50" s="198" t="s">
        <v>423</v>
      </c>
      <c r="L50" s="198" t="s">
        <v>133</v>
      </c>
      <c r="M50" s="189" t="s">
        <v>376</v>
      </c>
      <c r="N50" s="198" t="s">
        <v>596</v>
      </c>
      <c r="O50" s="198" t="s">
        <v>597</v>
      </c>
      <c r="P50" s="198"/>
      <c r="Q50" s="198" t="s">
        <v>598</v>
      </c>
      <c r="R50" s="198" t="s">
        <v>377</v>
      </c>
      <c r="S50" s="198" t="s">
        <v>421</v>
      </c>
      <c r="T50" s="198" t="s">
        <v>133</v>
      </c>
      <c r="U50" s="195" t="str">
        <f aca="false">Таблица310[[#This Row],[Регистратор.Номенклатура]]</f>
        <v>Оскар</v>
      </c>
      <c r="V50" s="230" t="n">
        <f aca="false">18*Таблица310[[#This Row],[Регистратор.Вес нетто]]/72040</f>
        <v>2.2812326485286</v>
      </c>
      <c r="W50" s="216" t="s">
        <v>324</v>
      </c>
      <c r="X50" s="198" t="s">
        <v>52</v>
      </c>
      <c r="Y50" s="198" t="n">
        <v>5</v>
      </c>
      <c r="Z50" s="221" t="n">
        <v>45810</v>
      </c>
      <c r="AA50" s="198"/>
      <c r="AB50" s="198"/>
      <c r="AC50" s="198" t="s">
        <v>302</v>
      </c>
      <c r="AD50" s="198" t="s">
        <v>417</v>
      </c>
      <c r="AE50" s="198" t="n">
        <v>108</v>
      </c>
      <c r="AF50" s="200" t="n">
        <v>45810</v>
      </c>
      <c r="AG50" s="198" t="n">
        <v>23</v>
      </c>
      <c r="AH50" s="198" t="n">
        <f aca="false">VLOOKUP(Таблица310[[#This Row],[№ акта]],'Степень зрелости 2025'!$H$13:$I$583,2,FALSE())</f>
        <v>55</v>
      </c>
      <c r="AI50" s="198" t="str">
        <f aca="false">VLOOKUP(Таблица310[[#This Row],[№ акта]],$AQ$1:$AT$594,2,FALSE())</f>
        <v>А-44</v>
      </c>
      <c r="AJ50" s="198" t="str">
        <f aca="false">Таблица310[[#This Row],[Регистратор.Номенклатура]]</f>
        <v>Оскар</v>
      </c>
      <c r="AK50" s="198" t="str">
        <f aca="false">VLOOKUP(Таблица310[[#This Row],[№ акта]],$AQ$1:$AT$594,4,FALSE())</f>
        <v>ГРК собственные семена (богара)</v>
      </c>
      <c r="AL50" s="230" t="n">
        <f aca="false">VLOOKUP(Таблица310[[#This Row],[№ акта]],$AQ$1:$AT$594,3,FALSE())</f>
        <v>2.2812326485286</v>
      </c>
      <c r="AM50" s="198" t="str">
        <f aca="false">IF(Таблица310[[#This Row],[Площадь уборки, га]]=Таблица310[[#This Row],[Площадь уборки до корр]],"нет","да")</f>
        <v>нет</v>
      </c>
      <c r="AN50" s="230" t="n">
        <f aca="false">Таблица310[[#This Row],[Площадь уборки до корр]]-Таблица310[[#This Row],[Площадь уборки, га]]</f>
        <v>0</v>
      </c>
      <c r="AQ50" s="0" t="n">
        <v>108</v>
      </c>
      <c r="AR50" s="0" t="s">
        <v>133</v>
      </c>
      <c r="AS50" s="0" t="n">
        <v>2.2812326485286</v>
      </c>
      <c r="AT50" s="0" t="s">
        <v>324</v>
      </c>
    </row>
    <row r="51" customFormat="false" ht="28.35" hidden="false" customHeight="false" outlineLevel="0" collapsed="false">
      <c r="A51" s="198" t="s">
        <v>358</v>
      </c>
      <c r="B51" s="223" t="n">
        <v>10872.1</v>
      </c>
      <c r="C51" s="234" t="n">
        <v>55</v>
      </c>
      <c r="D51" s="224" t="n">
        <v>109</v>
      </c>
      <c r="E51" s="225" t="n">
        <v>45810</v>
      </c>
      <c r="F51" s="223" t="n">
        <v>28350</v>
      </c>
      <c r="G51" s="223" t="n">
        <v>13340</v>
      </c>
      <c r="H51" s="226" t="n">
        <v>15010</v>
      </c>
      <c r="I51" s="223" t="n">
        <v>10872.1</v>
      </c>
      <c r="J51" s="198" t="s">
        <v>409</v>
      </c>
      <c r="K51" s="198" t="s">
        <v>584</v>
      </c>
      <c r="L51" s="198" t="s">
        <v>410</v>
      </c>
      <c r="M51" s="189" t="s">
        <v>451</v>
      </c>
      <c r="N51" s="198" t="s">
        <v>599</v>
      </c>
      <c r="O51" s="198" t="s">
        <v>600</v>
      </c>
      <c r="P51" s="198"/>
      <c r="Q51" s="198" t="s">
        <v>601</v>
      </c>
      <c r="R51" s="198" t="s">
        <v>455</v>
      </c>
      <c r="S51" s="198" t="s">
        <v>456</v>
      </c>
      <c r="T51" s="228" t="s">
        <v>416</v>
      </c>
      <c r="U51" s="195" t="str">
        <f aca="false">Таблица310[[#This Row],[Регистратор.Номенклатура]]</f>
        <v>Изюминка</v>
      </c>
      <c r="V51" s="230" t="n">
        <f aca="false">12*Таблица310[[#This Row],[Регистратор.Вес нетто]]/71490</f>
        <v>2.2391942929081</v>
      </c>
      <c r="W51" s="198" t="s">
        <v>323</v>
      </c>
      <c r="X51" s="198" t="s">
        <v>52</v>
      </c>
      <c r="Y51" s="198" t="n">
        <v>4</v>
      </c>
      <c r="Z51" s="221" t="n">
        <v>45810</v>
      </c>
      <c r="AA51" s="198"/>
      <c r="AB51" s="198"/>
      <c r="AC51" s="198" t="s">
        <v>302</v>
      </c>
      <c r="AD51" s="198" t="s">
        <v>417</v>
      </c>
      <c r="AE51" s="198" t="n">
        <v>109</v>
      </c>
      <c r="AF51" s="200" t="n">
        <v>45810</v>
      </c>
      <c r="AG51" s="198" t="n">
        <v>65926</v>
      </c>
      <c r="AH51" s="198" t="n">
        <f aca="false">VLOOKUP(Таблица310[[#This Row],[№ акта]],'Степень зрелости 2025'!$H$13:$I$583,2,FALSE())</f>
        <v>55</v>
      </c>
      <c r="AI51" s="198" t="str">
        <f aca="false">VLOOKUP(Таблица310[[#This Row],[№ акта]],$AQ$1:$AT$594,2,FALSE())</f>
        <v> 2/4</v>
      </c>
      <c r="AJ51" s="198" t="str">
        <f aca="false">Таблица310[[#This Row],[Регистратор.Номенклатура]]</f>
        <v>Изюминка</v>
      </c>
      <c r="AK51" s="198" t="str">
        <f aca="false">VLOOKUP(Таблица310[[#This Row],[№ акта]],$AQ$1:$AT$594,4,FALSE())</f>
        <v>Учхоз Кубань (богара)</v>
      </c>
      <c r="AL51" s="230" t="n">
        <f aca="false">VLOOKUP(Таблица310[[#This Row],[№ акта]],$AQ$1:$AT$594,3,FALSE())</f>
        <v>2.2391942929081</v>
      </c>
      <c r="AM51" s="198" t="str">
        <f aca="false">IF(Таблица310[[#This Row],[Площадь уборки, га]]=Таблица310[[#This Row],[Площадь уборки до корр]],"нет","да")</f>
        <v>нет</v>
      </c>
      <c r="AN51" s="230" t="n">
        <f aca="false">Таблица310[[#This Row],[Площадь уборки до корр]]-Таблица310[[#This Row],[Площадь уборки, га]]</f>
        <v>0</v>
      </c>
      <c r="AQ51" s="0" t="n">
        <v>109</v>
      </c>
      <c r="AR51" s="0" t="s">
        <v>416</v>
      </c>
      <c r="AS51" s="0" t="n">
        <v>2.2391942929081</v>
      </c>
      <c r="AT51" s="0" t="s">
        <v>323</v>
      </c>
    </row>
    <row r="52" customFormat="false" ht="34.5" hidden="false" customHeight="true" outlineLevel="0" collapsed="false">
      <c r="A52" s="216" t="s">
        <v>358</v>
      </c>
      <c r="B52" s="217" t="n">
        <f aca="false">Таблица310[[#This Row],[Регистратор.Вес чистый]]</f>
        <v>7282.2</v>
      </c>
      <c r="C52" s="241" t="n">
        <v>55</v>
      </c>
      <c r="D52" s="218" t="n">
        <v>110</v>
      </c>
      <c r="E52" s="219" t="n">
        <v>45811</v>
      </c>
      <c r="F52" s="217" t="n">
        <v>23950</v>
      </c>
      <c r="G52" s="217" t="n">
        <v>9160</v>
      </c>
      <c r="H52" s="220" t="n">
        <v>14790</v>
      </c>
      <c r="I52" s="217" t="n">
        <v>7282.2</v>
      </c>
      <c r="J52" s="216" t="s">
        <v>422</v>
      </c>
      <c r="K52" s="216" t="s">
        <v>423</v>
      </c>
      <c r="L52" s="216" t="s">
        <v>133</v>
      </c>
      <c r="M52" s="189" t="s">
        <v>361</v>
      </c>
      <c r="N52" s="216"/>
      <c r="O52" s="216"/>
      <c r="P52" s="216"/>
      <c r="Q52" s="216"/>
      <c r="R52" s="198" t="s">
        <v>362</v>
      </c>
      <c r="S52" s="216"/>
      <c r="T52" s="198" t="s">
        <v>133</v>
      </c>
      <c r="U52" s="195" t="str">
        <f aca="false">Таблица310[[#This Row],[Регистратор.Номенклатура]]</f>
        <v>Оскар</v>
      </c>
      <c r="V52" s="230" t="n">
        <f aca="false">8.6*Таблица310[[#This Row],[Регистратор.Вес нетто]]/26740</f>
        <v>2.94599850411369</v>
      </c>
      <c r="W52" s="216" t="s">
        <v>324</v>
      </c>
      <c r="X52" s="198" t="s">
        <v>52</v>
      </c>
      <c r="Y52" s="198" t="n">
        <v>5</v>
      </c>
      <c r="Z52" s="221" t="n">
        <v>45810</v>
      </c>
      <c r="AB52" s="198"/>
      <c r="AC52" s="198" t="s">
        <v>302</v>
      </c>
      <c r="AD52" s="198" t="s">
        <v>417</v>
      </c>
      <c r="AE52" s="198" t="n">
        <v>110</v>
      </c>
      <c r="AF52" s="200" t="n">
        <v>45811</v>
      </c>
      <c r="AG52" s="198" t="n">
        <v>24</v>
      </c>
      <c r="AH52" s="198" t="n">
        <f aca="false">VLOOKUP(Таблица310[[#This Row],[№ акта]],'Степень зрелости 2025'!$H$13:$I$583,2,FALSE())</f>
        <v>55</v>
      </c>
      <c r="AI52" s="198" t="str">
        <f aca="false">VLOOKUP(Таблица310[[#This Row],[№ акта]],$AQ$1:$AT$594,2,FALSE())</f>
        <v>А-44</v>
      </c>
      <c r="AJ52" s="198" t="str">
        <f aca="false">Таблица310[[#This Row],[Регистратор.Номенклатура]]</f>
        <v>Оскар</v>
      </c>
      <c r="AK52" s="198" t="str">
        <f aca="false">VLOOKUP(Таблица310[[#This Row],[№ акта]],$AQ$1:$AT$594,4,FALSE())</f>
        <v>ГРК собственные семена (богара)</v>
      </c>
      <c r="AL52" s="230" t="n">
        <f aca="false">VLOOKUP(Таблица310[[#This Row],[№ акта]],$AQ$1:$AT$594,3,FALSE())</f>
        <v>2.28872848417546</v>
      </c>
      <c r="AM52" s="198" t="str">
        <f aca="false">IF(Таблица310[[#This Row],[Площадь уборки, га]]=Таблица310[[#This Row],[Площадь уборки до корр]],"нет","да")</f>
        <v>да</v>
      </c>
      <c r="AN52" s="230" t="n">
        <f aca="false">Таблица310[[#This Row],[Площадь уборки до корр]]-Таблица310[[#This Row],[Площадь уборки, га]]</f>
        <v>-0.657270019938229</v>
      </c>
      <c r="AQ52" s="0" t="n">
        <v>110</v>
      </c>
      <c r="AR52" s="0" t="s">
        <v>133</v>
      </c>
      <c r="AS52" s="0" t="n">
        <v>2.28872848417546</v>
      </c>
      <c r="AT52" s="0" t="s">
        <v>324</v>
      </c>
    </row>
    <row r="53" customFormat="false" ht="34.5" hidden="false" customHeight="true" outlineLevel="0" collapsed="false">
      <c r="A53" s="216" t="s">
        <v>358</v>
      </c>
      <c r="B53" s="217" t="n">
        <f aca="false">Таблица310[[#This Row],[Регистратор.Вес чистый]]</f>
        <v>7590</v>
      </c>
      <c r="C53" s="241" t="n">
        <v>55</v>
      </c>
      <c r="D53" s="218" t="n">
        <v>111</v>
      </c>
      <c r="E53" s="219" t="n">
        <v>45811</v>
      </c>
      <c r="F53" s="217" t="n">
        <v>23580</v>
      </c>
      <c r="G53" s="217" t="n">
        <v>9200</v>
      </c>
      <c r="H53" s="220" t="n">
        <v>14380</v>
      </c>
      <c r="I53" s="217" t="n">
        <v>7590</v>
      </c>
      <c r="J53" s="216" t="s">
        <v>422</v>
      </c>
      <c r="K53" s="216" t="s">
        <v>423</v>
      </c>
      <c r="L53" s="216" t="s">
        <v>133</v>
      </c>
      <c r="M53" s="189" t="s">
        <v>376</v>
      </c>
      <c r="N53" s="216"/>
      <c r="O53" s="221"/>
      <c r="P53" s="198"/>
      <c r="R53" s="198" t="s">
        <v>377</v>
      </c>
      <c r="T53" s="198" t="s">
        <v>133</v>
      </c>
      <c r="U53" s="195" t="str">
        <f aca="false">Таблица310[[#This Row],[Регистратор.Номенклатура]]</f>
        <v>Оскар</v>
      </c>
      <c r="V53" s="230" t="n">
        <f aca="false">8.6*Таблица310[[#This Row],[Регистратор.Вес нетто]]/26740</f>
        <v>2.95886312640239</v>
      </c>
      <c r="W53" s="216" t="s">
        <v>324</v>
      </c>
      <c r="X53" s="198" t="s">
        <v>52</v>
      </c>
      <c r="Y53" s="198" t="n">
        <v>5</v>
      </c>
      <c r="Z53" s="221" t="n">
        <v>45810</v>
      </c>
      <c r="AB53" s="198"/>
      <c r="AC53" s="198" t="s">
        <v>302</v>
      </c>
      <c r="AD53" s="198" t="s">
        <v>417</v>
      </c>
      <c r="AE53" s="198" t="n">
        <v>111</v>
      </c>
      <c r="AF53" s="200" t="n">
        <v>45811</v>
      </c>
      <c r="AG53" s="198" t="n">
        <v>26</v>
      </c>
      <c r="AH53" s="198" t="n">
        <f aca="false">VLOOKUP(Таблица310[[#This Row],[№ акта]],'Степень зрелости 2025'!$H$13:$I$583,2,FALSE())</f>
        <v>55</v>
      </c>
      <c r="AI53" s="198" t="str">
        <f aca="false">VLOOKUP(Таблица310[[#This Row],[№ акта]],$AQ$1:$AT$594,2,FALSE())</f>
        <v>А-44</v>
      </c>
      <c r="AJ53" s="198" t="str">
        <f aca="false">Таблица310[[#This Row],[Регистратор.Номенклатура]]</f>
        <v>Оскар</v>
      </c>
      <c r="AK53" s="198" t="str">
        <f aca="false">VLOOKUP(Таблица310[[#This Row],[№ акта]],$AQ$1:$AT$594,4,FALSE())</f>
        <v>ГРК собственные семена (богара)</v>
      </c>
      <c r="AL53" s="230" t="n">
        <f aca="false">VLOOKUP(Таблица310[[#This Row],[№ акта]],$AQ$1:$AT$594,3,FALSE())</f>
        <v>2.29872293170461</v>
      </c>
      <c r="AM53" s="198" t="str">
        <f aca="false">IF(Таблица310[[#This Row],[Площадь уборки, га]]=Таблица310[[#This Row],[Площадь уборки до корр]],"нет","да")</f>
        <v>да</v>
      </c>
      <c r="AN53" s="230" t="n">
        <f aca="false">Таблица310[[#This Row],[Площадь уборки до корр]]-Таблица310[[#This Row],[Площадь уборки, га]]</f>
        <v>-0.660140194697785</v>
      </c>
      <c r="AQ53" s="0" t="n">
        <v>111</v>
      </c>
      <c r="AR53" s="0" t="s">
        <v>133</v>
      </c>
      <c r="AS53" s="0" t="n">
        <v>2.29872293170461</v>
      </c>
      <c r="AT53" s="0" t="s">
        <v>324</v>
      </c>
    </row>
    <row r="54" customFormat="false" ht="37.3" hidden="false" customHeight="false" outlineLevel="0" collapsed="false">
      <c r="A54" s="216" t="s">
        <v>358</v>
      </c>
      <c r="B54" s="217" t="n">
        <f aca="false">Таблица310[[#This Row],[Регистратор.Вес чистый]]</f>
        <v>6114.4</v>
      </c>
      <c r="C54" s="241" t="n">
        <v>56</v>
      </c>
      <c r="D54" s="218" t="n">
        <v>112</v>
      </c>
      <c r="E54" s="219" t="n">
        <v>45810</v>
      </c>
      <c r="F54" s="217" t="n">
        <v>17590</v>
      </c>
      <c r="G54" s="217" t="n">
        <v>7060</v>
      </c>
      <c r="H54" s="220" t="n">
        <v>10530</v>
      </c>
      <c r="I54" s="217" t="n">
        <v>6114.4</v>
      </c>
      <c r="J54" s="216" t="s">
        <v>422</v>
      </c>
      <c r="K54" s="216" t="s">
        <v>423</v>
      </c>
      <c r="L54" s="216" t="s">
        <v>133</v>
      </c>
      <c r="M54" s="189" t="s">
        <v>602</v>
      </c>
      <c r="N54" s="216" t="s">
        <v>603</v>
      </c>
      <c r="O54" s="216" t="s">
        <v>604</v>
      </c>
      <c r="P54" s="216"/>
      <c r="Q54" s="216" t="s">
        <v>605</v>
      </c>
      <c r="R54" s="216" t="s">
        <v>606</v>
      </c>
      <c r="S54" s="216" t="s">
        <v>607</v>
      </c>
      <c r="T54" s="216" t="s">
        <v>133</v>
      </c>
      <c r="U54" s="195" t="str">
        <f aca="false">Таблица310[[#This Row],[Регистратор.Номенклатура]]</f>
        <v>Оскар</v>
      </c>
      <c r="V54" s="230" t="n">
        <f aca="false">18*Таблица310[[#This Row],[Регистратор.Вес нетто]]/72040</f>
        <v>1.76401998889506</v>
      </c>
      <c r="W54" s="216" t="s">
        <v>324</v>
      </c>
      <c r="X54" s="216" t="s">
        <v>52</v>
      </c>
      <c r="Y54" s="216" t="n">
        <v>5</v>
      </c>
      <c r="Z54" s="221" t="n">
        <v>45810</v>
      </c>
      <c r="AA54" s="231" t="n">
        <f aca="false">Таблица310[[#This Row],[Регистратор.Вес нетто]]</f>
        <v>7060</v>
      </c>
      <c r="AB54" s="198" t="s">
        <v>608</v>
      </c>
      <c r="AC54" s="198" t="s">
        <v>302</v>
      </c>
      <c r="AD54" s="198" t="s">
        <v>417</v>
      </c>
      <c r="AE54" s="198" t="n">
        <v>112</v>
      </c>
      <c r="AF54" s="200" t="n">
        <v>45810</v>
      </c>
      <c r="AG54" s="198" t="s">
        <v>609</v>
      </c>
      <c r="AH54" s="198" t="n">
        <f aca="false">VLOOKUP(Таблица310[[#This Row],[№ акта]],'Степень зрелости 2025'!$H$13:$I$583,2,FALSE())</f>
        <v>0</v>
      </c>
      <c r="AI54" s="198" t="str">
        <f aca="false">VLOOKUP(Таблица310[[#This Row],[№ акта]],$AQ$1:$AT$594,2,FALSE())</f>
        <v>А-44</v>
      </c>
      <c r="AJ54" s="198" t="str">
        <f aca="false">Таблица310[[#This Row],[Регистратор.Номенклатура]]</f>
        <v>Оскар</v>
      </c>
      <c r="AK54" s="198" t="str">
        <f aca="false">VLOOKUP(Таблица310[[#This Row],[№ акта]],$AQ$1:$AT$594,4,FALSE())</f>
        <v>ГРК собственные семена (богара)</v>
      </c>
      <c r="AL54" s="230" t="n">
        <f aca="false">VLOOKUP(Таблица310[[#This Row],[№ акта]],$AQ$1:$AT$594,3,FALSE())</f>
        <v>1.76401998889506</v>
      </c>
      <c r="AM54" s="198" t="str">
        <f aca="false">IF(Таблица310[[#This Row],[Площадь уборки, га]]=Таблица310[[#This Row],[Площадь уборки до корр]],"нет","да")</f>
        <v>нет</v>
      </c>
      <c r="AN54" s="230" t="n">
        <f aca="false">Таблица310[[#This Row],[Площадь уборки до корр]]-Таблица310[[#This Row],[Площадь уборки, га]]</f>
        <v>0</v>
      </c>
      <c r="AQ54" s="0" t="n">
        <v>112</v>
      </c>
      <c r="AR54" s="0" t="s">
        <v>133</v>
      </c>
      <c r="AS54" s="0" t="n">
        <v>1.76401998889506</v>
      </c>
      <c r="AT54" s="0" t="s">
        <v>324</v>
      </c>
    </row>
    <row r="55" customFormat="false" ht="37.3" hidden="false" customHeight="false" outlineLevel="0" collapsed="false">
      <c r="A55" s="216" t="s">
        <v>358</v>
      </c>
      <c r="B55" s="217" t="n">
        <f aca="false">Таблица310[[#This Row],[Регистратор.Вес чистый]]</f>
        <v>8787</v>
      </c>
      <c r="C55" s="241" t="n">
        <v>56</v>
      </c>
      <c r="D55" s="218" t="n">
        <v>113</v>
      </c>
      <c r="E55" s="219" t="n">
        <v>45810</v>
      </c>
      <c r="F55" s="217" t="n">
        <v>27260</v>
      </c>
      <c r="G55" s="217" t="n">
        <v>10180</v>
      </c>
      <c r="H55" s="220" t="n">
        <v>17080</v>
      </c>
      <c r="I55" s="217" t="n">
        <v>8787</v>
      </c>
      <c r="J55" s="216" t="s">
        <v>422</v>
      </c>
      <c r="K55" s="216" t="s">
        <v>423</v>
      </c>
      <c r="L55" s="216" t="s">
        <v>133</v>
      </c>
      <c r="M55" s="189" t="s">
        <v>610</v>
      </c>
      <c r="N55" s="216" t="s">
        <v>611</v>
      </c>
      <c r="O55" s="216" t="s">
        <v>612</v>
      </c>
      <c r="P55" s="216"/>
      <c r="Q55" s="216" t="s">
        <v>613</v>
      </c>
      <c r="R55" s="216" t="s">
        <v>614</v>
      </c>
      <c r="S55" s="216" t="s">
        <v>615</v>
      </c>
      <c r="T55" s="216" t="s">
        <v>133</v>
      </c>
      <c r="U55" s="195" t="str">
        <f aca="false">Таблица310[[#This Row],[Регистратор.Номенклатура]]</f>
        <v>Оскар</v>
      </c>
      <c r="V55" s="230" t="n">
        <f aca="false">18*Таблица310[[#This Row],[Регистратор.Вес нетто]]/72040</f>
        <v>2.5435868961688</v>
      </c>
      <c r="W55" s="216" t="s">
        <v>324</v>
      </c>
      <c r="X55" s="216" t="s">
        <v>52</v>
      </c>
      <c r="Y55" s="216" t="n">
        <v>5</v>
      </c>
      <c r="Z55" s="221" t="n">
        <v>45810</v>
      </c>
      <c r="AA55" s="231" t="n">
        <f aca="false">Таблица310[[#This Row],[Регистратор.Вес нетто]]</f>
        <v>10180</v>
      </c>
      <c r="AB55" s="198" t="s">
        <v>608</v>
      </c>
      <c r="AC55" s="198" t="s">
        <v>302</v>
      </c>
      <c r="AD55" s="198" t="s">
        <v>417</v>
      </c>
      <c r="AE55" s="198" t="n">
        <v>113</v>
      </c>
      <c r="AF55" s="200" t="n">
        <v>45810</v>
      </c>
      <c r="AG55" s="198" t="s">
        <v>616</v>
      </c>
      <c r="AH55" s="198" t="n">
        <f aca="false">VLOOKUP(Таблица310[[#This Row],[№ акта]],'Степень зрелости 2025'!$H$13:$I$583,2,FALSE())</f>
        <v>0</v>
      </c>
      <c r="AI55" s="198" t="str">
        <f aca="false">VLOOKUP(Таблица310[[#This Row],[№ акта]],$AQ$1:$AT$594,2,FALSE())</f>
        <v>А-44</v>
      </c>
      <c r="AJ55" s="198" t="str">
        <f aca="false">Таблица310[[#This Row],[Регистратор.Номенклатура]]</f>
        <v>Оскар</v>
      </c>
      <c r="AK55" s="198" t="str">
        <f aca="false">VLOOKUP(Таблица310[[#This Row],[№ акта]],$AQ$1:$AT$594,4,FALSE())</f>
        <v>ГРК собственные семена (богара)</v>
      </c>
      <c r="AL55" s="230" t="n">
        <f aca="false">VLOOKUP(Таблица310[[#This Row],[№ акта]],$AQ$1:$AT$594,3,FALSE())</f>
        <v>2.5435868961688</v>
      </c>
      <c r="AM55" s="198" t="str">
        <f aca="false">IF(Таблица310[[#This Row],[Площадь уборки, га]]=Таблица310[[#This Row],[Площадь уборки до корр]],"нет","да")</f>
        <v>нет</v>
      </c>
      <c r="AN55" s="230" t="n">
        <f aca="false">Таблица310[[#This Row],[Площадь уборки до корр]]-Таблица310[[#This Row],[Площадь уборки, га]]</f>
        <v>0</v>
      </c>
      <c r="AQ55" s="0" t="n">
        <v>113</v>
      </c>
      <c r="AR55" s="0" t="s">
        <v>133</v>
      </c>
      <c r="AS55" s="0" t="n">
        <v>2.5435868961688</v>
      </c>
      <c r="AT55" s="0" t="s">
        <v>324</v>
      </c>
    </row>
    <row r="56" customFormat="false" ht="37.3" hidden="false" customHeight="false" outlineLevel="0" collapsed="false">
      <c r="A56" s="216" t="s">
        <v>358</v>
      </c>
      <c r="B56" s="217" t="n">
        <f aca="false">Таблица310[[#This Row],[Регистратор.Вес чистый]]</f>
        <v>12905.6</v>
      </c>
      <c r="C56" s="241" t="n">
        <v>55</v>
      </c>
      <c r="D56" s="218" t="n">
        <v>114</v>
      </c>
      <c r="E56" s="219" t="n">
        <v>45810</v>
      </c>
      <c r="F56" s="217" t="n">
        <v>32700</v>
      </c>
      <c r="G56" s="217" t="n">
        <v>14910</v>
      </c>
      <c r="H56" s="220" t="n">
        <v>17790</v>
      </c>
      <c r="I56" s="217" t="n">
        <v>12905.6</v>
      </c>
      <c r="J56" s="216" t="s">
        <v>422</v>
      </c>
      <c r="K56" s="216" t="s">
        <v>423</v>
      </c>
      <c r="L56" s="216" t="s">
        <v>133</v>
      </c>
      <c r="M56" s="189" t="s">
        <v>617</v>
      </c>
      <c r="N56" s="216" t="s">
        <v>618</v>
      </c>
      <c r="O56" s="216" t="s">
        <v>619</v>
      </c>
      <c r="P56" s="216"/>
      <c r="Q56" s="216" t="s">
        <v>620</v>
      </c>
      <c r="R56" s="216" t="s">
        <v>621</v>
      </c>
      <c r="S56" s="216" t="s">
        <v>622</v>
      </c>
      <c r="T56" s="216" t="s">
        <v>133</v>
      </c>
      <c r="U56" s="195" t="str">
        <f aca="false">Таблица310[[#This Row],[Регистратор.Номенклатура]]</f>
        <v>Оскар</v>
      </c>
      <c r="V56" s="230" t="n">
        <f aca="false">18*Таблица310[[#This Row],[Регистратор.Вес нетто]]/72040</f>
        <v>3.72543031649084</v>
      </c>
      <c r="W56" s="216" t="s">
        <v>324</v>
      </c>
      <c r="X56" s="216" t="s">
        <v>52</v>
      </c>
      <c r="Y56" s="216" t="n">
        <v>5</v>
      </c>
      <c r="Z56" s="221" t="n">
        <v>45810</v>
      </c>
      <c r="AA56" s="231" t="n">
        <f aca="false">Таблица310[[#This Row],[Регистратор.Вес нетто]]</f>
        <v>14910</v>
      </c>
      <c r="AB56" s="198" t="s">
        <v>608</v>
      </c>
      <c r="AC56" s="198" t="s">
        <v>302</v>
      </c>
      <c r="AD56" s="198" t="s">
        <v>417</v>
      </c>
      <c r="AE56" s="198" t="n">
        <v>114</v>
      </c>
      <c r="AF56" s="200" t="n">
        <v>45810</v>
      </c>
      <c r="AG56" s="198" t="s">
        <v>623</v>
      </c>
      <c r="AH56" s="198" t="n">
        <f aca="false">VLOOKUP(Таблица310[[#This Row],[№ акта]],'Степень зрелости 2025'!$H$13:$I$583,2,FALSE())</f>
        <v>0</v>
      </c>
      <c r="AI56" s="198" t="str">
        <f aca="false">VLOOKUP(Таблица310[[#This Row],[№ акта]],$AQ$1:$AT$594,2,FALSE())</f>
        <v>А-44</v>
      </c>
      <c r="AJ56" s="198" t="str">
        <f aca="false">Таблица310[[#This Row],[Регистратор.Номенклатура]]</f>
        <v>Оскар</v>
      </c>
      <c r="AK56" s="198" t="str">
        <f aca="false">VLOOKUP(Таблица310[[#This Row],[№ акта]],$AQ$1:$AT$594,4,FALSE())</f>
        <v>ГРК собственные семена (богара)</v>
      </c>
      <c r="AL56" s="230" t="n">
        <f aca="false">VLOOKUP(Таблица310[[#This Row],[№ акта]],$AQ$1:$AT$594,3,FALSE())</f>
        <v>3.72543031649084</v>
      </c>
      <c r="AM56" s="198" t="str">
        <f aca="false">IF(Таблица310[[#This Row],[Площадь уборки, га]]=Таблица310[[#This Row],[Площадь уборки до корр]],"нет","да")</f>
        <v>нет</v>
      </c>
      <c r="AN56" s="230" t="n">
        <f aca="false">Таблица310[[#This Row],[Площадь уборки до корр]]-Таблица310[[#This Row],[Площадь уборки, га]]</f>
        <v>0</v>
      </c>
      <c r="AQ56" s="0" t="n">
        <v>114</v>
      </c>
      <c r="AR56" s="0" t="s">
        <v>133</v>
      </c>
      <c r="AS56" s="0" t="n">
        <v>3.72543031649084</v>
      </c>
      <c r="AT56" s="0" t="s">
        <v>324</v>
      </c>
    </row>
    <row r="57" customFormat="false" ht="28.35" hidden="false" customHeight="false" outlineLevel="0" collapsed="false">
      <c r="A57" s="216" t="s">
        <v>358</v>
      </c>
      <c r="B57" s="217" t="n">
        <f aca="false">Таблица310[[#This Row],[Регистратор.Вес чистый]]</f>
        <v>16610</v>
      </c>
      <c r="C57" s="241" t="n">
        <v>47</v>
      </c>
      <c r="D57" s="218" t="n">
        <v>115</v>
      </c>
      <c r="E57" s="219" t="n">
        <v>45810</v>
      </c>
      <c r="F57" s="217" t="n">
        <v>34160</v>
      </c>
      <c r="G57" s="217" t="n">
        <v>17960</v>
      </c>
      <c r="H57" s="220" t="n">
        <v>16200</v>
      </c>
      <c r="I57" s="217" t="n">
        <v>16610</v>
      </c>
      <c r="J57" s="216" t="s">
        <v>409</v>
      </c>
      <c r="K57" s="216" t="s">
        <v>584</v>
      </c>
      <c r="L57" s="216" t="s">
        <v>410</v>
      </c>
      <c r="M57" s="189" t="s">
        <v>624</v>
      </c>
      <c r="N57" s="216"/>
      <c r="O57" s="216"/>
      <c r="P57" s="216"/>
      <c r="Q57" s="216" t="s">
        <v>620</v>
      </c>
      <c r="R57" s="216" t="s">
        <v>625</v>
      </c>
      <c r="S57" s="216" t="s">
        <v>622</v>
      </c>
      <c r="T57" s="228" t="s">
        <v>416</v>
      </c>
      <c r="U57" s="195" t="str">
        <f aca="false">Таблица310[[#This Row],[Регистратор.Номенклатура]]</f>
        <v>Изюминка</v>
      </c>
      <c r="V57" s="230" t="n">
        <f aca="false">12*Таблица310[[#This Row],[Регистратор.Вес нетто]]/71490</f>
        <v>3.01468736886278</v>
      </c>
      <c r="W57" s="216" t="s">
        <v>323</v>
      </c>
      <c r="X57" s="216" t="s">
        <v>52</v>
      </c>
      <c r="Y57" s="216" t="n">
        <v>4</v>
      </c>
      <c r="Z57" s="221" t="n">
        <v>45810</v>
      </c>
      <c r="AA57" s="231" t="n">
        <f aca="false">Таблица310[[#This Row],[Регистратор.Вес нетто]]</f>
        <v>17960</v>
      </c>
      <c r="AB57" s="198" t="s">
        <v>626</v>
      </c>
      <c r="AC57" s="198" t="s">
        <v>53</v>
      </c>
      <c r="AD57" s="198" t="s">
        <v>417</v>
      </c>
      <c r="AE57" s="198" t="n">
        <v>115</v>
      </c>
      <c r="AF57" s="200" t="n">
        <v>45810</v>
      </c>
      <c r="AG57" s="198" t="s">
        <v>627</v>
      </c>
      <c r="AH57" s="198" t="n">
        <f aca="false">VLOOKUP(Таблица310[[#This Row],[№ акта]],'Степень зрелости 2025'!$H$13:$I$583,2,FALSE())</f>
        <v>0</v>
      </c>
      <c r="AI57" s="198" t="str">
        <f aca="false">VLOOKUP(Таблица310[[#This Row],[№ акта]],$AQ$1:$AT$594,2,FALSE())</f>
        <v> 2/4</v>
      </c>
      <c r="AJ57" s="198" t="str">
        <f aca="false">Таблица310[[#This Row],[Регистратор.Номенклатура]]</f>
        <v>Изюминка</v>
      </c>
      <c r="AK57" s="198" t="str">
        <f aca="false">VLOOKUP(Таблица310[[#This Row],[№ акта]],$AQ$1:$AT$594,4,FALSE())</f>
        <v>Учхоз Кубань (богара)</v>
      </c>
      <c r="AL57" s="230" t="n">
        <f aca="false">VLOOKUP(Таблица310[[#This Row],[№ акта]],$AQ$1:$AT$594,3,FALSE())</f>
        <v>3.01468736886278</v>
      </c>
      <c r="AM57" s="198" t="str">
        <f aca="false">IF(Таблица310[[#This Row],[Площадь уборки, га]]=Таблица310[[#This Row],[Площадь уборки до корр]],"нет","да")</f>
        <v>нет</v>
      </c>
      <c r="AN57" s="230" t="n">
        <f aca="false">Таблица310[[#This Row],[Площадь уборки до корр]]-Таблица310[[#This Row],[Площадь уборки, га]]</f>
        <v>0</v>
      </c>
      <c r="AQ57" s="0" t="n">
        <v>115</v>
      </c>
      <c r="AR57" s="0" t="s">
        <v>416</v>
      </c>
      <c r="AS57" s="0" t="n">
        <v>3.01468736886278</v>
      </c>
      <c r="AT57" s="0" t="s">
        <v>323</v>
      </c>
    </row>
    <row r="58" customFormat="false" ht="37.3" hidden="false" customHeight="false" outlineLevel="0" collapsed="false">
      <c r="A58" s="216" t="s">
        <v>358</v>
      </c>
      <c r="B58" s="217" t="n">
        <v>4764.1</v>
      </c>
      <c r="C58" s="241" t="n">
        <v>55</v>
      </c>
      <c r="D58" s="218" t="n">
        <v>132</v>
      </c>
      <c r="E58" s="219" t="n">
        <v>45811</v>
      </c>
      <c r="F58" s="217" t="n">
        <v>29230</v>
      </c>
      <c r="G58" s="217" t="n">
        <v>6710</v>
      </c>
      <c r="H58" s="220" t="n">
        <v>22520</v>
      </c>
      <c r="I58" s="217" t="n">
        <v>4764.1</v>
      </c>
      <c r="J58" s="216" t="s">
        <v>422</v>
      </c>
      <c r="K58" s="216" t="s">
        <v>423</v>
      </c>
      <c r="L58" s="216" t="s">
        <v>628</v>
      </c>
      <c r="M58" s="189" t="s">
        <v>411</v>
      </c>
      <c r="N58" s="216" t="s">
        <v>629</v>
      </c>
      <c r="O58" s="216" t="s">
        <v>630</v>
      </c>
      <c r="P58" s="216"/>
      <c r="Q58" s="216" t="s">
        <v>631</v>
      </c>
      <c r="R58" s="216" t="s">
        <v>381</v>
      </c>
      <c r="S58" s="216" t="s">
        <v>415</v>
      </c>
      <c r="T58" s="228" t="s">
        <v>628</v>
      </c>
      <c r="U58" s="195" t="str">
        <f aca="false">Таблица310[[#This Row],[Регистратор.Номенклатура]]</f>
        <v>Оскар</v>
      </c>
      <c r="V58" s="230" t="n">
        <f aca="false">20.5*Таблица310[[#This Row],[Регистратор.Вес нетто]]/68840</f>
        <v>1.99818419523533</v>
      </c>
      <c r="W58" s="216" t="s">
        <v>324</v>
      </c>
      <c r="X58" s="216" t="s">
        <v>52</v>
      </c>
      <c r="Y58" s="216" t="n">
        <v>6</v>
      </c>
      <c r="Z58" s="221" t="n">
        <v>45811</v>
      </c>
      <c r="AA58" s="198"/>
      <c r="AB58" s="198"/>
      <c r="AC58" s="198" t="s">
        <v>302</v>
      </c>
      <c r="AD58" s="198" t="s">
        <v>417</v>
      </c>
      <c r="AE58" s="198" t="n">
        <v>132</v>
      </c>
      <c r="AF58" s="200" t="n">
        <v>45811</v>
      </c>
      <c r="AG58" s="198" t="n">
        <v>30</v>
      </c>
      <c r="AH58" s="198" t="n">
        <f aca="false">VLOOKUP(Таблица310[[#This Row],[№ акта]],'Степень зрелости 2025'!$H$13:$I$583,2,FALSE())</f>
        <v>55</v>
      </c>
      <c r="AI58" s="198" t="str">
        <f aca="false">VLOOKUP(Таблица310[[#This Row],[№ акта]],$AQ$1:$AT$594,2,FALSE())</f>
        <v>А-46</v>
      </c>
      <c r="AJ58" s="198" t="str">
        <f aca="false">Таблица310[[#This Row],[Регистратор.Номенклатура]]</f>
        <v>Оскар</v>
      </c>
      <c r="AK58" s="198" t="str">
        <f aca="false">VLOOKUP(Таблица310[[#This Row],[№ акта]],$AQ$1:$AT$594,4,FALSE())</f>
        <v>ГРК собственные семена (богара)</v>
      </c>
      <c r="AL58" s="230" t="n">
        <f aca="false">VLOOKUP(Таблица310[[#This Row],[№ акта]],$AQ$1:$AT$594,3,FALSE())</f>
        <v>2.42162246979445</v>
      </c>
      <c r="AM58" s="198" t="str">
        <f aca="false">IF(Таблица310[[#This Row],[Площадь уборки, га]]=Таблица310[[#This Row],[Площадь уборки до корр]],"нет","да")</f>
        <v>да</v>
      </c>
      <c r="AN58" s="230" t="n">
        <f aca="false">Таблица310[[#This Row],[Площадь уборки до корр]]-Таблица310[[#This Row],[Площадь уборки, га]]</f>
        <v>0.423438274559117</v>
      </c>
      <c r="AQ58" s="0" t="n">
        <v>132</v>
      </c>
      <c r="AR58" s="0" t="s">
        <v>628</v>
      </c>
      <c r="AS58" s="0" t="n">
        <v>2.42162246979445</v>
      </c>
      <c r="AT58" s="0" t="s">
        <v>324</v>
      </c>
    </row>
    <row r="59" customFormat="false" ht="37.3" hidden="false" customHeight="false" outlineLevel="0" collapsed="false">
      <c r="A59" s="216" t="s">
        <v>358</v>
      </c>
      <c r="B59" s="217" t="n">
        <v>6368.8</v>
      </c>
      <c r="C59" s="241" t="n">
        <v>51</v>
      </c>
      <c r="D59" s="218" t="n">
        <v>136</v>
      </c>
      <c r="E59" s="219" t="n">
        <v>45811</v>
      </c>
      <c r="F59" s="217" t="n">
        <v>22520</v>
      </c>
      <c r="G59" s="217" t="n">
        <v>8380</v>
      </c>
      <c r="H59" s="220" t="n">
        <v>14140</v>
      </c>
      <c r="I59" s="217" t="n">
        <v>6368.8</v>
      </c>
      <c r="J59" s="216" t="s">
        <v>422</v>
      </c>
      <c r="K59" s="216" t="s">
        <v>423</v>
      </c>
      <c r="L59" s="216" t="s">
        <v>133</v>
      </c>
      <c r="M59" s="189" t="s">
        <v>411</v>
      </c>
      <c r="N59" s="216" t="s">
        <v>632</v>
      </c>
      <c r="O59" s="216" t="s">
        <v>633</v>
      </c>
      <c r="P59" s="216"/>
      <c r="Q59" s="216" t="s">
        <v>634</v>
      </c>
      <c r="R59" s="216" t="s">
        <v>381</v>
      </c>
      <c r="S59" s="216" t="s">
        <v>415</v>
      </c>
      <c r="T59" s="228" t="s">
        <v>133</v>
      </c>
      <c r="U59" s="195" t="str">
        <f aca="false">Таблица310[[#This Row],[Регистратор.Номенклатура]]</f>
        <v>Оскар</v>
      </c>
      <c r="V59" s="230" t="n">
        <f aca="false">8.6*Таблица310[[#This Row],[Регистратор.Вес нетто]]/26740</f>
        <v>2.69513836948392</v>
      </c>
      <c r="W59" s="216" t="s">
        <v>324</v>
      </c>
      <c r="X59" s="216" t="s">
        <v>52</v>
      </c>
      <c r="Y59" s="216" t="n">
        <v>6</v>
      </c>
      <c r="Z59" s="221" t="n">
        <v>45811</v>
      </c>
      <c r="AA59" s="198"/>
      <c r="AB59" s="198"/>
      <c r="AC59" s="198" t="s">
        <v>53</v>
      </c>
      <c r="AD59" s="198" t="s">
        <v>417</v>
      </c>
      <c r="AE59" s="198" t="n">
        <v>136</v>
      </c>
      <c r="AF59" s="200" t="n">
        <v>45811</v>
      </c>
      <c r="AG59" s="198" t="n">
        <v>30</v>
      </c>
      <c r="AH59" s="198" t="n">
        <f aca="false">VLOOKUP(Таблица310[[#This Row],[№ акта]],'Степень зрелости 2025'!$H$13:$I$583,2,FALSE())</f>
        <v>51</v>
      </c>
      <c r="AI59" s="198" t="str">
        <f aca="false">VLOOKUP(Таблица310[[#This Row],[№ акта]],$AQ$1:$AT$594,2,FALSE())</f>
        <v>А-44</v>
      </c>
      <c r="AJ59" s="198" t="str">
        <f aca="false">Таблица310[[#This Row],[Регистратор.Номенклатура]]</f>
        <v>Оскар</v>
      </c>
      <c r="AK59" s="198" t="str">
        <f aca="false">VLOOKUP(Таблица310[[#This Row],[№ акта]],$AQ$1:$AT$594,4,FALSE())</f>
        <v>ГРК собственные семена (богара)</v>
      </c>
      <c r="AL59" s="230" t="n">
        <f aca="false">VLOOKUP(Таблица310[[#This Row],[№ акта]],$AQ$1:$AT$594,3,FALSE())</f>
        <v>1.63432471964895</v>
      </c>
      <c r="AM59" s="198" t="str">
        <f aca="false">IF(Таблица310[[#This Row],[Площадь уборки, га]]=Таблица310[[#This Row],[Площадь уборки до корр]],"нет","да")</f>
        <v>да</v>
      </c>
      <c r="AN59" s="230" t="n">
        <f aca="false">Таблица310[[#This Row],[Площадь уборки до корр]]-Таблица310[[#This Row],[Площадь уборки, га]]</f>
        <v>-1.06081364983497</v>
      </c>
      <c r="AQ59" s="0" t="n">
        <v>136</v>
      </c>
      <c r="AR59" s="0" t="s">
        <v>133</v>
      </c>
      <c r="AS59" s="0" t="n">
        <v>1.63432471964895</v>
      </c>
      <c r="AT59" s="0" t="s">
        <v>324</v>
      </c>
    </row>
    <row r="60" customFormat="false" ht="37.3" hidden="false" customHeight="false" outlineLevel="0" collapsed="false">
      <c r="A60" s="216" t="s">
        <v>358</v>
      </c>
      <c r="B60" s="217" t="n">
        <v>3215.4</v>
      </c>
      <c r="C60" s="241" t="n">
        <v>50</v>
      </c>
      <c r="D60" s="218" t="n">
        <v>137</v>
      </c>
      <c r="E60" s="219" t="n">
        <v>45811</v>
      </c>
      <c r="F60" s="217" t="n">
        <v>14110</v>
      </c>
      <c r="G60" s="217" t="n">
        <v>4660</v>
      </c>
      <c r="H60" s="220" t="n">
        <v>9450</v>
      </c>
      <c r="I60" s="217" t="n">
        <v>3215.4</v>
      </c>
      <c r="J60" s="216" t="s">
        <v>422</v>
      </c>
      <c r="K60" s="216" t="s">
        <v>423</v>
      </c>
      <c r="L60" s="216" t="s">
        <v>628</v>
      </c>
      <c r="M60" s="189" t="s">
        <v>411</v>
      </c>
      <c r="N60" s="216" t="s">
        <v>635</v>
      </c>
      <c r="O60" s="216" t="s">
        <v>636</v>
      </c>
      <c r="P60" s="216"/>
      <c r="Q60" s="216" t="n">
        <v>948.757</v>
      </c>
      <c r="R60" s="216" t="s">
        <v>381</v>
      </c>
      <c r="S60" s="216"/>
      <c r="T60" s="228" t="s">
        <v>628</v>
      </c>
      <c r="U60" s="195" t="str">
        <f aca="false">Таблица310[[#This Row],[Регистратор.Номенклатура]]</f>
        <v>Оскар</v>
      </c>
      <c r="V60" s="230" t="n">
        <f aca="false">20.5*Таблица310[[#This Row],[Регистратор.Вес нетто]]/68840</f>
        <v>1.3877106333527</v>
      </c>
      <c r="W60" s="216" t="s">
        <v>324</v>
      </c>
      <c r="X60" s="216" t="s">
        <v>52</v>
      </c>
      <c r="Y60" s="216" t="n">
        <v>6</v>
      </c>
      <c r="Z60" s="221" t="n">
        <v>45811</v>
      </c>
      <c r="AA60" s="198"/>
      <c r="AB60" s="198"/>
      <c r="AC60" s="198" t="s">
        <v>53</v>
      </c>
      <c r="AD60" s="198" t="s">
        <v>417</v>
      </c>
      <c r="AE60" s="198" t="n">
        <v>137</v>
      </c>
      <c r="AF60" s="200" t="n">
        <v>45811</v>
      </c>
      <c r="AG60" s="198" t="n">
        <v>30</v>
      </c>
      <c r="AH60" s="198" t="n">
        <f aca="false">VLOOKUP(Таблица310[[#This Row],[№ акта]],'Степень зрелости 2025'!$H$13:$I$583,2,FALSE())</f>
        <v>50</v>
      </c>
      <c r="AI60" s="198" t="str">
        <f aca="false">VLOOKUP(Таблица310[[#This Row],[№ акта]],$AQ$1:$AT$594,2,FALSE())</f>
        <v>А-46</v>
      </c>
      <c r="AJ60" s="198" t="str">
        <f aca="false">Таблица310[[#This Row],[Регистратор.Номенклатура]]</f>
        <v>Оскар</v>
      </c>
      <c r="AK60" s="198" t="str">
        <f aca="false">VLOOKUP(Таблица310[[#This Row],[№ акта]],$AQ$1:$AT$594,4,FALSE())</f>
        <v>ГРК собственные семена (богара)</v>
      </c>
      <c r="AL60" s="230" t="n">
        <f aca="false">VLOOKUP(Таблица310[[#This Row],[№ акта]],$AQ$1:$AT$594,3,FALSE())</f>
        <v>1.68178252000628</v>
      </c>
      <c r="AM60" s="198" t="str">
        <f aca="false">IF(Таблица310[[#This Row],[Площадь уборки, га]]=Таблица310[[#This Row],[Площадь уборки до корр]],"нет","да")</f>
        <v>да</v>
      </c>
      <c r="AN60" s="230" t="n">
        <f aca="false">Таблица310[[#This Row],[Площадь уборки до корр]]-Таблица310[[#This Row],[Площадь уборки, га]]</f>
        <v>0.294071886653575</v>
      </c>
      <c r="AQ60" s="0" t="n">
        <v>137</v>
      </c>
      <c r="AR60" s="0" t="s">
        <v>628</v>
      </c>
      <c r="AS60" s="0" t="n">
        <v>1.68178252000628</v>
      </c>
      <c r="AT60" s="0" t="s">
        <v>324</v>
      </c>
    </row>
    <row r="61" customFormat="false" ht="28.35" hidden="false" customHeight="false" outlineLevel="0" collapsed="false">
      <c r="A61" s="216" t="s">
        <v>358</v>
      </c>
      <c r="B61" s="217" t="n">
        <v>11018.8</v>
      </c>
      <c r="C61" s="241" t="n">
        <v>53</v>
      </c>
      <c r="D61" s="218" t="n">
        <v>138</v>
      </c>
      <c r="E61" s="219" t="n">
        <v>45811</v>
      </c>
      <c r="F61" s="217" t="n">
        <v>34390</v>
      </c>
      <c r="G61" s="217" t="n">
        <v>13520</v>
      </c>
      <c r="H61" s="220" t="n">
        <v>20870</v>
      </c>
      <c r="I61" s="217" t="n">
        <v>11018.8</v>
      </c>
      <c r="J61" s="216" t="s">
        <v>409</v>
      </c>
      <c r="K61" s="216" t="s">
        <v>252</v>
      </c>
      <c r="L61" s="216" t="s">
        <v>410</v>
      </c>
      <c r="M61" s="189" t="s">
        <v>427</v>
      </c>
      <c r="N61" s="216" t="s">
        <v>637</v>
      </c>
      <c r="O61" s="216" t="s">
        <v>638</v>
      </c>
      <c r="P61" s="216"/>
      <c r="Q61" s="216" t="s">
        <v>639</v>
      </c>
      <c r="R61" s="216" t="s">
        <v>431</v>
      </c>
      <c r="S61" s="216" t="s">
        <v>432</v>
      </c>
      <c r="T61" s="228" t="s">
        <v>416</v>
      </c>
      <c r="U61" s="195" t="str">
        <f aca="false">Таблица310[[#This Row],[Регистратор.Номенклатура]]</f>
        <v>Преладо</v>
      </c>
      <c r="V61" s="230" t="n">
        <f aca="false">33*Таблица310[[#This Row],[Регистратор.Вес нетто]]/201670</f>
        <v>2.21232706897407</v>
      </c>
      <c r="W61" s="216" t="s">
        <v>323</v>
      </c>
      <c r="X61" s="216" t="s">
        <v>52</v>
      </c>
      <c r="Y61" s="216" t="n">
        <v>5</v>
      </c>
      <c r="Z61" s="221" t="n">
        <v>45811</v>
      </c>
      <c r="AA61" s="198"/>
      <c r="AB61" s="198"/>
      <c r="AC61" s="198" t="s">
        <v>302</v>
      </c>
      <c r="AD61" s="198" t="s">
        <v>417</v>
      </c>
      <c r="AE61" s="198" t="n">
        <v>138</v>
      </c>
      <c r="AF61" s="200" t="n">
        <v>45811</v>
      </c>
      <c r="AG61" s="198" t="n">
        <v>65933</v>
      </c>
      <c r="AH61" s="198" t="n">
        <f aca="false">VLOOKUP(Таблица310[[#This Row],[№ акта]],'Степень зрелости 2025'!$H$13:$I$583,2,FALSE())</f>
        <v>53</v>
      </c>
      <c r="AI61" s="198" t="str">
        <f aca="false">VLOOKUP(Таблица310[[#This Row],[№ акта]],$AQ$1:$AT$594,2,FALSE())</f>
        <v> 2/4</v>
      </c>
      <c r="AJ61" s="198" t="str">
        <f aca="false">Таблица310[[#This Row],[Регистратор.Номенклатура]]</f>
        <v>Преладо</v>
      </c>
      <c r="AK61" s="198" t="str">
        <f aca="false">VLOOKUP(Таблица310[[#This Row],[№ акта]],$AQ$1:$AT$594,4,FALSE())</f>
        <v>Учхоз Кубань (богара)</v>
      </c>
      <c r="AL61" s="230" t="n">
        <f aca="false">VLOOKUP(Таблица310[[#This Row],[№ акта]],$AQ$1:$AT$594,3,FALSE())</f>
        <v>2.21232706897407</v>
      </c>
      <c r="AM61" s="198" t="str">
        <f aca="false">IF(Таблица310[[#This Row],[Площадь уборки, га]]=Таблица310[[#This Row],[Площадь уборки до корр]],"нет","да")</f>
        <v>нет</v>
      </c>
      <c r="AN61" s="230" t="n">
        <f aca="false">Таблица310[[#This Row],[Площадь уборки до корр]]-Таблица310[[#This Row],[Площадь уборки, га]]</f>
        <v>0</v>
      </c>
      <c r="AQ61" s="0" t="n">
        <v>138</v>
      </c>
      <c r="AR61" s="0" t="s">
        <v>416</v>
      </c>
      <c r="AS61" s="0" t="n">
        <v>2.21232706897407</v>
      </c>
      <c r="AT61" s="0" t="s">
        <v>323</v>
      </c>
    </row>
    <row r="62" customFormat="false" ht="28.35" hidden="false" customHeight="false" outlineLevel="0" collapsed="false">
      <c r="A62" s="216" t="s">
        <v>358</v>
      </c>
      <c r="B62" s="217" t="n">
        <v>11356</v>
      </c>
      <c r="C62" s="241" t="n">
        <v>56</v>
      </c>
      <c r="D62" s="218" t="n">
        <v>139</v>
      </c>
      <c r="E62" s="219" t="n">
        <v>45811</v>
      </c>
      <c r="F62" s="217" t="n">
        <v>28460</v>
      </c>
      <c r="G62" s="217" t="n">
        <v>13600</v>
      </c>
      <c r="H62" s="220" t="n">
        <v>14860</v>
      </c>
      <c r="I62" s="217" t="n">
        <v>11356</v>
      </c>
      <c r="J62" s="216" t="s">
        <v>409</v>
      </c>
      <c r="K62" s="216" t="s">
        <v>252</v>
      </c>
      <c r="L62" s="216" t="s">
        <v>410</v>
      </c>
      <c r="M62" s="189" t="s">
        <v>433</v>
      </c>
      <c r="N62" s="216" t="s">
        <v>640</v>
      </c>
      <c r="O62" s="216" t="s">
        <v>641</v>
      </c>
      <c r="P62" s="216"/>
      <c r="Q62" s="216" t="s">
        <v>642</v>
      </c>
      <c r="R62" s="216" t="s">
        <v>437</v>
      </c>
      <c r="S62" s="216" t="s">
        <v>438</v>
      </c>
      <c r="T62" s="228" t="s">
        <v>416</v>
      </c>
      <c r="U62" s="195" t="str">
        <f aca="false">Таблица310[[#This Row],[Регистратор.Номенклатура]]</f>
        <v>Преладо</v>
      </c>
      <c r="V62" s="230" t="n">
        <f aca="false">33*Таблица310[[#This Row],[Регистратор.Вес нетто]]/201670</f>
        <v>2.22541776168989</v>
      </c>
      <c r="W62" s="216" t="s">
        <v>323</v>
      </c>
      <c r="X62" s="216" t="s">
        <v>52</v>
      </c>
      <c r="Y62" s="216" t="n">
        <v>5</v>
      </c>
      <c r="Z62" s="221" t="n">
        <v>45811</v>
      </c>
      <c r="AA62" s="198"/>
      <c r="AB62" s="198"/>
      <c r="AC62" s="198" t="s">
        <v>302</v>
      </c>
      <c r="AD62" s="198" t="s">
        <v>417</v>
      </c>
      <c r="AE62" s="198" t="n">
        <v>139</v>
      </c>
      <c r="AF62" s="200" t="n">
        <v>45811</v>
      </c>
      <c r="AG62" s="198" t="n">
        <v>65935</v>
      </c>
      <c r="AH62" s="198" t="n">
        <f aca="false">VLOOKUP(Таблица310[[#This Row],[№ акта]],'Степень зрелости 2025'!$H$13:$I$583,2,FALSE())</f>
        <v>56</v>
      </c>
      <c r="AI62" s="198" t="str">
        <f aca="false">VLOOKUP(Таблица310[[#This Row],[№ акта]],$AQ$1:$AT$594,2,FALSE())</f>
        <v> 2/4</v>
      </c>
      <c r="AJ62" s="198" t="str">
        <f aca="false">Таблица310[[#This Row],[Регистратор.Номенклатура]]</f>
        <v>Преладо</v>
      </c>
      <c r="AK62" s="198" t="str">
        <f aca="false">VLOOKUP(Таблица310[[#This Row],[№ акта]],$AQ$1:$AT$594,4,FALSE())</f>
        <v>Учхоз Кубань (богара)</v>
      </c>
      <c r="AL62" s="230" t="n">
        <f aca="false">VLOOKUP(Таблица310[[#This Row],[№ акта]],$AQ$1:$AT$594,3,FALSE())</f>
        <v>2.22541776168989</v>
      </c>
      <c r="AM62" s="198" t="str">
        <f aca="false">IF(Таблица310[[#This Row],[Площадь уборки, га]]=Таблица310[[#This Row],[Площадь уборки до корр]],"нет","да")</f>
        <v>нет</v>
      </c>
      <c r="AN62" s="230" t="n">
        <f aca="false">Таблица310[[#This Row],[Площадь уборки до корр]]-Таблица310[[#This Row],[Площадь уборки, га]]</f>
        <v>0</v>
      </c>
      <c r="AQ62" s="0" t="n">
        <v>139</v>
      </c>
      <c r="AR62" s="0" t="s">
        <v>416</v>
      </c>
      <c r="AS62" s="0" t="n">
        <v>2.22541776168989</v>
      </c>
      <c r="AT62" s="0" t="s">
        <v>323</v>
      </c>
    </row>
    <row r="63" customFormat="false" ht="28.35" hidden="false" customHeight="false" outlineLevel="0" collapsed="false">
      <c r="A63" s="216" t="s">
        <v>358</v>
      </c>
      <c r="B63" s="217" t="n">
        <v>11660.2</v>
      </c>
      <c r="C63" s="241" t="n">
        <v>55</v>
      </c>
      <c r="D63" s="218" t="n">
        <v>140</v>
      </c>
      <c r="E63" s="219" t="n">
        <v>45811</v>
      </c>
      <c r="F63" s="217" t="n">
        <v>37510</v>
      </c>
      <c r="G63" s="217" t="n">
        <v>13480</v>
      </c>
      <c r="H63" s="220" t="n">
        <v>24030</v>
      </c>
      <c r="I63" s="217" t="n">
        <v>11660.2</v>
      </c>
      <c r="J63" s="216" t="s">
        <v>409</v>
      </c>
      <c r="K63" s="216" t="s">
        <v>252</v>
      </c>
      <c r="L63" s="216" t="s">
        <v>410</v>
      </c>
      <c r="M63" s="189" t="s">
        <v>439</v>
      </c>
      <c r="N63" s="216" t="s">
        <v>643</v>
      </c>
      <c r="O63" s="216" t="s">
        <v>644</v>
      </c>
      <c r="P63" s="216"/>
      <c r="Q63" s="216" t="s">
        <v>645</v>
      </c>
      <c r="R63" s="216" t="s">
        <v>443</v>
      </c>
      <c r="S63" s="216" t="s">
        <v>444</v>
      </c>
      <c r="T63" s="228" t="s">
        <v>416</v>
      </c>
      <c r="U63" s="195" t="str">
        <f aca="false">Таблица310[[#This Row],[Регистратор.Номенклатура]]</f>
        <v>Преладо</v>
      </c>
      <c r="V63" s="230" t="n">
        <f aca="false">33*Таблица310[[#This Row],[Регистратор.Вес нетто]]/201670</f>
        <v>2.20578172261616</v>
      </c>
      <c r="W63" s="216" t="s">
        <v>323</v>
      </c>
      <c r="X63" s="216" t="s">
        <v>52</v>
      </c>
      <c r="Y63" s="216" t="n">
        <v>5</v>
      </c>
      <c r="Z63" s="221" t="n">
        <v>45811</v>
      </c>
      <c r="AA63" s="198"/>
      <c r="AB63" s="198"/>
      <c r="AC63" s="198" t="s">
        <v>302</v>
      </c>
      <c r="AD63" s="198" t="s">
        <v>417</v>
      </c>
      <c r="AE63" s="198" t="n">
        <v>140</v>
      </c>
      <c r="AF63" s="200" t="n">
        <v>45811</v>
      </c>
      <c r="AG63" s="198" t="n">
        <v>65936</v>
      </c>
      <c r="AH63" s="198" t="n">
        <f aca="false">VLOOKUP(Таблица310[[#This Row],[№ акта]],'Степень зрелости 2025'!$H$13:$I$583,2,FALSE())</f>
        <v>55</v>
      </c>
      <c r="AI63" s="198" t="str">
        <f aca="false">VLOOKUP(Таблица310[[#This Row],[№ акта]],$AQ$1:$AT$594,2,FALSE())</f>
        <v> 2/4</v>
      </c>
      <c r="AJ63" s="198" t="str">
        <f aca="false">Таблица310[[#This Row],[Регистратор.Номенклатура]]</f>
        <v>Преладо</v>
      </c>
      <c r="AK63" s="198" t="str">
        <f aca="false">VLOOKUP(Таблица310[[#This Row],[№ акта]],$AQ$1:$AT$594,4,FALSE())</f>
        <v>Учхоз Кубань (богара)</v>
      </c>
      <c r="AL63" s="230" t="n">
        <f aca="false">VLOOKUP(Таблица310[[#This Row],[№ акта]],$AQ$1:$AT$594,3,FALSE())</f>
        <v>2.20578172261616</v>
      </c>
      <c r="AM63" s="198" t="str">
        <f aca="false">IF(Таблица310[[#This Row],[Площадь уборки, га]]=Таблица310[[#This Row],[Площадь уборки до корр]],"нет","да")</f>
        <v>нет</v>
      </c>
      <c r="AN63" s="230" t="n">
        <f aca="false">Таблица310[[#This Row],[Площадь уборки до корр]]-Таблица310[[#This Row],[Площадь уборки, га]]</f>
        <v>0</v>
      </c>
      <c r="AQ63" s="0" t="n">
        <v>140</v>
      </c>
      <c r="AR63" s="0" t="s">
        <v>416</v>
      </c>
      <c r="AS63" s="0" t="n">
        <v>2.20578172261616</v>
      </c>
      <c r="AT63" s="0" t="s">
        <v>323</v>
      </c>
    </row>
    <row r="64" customFormat="false" ht="37.3" hidden="false" customHeight="false" outlineLevel="0" collapsed="false">
      <c r="A64" s="216" t="s">
        <v>358</v>
      </c>
      <c r="B64" s="217" t="n">
        <v>3582.2</v>
      </c>
      <c r="C64" s="241" t="n">
        <v>55</v>
      </c>
      <c r="D64" s="218" t="n">
        <v>141</v>
      </c>
      <c r="E64" s="219" t="n">
        <v>45811</v>
      </c>
      <c r="F64" s="217" t="n">
        <v>13910</v>
      </c>
      <c r="G64" s="217" t="n">
        <v>4450</v>
      </c>
      <c r="H64" s="220" t="n">
        <v>9460</v>
      </c>
      <c r="I64" s="217" t="n">
        <v>3582.2</v>
      </c>
      <c r="J64" s="216" t="s">
        <v>422</v>
      </c>
      <c r="K64" s="216" t="s">
        <v>423</v>
      </c>
      <c r="L64" s="216" t="s">
        <v>628</v>
      </c>
      <c r="M64" s="189" t="s">
        <v>411</v>
      </c>
      <c r="N64" s="216" t="s">
        <v>646</v>
      </c>
      <c r="O64" s="216" t="s">
        <v>647</v>
      </c>
      <c r="P64" s="216"/>
      <c r="Q64" s="216" t="n">
        <v>949.761</v>
      </c>
      <c r="R64" s="216" t="s">
        <v>381</v>
      </c>
      <c r="S64" s="216"/>
      <c r="T64" s="228" t="s">
        <v>628</v>
      </c>
      <c r="U64" s="195" t="str">
        <f aca="false">Таблица310[[#This Row],[Регистратор.Номенклатура]]</f>
        <v>Оскар</v>
      </c>
      <c r="V64" s="230" t="n">
        <f aca="false">20.5*Таблица310[[#This Row],[Регистратор.Вес нетто]]/68840</f>
        <v>1.32517431725741</v>
      </c>
      <c r="W64" s="216" t="s">
        <v>324</v>
      </c>
      <c r="X64" s="216" t="s">
        <v>52</v>
      </c>
      <c r="Y64" s="216" t="n">
        <v>6</v>
      </c>
      <c r="Z64" s="221" t="n">
        <v>45811</v>
      </c>
      <c r="AA64" s="198"/>
      <c r="AB64" s="198"/>
      <c r="AC64" s="198" t="s">
        <v>302</v>
      </c>
      <c r="AD64" s="198" t="s">
        <v>417</v>
      </c>
      <c r="AE64" s="198" t="n">
        <v>141</v>
      </c>
      <c r="AF64" s="200" t="n">
        <v>45811</v>
      </c>
      <c r="AG64" s="198" t="n">
        <v>31</v>
      </c>
      <c r="AH64" s="198" t="n">
        <f aca="false">VLOOKUP(Таблица310[[#This Row],[№ акта]],'Степень зрелости 2025'!$H$13:$I$583,2,FALSE())</f>
        <v>55</v>
      </c>
      <c r="AI64" s="198" t="str">
        <f aca="false">VLOOKUP(Таблица310[[#This Row],[№ акта]],$AQ$1:$AT$594,2,FALSE())</f>
        <v>А-46</v>
      </c>
      <c r="AJ64" s="198" t="str">
        <f aca="false">Таблица310[[#This Row],[Регистратор.Номенклатура]]</f>
        <v>Оскар</v>
      </c>
      <c r="AK64" s="198" t="str">
        <f aca="false">VLOOKUP(Таблица310[[#This Row],[№ акта]],$AQ$1:$AT$594,4,FALSE())</f>
        <v>ГРК собственные семена (богара)</v>
      </c>
      <c r="AL64" s="230" t="n">
        <f aca="false">VLOOKUP(Таблица310[[#This Row],[№ акта]],$AQ$1:$AT$594,3,FALSE())</f>
        <v>1.60599403734505</v>
      </c>
      <c r="AM64" s="198" t="str">
        <f aca="false">IF(Таблица310[[#This Row],[Площадь уборки, га]]=Таблица310[[#This Row],[Площадь уборки до корр]],"нет","да")</f>
        <v>да</v>
      </c>
      <c r="AN64" s="230" t="n">
        <f aca="false">Таблица310[[#This Row],[Площадь уборки до корр]]-Таблица310[[#This Row],[Площадь уборки, га]]</f>
        <v>0.280819720087641</v>
      </c>
      <c r="AQ64" s="0" t="n">
        <v>141</v>
      </c>
      <c r="AR64" s="0" t="s">
        <v>628</v>
      </c>
      <c r="AS64" s="0" t="n">
        <v>1.60599403734505</v>
      </c>
      <c r="AT64" s="0" t="s">
        <v>324</v>
      </c>
    </row>
    <row r="65" customFormat="false" ht="28.35" hidden="false" customHeight="false" outlineLevel="0" collapsed="false">
      <c r="A65" s="216" t="s">
        <v>358</v>
      </c>
      <c r="B65" s="217" t="n">
        <v>11508</v>
      </c>
      <c r="C65" s="241" t="n">
        <v>55</v>
      </c>
      <c r="D65" s="218" t="n">
        <v>142</v>
      </c>
      <c r="E65" s="219" t="n">
        <v>45811</v>
      </c>
      <c r="F65" s="217" t="n">
        <v>28520</v>
      </c>
      <c r="G65" s="217" t="n">
        <v>13700</v>
      </c>
      <c r="H65" s="220" t="n">
        <v>14820</v>
      </c>
      <c r="I65" s="217" t="n">
        <v>11508</v>
      </c>
      <c r="J65" s="216" t="s">
        <v>409</v>
      </c>
      <c r="K65" s="216" t="s">
        <v>252</v>
      </c>
      <c r="L65" s="216" t="s">
        <v>410</v>
      </c>
      <c r="M65" s="189" t="s">
        <v>466</v>
      </c>
      <c r="N65" s="216" t="s">
        <v>648</v>
      </c>
      <c r="O65" s="216" t="s">
        <v>649</v>
      </c>
      <c r="P65" s="216"/>
      <c r="Q65" s="216" t="s">
        <v>650</v>
      </c>
      <c r="R65" s="216" t="s">
        <v>470</v>
      </c>
      <c r="S65" s="216" t="s">
        <v>471</v>
      </c>
      <c r="T65" s="228" t="s">
        <v>416</v>
      </c>
      <c r="U65" s="195" t="str">
        <f aca="false">Таблица310[[#This Row],[Регистратор.Номенклатура]]</f>
        <v>Преладо</v>
      </c>
      <c r="V65" s="230" t="n">
        <f aca="false">33*Таблица310[[#This Row],[Регистратор.Вес нетто]]/201670</f>
        <v>2.24178112758467</v>
      </c>
      <c r="W65" s="216" t="s">
        <v>323</v>
      </c>
      <c r="X65" s="216" t="s">
        <v>52</v>
      </c>
      <c r="Y65" s="216" t="n">
        <v>5</v>
      </c>
      <c r="Z65" s="221" t="n">
        <v>45811</v>
      </c>
      <c r="AA65" s="198"/>
      <c r="AB65" s="198"/>
      <c r="AC65" s="198" t="s">
        <v>302</v>
      </c>
      <c r="AD65" s="198" t="s">
        <v>417</v>
      </c>
      <c r="AE65" s="198" t="n">
        <v>142</v>
      </c>
      <c r="AF65" s="200" t="n">
        <v>45811</v>
      </c>
      <c r="AG65" s="198" t="n">
        <v>65937</v>
      </c>
      <c r="AH65" s="198" t="n">
        <f aca="false">VLOOKUP(Таблица310[[#This Row],[№ акта]],'Степень зрелости 2025'!$H$13:$I$583,2,FALSE())</f>
        <v>55</v>
      </c>
      <c r="AI65" s="198" t="str">
        <f aca="false">VLOOKUP(Таблица310[[#This Row],[№ акта]],$AQ$1:$AT$594,2,FALSE())</f>
        <v> 2/4</v>
      </c>
      <c r="AJ65" s="198" t="str">
        <f aca="false">Таблица310[[#This Row],[Регистратор.Номенклатура]]</f>
        <v>Преладо</v>
      </c>
      <c r="AK65" s="198" t="str">
        <f aca="false">VLOOKUP(Таблица310[[#This Row],[№ акта]],$AQ$1:$AT$594,4,FALSE())</f>
        <v>Учхоз Кубань (богара)</v>
      </c>
      <c r="AL65" s="230" t="n">
        <f aca="false">VLOOKUP(Таблица310[[#This Row],[№ акта]],$AQ$1:$AT$594,3,FALSE())</f>
        <v>2.24178112758467</v>
      </c>
      <c r="AM65" s="198" t="str">
        <f aca="false">IF(Таблица310[[#This Row],[Площадь уборки, га]]=Таблица310[[#This Row],[Площадь уборки до корр]],"нет","да")</f>
        <v>нет</v>
      </c>
      <c r="AN65" s="230" t="n">
        <f aca="false">Таблица310[[#This Row],[Площадь уборки до корр]]-Таблица310[[#This Row],[Площадь уборки, га]]</f>
        <v>0</v>
      </c>
      <c r="AQ65" s="0" t="n">
        <v>142</v>
      </c>
      <c r="AR65" s="0" t="s">
        <v>416</v>
      </c>
      <c r="AS65" s="0" t="n">
        <v>2.24178112758467</v>
      </c>
      <c r="AT65" s="0" t="s">
        <v>323</v>
      </c>
    </row>
    <row r="66" customFormat="false" ht="28.35" hidden="false" customHeight="false" outlineLevel="0" collapsed="false">
      <c r="A66" s="216" t="s">
        <v>358</v>
      </c>
      <c r="B66" s="217" t="n">
        <v>10904</v>
      </c>
      <c r="C66" s="241" t="n">
        <v>57</v>
      </c>
      <c r="D66" s="218" t="n">
        <v>143</v>
      </c>
      <c r="E66" s="219" t="n">
        <v>45811</v>
      </c>
      <c r="F66" s="217" t="n">
        <v>28750</v>
      </c>
      <c r="G66" s="217" t="n">
        <v>13630</v>
      </c>
      <c r="H66" s="220" t="n">
        <v>15120</v>
      </c>
      <c r="I66" s="217" t="n">
        <v>10904</v>
      </c>
      <c r="J66" s="216" t="s">
        <v>409</v>
      </c>
      <c r="K66" s="216" t="s">
        <v>252</v>
      </c>
      <c r="L66" s="216" t="s">
        <v>410</v>
      </c>
      <c r="M66" s="189" t="s">
        <v>386</v>
      </c>
      <c r="N66" s="216" t="s">
        <v>651</v>
      </c>
      <c r="O66" s="216" t="s">
        <v>652</v>
      </c>
      <c r="P66" s="216"/>
      <c r="Q66" s="216" t="s">
        <v>653</v>
      </c>
      <c r="R66" s="216" t="s">
        <v>387</v>
      </c>
      <c r="S66" s="216" t="s">
        <v>530</v>
      </c>
      <c r="T66" s="228" t="s">
        <v>416</v>
      </c>
      <c r="U66" s="195" t="str">
        <f aca="false">Таблица310[[#This Row],[Регистратор.Номенклатура]]</f>
        <v>Преладо</v>
      </c>
      <c r="V66" s="230" t="n">
        <f aca="false">33*Таблица310[[#This Row],[Регистратор.Вес нетто]]/201670</f>
        <v>2.23032677145832</v>
      </c>
      <c r="W66" s="216" t="s">
        <v>323</v>
      </c>
      <c r="X66" s="216" t="s">
        <v>52</v>
      </c>
      <c r="Y66" s="216" t="n">
        <v>5</v>
      </c>
      <c r="Z66" s="221" t="n">
        <v>45811</v>
      </c>
      <c r="AA66" s="198"/>
      <c r="AB66" s="198"/>
      <c r="AC66" s="198" t="s">
        <v>302</v>
      </c>
      <c r="AD66" s="198" t="s">
        <v>417</v>
      </c>
      <c r="AE66" s="198" t="n">
        <v>143</v>
      </c>
      <c r="AF66" s="200" t="n">
        <v>45811</v>
      </c>
      <c r="AG66" s="198" t="n">
        <v>65938</v>
      </c>
      <c r="AH66" s="198" t="n">
        <f aca="false">VLOOKUP(Таблица310[[#This Row],[№ акта]],'Степень зрелости 2025'!$H$13:$I$583,2,FALSE())</f>
        <v>57</v>
      </c>
      <c r="AI66" s="198" t="str">
        <f aca="false">VLOOKUP(Таблица310[[#This Row],[№ акта]],$AQ$1:$AT$594,2,FALSE())</f>
        <v> 2/4</v>
      </c>
      <c r="AJ66" s="198" t="str">
        <f aca="false">Таблица310[[#This Row],[Регистратор.Номенклатура]]</f>
        <v>Преладо</v>
      </c>
      <c r="AK66" s="198" t="str">
        <f aca="false">VLOOKUP(Таблица310[[#This Row],[№ акта]],$AQ$1:$AT$594,4,FALSE())</f>
        <v>Учхоз Кубань (богара)</v>
      </c>
      <c r="AL66" s="230" t="n">
        <f aca="false">VLOOKUP(Таблица310[[#This Row],[№ акта]],$AQ$1:$AT$594,3,FALSE())</f>
        <v>2.23032677145832</v>
      </c>
      <c r="AM66" s="198" t="str">
        <f aca="false">IF(Таблица310[[#This Row],[Площадь уборки, га]]=Таблица310[[#This Row],[Площадь уборки до корр]],"нет","да")</f>
        <v>нет</v>
      </c>
      <c r="AN66" s="230" t="n">
        <f aca="false">Таблица310[[#This Row],[Площадь уборки до корр]]-Таблица310[[#This Row],[Площадь уборки, га]]</f>
        <v>0</v>
      </c>
      <c r="AQ66" s="0" t="n">
        <v>143</v>
      </c>
      <c r="AR66" s="0" t="s">
        <v>416</v>
      </c>
      <c r="AS66" s="0" t="n">
        <v>2.23032677145832</v>
      </c>
      <c r="AT66" s="0" t="s">
        <v>323</v>
      </c>
    </row>
    <row r="67" customFormat="false" ht="28.35" hidden="false" customHeight="false" outlineLevel="0" collapsed="false">
      <c r="A67" s="216" t="s">
        <v>358</v>
      </c>
      <c r="B67" s="217" t="n">
        <v>11029</v>
      </c>
      <c r="C67" s="241" t="n">
        <v>57</v>
      </c>
      <c r="D67" s="218" t="n">
        <v>144</v>
      </c>
      <c r="E67" s="219" t="n">
        <v>45811</v>
      </c>
      <c r="F67" s="217" t="n">
        <v>28870</v>
      </c>
      <c r="G67" s="217" t="n">
        <v>13450</v>
      </c>
      <c r="H67" s="220" t="n">
        <v>15420</v>
      </c>
      <c r="I67" s="217" t="n">
        <v>11029</v>
      </c>
      <c r="J67" s="216" t="s">
        <v>409</v>
      </c>
      <c r="K67" s="216" t="s">
        <v>252</v>
      </c>
      <c r="L67" s="216" t="s">
        <v>410</v>
      </c>
      <c r="M67" s="189" t="s">
        <v>57</v>
      </c>
      <c r="N67" s="216" t="s">
        <v>654</v>
      </c>
      <c r="O67" s="216" t="s">
        <v>655</v>
      </c>
      <c r="P67" s="216"/>
      <c r="Q67" s="216" t="s">
        <v>656</v>
      </c>
      <c r="R67" s="216" t="s">
        <v>58</v>
      </c>
      <c r="S67" s="216" t="s">
        <v>657</v>
      </c>
      <c r="T67" s="228" t="s">
        <v>416</v>
      </c>
      <c r="U67" s="195" t="str">
        <f aca="false">Таблица310[[#This Row],[Регистратор.Номенклатура]]</f>
        <v>Преладо</v>
      </c>
      <c r="V67" s="230" t="n">
        <f aca="false">33*Таблица310[[#This Row],[Регистратор.Вес нетто]]/201670</f>
        <v>2.20087271284772</v>
      </c>
      <c r="W67" s="216" t="s">
        <v>323</v>
      </c>
      <c r="X67" s="216" t="s">
        <v>52</v>
      </c>
      <c r="Y67" s="216" t="n">
        <v>5</v>
      </c>
      <c r="Z67" s="221" t="n">
        <v>45811</v>
      </c>
      <c r="AA67" s="198"/>
      <c r="AB67" s="198"/>
      <c r="AC67" s="198" t="s">
        <v>302</v>
      </c>
      <c r="AD67" s="198" t="s">
        <v>417</v>
      </c>
      <c r="AE67" s="198" t="n">
        <v>144</v>
      </c>
      <c r="AF67" s="200" t="n">
        <v>45811</v>
      </c>
      <c r="AG67" s="198" t="n">
        <v>65939</v>
      </c>
      <c r="AH67" s="198" t="n">
        <f aca="false">VLOOKUP(Таблица310[[#This Row],[№ акта]],'Степень зрелости 2025'!$H$13:$I$583,2,FALSE())</f>
        <v>57</v>
      </c>
      <c r="AI67" s="198" t="str">
        <f aca="false">VLOOKUP(Таблица310[[#This Row],[№ акта]],$AQ$1:$AT$594,2,FALSE())</f>
        <v> 2/4</v>
      </c>
      <c r="AJ67" s="198" t="str">
        <f aca="false">Таблица310[[#This Row],[Регистратор.Номенклатура]]</f>
        <v>Преладо</v>
      </c>
      <c r="AK67" s="198" t="str">
        <f aca="false">VLOOKUP(Таблица310[[#This Row],[№ акта]],$AQ$1:$AT$594,4,FALSE())</f>
        <v>Учхоз Кубань (богара)</v>
      </c>
      <c r="AL67" s="230" t="n">
        <f aca="false">VLOOKUP(Таблица310[[#This Row],[№ акта]],$AQ$1:$AT$594,3,FALSE())</f>
        <v>2.20087271284772</v>
      </c>
      <c r="AM67" s="198" t="str">
        <f aca="false">IF(Таблица310[[#This Row],[Площадь уборки, га]]=Таблица310[[#This Row],[Площадь уборки до корр]],"нет","да")</f>
        <v>нет</v>
      </c>
      <c r="AN67" s="230" t="n">
        <f aca="false">Таблица310[[#This Row],[Площадь уборки до корр]]-Таблица310[[#This Row],[Площадь уборки, га]]</f>
        <v>0</v>
      </c>
      <c r="AQ67" s="0" t="n">
        <v>144</v>
      </c>
      <c r="AR67" s="0" t="s">
        <v>416</v>
      </c>
      <c r="AS67" s="0" t="n">
        <v>2.20087271284772</v>
      </c>
      <c r="AT67" s="0" t="s">
        <v>323</v>
      </c>
    </row>
    <row r="68" customFormat="false" ht="28.35" hidden="false" customHeight="false" outlineLevel="0" collapsed="false">
      <c r="A68" s="216" t="s">
        <v>358</v>
      </c>
      <c r="B68" s="217" t="n">
        <v>10953.6</v>
      </c>
      <c r="C68" s="241" t="n">
        <v>58</v>
      </c>
      <c r="D68" s="218" t="n">
        <v>145</v>
      </c>
      <c r="E68" s="219" t="n">
        <v>45811</v>
      </c>
      <c r="F68" s="217" t="n">
        <v>28210</v>
      </c>
      <c r="G68" s="217" t="n">
        <v>13440</v>
      </c>
      <c r="H68" s="220" t="n">
        <v>14770</v>
      </c>
      <c r="I68" s="217" t="n">
        <v>10953.6</v>
      </c>
      <c r="J68" s="216" t="s">
        <v>409</v>
      </c>
      <c r="K68" s="216" t="s">
        <v>252</v>
      </c>
      <c r="L68" s="216" t="s">
        <v>410</v>
      </c>
      <c r="M68" s="189" t="s">
        <v>457</v>
      </c>
      <c r="N68" s="216" t="s">
        <v>658</v>
      </c>
      <c r="O68" s="216" t="s">
        <v>659</v>
      </c>
      <c r="P68" s="216"/>
      <c r="Q68" s="216" t="s">
        <v>660</v>
      </c>
      <c r="R68" s="216" t="s">
        <v>366</v>
      </c>
      <c r="S68" s="216" t="s">
        <v>461</v>
      </c>
      <c r="T68" s="228" t="s">
        <v>416</v>
      </c>
      <c r="U68" s="195" t="str">
        <f aca="false">Таблица310[[#This Row],[Регистратор.Номенклатура]]</f>
        <v>Преладо</v>
      </c>
      <c r="V68" s="230" t="n">
        <f aca="false">33*Таблица310[[#This Row],[Регистратор.Вес нетто]]/201670</f>
        <v>2.19923637625824</v>
      </c>
      <c r="W68" s="216" t="s">
        <v>323</v>
      </c>
      <c r="X68" s="216" t="s">
        <v>52</v>
      </c>
      <c r="Y68" s="216" t="n">
        <v>5</v>
      </c>
      <c r="Z68" s="221" t="n">
        <v>45811</v>
      </c>
      <c r="AA68" s="198"/>
      <c r="AB68" s="198"/>
      <c r="AC68" s="198" t="s">
        <v>302</v>
      </c>
      <c r="AD68" s="198" t="s">
        <v>417</v>
      </c>
      <c r="AE68" s="198" t="n">
        <v>145</v>
      </c>
      <c r="AF68" s="200" t="n">
        <v>45811</v>
      </c>
      <c r="AG68" s="198" t="n">
        <v>65941</v>
      </c>
      <c r="AH68" s="198" t="n">
        <f aca="false">VLOOKUP(Таблица310[[#This Row],[№ акта]],'Степень зрелости 2025'!$H$13:$I$583,2,FALSE())</f>
        <v>58</v>
      </c>
      <c r="AI68" s="198" t="str">
        <f aca="false">VLOOKUP(Таблица310[[#This Row],[№ акта]],$AQ$1:$AT$594,2,FALSE())</f>
        <v> 2/4</v>
      </c>
      <c r="AJ68" s="198" t="str">
        <f aca="false">Таблица310[[#This Row],[Регистратор.Номенклатура]]</f>
        <v>Преладо</v>
      </c>
      <c r="AK68" s="198" t="str">
        <f aca="false">VLOOKUP(Таблица310[[#This Row],[№ акта]],$AQ$1:$AT$594,4,FALSE())</f>
        <v>Учхоз Кубань (богара)</v>
      </c>
      <c r="AL68" s="230" t="n">
        <f aca="false">VLOOKUP(Таблица310[[#This Row],[№ акта]],$AQ$1:$AT$594,3,FALSE())</f>
        <v>2.19923637625824</v>
      </c>
      <c r="AM68" s="198" t="str">
        <f aca="false">IF(Таблица310[[#This Row],[Площадь уборки, га]]=Таблица310[[#This Row],[Площадь уборки до корр]],"нет","да")</f>
        <v>нет</v>
      </c>
      <c r="AN68" s="230" t="n">
        <f aca="false">Таблица310[[#This Row],[Площадь уборки до корр]]-Таблица310[[#This Row],[Площадь уборки, га]]</f>
        <v>0</v>
      </c>
      <c r="AQ68" s="0" t="n">
        <v>145</v>
      </c>
      <c r="AR68" s="0" t="s">
        <v>416</v>
      </c>
      <c r="AS68" s="0" t="n">
        <v>2.19923637625824</v>
      </c>
      <c r="AT68" s="0" t="s">
        <v>323</v>
      </c>
    </row>
    <row r="69" customFormat="false" ht="28.35" hidden="false" customHeight="false" outlineLevel="0" collapsed="false">
      <c r="A69" s="216" t="s">
        <v>358</v>
      </c>
      <c r="B69" s="217" t="n">
        <v>10483.2</v>
      </c>
      <c r="C69" s="241" t="n">
        <v>58</v>
      </c>
      <c r="D69" s="218" t="n">
        <v>146</v>
      </c>
      <c r="E69" s="219" t="n">
        <v>45812</v>
      </c>
      <c r="F69" s="217" t="n">
        <v>29090</v>
      </c>
      <c r="G69" s="217" t="n">
        <v>13440</v>
      </c>
      <c r="H69" s="220" t="n">
        <v>15650</v>
      </c>
      <c r="I69" s="217" t="n">
        <v>10483.2</v>
      </c>
      <c r="J69" s="216" t="s">
        <v>409</v>
      </c>
      <c r="K69" s="216" t="s">
        <v>252</v>
      </c>
      <c r="L69" s="216" t="s">
        <v>410</v>
      </c>
      <c r="M69" s="189" t="s">
        <v>519</v>
      </c>
      <c r="N69" s="216" t="s">
        <v>661</v>
      </c>
      <c r="O69" s="216" t="s">
        <v>662</v>
      </c>
      <c r="P69" s="216"/>
      <c r="Q69" s="216" t="s">
        <v>663</v>
      </c>
      <c r="R69" s="216" t="s">
        <v>523</v>
      </c>
      <c r="S69" s="216" t="s">
        <v>664</v>
      </c>
      <c r="T69" s="228" t="s">
        <v>416</v>
      </c>
      <c r="U69" s="195" t="str">
        <f aca="false">Таблица310[[#This Row],[Регистратор.Номенклатура]]</f>
        <v>Преладо</v>
      </c>
      <c r="V69" s="230" t="n">
        <f aca="false">33*Таблица310[[#This Row],[Регистратор.Вес нетто]]/201670</f>
        <v>2.19923637625824</v>
      </c>
      <c r="W69" s="216" t="s">
        <v>323</v>
      </c>
      <c r="X69" s="216" t="s">
        <v>52</v>
      </c>
      <c r="Y69" s="216" t="n">
        <v>5</v>
      </c>
      <c r="Z69" s="221" t="n">
        <v>45811</v>
      </c>
      <c r="AA69" s="198"/>
      <c r="AB69" s="198"/>
      <c r="AC69" s="198" t="s">
        <v>302</v>
      </c>
      <c r="AD69" s="198" t="s">
        <v>417</v>
      </c>
      <c r="AE69" s="198" t="n">
        <v>146</v>
      </c>
      <c r="AF69" s="200" t="n">
        <v>45812</v>
      </c>
      <c r="AG69" s="198" t="n">
        <v>65930</v>
      </c>
      <c r="AH69" s="198" t="n">
        <f aca="false">VLOOKUP(Таблица310[[#This Row],[№ акта]],'Степень зрелости 2025'!$H$13:$I$583,2,FALSE())</f>
        <v>58</v>
      </c>
      <c r="AI69" s="198" t="str">
        <f aca="false">VLOOKUP(Таблица310[[#This Row],[№ акта]],$AQ$1:$AT$594,2,FALSE())</f>
        <v> 2/4</v>
      </c>
      <c r="AJ69" s="198" t="str">
        <f aca="false">Таблица310[[#This Row],[Регистратор.Номенклатура]]</f>
        <v>Преладо</v>
      </c>
      <c r="AK69" s="198" t="str">
        <f aca="false">VLOOKUP(Таблица310[[#This Row],[№ акта]],$AQ$1:$AT$594,4,FALSE())</f>
        <v>Учхоз Кубань (богара)</v>
      </c>
      <c r="AL69" s="230" t="n">
        <f aca="false">VLOOKUP(Таблица310[[#This Row],[№ акта]],$AQ$1:$AT$594,3,FALSE())</f>
        <v>2.19923637625824</v>
      </c>
      <c r="AM69" s="198" t="str">
        <f aca="false">IF(Таблица310[[#This Row],[Площадь уборки, га]]=Таблица310[[#This Row],[Площадь уборки до корр]],"нет","да")</f>
        <v>нет</v>
      </c>
      <c r="AN69" s="230" t="n">
        <f aca="false">Таблица310[[#This Row],[Площадь уборки до корр]]-Таблица310[[#This Row],[Площадь уборки, га]]</f>
        <v>0</v>
      </c>
      <c r="AQ69" s="0" t="n">
        <v>146</v>
      </c>
      <c r="AR69" s="0" t="s">
        <v>416</v>
      </c>
      <c r="AS69" s="0" t="n">
        <v>2.19923637625824</v>
      </c>
      <c r="AT69" s="0" t="s">
        <v>323</v>
      </c>
    </row>
    <row r="70" customFormat="false" ht="28.35" hidden="false" customHeight="false" outlineLevel="0" collapsed="false">
      <c r="A70" s="216" t="s">
        <v>358</v>
      </c>
      <c r="B70" s="217" t="n">
        <v>11356.8</v>
      </c>
      <c r="C70" s="241" t="n">
        <v>57</v>
      </c>
      <c r="D70" s="218" t="n">
        <v>147</v>
      </c>
      <c r="E70" s="219" t="n">
        <v>45812</v>
      </c>
      <c r="F70" s="217" t="n">
        <v>28130</v>
      </c>
      <c r="G70" s="217" t="n">
        <v>13440</v>
      </c>
      <c r="H70" s="220" t="n">
        <v>14690</v>
      </c>
      <c r="I70" s="217" t="n">
        <v>11356.8</v>
      </c>
      <c r="J70" s="216" t="s">
        <v>409</v>
      </c>
      <c r="K70" s="216" t="s">
        <v>252</v>
      </c>
      <c r="L70" s="216" t="s">
        <v>410</v>
      </c>
      <c r="M70" s="189" t="s">
        <v>55</v>
      </c>
      <c r="N70" s="216" t="s">
        <v>665</v>
      </c>
      <c r="O70" s="216" t="s">
        <v>666</v>
      </c>
      <c r="P70" s="216"/>
      <c r="Q70" s="216" t="s">
        <v>667</v>
      </c>
      <c r="R70" s="216" t="s">
        <v>56</v>
      </c>
      <c r="S70" s="216" t="s">
        <v>465</v>
      </c>
      <c r="T70" s="228" t="s">
        <v>416</v>
      </c>
      <c r="U70" s="195" t="str">
        <f aca="false">Таблица310[[#This Row],[Регистратор.Номенклатура]]</f>
        <v>Преладо</v>
      </c>
      <c r="V70" s="230" t="n">
        <f aca="false">33*Таблица310[[#This Row],[Регистратор.Вес нетто]]/201670</f>
        <v>2.19923637625824</v>
      </c>
      <c r="W70" s="216" t="s">
        <v>323</v>
      </c>
      <c r="X70" s="216" t="s">
        <v>52</v>
      </c>
      <c r="Y70" s="216" t="n">
        <v>5</v>
      </c>
      <c r="Z70" s="221" t="n">
        <v>45811</v>
      </c>
      <c r="AA70" s="198"/>
      <c r="AB70" s="198"/>
      <c r="AC70" s="198" t="s">
        <v>302</v>
      </c>
      <c r="AD70" s="198" t="s">
        <v>417</v>
      </c>
      <c r="AE70" s="198" t="n">
        <v>147</v>
      </c>
      <c r="AF70" s="200" t="n">
        <v>45812</v>
      </c>
      <c r="AG70" s="198" t="n">
        <v>65942</v>
      </c>
      <c r="AH70" s="198" t="n">
        <f aca="false">VLOOKUP(Таблица310[[#This Row],[№ акта]],'Степень зрелости 2025'!$H$13:$I$583,2,FALSE())</f>
        <v>57</v>
      </c>
      <c r="AI70" s="198" t="str">
        <f aca="false">VLOOKUP(Таблица310[[#This Row],[№ акта]],$AQ$1:$AT$594,2,FALSE())</f>
        <v> 2/4</v>
      </c>
      <c r="AJ70" s="198" t="str">
        <f aca="false">Таблица310[[#This Row],[Регистратор.Номенклатура]]</f>
        <v>Преладо</v>
      </c>
      <c r="AK70" s="198" t="str">
        <f aca="false">VLOOKUP(Таблица310[[#This Row],[№ акта]],$AQ$1:$AT$594,4,FALSE())</f>
        <v>Учхоз Кубань (богара)</v>
      </c>
      <c r="AL70" s="230" t="n">
        <f aca="false">VLOOKUP(Таблица310[[#This Row],[№ акта]],$AQ$1:$AT$594,3,FALSE())</f>
        <v>2.19923637625824</v>
      </c>
      <c r="AM70" s="198" t="str">
        <f aca="false">IF(Таблица310[[#This Row],[Площадь уборки, га]]=Таблица310[[#This Row],[Площадь уборки до корр]],"нет","да")</f>
        <v>нет</v>
      </c>
      <c r="AN70" s="230" t="n">
        <f aca="false">Таблица310[[#This Row],[Площадь уборки до корр]]-Таблица310[[#This Row],[Площадь уборки, га]]</f>
        <v>0</v>
      </c>
      <c r="AQ70" s="0" t="n">
        <v>147</v>
      </c>
      <c r="AR70" s="0" t="s">
        <v>416</v>
      </c>
      <c r="AS70" s="0" t="n">
        <v>2.19923637625824</v>
      </c>
      <c r="AT70" s="0" t="s">
        <v>323</v>
      </c>
    </row>
    <row r="71" customFormat="false" ht="28.35" hidden="false" customHeight="false" outlineLevel="0" collapsed="false">
      <c r="A71" s="216" t="s">
        <v>358</v>
      </c>
      <c r="B71" s="217" t="n">
        <v>10645</v>
      </c>
      <c r="C71" s="241" t="n">
        <v>58</v>
      </c>
      <c r="D71" s="218" t="n">
        <v>148</v>
      </c>
      <c r="E71" s="219" t="n">
        <v>45812</v>
      </c>
      <c r="F71" s="217" t="n">
        <v>28070</v>
      </c>
      <c r="G71" s="217" t="n">
        <v>13390</v>
      </c>
      <c r="H71" s="220" t="n">
        <v>14680</v>
      </c>
      <c r="I71" s="217" t="n">
        <v>10645</v>
      </c>
      <c r="J71" s="216" t="s">
        <v>409</v>
      </c>
      <c r="K71" s="216" t="s">
        <v>252</v>
      </c>
      <c r="L71" s="216" t="s">
        <v>410</v>
      </c>
      <c r="M71" s="189" t="s">
        <v>547</v>
      </c>
      <c r="N71" s="216" t="s">
        <v>668</v>
      </c>
      <c r="O71" s="216" t="s">
        <v>669</v>
      </c>
      <c r="P71" s="216"/>
      <c r="Q71" s="216" t="s">
        <v>670</v>
      </c>
      <c r="R71" s="216" t="s">
        <v>551</v>
      </c>
      <c r="S71" s="216" t="s">
        <v>552</v>
      </c>
      <c r="T71" s="228" t="s">
        <v>416</v>
      </c>
      <c r="U71" s="195" t="str">
        <f aca="false">Таблица310[[#This Row],[Регистратор.Номенклатура]]</f>
        <v>Преладо</v>
      </c>
      <c r="V71" s="230" t="n">
        <f aca="false">33*Таблица310[[#This Row],[Регистратор.Вес нетто]]/201670</f>
        <v>2.19105469331085</v>
      </c>
      <c r="W71" s="216" t="s">
        <v>323</v>
      </c>
      <c r="X71" s="216" t="s">
        <v>52</v>
      </c>
      <c r="Y71" s="216" t="n">
        <v>5</v>
      </c>
      <c r="Z71" s="221" t="n">
        <v>45811</v>
      </c>
      <c r="AA71" s="198"/>
      <c r="AB71" s="198"/>
      <c r="AC71" s="198" t="s">
        <v>302</v>
      </c>
      <c r="AD71" s="198" t="s">
        <v>417</v>
      </c>
      <c r="AE71" s="198" t="n">
        <v>148</v>
      </c>
      <c r="AF71" s="200" t="n">
        <v>45812</v>
      </c>
      <c r="AG71" s="198" t="n">
        <v>65943</v>
      </c>
      <c r="AH71" s="198" t="n">
        <f aca="false">VLOOKUP(Таблица310[[#This Row],[№ акта]],'Степень зрелости 2025'!$H$13:$I$583,2,FALSE())</f>
        <v>58</v>
      </c>
      <c r="AI71" s="198" t="str">
        <f aca="false">VLOOKUP(Таблица310[[#This Row],[№ акта]],$AQ$1:$AT$594,2,FALSE())</f>
        <v> 2/4</v>
      </c>
      <c r="AJ71" s="198" t="str">
        <f aca="false">Таблица310[[#This Row],[Регистратор.Номенклатура]]</f>
        <v>Преладо</v>
      </c>
      <c r="AK71" s="198" t="str">
        <f aca="false">VLOOKUP(Таблица310[[#This Row],[№ акта]],$AQ$1:$AT$594,4,FALSE())</f>
        <v>Учхоз Кубань (богара)</v>
      </c>
      <c r="AL71" s="230" t="n">
        <f aca="false">VLOOKUP(Таблица310[[#This Row],[№ акта]],$AQ$1:$AT$594,3,FALSE())</f>
        <v>2.19105469331085</v>
      </c>
      <c r="AM71" s="198" t="str">
        <f aca="false">IF(Таблица310[[#This Row],[Площадь уборки, га]]=Таблица310[[#This Row],[Площадь уборки до корр]],"нет","да")</f>
        <v>нет</v>
      </c>
      <c r="AN71" s="230" t="n">
        <f aca="false">Таблица310[[#This Row],[Площадь уборки до корр]]-Таблица310[[#This Row],[Площадь уборки, га]]</f>
        <v>0</v>
      </c>
      <c r="AQ71" s="0" t="n">
        <v>148</v>
      </c>
      <c r="AR71" s="0" t="s">
        <v>416</v>
      </c>
      <c r="AS71" s="0" t="n">
        <v>2.19105469331085</v>
      </c>
      <c r="AT71" s="0" t="s">
        <v>323</v>
      </c>
    </row>
    <row r="72" customFormat="false" ht="37.3" hidden="false" customHeight="false" outlineLevel="0" collapsed="false">
      <c r="A72" s="216" t="s">
        <v>358</v>
      </c>
      <c r="B72" s="217" t="n">
        <v>5545.8</v>
      </c>
      <c r="C72" s="241" t="n">
        <v>56</v>
      </c>
      <c r="D72" s="218" t="n">
        <v>149</v>
      </c>
      <c r="E72" s="219" t="n">
        <v>45812</v>
      </c>
      <c r="F72" s="217" t="n">
        <v>16470</v>
      </c>
      <c r="G72" s="217" t="n">
        <v>7020</v>
      </c>
      <c r="H72" s="220" t="n">
        <v>9450</v>
      </c>
      <c r="I72" s="217" t="n">
        <v>5545.8</v>
      </c>
      <c r="J72" s="216" t="s">
        <v>422</v>
      </c>
      <c r="K72" s="216" t="s">
        <v>423</v>
      </c>
      <c r="L72" s="216" t="s">
        <v>628</v>
      </c>
      <c r="M72" s="189" t="s">
        <v>411</v>
      </c>
      <c r="N72" s="216" t="s">
        <v>671</v>
      </c>
      <c r="O72" s="216" t="s">
        <v>672</v>
      </c>
      <c r="P72" s="216"/>
      <c r="Q72" s="216" t="s">
        <v>673</v>
      </c>
      <c r="R72" s="216" t="s">
        <v>381</v>
      </c>
      <c r="S72" s="216"/>
      <c r="T72" s="228" t="s">
        <v>628</v>
      </c>
      <c r="U72" s="195" t="str">
        <f aca="false">Таблица310[[#This Row],[Регистратор.Номенклатура]]</f>
        <v>Оскар</v>
      </c>
      <c r="V72" s="230" t="n">
        <f aca="false">29.2*Таблица310[[#This Row],[Регистратор.Вес нетто]]/69890</f>
        <v>2.93295178137073</v>
      </c>
      <c r="W72" s="216" t="s">
        <v>324</v>
      </c>
      <c r="X72" s="216" t="s">
        <v>52</v>
      </c>
      <c r="Y72" s="216" t="n">
        <v>6</v>
      </c>
      <c r="Z72" s="221" t="n">
        <v>45811</v>
      </c>
      <c r="AA72" s="198"/>
      <c r="AB72" s="198"/>
      <c r="AC72" s="198" t="s">
        <v>302</v>
      </c>
      <c r="AD72" s="198" t="s">
        <v>417</v>
      </c>
      <c r="AE72" s="198" t="n">
        <v>149</v>
      </c>
      <c r="AF72" s="200" t="n">
        <v>45812</v>
      </c>
      <c r="AG72" s="198" t="n">
        <v>34</v>
      </c>
      <c r="AH72" s="198" t="n">
        <f aca="false">VLOOKUP(Таблица310[[#This Row],[№ акта]],'Степень зрелости 2025'!$H$13:$I$583,2,FALSE())</f>
        <v>56</v>
      </c>
      <c r="AI72" s="198" t="str">
        <f aca="false">VLOOKUP(Таблица310[[#This Row],[№ акта]],$AQ$1:$AT$594,2,FALSE())</f>
        <v>А-46</v>
      </c>
      <c r="AJ72" s="198" t="str">
        <f aca="false">Таблица310[[#This Row],[Регистратор.Номенклатура]]</f>
        <v>Оскар</v>
      </c>
      <c r="AK72" s="198" t="str">
        <f aca="false">VLOOKUP(Таблица310[[#This Row],[№ акта]],$AQ$1:$AT$594,4,FALSE())</f>
        <v>ГРК собственные семена (богара)</v>
      </c>
      <c r="AL72" s="230" t="n">
        <f aca="false">VLOOKUP(Таблица310[[#This Row],[№ акта]],$AQ$1:$AT$594,3,FALSE())</f>
        <v>2.53350070610388</v>
      </c>
      <c r="AM72" s="198" t="str">
        <f aca="false">IF(Таблица310[[#This Row],[Площадь уборки, га]]=Таблица310[[#This Row],[Площадь уборки до корр]],"нет","да")</f>
        <v>да</v>
      </c>
      <c r="AN72" s="230" t="n">
        <f aca="false">Таблица310[[#This Row],[Площадь уборки до корр]]-Таблица310[[#This Row],[Площадь уборки, га]]</f>
        <v>-0.39945107526685</v>
      </c>
      <c r="AQ72" s="0" t="n">
        <v>149</v>
      </c>
      <c r="AR72" s="0" t="s">
        <v>628</v>
      </c>
      <c r="AS72" s="0" t="n">
        <v>2.53350070610388</v>
      </c>
      <c r="AT72" s="0" t="s">
        <v>324</v>
      </c>
    </row>
    <row r="73" customFormat="false" ht="28.35" hidden="false" customHeight="false" outlineLevel="0" collapsed="false">
      <c r="A73" s="216" t="s">
        <v>358</v>
      </c>
      <c r="B73" s="217" t="n">
        <v>11030.2</v>
      </c>
      <c r="C73" s="241" t="n">
        <v>58</v>
      </c>
      <c r="D73" s="218" t="n">
        <v>150</v>
      </c>
      <c r="E73" s="219" t="n">
        <v>45812</v>
      </c>
      <c r="F73" s="217" t="n">
        <v>28240</v>
      </c>
      <c r="G73" s="217" t="n">
        <v>13370</v>
      </c>
      <c r="H73" s="220" t="n">
        <v>14870</v>
      </c>
      <c r="I73" s="217" t="n">
        <v>11030.2</v>
      </c>
      <c r="J73" s="216" t="s">
        <v>409</v>
      </c>
      <c r="K73" s="216" t="s">
        <v>252</v>
      </c>
      <c r="L73" s="216" t="s">
        <v>410</v>
      </c>
      <c r="M73" s="189" t="s">
        <v>553</v>
      </c>
      <c r="N73" s="216" t="s">
        <v>674</v>
      </c>
      <c r="O73" s="216" t="s">
        <v>675</v>
      </c>
      <c r="P73" s="216"/>
      <c r="Q73" s="216" t="s">
        <v>676</v>
      </c>
      <c r="R73" s="216" t="s">
        <v>557</v>
      </c>
      <c r="S73" s="216" t="s">
        <v>558</v>
      </c>
      <c r="T73" s="228" t="s">
        <v>416</v>
      </c>
      <c r="U73" s="195" t="str">
        <f aca="false">Таблица310[[#This Row],[Регистратор.Номенклатура]]</f>
        <v>Преладо</v>
      </c>
      <c r="V73" s="230" t="n">
        <f aca="false">33*Таблица310[[#This Row],[Регистратор.Вес нетто]]/201670</f>
        <v>2.1877820201319</v>
      </c>
      <c r="W73" s="216" t="s">
        <v>323</v>
      </c>
      <c r="X73" s="216" t="s">
        <v>52</v>
      </c>
      <c r="Y73" s="216" t="n">
        <v>5</v>
      </c>
      <c r="Z73" s="221" t="n">
        <v>45811</v>
      </c>
      <c r="AA73" s="198"/>
      <c r="AB73" s="198"/>
      <c r="AC73" s="198" t="s">
        <v>302</v>
      </c>
      <c r="AD73" s="198" t="s">
        <v>417</v>
      </c>
      <c r="AE73" s="198" t="n">
        <v>150</v>
      </c>
      <c r="AF73" s="200" t="n">
        <v>45812</v>
      </c>
      <c r="AG73" s="198" t="n">
        <v>65947</v>
      </c>
      <c r="AH73" s="198" t="n">
        <f aca="false">VLOOKUP(Таблица310[[#This Row],[№ акта]],'Степень зрелости 2025'!$H$13:$I$583,2,FALSE())</f>
        <v>58</v>
      </c>
      <c r="AI73" s="198" t="str">
        <f aca="false">VLOOKUP(Таблица310[[#This Row],[№ акта]],$AQ$1:$AT$594,2,FALSE())</f>
        <v> 2/4</v>
      </c>
      <c r="AJ73" s="198" t="str">
        <f aca="false">Таблица310[[#This Row],[Регистратор.Номенклатура]]</f>
        <v>Преладо</v>
      </c>
      <c r="AK73" s="198" t="str">
        <f aca="false">VLOOKUP(Таблица310[[#This Row],[№ акта]],$AQ$1:$AT$594,4,FALSE())</f>
        <v>Учхоз Кубань (богара)</v>
      </c>
      <c r="AL73" s="230" t="n">
        <f aca="false">VLOOKUP(Таблица310[[#This Row],[№ акта]],$AQ$1:$AT$594,3,FALSE())</f>
        <v>2.1877820201319</v>
      </c>
      <c r="AM73" s="198" t="str">
        <f aca="false">IF(Таблица310[[#This Row],[Площадь уборки, га]]=Таблица310[[#This Row],[Площадь уборки до корр]],"нет","да")</f>
        <v>нет</v>
      </c>
      <c r="AN73" s="230" t="n">
        <f aca="false">Таблица310[[#This Row],[Площадь уборки до корр]]-Таблица310[[#This Row],[Площадь уборки, га]]</f>
        <v>0</v>
      </c>
      <c r="AQ73" s="0" t="n">
        <v>150</v>
      </c>
      <c r="AR73" s="0" t="s">
        <v>416</v>
      </c>
      <c r="AS73" s="0" t="n">
        <v>2.1877820201319</v>
      </c>
      <c r="AT73" s="0" t="s">
        <v>323</v>
      </c>
    </row>
    <row r="74" customFormat="false" ht="46.25" hidden="false" customHeight="false" outlineLevel="0" collapsed="false">
      <c r="A74" s="216" t="s">
        <v>358</v>
      </c>
      <c r="B74" s="217" t="n">
        <f aca="false">Таблица310[[#This Row],[Регистратор.Вес чистый]]</f>
        <v>10251</v>
      </c>
      <c r="C74" s="241" t="n">
        <v>40</v>
      </c>
      <c r="D74" s="218" t="n">
        <v>151</v>
      </c>
      <c r="E74" s="219" t="n">
        <v>45811</v>
      </c>
      <c r="F74" s="217" t="n">
        <v>28790</v>
      </c>
      <c r="G74" s="217" t="n">
        <v>12130</v>
      </c>
      <c r="H74" s="220" t="n">
        <v>16660</v>
      </c>
      <c r="I74" s="217" t="n">
        <v>10251</v>
      </c>
      <c r="J74" s="216" t="s">
        <v>422</v>
      </c>
      <c r="K74" s="216" t="s">
        <v>423</v>
      </c>
      <c r="L74" s="216" t="s">
        <v>133</v>
      </c>
      <c r="M74" s="189" t="s">
        <v>677</v>
      </c>
      <c r="N74" s="216" t="s">
        <v>678</v>
      </c>
      <c r="O74" s="216" t="s">
        <v>679</v>
      </c>
      <c r="P74" s="216"/>
      <c r="Q74" s="216" t="s">
        <v>680</v>
      </c>
      <c r="R74" s="216" t="s">
        <v>681</v>
      </c>
      <c r="S74" s="216" t="s">
        <v>682</v>
      </c>
      <c r="T74" s="228" t="s">
        <v>628</v>
      </c>
      <c r="U74" s="195" t="str">
        <f aca="false">Таблица310[[#This Row],[Регистратор.Номенклатура]]</f>
        <v>Оскар</v>
      </c>
      <c r="V74" s="230" t="n">
        <f aca="false">20.5*Таблица310[[#This Row],[Регистратор.Вес нетто]]/68840</f>
        <v>3.61221673445671</v>
      </c>
      <c r="W74" s="216" t="s">
        <v>324</v>
      </c>
      <c r="X74" s="216" t="s">
        <v>52</v>
      </c>
      <c r="Y74" s="216" t="n">
        <v>6</v>
      </c>
      <c r="Z74" s="221" t="n">
        <v>45811</v>
      </c>
      <c r="AA74" s="231" t="n">
        <f aca="false">Таблица310[[#This Row],[Регистратор.Вес нетто]]</f>
        <v>12130</v>
      </c>
      <c r="AB74" s="198" t="s">
        <v>683</v>
      </c>
      <c r="AC74" s="198" t="s">
        <v>53</v>
      </c>
      <c r="AD74" s="198" t="s">
        <v>417</v>
      </c>
      <c r="AE74" s="198" t="n">
        <v>151</v>
      </c>
      <c r="AF74" s="200" t="n">
        <v>45811</v>
      </c>
      <c r="AG74" s="198" t="s">
        <v>684</v>
      </c>
      <c r="AH74" s="198" t="n">
        <f aca="false">VLOOKUP(Таблица310[[#This Row],[№ акта]],'Степень зрелости 2025'!$H$13:$I$583,2,FALSE())</f>
        <v>0</v>
      </c>
      <c r="AI74" s="198" t="str">
        <f aca="false">VLOOKUP(Таблица310[[#This Row],[№ акта]],$AQ$1:$AT$594,2,FALSE())</f>
        <v>А-44</v>
      </c>
      <c r="AJ74" s="198" t="str">
        <f aca="false">Таблица310[[#This Row],[Регистратор.Номенклатура]]</f>
        <v>Оскар</v>
      </c>
      <c r="AK74" s="198" t="str">
        <f aca="false">VLOOKUP(Таблица310[[#This Row],[№ акта]],$AQ$1:$AT$594,4,FALSE())</f>
        <v>ГРК собственные семена (богара)</v>
      </c>
      <c r="AL74" s="230" t="n">
        <f aca="false">VLOOKUP(Таблица310[[#This Row],[№ акта]],$AQ$1:$AT$594,3,FALSE())</f>
        <v>2.36567528035105</v>
      </c>
      <c r="AM74" s="198" t="str">
        <f aca="false">IF(Таблица310[[#This Row],[Площадь уборки, га]]=Таблица310[[#This Row],[Площадь уборки до корр]],"нет","да")</f>
        <v>да</v>
      </c>
      <c r="AN74" s="230" t="n">
        <f aca="false">Таблица310[[#This Row],[Площадь уборки до корр]]-Таблица310[[#This Row],[Площадь уборки, га]]</f>
        <v>-1.24654145410566</v>
      </c>
      <c r="AQ74" s="0" t="n">
        <v>151</v>
      </c>
      <c r="AR74" s="0" t="s">
        <v>133</v>
      </c>
      <c r="AS74" s="0" t="n">
        <v>2.36567528035105</v>
      </c>
      <c r="AT74" s="0" t="s">
        <v>324</v>
      </c>
    </row>
    <row r="75" customFormat="false" ht="37.3" hidden="false" customHeight="false" outlineLevel="0" collapsed="false">
      <c r="A75" s="216" t="s">
        <v>358</v>
      </c>
      <c r="B75" s="217" t="n">
        <f aca="false">Таблица310[[#This Row],[Регистратор.Вес чистый]]</f>
        <v>11709.8</v>
      </c>
      <c r="C75" s="241" t="n">
        <v>54</v>
      </c>
      <c r="D75" s="218" t="n">
        <v>152</v>
      </c>
      <c r="E75" s="219" t="n">
        <v>45811</v>
      </c>
      <c r="F75" s="217" t="n">
        <v>32620</v>
      </c>
      <c r="G75" s="217" t="n">
        <v>13840</v>
      </c>
      <c r="H75" s="220" t="n">
        <v>18780</v>
      </c>
      <c r="I75" s="217" t="n">
        <v>11709.8</v>
      </c>
      <c r="J75" s="216" t="s">
        <v>422</v>
      </c>
      <c r="K75" s="216" t="s">
        <v>423</v>
      </c>
      <c r="L75" s="216" t="s">
        <v>628</v>
      </c>
      <c r="M75" s="189" t="s">
        <v>685</v>
      </c>
      <c r="N75" s="216" t="s">
        <v>686</v>
      </c>
      <c r="O75" s="216" t="s">
        <v>687</v>
      </c>
      <c r="P75" s="216"/>
      <c r="Q75" s="216" t="s">
        <v>688</v>
      </c>
      <c r="R75" s="216" t="s">
        <v>689</v>
      </c>
      <c r="S75" s="216" t="s">
        <v>690</v>
      </c>
      <c r="T75" s="228" t="s">
        <v>628</v>
      </c>
      <c r="U75" s="195" t="str">
        <f aca="false">Таблица310[[#This Row],[Регистратор.Номенклатура]]</f>
        <v>Оскар</v>
      </c>
      <c r="V75" s="230" t="n">
        <f aca="false">20.5*Таблица310[[#This Row],[Регистратор.Вес нетто]]/68840</f>
        <v>4.12144102266124</v>
      </c>
      <c r="W75" s="216" t="s">
        <v>324</v>
      </c>
      <c r="X75" s="216" t="s">
        <v>52</v>
      </c>
      <c r="Y75" s="216" t="n">
        <v>6</v>
      </c>
      <c r="Z75" s="221" t="n">
        <v>45811</v>
      </c>
      <c r="AA75" s="231" t="n">
        <f aca="false">Таблица310[[#This Row],[Регистратор.Вес нетто]]</f>
        <v>13840</v>
      </c>
      <c r="AB75" s="198" t="s">
        <v>608</v>
      </c>
      <c r="AC75" s="198" t="s">
        <v>302</v>
      </c>
      <c r="AD75" s="198" t="s">
        <v>417</v>
      </c>
      <c r="AE75" s="198" t="n">
        <v>152</v>
      </c>
      <c r="AF75" s="200" t="n">
        <v>45811</v>
      </c>
      <c r="AG75" s="198" t="s">
        <v>691</v>
      </c>
      <c r="AH75" s="198" t="n">
        <f aca="false">VLOOKUP(Таблица310[[#This Row],[№ акта]],'Степень зрелости 2025'!$H$13:$I$583,2,FALSE())</f>
        <v>0</v>
      </c>
      <c r="AI75" s="198" t="str">
        <f aca="false">VLOOKUP(Таблица310[[#This Row],[№ акта]],$AQ$1:$AT$594,2,FALSE())</f>
        <v>А-46</v>
      </c>
      <c r="AJ75" s="198" t="str">
        <f aca="false">Таблица310[[#This Row],[Регистратор.Номенклатура]]</f>
        <v>Оскар</v>
      </c>
      <c r="AK75" s="198" t="str">
        <f aca="false">VLOOKUP(Таблица310[[#This Row],[№ акта]],$AQ$1:$AT$594,4,FALSE())</f>
        <v>ГРК собственные семена (богара)</v>
      </c>
      <c r="AL75" s="230" t="n">
        <f aca="false">VLOOKUP(Таблица310[[#This Row],[№ акта]],$AQ$1:$AT$594,3,FALSE())</f>
        <v>4.99482190491135</v>
      </c>
      <c r="AM75" s="198" t="str">
        <f aca="false">IF(Таблица310[[#This Row],[Площадь уборки, га]]=Таблица310[[#This Row],[Площадь уборки до корр]],"нет","да")</f>
        <v>да</v>
      </c>
      <c r="AN75" s="230" t="n">
        <f aca="false">Таблица310[[#This Row],[Площадь уборки до корр]]-Таблица310[[#This Row],[Площадь уборки, га]]</f>
        <v>0.873380882250102</v>
      </c>
      <c r="AQ75" s="0" t="n">
        <v>152</v>
      </c>
      <c r="AR75" s="0" t="s">
        <v>628</v>
      </c>
      <c r="AS75" s="0" t="n">
        <v>4.99482190491135</v>
      </c>
      <c r="AT75" s="0" t="s">
        <v>324</v>
      </c>
    </row>
    <row r="76" customFormat="false" ht="37.3" hidden="false" customHeight="false" outlineLevel="0" collapsed="false">
      <c r="A76" s="216" t="s">
        <v>358</v>
      </c>
      <c r="B76" s="217" t="n">
        <f aca="false">Таблица310[[#This Row],[Регистратор.Вес чистый]]</f>
        <v>11713</v>
      </c>
      <c r="C76" s="241" t="n">
        <v>56</v>
      </c>
      <c r="D76" s="218" t="n">
        <v>153</v>
      </c>
      <c r="E76" s="219" t="n">
        <v>45811</v>
      </c>
      <c r="F76" s="217" t="n">
        <v>31130</v>
      </c>
      <c r="G76" s="217" t="n">
        <v>13250</v>
      </c>
      <c r="H76" s="220" t="n">
        <v>17880</v>
      </c>
      <c r="I76" s="217" t="n">
        <v>11713</v>
      </c>
      <c r="J76" s="216" t="s">
        <v>422</v>
      </c>
      <c r="K76" s="216" t="s">
        <v>423</v>
      </c>
      <c r="L76" s="216" t="s">
        <v>628</v>
      </c>
      <c r="M76" s="189" t="s">
        <v>602</v>
      </c>
      <c r="N76" s="216" t="s">
        <v>692</v>
      </c>
      <c r="O76" s="216" t="s">
        <v>693</v>
      </c>
      <c r="P76" s="216"/>
      <c r="Q76" s="216" t="s">
        <v>694</v>
      </c>
      <c r="R76" s="216" t="s">
        <v>606</v>
      </c>
      <c r="S76" s="216" t="s">
        <v>607</v>
      </c>
      <c r="T76" s="228" t="s">
        <v>628</v>
      </c>
      <c r="U76" s="195" t="str">
        <f aca="false">Таблица310[[#This Row],[Регистратор.Номенклатура]]</f>
        <v>Оскар</v>
      </c>
      <c r="V76" s="230" t="n">
        <f aca="false">20.5*Таблица310[[#This Row],[Регистратор.Вес нетто]]/68840</f>
        <v>3.94574375363161</v>
      </c>
      <c r="W76" s="216" t="s">
        <v>324</v>
      </c>
      <c r="X76" s="216" t="s">
        <v>52</v>
      </c>
      <c r="Y76" s="216" t="n">
        <v>6</v>
      </c>
      <c r="Z76" s="221" t="n">
        <v>45811</v>
      </c>
      <c r="AA76" s="231" t="n">
        <f aca="false">Таблица310[[#This Row],[Регистратор.Вес нетто]]</f>
        <v>13250</v>
      </c>
      <c r="AB76" s="198" t="s">
        <v>608</v>
      </c>
      <c r="AC76" s="198" t="s">
        <v>302</v>
      </c>
      <c r="AD76" s="198" t="s">
        <v>417</v>
      </c>
      <c r="AE76" s="198" t="n">
        <v>153</v>
      </c>
      <c r="AF76" s="200" t="n">
        <v>45811</v>
      </c>
      <c r="AG76" s="198" t="s">
        <v>695</v>
      </c>
      <c r="AH76" s="198" t="n">
        <f aca="false">VLOOKUP(Таблица310[[#This Row],[№ акта]],'Степень зрелости 2025'!$H$13:$I$583,2,FALSE())</f>
        <v>0</v>
      </c>
      <c r="AI76" s="198" t="str">
        <f aca="false">VLOOKUP(Таблица310[[#This Row],[№ акта]],$AQ$1:$AT$594,2,FALSE())</f>
        <v>А-46</v>
      </c>
      <c r="AJ76" s="198" t="str">
        <f aca="false">Таблица310[[#This Row],[Регистратор.Номенклатура]]</f>
        <v>Оскар</v>
      </c>
      <c r="AK76" s="198" t="str">
        <f aca="false">VLOOKUP(Таблица310[[#This Row],[№ акта]],$AQ$1:$AT$594,4,FALSE())</f>
        <v>ГРК собственные семена (богара)</v>
      </c>
      <c r="AL76" s="230" t="n">
        <f aca="false">VLOOKUP(Таблица310[[#This Row],[№ акта]],$AQ$1:$AT$594,3,FALSE())</f>
        <v>4.78189235838695</v>
      </c>
      <c r="AM76" s="198" t="str">
        <f aca="false">IF(Таблица310[[#This Row],[Площадь уборки, га]]=Таблица310[[#This Row],[Площадь уборки до корр]],"нет","да")</f>
        <v>да</v>
      </c>
      <c r="AN76" s="230" t="n">
        <f aca="false">Таблица310[[#This Row],[Площадь уборки до корр]]-Таблица310[[#This Row],[Площадь уборки, га]]</f>
        <v>0.836148604755336</v>
      </c>
      <c r="AQ76" s="0" t="n">
        <v>153</v>
      </c>
      <c r="AR76" s="0" t="s">
        <v>628</v>
      </c>
      <c r="AS76" s="0" t="n">
        <v>4.78189235838695</v>
      </c>
      <c r="AT76" s="0" t="s">
        <v>324</v>
      </c>
    </row>
    <row r="77" customFormat="false" ht="37.3" hidden="false" customHeight="false" outlineLevel="0" collapsed="false">
      <c r="A77" s="216" t="s">
        <v>358</v>
      </c>
      <c r="B77" s="217" t="n">
        <f aca="false">Таблица310[[#This Row],[Регистратор.Вес чистый]]</f>
        <v>10115.4</v>
      </c>
      <c r="C77" s="241" t="n">
        <v>42</v>
      </c>
      <c r="D77" s="218" t="n">
        <v>154</v>
      </c>
      <c r="E77" s="219" t="n">
        <v>45811</v>
      </c>
      <c r="F77" s="217" t="n">
        <v>30790</v>
      </c>
      <c r="G77" s="217" t="n">
        <v>13800</v>
      </c>
      <c r="H77" s="220" t="n">
        <v>16990</v>
      </c>
      <c r="I77" s="217" t="n">
        <v>10115.4</v>
      </c>
      <c r="J77" s="216" t="s">
        <v>422</v>
      </c>
      <c r="K77" s="216" t="s">
        <v>423</v>
      </c>
      <c r="L77" s="216" t="s">
        <v>628</v>
      </c>
      <c r="M77" s="189" t="s">
        <v>610</v>
      </c>
      <c r="N77" s="216" t="s">
        <v>696</v>
      </c>
      <c r="O77" s="216" t="s">
        <v>697</v>
      </c>
      <c r="P77" s="216"/>
      <c r="Q77" s="216" t="s">
        <v>698</v>
      </c>
      <c r="R77" s="216" t="s">
        <v>614</v>
      </c>
      <c r="S77" s="216" t="s">
        <v>615</v>
      </c>
      <c r="T77" s="228" t="s">
        <v>628</v>
      </c>
      <c r="U77" s="195" t="str">
        <f aca="false">Таблица310[[#This Row],[Регистратор.Номенклатура]]</f>
        <v>Оскар</v>
      </c>
      <c r="V77" s="230" t="n">
        <f aca="false">20.5*Таблица310[[#This Row],[Регистратор.Вес нетто]]/68840</f>
        <v>4.109529343405</v>
      </c>
      <c r="W77" s="216" t="s">
        <v>324</v>
      </c>
      <c r="X77" s="216" t="s">
        <v>52</v>
      </c>
      <c r="Y77" s="216" t="n">
        <v>6</v>
      </c>
      <c r="Z77" s="221" t="n">
        <v>45811</v>
      </c>
      <c r="AA77" s="231" t="n">
        <f aca="false">Таблица310[[#This Row],[Регистратор.Вес нетто]]</f>
        <v>13800</v>
      </c>
      <c r="AB77" s="198" t="s">
        <v>699</v>
      </c>
      <c r="AC77" s="198" t="s">
        <v>53</v>
      </c>
      <c r="AD77" s="198" t="s">
        <v>417</v>
      </c>
      <c r="AE77" s="198" t="n">
        <v>154</v>
      </c>
      <c r="AF77" s="200" t="n">
        <v>45811</v>
      </c>
      <c r="AG77" s="198" t="s">
        <v>700</v>
      </c>
      <c r="AH77" s="198" t="n">
        <f aca="false">VLOOKUP(Таблица310[[#This Row],[№ акта]],'Степень зрелости 2025'!$H$13:$I$583,2,FALSE())</f>
        <v>0</v>
      </c>
      <c r="AI77" s="198" t="str">
        <f aca="false">VLOOKUP(Таблица310[[#This Row],[№ акта]],$AQ$1:$AT$594,2,FALSE())</f>
        <v>А-46</v>
      </c>
      <c r="AJ77" s="198" t="str">
        <f aca="false">Таблица310[[#This Row],[Регистратор.Номенклатура]]</f>
        <v>Оскар</v>
      </c>
      <c r="AK77" s="198" t="str">
        <f aca="false">VLOOKUP(Таблица310[[#This Row],[№ акта]],$AQ$1:$AT$594,4,FALSE())</f>
        <v>ГРК собственные семена (богара)</v>
      </c>
      <c r="AL77" s="230" t="n">
        <f aca="false">VLOOKUP(Таблица310[[#This Row],[№ акта]],$AQ$1:$AT$594,3,FALSE())</f>
        <v>4.98038600345206</v>
      </c>
      <c r="AM77" s="198" t="str">
        <f aca="false">IF(Таблица310[[#This Row],[Площадь уборки, га]]=Таблица310[[#This Row],[Площадь уборки до корр]],"нет","да")</f>
        <v>да</v>
      </c>
      <c r="AN77" s="230" t="n">
        <f aca="false">Таблица310[[#This Row],[Площадь уборки до корр]]-Таблица310[[#This Row],[Площадь уборки, га]]</f>
        <v>0.870856660047067</v>
      </c>
      <c r="AQ77" s="0" t="n">
        <v>154</v>
      </c>
      <c r="AR77" s="0" t="s">
        <v>628</v>
      </c>
      <c r="AS77" s="0" t="n">
        <v>4.98038600345206</v>
      </c>
      <c r="AT77" s="0" t="s">
        <v>324</v>
      </c>
    </row>
    <row r="78" customFormat="false" ht="28.35" hidden="false" customHeight="false" outlineLevel="0" collapsed="false">
      <c r="A78" s="216" t="s">
        <v>358</v>
      </c>
      <c r="B78" s="217" t="n">
        <v>11515</v>
      </c>
      <c r="C78" s="241" t="n">
        <v>58</v>
      </c>
      <c r="D78" s="218" t="n">
        <v>155</v>
      </c>
      <c r="E78" s="219" t="n">
        <v>45812</v>
      </c>
      <c r="F78" s="217" t="n">
        <v>27790</v>
      </c>
      <c r="G78" s="217" t="n">
        <v>13160</v>
      </c>
      <c r="H78" s="220" t="n">
        <v>14630</v>
      </c>
      <c r="I78" s="217" t="n">
        <v>11515</v>
      </c>
      <c r="J78" s="216" t="s">
        <v>409</v>
      </c>
      <c r="K78" s="216" t="s">
        <v>252</v>
      </c>
      <c r="L78" s="216" t="s">
        <v>410</v>
      </c>
      <c r="M78" s="189" t="s">
        <v>542</v>
      </c>
      <c r="N78" s="216" t="s">
        <v>701</v>
      </c>
      <c r="O78" s="216" t="s">
        <v>702</v>
      </c>
      <c r="P78" s="216"/>
      <c r="Q78" s="216" t="s">
        <v>703</v>
      </c>
      <c r="R78" s="216" t="s">
        <v>704</v>
      </c>
      <c r="S78" s="216" t="s">
        <v>705</v>
      </c>
      <c r="T78" s="228" t="s">
        <v>416</v>
      </c>
      <c r="U78" s="195" t="str">
        <f aca="false">Таблица310[[#This Row],[Регистратор.Номенклатура]]</f>
        <v>Преладо</v>
      </c>
      <c r="V78" s="230" t="n">
        <f aca="false">33*Таблица310[[#This Row],[Регистратор.Вес нетто]]/201670</f>
        <v>2.15341895175286</v>
      </c>
      <c r="W78" s="216" t="s">
        <v>323</v>
      </c>
      <c r="X78" s="216" t="s">
        <v>52</v>
      </c>
      <c r="Y78" s="216" t="n">
        <v>5</v>
      </c>
      <c r="Z78" s="221" t="n">
        <v>45811</v>
      </c>
      <c r="AA78" s="198"/>
      <c r="AB78" s="198" t="s">
        <v>706</v>
      </c>
      <c r="AC78" s="198" t="s">
        <v>302</v>
      </c>
      <c r="AD78" s="198" t="s">
        <v>417</v>
      </c>
      <c r="AE78" s="198" t="n">
        <v>155</v>
      </c>
      <c r="AF78" s="200" t="n">
        <v>45812</v>
      </c>
      <c r="AG78" s="198" t="n">
        <v>65950</v>
      </c>
      <c r="AH78" s="198" t="n">
        <f aca="false">VLOOKUP(Таблица310[[#This Row],[№ акта]],'Степень зрелости 2025'!$H$13:$I$583,2,FALSE())</f>
        <v>58</v>
      </c>
      <c r="AI78" s="198" t="str">
        <f aca="false">VLOOKUP(Таблица310[[#This Row],[№ акта]],$AQ$1:$AT$594,2,FALSE())</f>
        <v> 2/4</v>
      </c>
      <c r="AJ78" s="198" t="str">
        <f aca="false">Таблица310[[#This Row],[Регистратор.Номенклатура]]</f>
        <v>Преладо</v>
      </c>
      <c r="AK78" s="198" t="str">
        <f aca="false">VLOOKUP(Таблица310[[#This Row],[№ акта]],$AQ$1:$AT$594,4,FALSE())</f>
        <v>Учхоз Кубань (богара)</v>
      </c>
      <c r="AL78" s="230" t="n">
        <f aca="false">VLOOKUP(Таблица310[[#This Row],[№ акта]],$AQ$1:$AT$594,3,FALSE())</f>
        <v>2.15341895175286</v>
      </c>
      <c r="AM78" s="198" t="str">
        <f aca="false">IF(Таблица310[[#This Row],[Площадь уборки, га]]=Таблица310[[#This Row],[Площадь уборки до корр]],"нет","да")</f>
        <v>нет</v>
      </c>
      <c r="AN78" s="230" t="n">
        <f aca="false">Таблица310[[#This Row],[Площадь уборки до корр]]-Таблица310[[#This Row],[Площадь уборки, га]]</f>
        <v>0</v>
      </c>
      <c r="AQ78" s="0" t="n">
        <v>155</v>
      </c>
      <c r="AR78" s="0" t="s">
        <v>416</v>
      </c>
      <c r="AS78" s="0" t="n">
        <v>2.15341895175286</v>
      </c>
      <c r="AT78" s="0" t="s">
        <v>323</v>
      </c>
    </row>
    <row r="79" customFormat="false" ht="28.35" hidden="false" customHeight="false" outlineLevel="0" collapsed="false">
      <c r="A79" s="216" t="s">
        <v>358</v>
      </c>
      <c r="B79" s="217" t="n">
        <v>11593.7</v>
      </c>
      <c r="C79" s="241" t="n">
        <v>56</v>
      </c>
      <c r="D79" s="218" t="n">
        <v>156</v>
      </c>
      <c r="E79" s="219" t="n">
        <v>45812</v>
      </c>
      <c r="F79" s="217" t="n">
        <v>27800</v>
      </c>
      <c r="G79" s="217" t="n">
        <v>13250</v>
      </c>
      <c r="H79" s="220" t="n">
        <v>14550</v>
      </c>
      <c r="I79" s="217" t="n">
        <v>11593.7</v>
      </c>
      <c r="J79" s="216" t="s">
        <v>409</v>
      </c>
      <c r="K79" s="216" t="s">
        <v>252</v>
      </c>
      <c r="L79" s="216" t="s">
        <v>410</v>
      </c>
      <c r="M79" s="189" t="s">
        <v>363</v>
      </c>
      <c r="N79" s="216" t="s">
        <v>707</v>
      </c>
      <c r="O79" s="216" t="s">
        <v>708</v>
      </c>
      <c r="P79" s="216"/>
      <c r="Q79" s="216" t="s">
        <v>709</v>
      </c>
      <c r="R79" s="216" t="s">
        <v>364</v>
      </c>
      <c r="S79" s="216" t="s">
        <v>710</v>
      </c>
      <c r="T79" s="228" t="s">
        <v>416</v>
      </c>
      <c r="U79" s="195" t="str">
        <f aca="false">Таблица310[[#This Row],[Регистратор.Номенклатура]]</f>
        <v>Преладо</v>
      </c>
      <c r="V79" s="230" t="n">
        <f aca="false">33*Таблица310[[#This Row],[Регистратор.Вес нетто]]/201670</f>
        <v>2.16814598105816</v>
      </c>
      <c r="W79" s="216" t="s">
        <v>323</v>
      </c>
      <c r="X79" s="216" t="s">
        <v>52</v>
      </c>
      <c r="Y79" s="216" t="n">
        <v>5</v>
      </c>
      <c r="Z79" s="221" t="n">
        <v>45811</v>
      </c>
      <c r="AA79" s="198"/>
      <c r="AB79" s="198" t="s">
        <v>706</v>
      </c>
      <c r="AC79" s="198" t="s">
        <v>302</v>
      </c>
      <c r="AD79" s="198" t="s">
        <v>417</v>
      </c>
      <c r="AE79" s="198" t="n">
        <v>156</v>
      </c>
      <c r="AF79" s="200" t="n">
        <v>45812</v>
      </c>
      <c r="AG79" s="198" t="n">
        <v>65948</v>
      </c>
      <c r="AH79" s="198" t="n">
        <f aca="false">VLOOKUP(Таблица310[[#This Row],[№ акта]],'Степень зрелости 2025'!$H$13:$I$583,2,FALSE())</f>
        <v>56</v>
      </c>
      <c r="AI79" s="198" t="str">
        <f aca="false">VLOOKUP(Таблица310[[#This Row],[№ акта]],$AQ$1:$AT$594,2,FALSE())</f>
        <v> 2/4</v>
      </c>
      <c r="AJ79" s="198" t="str">
        <f aca="false">Таблица310[[#This Row],[Регистратор.Номенклатура]]</f>
        <v>Преладо</v>
      </c>
      <c r="AK79" s="198" t="str">
        <f aca="false">VLOOKUP(Таблица310[[#This Row],[№ акта]],$AQ$1:$AT$594,4,FALSE())</f>
        <v>Учхоз Кубань (богара)</v>
      </c>
      <c r="AL79" s="230" t="n">
        <f aca="false">VLOOKUP(Таблица310[[#This Row],[№ акта]],$AQ$1:$AT$594,3,FALSE())</f>
        <v>2.16814598105816</v>
      </c>
      <c r="AM79" s="198" t="str">
        <f aca="false">IF(Таблица310[[#This Row],[Площадь уборки, га]]=Таблица310[[#This Row],[Площадь уборки до корр]],"нет","да")</f>
        <v>нет</v>
      </c>
      <c r="AN79" s="230" t="n">
        <f aca="false">Таблица310[[#This Row],[Площадь уборки до корр]]-Таблица310[[#This Row],[Площадь уборки, га]]</f>
        <v>0</v>
      </c>
      <c r="AQ79" s="0" t="n">
        <v>156</v>
      </c>
      <c r="AR79" s="0" t="s">
        <v>416</v>
      </c>
      <c r="AS79" s="0" t="n">
        <v>2.16814598105816</v>
      </c>
      <c r="AT79" s="0" t="s">
        <v>323</v>
      </c>
    </row>
    <row r="80" customFormat="false" ht="28.35" hidden="false" customHeight="false" outlineLevel="0" collapsed="false">
      <c r="A80" s="216" t="s">
        <v>358</v>
      </c>
      <c r="B80" s="217" t="n">
        <v>11810.4</v>
      </c>
      <c r="C80" s="241" t="n">
        <v>59</v>
      </c>
      <c r="D80" s="218" t="n">
        <v>176</v>
      </c>
      <c r="E80" s="219" t="n">
        <v>45812</v>
      </c>
      <c r="F80" s="217" t="n">
        <v>28330</v>
      </c>
      <c r="G80" s="217" t="n">
        <v>13300</v>
      </c>
      <c r="H80" s="220" t="n">
        <v>15030</v>
      </c>
      <c r="I80" s="217" t="n">
        <v>11810.4</v>
      </c>
      <c r="J80" s="216" t="s">
        <v>409</v>
      </c>
      <c r="K80" s="216" t="s">
        <v>252</v>
      </c>
      <c r="L80" s="216" t="s">
        <v>410</v>
      </c>
      <c r="M80" s="189" t="s">
        <v>537</v>
      </c>
      <c r="N80" s="216" t="s">
        <v>711</v>
      </c>
      <c r="O80" s="216" t="s">
        <v>712</v>
      </c>
      <c r="P80" s="216"/>
      <c r="Q80" s="216" t="s">
        <v>713</v>
      </c>
      <c r="R80" s="216" t="s">
        <v>541</v>
      </c>
      <c r="S80" s="216" t="s">
        <v>714</v>
      </c>
      <c r="T80" s="228" t="s">
        <v>416</v>
      </c>
      <c r="U80" s="195" t="str">
        <f aca="false">Таблица310[[#This Row],[Регистратор.Номенклатура]]</f>
        <v>Преладо</v>
      </c>
      <c r="V80" s="230" t="n">
        <f aca="false">33*Таблица310[[#This Row],[Регистратор.Вес нетто]]/201670</f>
        <v>2.17632766400555</v>
      </c>
      <c r="W80" s="216" t="s">
        <v>323</v>
      </c>
      <c r="X80" s="216" t="s">
        <v>52</v>
      </c>
      <c r="Y80" s="216" t="n">
        <v>5</v>
      </c>
      <c r="Z80" s="221" t="n">
        <v>45811</v>
      </c>
      <c r="AA80" s="198"/>
      <c r="AB80" s="198" t="s">
        <v>706</v>
      </c>
      <c r="AC80" s="198" t="s">
        <v>302</v>
      </c>
      <c r="AD80" s="198" t="s">
        <v>417</v>
      </c>
      <c r="AE80" s="198" t="n">
        <v>176</v>
      </c>
      <c r="AF80" s="200" t="n">
        <v>45812</v>
      </c>
      <c r="AG80" s="198" t="n">
        <v>130776</v>
      </c>
      <c r="AH80" s="198" t="n">
        <f aca="false">VLOOKUP(Таблица310[[#This Row],[№ акта]],'Степень зрелости 2025'!$H$13:$I$583,2,FALSE())</f>
        <v>59</v>
      </c>
      <c r="AI80" s="198" t="str">
        <f aca="false">VLOOKUP(Таблица310[[#This Row],[№ акта]],$AQ$1:$AT$594,2,FALSE())</f>
        <v> 2/4</v>
      </c>
      <c r="AJ80" s="198" t="str">
        <f aca="false">Таблица310[[#This Row],[Регистратор.Номенклатура]]</f>
        <v>Преладо</v>
      </c>
      <c r="AK80" s="198" t="str">
        <f aca="false">VLOOKUP(Таблица310[[#This Row],[№ акта]],$AQ$1:$AT$594,4,FALSE())</f>
        <v>Учхоз Кубань (богара)</v>
      </c>
      <c r="AL80" s="230" t="n">
        <f aca="false">VLOOKUP(Таблица310[[#This Row],[№ акта]],$AQ$1:$AT$594,3,FALSE())</f>
        <v>2.17632766400555</v>
      </c>
      <c r="AM80" s="198" t="str">
        <f aca="false">IF(Таблица310[[#This Row],[Площадь уборки, га]]=Таблица310[[#This Row],[Площадь уборки до корр]],"нет","да")</f>
        <v>нет</v>
      </c>
      <c r="AN80" s="230" t="n">
        <f aca="false">Таблица310[[#This Row],[Площадь уборки до корр]]-Таблица310[[#This Row],[Площадь уборки, га]]</f>
        <v>0</v>
      </c>
      <c r="AQ80" s="0" t="n">
        <v>176</v>
      </c>
      <c r="AR80" s="0" t="s">
        <v>416</v>
      </c>
      <c r="AS80" s="0" t="n">
        <v>2.17632766400555</v>
      </c>
      <c r="AT80" s="0" t="s">
        <v>323</v>
      </c>
    </row>
    <row r="81" customFormat="false" ht="28.35" hidden="false" customHeight="false" outlineLevel="0" collapsed="false">
      <c r="A81" s="216" t="s">
        <v>358</v>
      </c>
      <c r="B81" s="217" t="n">
        <v>11542.5</v>
      </c>
      <c r="C81" s="241" t="n">
        <v>58</v>
      </c>
      <c r="D81" s="218" t="n">
        <v>177</v>
      </c>
      <c r="E81" s="219" t="n">
        <v>45812</v>
      </c>
      <c r="F81" s="217" t="n">
        <v>29200</v>
      </c>
      <c r="G81" s="217" t="n">
        <v>13500</v>
      </c>
      <c r="H81" s="220" t="n">
        <v>15700</v>
      </c>
      <c r="I81" s="217" t="n">
        <v>11542.5</v>
      </c>
      <c r="J81" s="216" t="s">
        <v>409</v>
      </c>
      <c r="K81" s="216" t="s">
        <v>252</v>
      </c>
      <c r="L81" s="216" t="s">
        <v>410</v>
      </c>
      <c r="M81" s="189" t="s">
        <v>445</v>
      </c>
      <c r="N81" s="216" t="s">
        <v>715</v>
      </c>
      <c r="O81" s="216" t="s">
        <v>716</v>
      </c>
      <c r="P81" s="216"/>
      <c r="Q81" s="216" t="s">
        <v>717</v>
      </c>
      <c r="R81" s="216" t="s">
        <v>449</v>
      </c>
      <c r="S81" s="216" t="s">
        <v>450</v>
      </c>
      <c r="T81" s="228" t="s">
        <v>416</v>
      </c>
      <c r="U81" s="195" t="str">
        <f aca="false">Таблица310[[#This Row],[Регистратор.Номенклатура]]</f>
        <v>Преладо</v>
      </c>
      <c r="V81" s="230" t="n">
        <f aca="false">33*Таблица310[[#This Row],[Регистратор.Вес нетто]]/201670</f>
        <v>2.20905439579511</v>
      </c>
      <c r="W81" s="216" t="s">
        <v>323</v>
      </c>
      <c r="X81" s="216" t="s">
        <v>52</v>
      </c>
      <c r="Y81" s="216" t="n">
        <v>5</v>
      </c>
      <c r="Z81" s="221" t="n">
        <v>45811</v>
      </c>
      <c r="AA81" s="198"/>
      <c r="AB81" s="198" t="s">
        <v>706</v>
      </c>
      <c r="AC81" s="198" t="s">
        <v>302</v>
      </c>
      <c r="AD81" s="198" t="s">
        <v>417</v>
      </c>
      <c r="AE81" s="198" t="n">
        <v>177</v>
      </c>
      <c r="AF81" s="200" t="n">
        <v>45812</v>
      </c>
      <c r="AG81" s="198" t="n">
        <v>130777</v>
      </c>
      <c r="AH81" s="198" t="n">
        <f aca="false">VLOOKUP(Таблица310[[#This Row],[№ акта]],'Степень зрелости 2025'!$H$13:$I$583,2,FALSE())</f>
        <v>58</v>
      </c>
      <c r="AI81" s="198" t="str">
        <f aca="false">VLOOKUP(Таблица310[[#This Row],[№ акта]],$AQ$1:$AT$594,2,FALSE())</f>
        <v> 2/4</v>
      </c>
      <c r="AJ81" s="198" t="str">
        <f aca="false">Таблица310[[#This Row],[Регистратор.Номенклатура]]</f>
        <v>Преладо</v>
      </c>
      <c r="AK81" s="198" t="str">
        <f aca="false">VLOOKUP(Таблица310[[#This Row],[№ акта]],$AQ$1:$AT$594,4,FALSE())</f>
        <v>Учхоз Кубань (богара)</v>
      </c>
      <c r="AL81" s="230" t="n">
        <f aca="false">VLOOKUP(Таблица310[[#This Row],[№ акта]],$AQ$1:$AT$594,3,FALSE())</f>
        <v>2.20905439579511</v>
      </c>
      <c r="AM81" s="198" t="str">
        <f aca="false">IF(Таблица310[[#This Row],[Площадь уборки, га]]=Таблица310[[#This Row],[Площадь уборки до корр]],"нет","да")</f>
        <v>нет</v>
      </c>
      <c r="AN81" s="230" t="n">
        <f aca="false">Таблица310[[#This Row],[Площадь уборки до корр]]-Таблица310[[#This Row],[Площадь уборки, га]]</f>
        <v>0</v>
      </c>
      <c r="AQ81" s="0" t="n">
        <v>177</v>
      </c>
      <c r="AR81" s="0" t="s">
        <v>416</v>
      </c>
      <c r="AS81" s="0" t="n">
        <v>2.20905439579511</v>
      </c>
      <c r="AT81" s="0" t="s">
        <v>323</v>
      </c>
    </row>
    <row r="82" customFormat="false" ht="28.35" hidden="false" customHeight="false" outlineLevel="0" collapsed="false">
      <c r="A82" s="216" t="s">
        <v>358</v>
      </c>
      <c r="B82" s="217" t="n">
        <v>11576.2</v>
      </c>
      <c r="C82" s="241" t="n">
        <v>59</v>
      </c>
      <c r="D82" s="218" t="n">
        <v>178</v>
      </c>
      <c r="E82" s="219" t="n">
        <v>45812</v>
      </c>
      <c r="F82" s="217" t="n">
        <v>28280</v>
      </c>
      <c r="G82" s="217" t="n">
        <v>13230</v>
      </c>
      <c r="H82" s="220" t="n">
        <v>15050</v>
      </c>
      <c r="I82" s="217" t="n">
        <v>11576.2</v>
      </c>
      <c r="J82" s="216" t="s">
        <v>409</v>
      </c>
      <c r="K82" s="216" t="s">
        <v>252</v>
      </c>
      <c r="L82" s="216" t="s">
        <v>410</v>
      </c>
      <c r="M82" s="189" t="s">
        <v>451</v>
      </c>
      <c r="N82" s="216" t="s">
        <v>718</v>
      </c>
      <c r="O82" s="216" t="s">
        <v>719</v>
      </c>
      <c r="P82" s="216"/>
      <c r="Q82" s="216" t="s">
        <v>720</v>
      </c>
      <c r="R82" s="216" t="s">
        <v>455</v>
      </c>
      <c r="S82" s="216" t="s">
        <v>456</v>
      </c>
      <c r="T82" s="228" t="s">
        <v>416</v>
      </c>
      <c r="U82" s="195" t="str">
        <f aca="false">Таблица310[[#This Row],[Регистратор.Номенклатура]]</f>
        <v>Преладо</v>
      </c>
      <c r="V82" s="230" t="n">
        <f aca="false">33.5*Таблица310[[#This Row],[Регистратор.Вес нетто]]/219010</f>
        <v>2.0236747180494</v>
      </c>
      <c r="W82" s="216" t="s">
        <v>323</v>
      </c>
      <c r="X82" s="216" t="s">
        <v>52</v>
      </c>
      <c r="Y82" s="216" t="n">
        <v>6</v>
      </c>
      <c r="Z82" s="221" t="n">
        <v>45812</v>
      </c>
      <c r="AA82" s="198"/>
      <c r="AB82" s="198"/>
      <c r="AC82" s="198" t="s">
        <v>302</v>
      </c>
      <c r="AD82" s="198" t="s">
        <v>417</v>
      </c>
      <c r="AE82" s="198" t="n">
        <v>178</v>
      </c>
      <c r="AF82" s="200" t="n">
        <v>45812</v>
      </c>
      <c r="AG82" s="198" t="n">
        <v>130778</v>
      </c>
      <c r="AH82" s="198" t="n">
        <f aca="false">VLOOKUP(Таблица310[[#This Row],[№ акта]],'Степень зрелости 2025'!$H$13:$I$583,2,FALSE())</f>
        <v>59</v>
      </c>
      <c r="AI82" s="198" t="str">
        <f aca="false">VLOOKUP(Таблица310[[#This Row],[№ акта]],$AQ$1:$AT$594,2,FALSE())</f>
        <v> 2/4</v>
      </c>
      <c r="AJ82" s="198" t="str">
        <f aca="false">Таблица310[[#This Row],[Регистратор.Номенклатура]]</f>
        <v>Преладо</v>
      </c>
      <c r="AK82" s="198" t="str">
        <f aca="false">VLOOKUP(Таблица310[[#This Row],[№ акта]],$AQ$1:$AT$594,4,FALSE())</f>
        <v>Учхоз Кубань (богара)</v>
      </c>
      <c r="AL82" s="230" t="n">
        <f aca="false">VLOOKUP(Таблица310[[#This Row],[№ акта]],$AQ$1:$AT$594,3,FALSE())</f>
        <v>2.0236747180494</v>
      </c>
      <c r="AM82" s="198" t="str">
        <f aca="false">IF(Таблица310[[#This Row],[Площадь уборки, га]]=Таблица310[[#This Row],[Площадь уборки до корр]],"нет","да")</f>
        <v>нет</v>
      </c>
      <c r="AN82" s="230" t="n">
        <f aca="false">Таблица310[[#This Row],[Площадь уборки до корр]]-Таблица310[[#This Row],[Площадь уборки, га]]</f>
        <v>0</v>
      </c>
      <c r="AQ82" s="0" t="n">
        <v>178</v>
      </c>
      <c r="AR82" s="0" t="s">
        <v>416</v>
      </c>
      <c r="AS82" s="0" t="n">
        <v>2.0236747180494</v>
      </c>
      <c r="AT82" s="0" t="s">
        <v>323</v>
      </c>
    </row>
    <row r="83" customFormat="false" ht="28.35" hidden="false" customHeight="false" outlineLevel="0" collapsed="false">
      <c r="A83" s="216" t="s">
        <v>358</v>
      </c>
      <c r="B83" s="217" t="n">
        <v>11409.3</v>
      </c>
      <c r="C83" s="241" t="n">
        <v>62</v>
      </c>
      <c r="D83" s="218" t="n">
        <v>179</v>
      </c>
      <c r="E83" s="219" t="n">
        <v>45812</v>
      </c>
      <c r="F83" s="217" t="n">
        <v>28130</v>
      </c>
      <c r="G83" s="217" t="n">
        <v>13190</v>
      </c>
      <c r="H83" s="220" t="n">
        <v>14940</v>
      </c>
      <c r="I83" s="217" t="n">
        <v>11409.3</v>
      </c>
      <c r="J83" s="216" t="s">
        <v>409</v>
      </c>
      <c r="K83" s="216" t="s">
        <v>584</v>
      </c>
      <c r="L83" s="216" t="s">
        <v>410</v>
      </c>
      <c r="M83" s="189" t="s">
        <v>371</v>
      </c>
      <c r="N83" s="216" t="s">
        <v>721</v>
      </c>
      <c r="O83" s="216" t="s">
        <v>722</v>
      </c>
      <c r="P83" s="216"/>
      <c r="Q83" s="216" t="s">
        <v>723</v>
      </c>
      <c r="R83" s="216" t="s">
        <v>372</v>
      </c>
      <c r="S83" s="216" t="s">
        <v>588</v>
      </c>
      <c r="T83" s="228" t="s">
        <v>416</v>
      </c>
      <c r="U83" s="195" t="str">
        <f aca="false">Таблица310[[#This Row],[Регистратор.Номенклатура]]</f>
        <v>Изюминка</v>
      </c>
      <c r="V83" s="230" t="n">
        <f aca="false">33.5*Таблица310[[#This Row],[Регистратор.Вес нетто]]/219010</f>
        <v>2.01755627596913</v>
      </c>
      <c r="W83" s="216" t="s">
        <v>323</v>
      </c>
      <c r="X83" s="216" t="s">
        <v>52</v>
      </c>
      <c r="Y83" s="216" t="n">
        <v>6</v>
      </c>
      <c r="Z83" s="221" t="n">
        <v>45812</v>
      </c>
      <c r="AA83" s="198"/>
      <c r="AB83" s="198"/>
      <c r="AC83" s="198" t="s">
        <v>302</v>
      </c>
      <c r="AD83" s="198" t="s">
        <v>417</v>
      </c>
      <c r="AE83" s="198" t="n">
        <v>179</v>
      </c>
      <c r="AF83" s="200" t="n">
        <v>45812</v>
      </c>
      <c r="AG83" s="198" t="n">
        <v>130781</v>
      </c>
      <c r="AH83" s="198" t="n">
        <f aca="false">VLOOKUP(Таблица310[[#This Row],[№ акта]],'Степень зрелости 2025'!$H$13:$I$583,2,FALSE())</f>
        <v>62</v>
      </c>
      <c r="AI83" s="198" t="str">
        <f aca="false">VLOOKUP(Таблица310[[#This Row],[№ акта]],$AQ$1:$AT$594,2,FALSE())</f>
        <v> 2/4</v>
      </c>
      <c r="AJ83" s="198" t="str">
        <f aca="false">Таблица310[[#This Row],[Регистратор.Номенклатура]]</f>
        <v>Изюминка</v>
      </c>
      <c r="AK83" s="198" t="str">
        <f aca="false">VLOOKUP(Таблица310[[#This Row],[№ акта]],$AQ$1:$AT$594,4,FALSE())</f>
        <v>Учхоз Кубань (богара)</v>
      </c>
      <c r="AL83" s="230" t="n">
        <f aca="false">VLOOKUP(Таблица310[[#This Row],[№ акта]],$AQ$1:$AT$594,3,FALSE())</f>
        <v>2.01755627596913</v>
      </c>
      <c r="AM83" s="198" t="str">
        <f aca="false">IF(Таблица310[[#This Row],[Площадь уборки, га]]=Таблица310[[#This Row],[Площадь уборки до корр]],"нет","да")</f>
        <v>нет</v>
      </c>
      <c r="AN83" s="230" t="n">
        <f aca="false">Таблица310[[#This Row],[Площадь уборки до корр]]-Таблица310[[#This Row],[Площадь уборки, га]]</f>
        <v>0</v>
      </c>
      <c r="AQ83" s="0" t="n">
        <v>179</v>
      </c>
      <c r="AR83" s="0" t="s">
        <v>416</v>
      </c>
      <c r="AS83" s="0" t="n">
        <v>2.01755627596913</v>
      </c>
      <c r="AT83" s="0" t="s">
        <v>323</v>
      </c>
    </row>
    <row r="84" customFormat="false" ht="28.35" hidden="false" customHeight="false" outlineLevel="0" collapsed="false">
      <c r="A84" s="216" t="s">
        <v>358</v>
      </c>
      <c r="B84" s="217" t="n">
        <v>13755</v>
      </c>
      <c r="C84" s="241" t="n">
        <v>62</v>
      </c>
      <c r="D84" s="218" t="n">
        <v>180</v>
      </c>
      <c r="E84" s="219" t="n">
        <v>45812</v>
      </c>
      <c r="F84" s="217" t="n">
        <v>34410</v>
      </c>
      <c r="G84" s="217" t="n">
        <v>15720</v>
      </c>
      <c r="H84" s="220" t="n">
        <v>18690</v>
      </c>
      <c r="I84" s="217" t="n">
        <v>13755</v>
      </c>
      <c r="J84" s="216" t="s">
        <v>409</v>
      </c>
      <c r="K84" s="216" t="s">
        <v>252</v>
      </c>
      <c r="L84" s="216" t="s">
        <v>410</v>
      </c>
      <c r="M84" s="189" t="s">
        <v>365</v>
      </c>
      <c r="N84" s="216" t="s">
        <v>724</v>
      </c>
      <c r="O84" s="216" t="s">
        <v>725</v>
      </c>
      <c r="P84" s="216"/>
      <c r="Q84" s="216" t="s">
        <v>726</v>
      </c>
      <c r="R84" s="216" t="s">
        <v>373</v>
      </c>
      <c r="S84" s="216" t="s">
        <v>592</v>
      </c>
      <c r="T84" s="228" t="s">
        <v>416</v>
      </c>
      <c r="U84" s="195" t="str">
        <f aca="false">Таблица310[[#This Row],[Регистратор.Номенклатура]]</f>
        <v>Преладо</v>
      </c>
      <c r="V84" s="230" t="n">
        <f aca="false">33.5*Таблица310[[#This Row],[Регистратор.Вес нетто]]/219010</f>
        <v>2.40454773754623</v>
      </c>
      <c r="W84" s="216" t="s">
        <v>323</v>
      </c>
      <c r="X84" s="216" t="s">
        <v>52</v>
      </c>
      <c r="Y84" s="216" t="n">
        <v>6</v>
      </c>
      <c r="Z84" s="221" t="n">
        <v>45812</v>
      </c>
      <c r="AA84" s="198"/>
      <c r="AB84" s="198"/>
      <c r="AC84" s="198" t="s">
        <v>302</v>
      </c>
      <c r="AD84" s="198" t="s">
        <v>417</v>
      </c>
      <c r="AE84" s="198" t="n">
        <v>180</v>
      </c>
      <c r="AF84" s="200" t="n">
        <v>45812</v>
      </c>
      <c r="AG84" s="198" t="n">
        <v>130782</v>
      </c>
      <c r="AH84" s="198" t="n">
        <f aca="false">VLOOKUP(Таблица310[[#This Row],[№ акта]],'Степень зрелости 2025'!$H$13:$I$583,2,FALSE())</f>
        <v>62</v>
      </c>
      <c r="AI84" s="198" t="str">
        <f aca="false">VLOOKUP(Таблица310[[#This Row],[№ акта]],$AQ$1:$AT$594,2,FALSE())</f>
        <v> 2/4</v>
      </c>
      <c r="AJ84" s="198" t="str">
        <f aca="false">Таблица310[[#This Row],[Регистратор.Номенклатура]]</f>
        <v>Преладо</v>
      </c>
      <c r="AK84" s="198" t="str">
        <f aca="false">VLOOKUP(Таблица310[[#This Row],[№ акта]],$AQ$1:$AT$594,4,FALSE())</f>
        <v>Учхоз Кубань (богара)</v>
      </c>
      <c r="AL84" s="230" t="n">
        <f aca="false">VLOOKUP(Таблица310[[#This Row],[№ акта]],$AQ$1:$AT$594,3,FALSE())</f>
        <v>2.40454773754623</v>
      </c>
      <c r="AM84" s="198" t="str">
        <f aca="false">IF(Таблица310[[#This Row],[Площадь уборки, га]]=Таблица310[[#This Row],[Площадь уборки до корр]],"нет","да")</f>
        <v>нет</v>
      </c>
      <c r="AN84" s="230" t="n">
        <f aca="false">Таблица310[[#This Row],[Площадь уборки до корр]]-Таблица310[[#This Row],[Площадь уборки, га]]</f>
        <v>0</v>
      </c>
      <c r="AQ84" s="0" t="n">
        <v>180</v>
      </c>
      <c r="AR84" s="0" t="s">
        <v>416</v>
      </c>
      <c r="AS84" s="0" t="n">
        <v>2.40454773754623</v>
      </c>
      <c r="AT84" s="0" t="s">
        <v>323</v>
      </c>
    </row>
    <row r="85" customFormat="false" ht="28.35" hidden="false" customHeight="false" outlineLevel="0" collapsed="false">
      <c r="A85" s="216" t="s">
        <v>358</v>
      </c>
      <c r="B85" s="217" t="n">
        <v>11495.8</v>
      </c>
      <c r="C85" s="241" t="n">
        <v>64</v>
      </c>
      <c r="D85" s="218" t="n">
        <v>181</v>
      </c>
      <c r="E85" s="219" t="n">
        <v>45812</v>
      </c>
      <c r="F85" s="217" t="n">
        <v>27680</v>
      </c>
      <c r="G85" s="217" t="n">
        <v>13290</v>
      </c>
      <c r="H85" s="220" t="n">
        <v>14390</v>
      </c>
      <c r="I85" s="217" t="n">
        <v>11495.8</v>
      </c>
      <c r="J85" s="216" t="s">
        <v>409</v>
      </c>
      <c r="K85" s="216" t="s">
        <v>252</v>
      </c>
      <c r="L85" s="216" t="s">
        <v>410</v>
      </c>
      <c r="M85" s="189" t="s">
        <v>384</v>
      </c>
      <c r="N85" s="216" t="s">
        <v>727</v>
      </c>
      <c r="O85" s="216" t="s">
        <v>728</v>
      </c>
      <c r="P85" s="216"/>
      <c r="Q85" s="216" t="s">
        <v>729</v>
      </c>
      <c r="R85" s="216" t="s">
        <v>385</v>
      </c>
      <c r="S85" s="216" t="s">
        <v>578</v>
      </c>
      <c r="T85" s="228" t="s">
        <v>416</v>
      </c>
      <c r="U85" s="195" t="str">
        <f aca="false">Таблица310[[#This Row],[Регистратор.Номенклатура]]</f>
        <v>Преладо</v>
      </c>
      <c r="V85" s="230" t="n">
        <f aca="false">33.5*Таблица310[[#This Row],[Регистратор.Вес нетто]]/219010</f>
        <v>2.03285238116981</v>
      </c>
      <c r="W85" s="216" t="s">
        <v>323</v>
      </c>
      <c r="X85" s="216" t="s">
        <v>52</v>
      </c>
      <c r="Y85" s="216" t="n">
        <v>6</v>
      </c>
      <c r="Z85" s="221" t="n">
        <v>45812</v>
      </c>
      <c r="AA85" s="198"/>
      <c r="AB85" s="198"/>
      <c r="AC85" s="198" t="s">
        <v>304</v>
      </c>
      <c r="AD85" s="198" t="s">
        <v>417</v>
      </c>
      <c r="AE85" s="198" t="n">
        <v>181</v>
      </c>
      <c r="AF85" s="200" t="n">
        <v>45812</v>
      </c>
      <c r="AG85" s="198" t="n">
        <v>130783</v>
      </c>
      <c r="AH85" s="198" t="n">
        <f aca="false">VLOOKUP(Таблица310[[#This Row],[№ акта]],'Степень зрелости 2025'!$H$13:$I$583,2,FALSE())</f>
        <v>64</v>
      </c>
      <c r="AI85" s="198" t="str">
        <f aca="false">VLOOKUP(Таблица310[[#This Row],[№ акта]],$AQ$1:$AT$594,2,FALSE())</f>
        <v> 2/4</v>
      </c>
      <c r="AJ85" s="198" t="str">
        <f aca="false">Таблица310[[#This Row],[Регистратор.Номенклатура]]</f>
        <v>Преладо</v>
      </c>
      <c r="AK85" s="198" t="str">
        <f aca="false">VLOOKUP(Таблица310[[#This Row],[№ акта]],$AQ$1:$AT$594,4,FALSE())</f>
        <v>Учхоз Кубань (богара)</v>
      </c>
      <c r="AL85" s="230" t="n">
        <f aca="false">VLOOKUP(Таблица310[[#This Row],[№ акта]],$AQ$1:$AT$594,3,FALSE())</f>
        <v>2.03285238116981</v>
      </c>
      <c r="AM85" s="198" t="str">
        <f aca="false">IF(Таблица310[[#This Row],[Площадь уборки, га]]=Таблица310[[#This Row],[Площадь уборки до корр]],"нет","да")</f>
        <v>нет</v>
      </c>
      <c r="AN85" s="230" t="n">
        <f aca="false">Таблица310[[#This Row],[Площадь уборки до корр]]-Таблица310[[#This Row],[Площадь уборки, га]]</f>
        <v>0</v>
      </c>
      <c r="AQ85" s="0" t="n">
        <v>181</v>
      </c>
      <c r="AR85" s="0" t="s">
        <v>416</v>
      </c>
      <c r="AS85" s="0" t="n">
        <v>2.03285238116981</v>
      </c>
      <c r="AT85" s="0" t="s">
        <v>323</v>
      </c>
    </row>
    <row r="86" customFormat="false" ht="19.4" hidden="false" customHeight="false" outlineLevel="0" collapsed="false">
      <c r="A86" s="216" t="s">
        <v>358</v>
      </c>
      <c r="B86" s="217" t="n">
        <v>1875.9</v>
      </c>
      <c r="C86" s="241" t="n">
        <v>57</v>
      </c>
      <c r="D86" s="218" t="n">
        <v>182</v>
      </c>
      <c r="E86" s="219" t="n">
        <v>45812</v>
      </c>
      <c r="F86" s="217" t="n">
        <v>11950</v>
      </c>
      <c r="G86" s="217" t="n">
        <v>2220</v>
      </c>
      <c r="H86" s="220" t="n">
        <v>9730</v>
      </c>
      <c r="I86" s="217" t="n">
        <v>1875.9</v>
      </c>
      <c r="J86" s="216" t="s">
        <v>422</v>
      </c>
      <c r="K86" s="216" t="s">
        <v>47</v>
      </c>
      <c r="L86" s="216" t="s">
        <v>730</v>
      </c>
      <c r="M86" s="189" t="s">
        <v>376</v>
      </c>
      <c r="N86" s="216" t="s">
        <v>731</v>
      </c>
      <c r="O86" s="216" t="s">
        <v>732</v>
      </c>
      <c r="P86" s="216"/>
      <c r="Q86" s="216" t="n">
        <v>780</v>
      </c>
      <c r="R86" s="216" t="s">
        <v>377</v>
      </c>
      <c r="S86" s="216" t="s">
        <v>421</v>
      </c>
      <c r="T86" s="228" t="s">
        <v>730</v>
      </c>
      <c r="U86" s="195" t="str">
        <f aca="false">Таблица310[[#This Row],[Регистратор.Номенклатура]]</f>
        <v>Авола</v>
      </c>
      <c r="V86" s="230" t="n">
        <v>0.8</v>
      </c>
      <c r="W86" s="216" t="s">
        <v>51</v>
      </c>
      <c r="X86" s="242" t="s">
        <v>52</v>
      </c>
      <c r="Y86" s="216" t="n">
        <v>7</v>
      </c>
      <c r="Z86" s="221" t="n">
        <v>45812</v>
      </c>
      <c r="AA86" s="198"/>
      <c r="AB86" s="198"/>
      <c r="AC86" s="198" t="s">
        <v>302</v>
      </c>
      <c r="AD86" s="198" t="s">
        <v>417</v>
      </c>
      <c r="AE86" s="198" t="n">
        <v>182</v>
      </c>
      <c r="AF86" s="200" t="n">
        <v>45812</v>
      </c>
      <c r="AG86" s="198" t="n">
        <v>37</v>
      </c>
      <c r="AH86" s="198" t="n">
        <f aca="false">VLOOKUP(Таблица310[[#This Row],[№ акта]],'Степень зрелости 2025'!$H$13:$I$583,2,FALSE())</f>
        <v>57</v>
      </c>
      <c r="AI86" s="198" t="str">
        <f aca="false">VLOOKUP(Таблица310[[#This Row],[№ акта]],$AQ$1:$AT$594,2,FALSE())</f>
        <v>А-57</v>
      </c>
      <c r="AJ86" s="198" t="str">
        <f aca="false">Таблица310[[#This Row],[Регистратор.Номенклатура]]</f>
        <v>Авола</v>
      </c>
      <c r="AK86" s="198" t="str">
        <f aca="false">VLOOKUP(Таблица310[[#This Row],[№ акта]],$AQ$1:$AT$594,4,FALSE())</f>
        <v>ГРК (богара)</v>
      </c>
      <c r="AL86" s="230" t="n">
        <f aca="false">VLOOKUP(Таблица310[[#This Row],[№ акта]],$AQ$1:$AT$594,3,FALSE())</f>
        <v>0.8</v>
      </c>
      <c r="AM86" s="198" t="str">
        <f aca="false">IF(Таблица310[[#This Row],[Площадь уборки, га]]=Таблица310[[#This Row],[Площадь уборки до корр]],"нет","да")</f>
        <v>нет</v>
      </c>
      <c r="AN86" s="230" t="n">
        <f aca="false">Таблица310[[#This Row],[Площадь уборки до корр]]-Таблица310[[#This Row],[Площадь уборки, га]]</f>
        <v>0</v>
      </c>
      <c r="AQ86" s="0" t="n">
        <v>182</v>
      </c>
      <c r="AR86" s="0" t="s">
        <v>730</v>
      </c>
      <c r="AS86" s="0" t="n">
        <v>0.8</v>
      </c>
      <c r="AT86" s="0" t="s">
        <v>51</v>
      </c>
    </row>
    <row r="87" customFormat="false" ht="28.35" hidden="false" customHeight="false" outlineLevel="0" collapsed="false">
      <c r="A87" s="216" t="s">
        <v>358</v>
      </c>
      <c r="B87" s="217" t="n">
        <v>11948.2</v>
      </c>
      <c r="C87" s="241" t="n">
        <v>62</v>
      </c>
      <c r="D87" s="218" t="n">
        <v>183</v>
      </c>
      <c r="E87" s="219" t="n">
        <v>45812</v>
      </c>
      <c r="F87" s="217" t="n">
        <v>28130</v>
      </c>
      <c r="G87" s="217" t="n">
        <v>13350</v>
      </c>
      <c r="H87" s="220" t="n">
        <v>14780</v>
      </c>
      <c r="I87" s="217" t="n">
        <v>11948.2</v>
      </c>
      <c r="J87" s="216" t="s">
        <v>409</v>
      </c>
      <c r="K87" s="216" t="s">
        <v>252</v>
      </c>
      <c r="L87" s="216" t="s">
        <v>410</v>
      </c>
      <c r="M87" s="189" t="s">
        <v>361</v>
      </c>
      <c r="N87" s="216" t="s">
        <v>733</v>
      </c>
      <c r="O87" s="216" t="s">
        <v>734</v>
      </c>
      <c r="P87" s="216"/>
      <c r="Q87" s="216" t="s">
        <v>735</v>
      </c>
      <c r="R87" s="216" t="s">
        <v>362</v>
      </c>
      <c r="S87" s="216" t="s">
        <v>583</v>
      </c>
      <c r="T87" s="228" t="s">
        <v>416</v>
      </c>
      <c r="U87" s="195" t="str">
        <f aca="false">Таблица310[[#This Row],[Регистратор.Номенклатура]]</f>
        <v>Преладо</v>
      </c>
      <c r="V87" s="230" t="n">
        <f aca="false">33.5*Таблица310[[#This Row],[Регистратор.Вес нетто]]/219010</f>
        <v>2.04203004429022</v>
      </c>
      <c r="W87" s="216" t="s">
        <v>323</v>
      </c>
      <c r="X87" s="216" t="s">
        <v>52</v>
      </c>
      <c r="Y87" s="216" t="n">
        <v>6</v>
      </c>
      <c r="Z87" s="221" t="n">
        <v>45812</v>
      </c>
      <c r="AA87" s="198"/>
      <c r="AB87" s="198"/>
      <c r="AC87" s="198" t="s">
        <v>302</v>
      </c>
      <c r="AD87" s="198" t="s">
        <v>417</v>
      </c>
      <c r="AE87" s="198" t="n">
        <v>183</v>
      </c>
      <c r="AF87" s="200" t="n">
        <v>45812</v>
      </c>
      <c r="AG87" s="198" t="n">
        <v>130784</v>
      </c>
      <c r="AH87" s="198" t="n">
        <f aca="false">VLOOKUP(Таблица310[[#This Row],[№ акта]],'Степень зрелости 2025'!$H$13:$I$583,2,FALSE())</f>
        <v>62</v>
      </c>
      <c r="AI87" s="198" t="str">
        <f aca="false">VLOOKUP(Таблица310[[#This Row],[№ акта]],$AQ$1:$AT$594,2,FALSE())</f>
        <v> 2/4</v>
      </c>
      <c r="AJ87" s="198" t="str">
        <f aca="false">Таблица310[[#This Row],[Регистратор.Номенклатура]]</f>
        <v>Преладо</v>
      </c>
      <c r="AK87" s="198" t="str">
        <f aca="false">VLOOKUP(Таблица310[[#This Row],[№ акта]],$AQ$1:$AT$594,4,FALSE())</f>
        <v>Учхоз Кубань (богара)</v>
      </c>
      <c r="AL87" s="230" t="n">
        <f aca="false">VLOOKUP(Таблица310[[#This Row],[№ акта]],$AQ$1:$AT$594,3,FALSE())</f>
        <v>2.04203004429022</v>
      </c>
      <c r="AM87" s="198" t="str">
        <f aca="false">IF(Таблица310[[#This Row],[Площадь уборки, га]]=Таблица310[[#This Row],[Площадь уборки до корр]],"нет","да")</f>
        <v>нет</v>
      </c>
      <c r="AN87" s="230" t="n">
        <f aca="false">Таблица310[[#This Row],[Площадь уборки до корр]]-Таблица310[[#This Row],[Площадь уборки, га]]</f>
        <v>0</v>
      </c>
      <c r="AQ87" s="0" t="n">
        <v>183</v>
      </c>
      <c r="AR87" s="0" t="s">
        <v>416</v>
      </c>
      <c r="AS87" s="0" t="n">
        <v>2.04203004429022</v>
      </c>
      <c r="AT87" s="0" t="s">
        <v>323</v>
      </c>
    </row>
    <row r="88" customFormat="false" ht="28.35" hidden="false" customHeight="false" outlineLevel="0" collapsed="false">
      <c r="A88" s="216" t="s">
        <v>358</v>
      </c>
      <c r="B88" s="217" t="n">
        <v>13209.6</v>
      </c>
      <c r="C88" s="241" t="n">
        <v>62</v>
      </c>
      <c r="D88" s="218" t="n">
        <v>184</v>
      </c>
      <c r="E88" s="219" t="n">
        <v>45812</v>
      </c>
      <c r="F88" s="217" t="n">
        <v>36430</v>
      </c>
      <c r="G88" s="217" t="n">
        <v>15360</v>
      </c>
      <c r="H88" s="220" t="n">
        <v>21070</v>
      </c>
      <c r="I88" s="217" t="n">
        <v>13209.6</v>
      </c>
      <c r="J88" s="216" t="s">
        <v>409</v>
      </c>
      <c r="K88" s="216" t="s">
        <v>252</v>
      </c>
      <c r="L88" s="216" t="s">
        <v>410</v>
      </c>
      <c r="M88" s="189" t="s">
        <v>427</v>
      </c>
      <c r="N88" s="216" t="s">
        <v>736</v>
      </c>
      <c r="O88" s="216" t="s">
        <v>737</v>
      </c>
      <c r="P88" s="216"/>
      <c r="Q88" s="216" t="s">
        <v>738</v>
      </c>
      <c r="R88" s="216" t="s">
        <v>431</v>
      </c>
      <c r="S88" s="216" t="s">
        <v>432</v>
      </c>
      <c r="T88" s="228" t="s">
        <v>416</v>
      </c>
      <c r="U88" s="195" t="str">
        <f aca="false">Таблица310[[#This Row],[Регистратор.Номенклатура]]</f>
        <v>Преладо</v>
      </c>
      <c r="V88" s="230" t="n">
        <f aca="false">33.5*Таблица310[[#This Row],[Регистратор.Вес нетто]]/219010</f>
        <v>2.3494817588238</v>
      </c>
      <c r="W88" s="216" t="s">
        <v>323</v>
      </c>
      <c r="X88" s="216" t="s">
        <v>52</v>
      </c>
      <c r="Y88" s="216" t="n">
        <v>6</v>
      </c>
      <c r="Z88" s="221" t="n">
        <v>45812</v>
      </c>
      <c r="AA88" s="198"/>
      <c r="AB88" s="198"/>
      <c r="AC88" s="198" t="s">
        <v>302</v>
      </c>
      <c r="AD88" s="198" t="s">
        <v>417</v>
      </c>
      <c r="AE88" s="198" t="n">
        <v>184</v>
      </c>
      <c r="AF88" s="200" t="n">
        <v>45812</v>
      </c>
      <c r="AG88" s="198" t="n">
        <v>130786</v>
      </c>
      <c r="AH88" s="198" t="n">
        <f aca="false">VLOOKUP(Таблица310[[#This Row],[№ акта]],'Степень зрелости 2025'!$H$13:$I$583,2,FALSE())</f>
        <v>62</v>
      </c>
      <c r="AI88" s="198" t="str">
        <f aca="false">VLOOKUP(Таблица310[[#This Row],[№ акта]],$AQ$1:$AT$594,2,FALSE())</f>
        <v> 2/4</v>
      </c>
      <c r="AJ88" s="198" t="str">
        <f aca="false">Таблица310[[#This Row],[Регистратор.Номенклатура]]</f>
        <v>Преладо</v>
      </c>
      <c r="AK88" s="198" t="str">
        <f aca="false">VLOOKUP(Таблица310[[#This Row],[№ акта]],$AQ$1:$AT$594,4,FALSE())</f>
        <v>Учхоз Кубань (богара)</v>
      </c>
      <c r="AL88" s="230" t="n">
        <f aca="false">VLOOKUP(Таблица310[[#This Row],[№ акта]],$AQ$1:$AT$594,3,FALSE())</f>
        <v>2.3494817588238</v>
      </c>
      <c r="AM88" s="198" t="str">
        <f aca="false">IF(Таблица310[[#This Row],[Площадь уборки, га]]=Таблица310[[#This Row],[Площадь уборки до корр]],"нет","да")</f>
        <v>нет</v>
      </c>
      <c r="AN88" s="230" t="n">
        <f aca="false">Таблица310[[#This Row],[Площадь уборки до корр]]-Таблица310[[#This Row],[Площадь уборки, га]]</f>
        <v>0</v>
      </c>
      <c r="AQ88" s="0" t="n">
        <v>184</v>
      </c>
      <c r="AR88" s="0" t="s">
        <v>416</v>
      </c>
      <c r="AS88" s="0" t="n">
        <v>2.3494817588238</v>
      </c>
      <c r="AT88" s="0" t="s">
        <v>323</v>
      </c>
    </row>
    <row r="89" customFormat="false" ht="28.35" hidden="false" customHeight="false" outlineLevel="0" collapsed="false">
      <c r="A89" s="216" t="s">
        <v>358</v>
      </c>
      <c r="B89" s="217" t="n">
        <v>12105.4</v>
      </c>
      <c r="C89" s="241" t="n">
        <v>59</v>
      </c>
      <c r="D89" s="218" t="n">
        <v>185</v>
      </c>
      <c r="E89" s="219" t="n">
        <v>45812</v>
      </c>
      <c r="F89" s="217" t="n">
        <v>28110</v>
      </c>
      <c r="G89" s="217" t="n">
        <v>13230</v>
      </c>
      <c r="H89" s="220" t="n">
        <v>14880</v>
      </c>
      <c r="I89" s="217" t="n">
        <v>12105.4</v>
      </c>
      <c r="J89" s="216" t="s">
        <v>409</v>
      </c>
      <c r="K89" s="216" t="s">
        <v>252</v>
      </c>
      <c r="L89" s="216" t="s">
        <v>410</v>
      </c>
      <c r="M89" s="189" t="s">
        <v>433</v>
      </c>
      <c r="N89" s="216" t="s">
        <v>739</v>
      </c>
      <c r="O89" s="216" t="s">
        <v>740</v>
      </c>
      <c r="P89" s="216"/>
      <c r="Q89" s="216" t="s">
        <v>741</v>
      </c>
      <c r="R89" s="216" t="s">
        <v>437</v>
      </c>
      <c r="S89" s="216" t="s">
        <v>438</v>
      </c>
      <c r="T89" s="228" t="s">
        <v>416</v>
      </c>
      <c r="U89" s="195" t="str">
        <f aca="false">Таблица310[[#This Row],[Регистратор.Номенклатура]]</f>
        <v>Преладо</v>
      </c>
      <c r="V89" s="230" t="n">
        <f aca="false">33.5*Таблица310[[#This Row],[Регистратор.Вес нетто]]/219010</f>
        <v>2.0236747180494</v>
      </c>
      <c r="W89" s="216" t="s">
        <v>323</v>
      </c>
      <c r="X89" s="216" t="s">
        <v>52</v>
      </c>
      <c r="Y89" s="216" t="n">
        <v>6</v>
      </c>
      <c r="Z89" s="221" t="n">
        <v>45812</v>
      </c>
      <c r="AA89" s="198"/>
      <c r="AB89" s="198"/>
      <c r="AC89" s="198" t="s">
        <v>302</v>
      </c>
      <c r="AD89" s="198" t="s">
        <v>417</v>
      </c>
      <c r="AE89" s="198" t="n">
        <v>185</v>
      </c>
      <c r="AF89" s="200" t="n">
        <v>45812</v>
      </c>
      <c r="AG89" s="198" t="n">
        <v>130787</v>
      </c>
      <c r="AH89" s="198" t="n">
        <f aca="false">VLOOKUP(Таблица310[[#This Row],[№ акта]],'Степень зрелости 2025'!$H$13:$I$583,2,FALSE())</f>
        <v>59</v>
      </c>
      <c r="AI89" s="198" t="str">
        <f aca="false">VLOOKUP(Таблица310[[#This Row],[№ акта]],$AQ$1:$AT$594,2,FALSE())</f>
        <v> 2/4</v>
      </c>
      <c r="AJ89" s="198" t="str">
        <f aca="false">Таблица310[[#This Row],[Регистратор.Номенклатура]]</f>
        <v>Преладо</v>
      </c>
      <c r="AK89" s="198" t="str">
        <f aca="false">VLOOKUP(Таблица310[[#This Row],[№ акта]],$AQ$1:$AT$594,4,FALSE())</f>
        <v>Учхоз Кубань (богара)</v>
      </c>
      <c r="AL89" s="230" t="n">
        <f aca="false">VLOOKUP(Таблица310[[#This Row],[№ акта]],$AQ$1:$AT$594,3,FALSE())</f>
        <v>2.0236747180494</v>
      </c>
      <c r="AM89" s="198" t="str">
        <f aca="false">IF(Таблица310[[#This Row],[Площадь уборки, га]]=Таблица310[[#This Row],[Площадь уборки до корр]],"нет","да")</f>
        <v>нет</v>
      </c>
      <c r="AN89" s="230" t="n">
        <f aca="false">Таблица310[[#This Row],[Площадь уборки до корр]]-Таблица310[[#This Row],[Площадь уборки, га]]</f>
        <v>0</v>
      </c>
      <c r="AQ89" s="0" t="n">
        <v>185</v>
      </c>
      <c r="AR89" s="0" t="s">
        <v>416</v>
      </c>
      <c r="AS89" s="0" t="n">
        <v>2.0236747180494</v>
      </c>
      <c r="AT89" s="0" t="s">
        <v>323</v>
      </c>
    </row>
    <row r="90" customFormat="false" ht="37.3" hidden="false" customHeight="false" outlineLevel="0" collapsed="false">
      <c r="A90" s="216" t="s">
        <v>358</v>
      </c>
      <c r="B90" s="217" t="n">
        <v>4001.6</v>
      </c>
      <c r="C90" s="241" t="n">
        <v>61</v>
      </c>
      <c r="D90" s="218" t="n">
        <v>186</v>
      </c>
      <c r="E90" s="219" t="n">
        <v>45812</v>
      </c>
      <c r="F90" s="217" t="n">
        <v>14600</v>
      </c>
      <c r="G90" s="217" t="n">
        <v>4880</v>
      </c>
      <c r="H90" s="220" t="n">
        <v>9720</v>
      </c>
      <c r="I90" s="217" t="n">
        <v>4001.6</v>
      </c>
      <c r="J90" s="216" t="s">
        <v>422</v>
      </c>
      <c r="K90" s="216" t="s">
        <v>423</v>
      </c>
      <c r="L90" s="216" t="s">
        <v>628</v>
      </c>
      <c r="M90" s="189" t="s">
        <v>376</v>
      </c>
      <c r="N90" s="216" t="s">
        <v>742</v>
      </c>
      <c r="O90" s="216" t="s">
        <v>743</v>
      </c>
      <c r="P90" s="216"/>
      <c r="Q90" s="216" t="n">
        <v>784.974</v>
      </c>
      <c r="R90" s="216" t="s">
        <v>377</v>
      </c>
      <c r="S90" s="216"/>
      <c r="T90" s="228" t="s">
        <v>628</v>
      </c>
      <c r="U90" s="195" t="str">
        <f aca="false">Таблица310[[#This Row],[Регистратор.Номенклатура]]</f>
        <v>Оскар</v>
      </c>
      <c r="V90" s="230" t="n">
        <f aca="false">29.2*Таблица310[[#This Row],[Регистратор.Вес нетто]]/69890</f>
        <v>2.03886106739162</v>
      </c>
      <c r="W90" s="216" t="s">
        <v>324</v>
      </c>
      <c r="X90" s="242" t="s">
        <v>52</v>
      </c>
      <c r="Y90" s="216" t="n">
        <v>7</v>
      </c>
      <c r="Z90" s="221" t="n">
        <v>45812</v>
      </c>
      <c r="AA90" s="198"/>
      <c r="AB90" s="198"/>
      <c r="AC90" s="198" t="s">
        <v>302</v>
      </c>
      <c r="AD90" s="198" t="s">
        <v>417</v>
      </c>
      <c r="AE90" s="198" t="n">
        <v>186</v>
      </c>
      <c r="AF90" s="200" t="n">
        <v>45812</v>
      </c>
      <c r="AG90" s="198" t="n">
        <v>39</v>
      </c>
      <c r="AH90" s="198" t="n">
        <f aca="false">VLOOKUP(Таблица310[[#This Row],[№ акта]],'Степень зрелости 2025'!$H$13:$I$583,2,FALSE())</f>
        <v>61</v>
      </c>
      <c r="AI90" s="198" t="str">
        <f aca="false">VLOOKUP(Таблица310[[#This Row],[№ акта]],$AQ$1:$AT$594,2,FALSE())</f>
        <v>А-46</v>
      </c>
      <c r="AJ90" s="198" t="str">
        <f aca="false">Таблица310[[#This Row],[Регистратор.Номенклатура]]</f>
        <v>Оскар</v>
      </c>
      <c r="AK90" s="198" t="str">
        <f aca="false">VLOOKUP(Таблица310[[#This Row],[№ акта]],$AQ$1:$AT$594,4,FALSE())</f>
        <v>ГРК собственные семена (богара)</v>
      </c>
      <c r="AL90" s="230" t="n">
        <f aca="false">VLOOKUP(Таблица310[[#This Row],[№ акта]],$AQ$1:$AT$594,3,FALSE())</f>
        <v>2.07312049433574</v>
      </c>
      <c r="AM90" s="198" t="str">
        <f aca="false">IF(Таблица310[[#This Row],[Площадь уборки, га]]=Таблица310[[#This Row],[Площадь уборки до корр]],"нет","да")</f>
        <v>да</v>
      </c>
      <c r="AN90" s="230" t="n">
        <f aca="false">Таблица310[[#This Row],[Площадь уборки до корр]]-Таблица310[[#This Row],[Площадь уборки, га]]</f>
        <v>0.034259426944121</v>
      </c>
      <c r="AQ90" s="0" t="n">
        <v>186</v>
      </c>
      <c r="AR90" s="0" t="s">
        <v>628</v>
      </c>
      <c r="AS90" s="0" t="n">
        <v>2.07312049433574</v>
      </c>
      <c r="AT90" s="0" t="s">
        <v>324</v>
      </c>
    </row>
    <row r="91" customFormat="false" ht="37.3" hidden="false" customHeight="false" outlineLevel="0" collapsed="false">
      <c r="A91" s="216" t="s">
        <v>358</v>
      </c>
      <c r="B91" s="217" t="n">
        <v>4058.7</v>
      </c>
      <c r="C91" s="241" t="n">
        <v>64</v>
      </c>
      <c r="D91" s="218" t="n">
        <v>187</v>
      </c>
      <c r="E91" s="219" t="n">
        <v>45813</v>
      </c>
      <c r="F91" s="217" t="n">
        <v>14600</v>
      </c>
      <c r="G91" s="217" t="n">
        <v>4890</v>
      </c>
      <c r="H91" s="220" t="n">
        <v>9710</v>
      </c>
      <c r="I91" s="217" t="n">
        <v>4058.7</v>
      </c>
      <c r="J91" s="216" t="s">
        <v>422</v>
      </c>
      <c r="K91" s="216" t="s">
        <v>423</v>
      </c>
      <c r="L91" s="216" t="s">
        <v>628</v>
      </c>
      <c r="M91" s="189" t="s">
        <v>376</v>
      </c>
      <c r="N91" s="216" t="s">
        <v>744</v>
      </c>
      <c r="O91" s="216" t="s">
        <v>745</v>
      </c>
      <c r="P91" s="216"/>
      <c r="Q91" s="216" t="n">
        <v>975.785</v>
      </c>
      <c r="R91" s="216" t="s">
        <v>377</v>
      </c>
      <c r="S91" s="216"/>
      <c r="T91" s="228" t="s">
        <v>628</v>
      </c>
      <c r="U91" s="195" t="str">
        <f aca="false">Таблица310[[#This Row],[Регистратор.Номенклатура]]</f>
        <v>Оскар</v>
      </c>
      <c r="V91" s="230" t="n">
        <f aca="false">6.3*Таблица310[[#This Row],[Регистратор.Вес нетто]]/28750</f>
        <v>1.07154782608696</v>
      </c>
      <c r="W91" s="216" t="s">
        <v>324</v>
      </c>
      <c r="X91" s="242" t="s">
        <v>52</v>
      </c>
      <c r="Y91" s="216" t="n">
        <v>7</v>
      </c>
      <c r="Z91" s="221" t="n">
        <v>45812</v>
      </c>
      <c r="AA91" s="198"/>
      <c r="AB91" s="198"/>
      <c r="AC91" s="198" t="s">
        <v>304</v>
      </c>
      <c r="AD91" s="198" t="s">
        <v>746</v>
      </c>
      <c r="AE91" s="198" t="n">
        <v>187</v>
      </c>
      <c r="AF91" s="200" t="n">
        <v>45813</v>
      </c>
      <c r="AG91" s="198" t="n">
        <v>40</v>
      </c>
      <c r="AH91" s="198" t="n">
        <f aca="false">VLOOKUP(Таблица310[[#This Row],[№ акта]],'Степень зрелости 2025'!$H$13:$I$583,2,FALSE())</f>
        <v>64</v>
      </c>
      <c r="AI91" s="198" t="str">
        <f aca="false">VLOOKUP(Таблица310[[#This Row],[№ акта]],$AQ$1:$AT$594,2,FALSE())</f>
        <v>А-46</v>
      </c>
      <c r="AJ91" s="198" t="str">
        <f aca="false">Таблица310[[#This Row],[Регистратор.Номенклатура]]</f>
        <v>Оскар</v>
      </c>
      <c r="AK91" s="198" t="str">
        <f aca="false">VLOOKUP(Таблица310[[#This Row],[№ акта]],$AQ$1:$AT$594,4,FALSE())</f>
        <v>ГРК собственные семена (богара)</v>
      </c>
      <c r="AL91" s="230" t="n">
        <f aca="false">VLOOKUP(Таблица310[[#This Row],[№ акта]],$AQ$1:$AT$594,3,FALSE())</f>
        <v>2.07736869207003</v>
      </c>
      <c r="AM91" s="198" t="str">
        <f aca="false">IF(Таблица310[[#This Row],[Площадь уборки, га]]=Таблица310[[#This Row],[Площадь уборки до корр]],"нет","да")</f>
        <v>да</v>
      </c>
      <c r="AN91" s="230" t="n">
        <f aca="false">Таблица310[[#This Row],[Площадь уборки до корр]]-Таблица310[[#This Row],[Площадь уборки, га]]</f>
        <v>1.00582086598307</v>
      </c>
      <c r="AQ91" s="0" t="n">
        <v>187</v>
      </c>
      <c r="AR91" s="0" t="s">
        <v>628</v>
      </c>
      <c r="AS91" s="0" t="n">
        <v>2.07736869207003</v>
      </c>
      <c r="AT91" s="0" t="s">
        <v>324</v>
      </c>
    </row>
    <row r="92" customFormat="false" ht="28.35" hidden="false" customHeight="false" outlineLevel="0" collapsed="false">
      <c r="A92" s="216" t="s">
        <v>358</v>
      </c>
      <c r="B92" s="217" t="n">
        <v>12379.9</v>
      </c>
      <c r="C92" s="241" t="n">
        <v>62</v>
      </c>
      <c r="D92" s="218" t="n">
        <v>188</v>
      </c>
      <c r="E92" s="219" t="n">
        <v>45813</v>
      </c>
      <c r="F92" s="217" t="n">
        <v>37550</v>
      </c>
      <c r="G92" s="217" t="n">
        <v>13530</v>
      </c>
      <c r="H92" s="220" t="n">
        <v>24020</v>
      </c>
      <c r="I92" s="217" t="n">
        <v>12379.9</v>
      </c>
      <c r="J92" s="216" t="s">
        <v>409</v>
      </c>
      <c r="K92" s="216" t="s">
        <v>252</v>
      </c>
      <c r="L92" s="216" t="s">
        <v>410</v>
      </c>
      <c r="M92" s="189" t="s">
        <v>439</v>
      </c>
      <c r="N92" s="216" t="s">
        <v>747</v>
      </c>
      <c r="O92" s="216" t="s">
        <v>748</v>
      </c>
      <c r="P92" s="216"/>
      <c r="Q92" s="216" t="s">
        <v>749</v>
      </c>
      <c r="R92" s="216" t="s">
        <v>443</v>
      </c>
      <c r="S92" s="216" t="s">
        <v>444</v>
      </c>
      <c r="T92" s="228" t="s">
        <v>416</v>
      </c>
      <c r="U92" s="195" t="str">
        <f aca="false">Таблица310[[#This Row],[Регистратор.Номенклатура]]</f>
        <v>Преладо</v>
      </c>
      <c r="V92" s="230" t="n">
        <f aca="false">33.5*Таблица310[[#This Row],[Регистратор.Вес нетто]]/219010</f>
        <v>2.06956303365143</v>
      </c>
      <c r="W92" s="216" t="s">
        <v>323</v>
      </c>
      <c r="X92" s="216" t="s">
        <v>52</v>
      </c>
      <c r="Y92" s="216" t="n">
        <v>6</v>
      </c>
      <c r="Z92" s="221" t="n">
        <v>45812</v>
      </c>
      <c r="AA92" s="198"/>
      <c r="AB92" s="198"/>
      <c r="AC92" s="198" t="s">
        <v>302</v>
      </c>
      <c r="AD92" s="198" t="s">
        <v>417</v>
      </c>
      <c r="AE92" s="198" t="n">
        <v>188</v>
      </c>
      <c r="AF92" s="200" t="n">
        <v>45813</v>
      </c>
      <c r="AG92" s="198" t="n">
        <v>130788</v>
      </c>
      <c r="AH92" s="198" t="n">
        <f aca="false">VLOOKUP(Таблица310[[#This Row],[№ акта]],'Степень зрелости 2025'!$H$13:$I$583,2,FALSE())</f>
        <v>62</v>
      </c>
      <c r="AI92" s="198" t="str">
        <f aca="false">VLOOKUP(Таблица310[[#This Row],[№ акта]],$AQ$1:$AT$594,2,FALSE())</f>
        <v> 2/4</v>
      </c>
      <c r="AJ92" s="198" t="str">
        <f aca="false">Таблица310[[#This Row],[Регистратор.Номенклатура]]</f>
        <v>Преладо</v>
      </c>
      <c r="AK92" s="198" t="str">
        <f aca="false">VLOOKUP(Таблица310[[#This Row],[№ акта]],$AQ$1:$AT$594,4,FALSE())</f>
        <v>Учхоз Кубань (богара)</v>
      </c>
      <c r="AL92" s="230" t="n">
        <f aca="false">VLOOKUP(Таблица310[[#This Row],[№ акта]],$AQ$1:$AT$594,3,FALSE())</f>
        <v>2.06956303365143</v>
      </c>
      <c r="AM92" s="198" t="str">
        <f aca="false">IF(Таблица310[[#This Row],[Площадь уборки, га]]=Таблица310[[#This Row],[Площадь уборки до корр]],"нет","да")</f>
        <v>нет</v>
      </c>
      <c r="AN92" s="230" t="n">
        <f aca="false">Таблица310[[#This Row],[Площадь уборки до корр]]-Таблица310[[#This Row],[Площадь уборки, га]]</f>
        <v>0</v>
      </c>
      <c r="AQ92" s="0" t="n">
        <v>188</v>
      </c>
      <c r="AR92" s="0" t="s">
        <v>416</v>
      </c>
      <c r="AS92" s="0" t="n">
        <v>2.06956303365143</v>
      </c>
      <c r="AT92" s="0" t="s">
        <v>323</v>
      </c>
    </row>
    <row r="93" customFormat="false" ht="37.3" hidden="false" customHeight="false" outlineLevel="0" collapsed="false">
      <c r="A93" s="216" t="s">
        <v>358</v>
      </c>
      <c r="B93" s="217" t="n">
        <v>4149.6</v>
      </c>
      <c r="C93" s="241" t="n">
        <v>64</v>
      </c>
      <c r="D93" s="218" t="n">
        <v>189</v>
      </c>
      <c r="E93" s="219" t="n">
        <v>45813</v>
      </c>
      <c r="F93" s="217" t="n">
        <v>14640</v>
      </c>
      <c r="G93" s="217" t="n">
        <v>4940</v>
      </c>
      <c r="H93" s="220" t="n">
        <v>9700</v>
      </c>
      <c r="I93" s="217" t="n">
        <v>4149.6</v>
      </c>
      <c r="J93" s="216" t="s">
        <v>422</v>
      </c>
      <c r="K93" s="216" t="s">
        <v>423</v>
      </c>
      <c r="L93" s="216" t="s">
        <v>628</v>
      </c>
      <c r="M93" s="189" t="s">
        <v>376</v>
      </c>
      <c r="N93" s="216" t="s">
        <v>750</v>
      </c>
      <c r="O93" s="216" t="s">
        <v>751</v>
      </c>
      <c r="P93" s="216"/>
      <c r="Q93" s="216" t="n">
        <v>976.786</v>
      </c>
      <c r="R93" s="216" t="s">
        <v>377</v>
      </c>
      <c r="S93" s="216"/>
      <c r="T93" s="228" t="s">
        <v>628</v>
      </c>
      <c r="U93" s="195" t="str">
        <f aca="false">Таблица310[[#This Row],[Регистратор.Номенклатура]]</f>
        <v>Оскар</v>
      </c>
      <c r="V93" s="230" t="n">
        <f aca="false">6.3*Таблица310[[#This Row],[Регистратор.Вес нетто]]/28750</f>
        <v>1.08250434782609</v>
      </c>
      <c r="W93" s="216" t="s">
        <v>324</v>
      </c>
      <c r="X93" s="242" t="s">
        <v>52</v>
      </c>
      <c r="Y93" s="216" t="n">
        <v>7</v>
      </c>
      <c r="Z93" s="221" t="n">
        <v>45812</v>
      </c>
      <c r="AA93" s="198"/>
      <c r="AB93" s="198"/>
      <c r="AC93" s="198" t="s">
        <v>304</v>
      </c>
      <c r="AD93" s="198" t="s">
        <v>746</v>
      </c>
      <c r="AE93" s="198" t="n">
        <v>189</v>
      </c>
      <c r="AF93" s="200" t="n">
        <v>45813</v>
      </c>
      <c r="AG93" s="198" t="n">
        <v>41</v>
      </c>
      <c r="AH93" s="198" t="n">
        <f aca="false">VLOOKUP(Таблица310[[#This Row],[№ акта]],'Степень зрелости 2025'!$H$13:$I$583,2,FALSE())</f>
        <v>64</v>
      </c>
      <c r="AI93" s="198" t="str">
        <f aca="false">VLOOKUP(Таблица310[[#This Row],[№ акта]],$AQ$1:$AT$594,2,FALSE())</f>
        <v>А-46</v>
      </c>
      <c r="AJ93" s="198" t="str">
        <f aca="false">Таблица310[[#This Row],[Регистратор.Номенклатура]]</f>
        <v>Оскар</v>
      </c>
      <c r="AK93" s="198" t="str">
        <f aca="false">VLOOKUP(Таблица310[[#This Row],[№ акта]],$AQ$1:$AT$594,4,FALSE())</f>
        <v>ГРК собственные семена (богара)</v>
      </c>
      <c r="AL93" s="230" t="n">
        <f aca="false">VLOOKUP(Таблица310[[#This Row],[№ акта]],$AQ$1:$AT$594,3,FALSE())</f>
        <v>2.0986096807415</v>
      </c>
      <c r="AM93" s="198" t="str">
        <f aca="false">IF(Таблица310[[#This Row],[Площадь уборки, га]]=Таблица310[[#This Row],[Площадь уборки до корр]],"нет","да")</f>
        <v>да</v>
      </c>
      <c r="AN93" s="230" t="n">
        <f aca="false">Таблица310[[#This Row],[Площадь уборки до корр]]-Таблица310[[#This Row],[Площадь уборки, га]]</f>
        <v>1.01610533291542</v>
      </c>
      <c r="AQ93" s="0" t="n">
        <v>189</v>
      </c>
      <c r="AR93" s="0" t="s">
        <v>628</v>
      </c>
      <c r="AS93" s="0" t="n">
        <v>2.0986096807415</v>
      </c>
      <c r="AT93" s="0" t="s">
        <v>324</v>
      </c>
    </row>
    <row r="94" customFormat="false" ht="37.3" hidden="false" customHeight="false" outlineLevel="0" collapsed="false">
      <c r="A94" s="216" t="s">
        <v>358</v>
      </c>
      <c r="B94" s="217" t="n">
        <v>4282.8</v>
      </c>
      <c r="C94" s="241" t="n">
        <v>62</v>
      </c>
      <c r="D94" s="218" t="n">
        <v>190</v>
      </c>
      <c r="E94" s="219" t="n">
        <v>45813</v>
      </c>
      <c r="F94" s="217" t="n">
        <v>14670</v>
      </c>
      <c r="G94" s="217" t="n">
        <v>4980</v>
      </c>
      <c r="H94" s="220" t="n">
        <v>9690</v>
      </c>
      <c r="I94" s="217" t="n">
        <v>4282.8</v>
      </c>
      <c r="J94" s="216" t="s">
        <v>422</v>
      </c>
      <c r="K94" s="216" t="s">
        <v>423</v>
      </c>
      <c r="L94" s="216" t="s">
        <v>628</v>
      </c>
      <c r="M94" s="189" t="s">
        <v>376</v>
      </c>
      <c r="N94" s="216" t="s">
        <v>752</v>
      </c>
      <c r="O94" s="216" t="s">
        <v>753</v>
      </c>
      <c r="P94" s="216"/>
      <c r="Q94" s="216" t="n">
        <v>977.787</v>
      </c>
      <c r="R94" s="216" t="s">
        <v>377</v>
      </c>
      <c r="S94" s="216"/>
      <c r="T94" s="228" t="s">
        <v>628</v>
      </c>
      <c r="U94" s="195" t="str">
        <f aca="false">Таблица310[[#This Row],[Регистратор.Номенклатура]]</f>
        <v>Оскар</v>
      </c>
      <c r="V94" s="230" t="n">
        <f aca="false">6.3*Таблица310[[#This Row],[Регистратор.Вес нетто]]/28750</f>
        <v>1.09126956521739</v>
      </c>
      <c r="W94" s="216" t="s">
        <v>324</v>
      </c>
      <c r="X94" s="242" t="s">
        <v>52</v>
      </c>
      <c r="Y94" s="216" t="n">
        <v>7</v>
      </c>
      <c r="Z94" s="221" t="n">
        <v>45812</v>
      </c>
      <c r="AA94" s="198"/>
      <c r="AB94" s="198"/>
      <c r="AC94" s="198" t="s">
        <v>302</v>
      </c>
      <c r="AD94" s="198" t="s">
        <v>417</v>
      </c>
      <c r="AE94" s="198" t="n">
        <v>190</v>
      </c>
      <c r="AF94" s="200" t="n">
        <v>45813</v>
      </c>
      <c r="AG94" s="198" t="n">
        <v>42</v>
      </c>
      <c r="AH94" s="198" t="n">
        <f aca="false">VLOOKUP(Таблица310[[#This Row],[№ акта]],'Степень зрелости 2025'!$H$13:$I$583,2,FALSE())</f>
        <v>62</v>
      </c>
      <c r="AI94" s="198" t="str">
        <f aca="false">VLOOKUP(Таблица310[[#This Row],[№ акта]],$AQ$1:$AT$594,2,FALSE())</f>
        <v>А-46</v>
      </c>
      <c r="AJ94" s="198" t="str">
        <f aca="false">Таблица310[[#This Row],[Регистратор.Номенклатура]]</f>
        <v>Оскар</v>
      </c>
      <c r="AK94" s="198" t="str">
        <f aca="false">VLOOKUP(Таблица310[[#This Row],[№ акта]],$AQ$1:$AT$594,4,FALSE())</f>
        <v>ГРК собственные семена (богара)</v>
      </c>
      <c r="AL94" s="230" t="n">
        <f aca="false">VLOOKUP(Таблица310[[#This Row],[№ акта]],$AQ$1:$AT$594,3,FALSE())</f>
        <v>2.11560247167868</v>
      </c>
      <c r="AM94" s="198" t="str">
        <f aca="false">IF(Таблица310[[#This Row],[Площадь уборки, га]]=Таблица310[[#This Row],[Площадь уборки до корр]],"нет","да")</f>
        <v>да</v>
      </c>
      <c r="AN94" s="230" t="n">
        <f aca="false">Таблица310[[#This Row],[Площадь уборки до корр]]-Таблица310[[#This Row],[Площадь уборки, га]]</f>
        <v>1.02433290646129</v>
      </c>
      <c r="AQ94" s="0" t="n">
        <v>190</v>
      </c>
      <c r="AR94" s="0" t="s">
        <v>628</v>
      </c>
      <c r="AS94" s="0" t="n">
        <v>2.11560247167868</v>
      </c>
      <c r="AT94" s="0" t="s">
        <v>324</v>
      </c>
    </row>
    <row r="95" customFormat="false" ht="28.35" hidden="false" customHeight="false" outlineLevel="0" collapsed="false">
      <c r="A95" s="216" t="s">
        <v>358</v>
      </c>
      <c r="B95" s="217" t="n">
        <v>11837</v>
      </c>
      <c r="C95" s="241" t="n">
        <v>61</v>
      </c>
      <c r="D95" s="218" t="n">
        <v>191</v>
      </c>
      <c r="E95" s="219" t="n">
        <v>45813</v>
      </c>
      <c r="F95" s="217" t="n">
        <v>28860</v>
      </c>
      <c r="G95" s="217" t="n">
        <v>13300</v>
      </c>
      <c r="H95" s="220" t="n">
        <v>15560</v>
      </c>
      <c r="I95" s="217" t="n">
        <v>11837</v>
      </c>
      <c r="J95" s="216" t="s">
        <v>409</v>
      </c>
      <c r="K95" s="216" t="s">
        <v>252</v>
      </c>
      <c r="L95" s="216" t="s">
        <v>410</v>
      </c>
      <c r="M95" s="189" t="s">
        <v>57</v>
      </c>
      <c r="N95" s="216" t="s">
        <v>754</v>
      </c>
      <c r="O95" s="216" t="s">
        <v>755</v>
      </c>
      <c r="P95" s="216"/>
      <c r="Q95" s="216" t="s">
        <v>756</v>
      </c>
      <c r="R95" s="216" t="s">
        <v>58</v>
      </c>
      <c r="S95" s="216" t="s">
        <v>657</v>
      </c>
      <c r="T95" s="228" t="s">
        <v>416</v>
      </c>
      <c r="U95" s="195" t="str">
        <f aca="false">Таблица310[[#This Row],[Регистратор.Номенклатура]]</f>
        <v>Преладо</v>
      </c>
      <c r="V95" s="230" t="n">
        <f aca="false">33.5*Таблица310[[#This Row],[Регистратор.Вес нетто]]/219010</f>
        <v>2.03438199168988</v>
      </c>
      <c r="W95" s="216" t="s">
        <v>323</v>
      </c>
      <c r="X95" s="216" t="s">
        <v>52</v>
      </c>
      <c r="Y95" s="216" t="n">
        <v>6</v>
      </c>
      <c r="Z95" s="221" t="n">
        <v>45812</v>
      </c>
      <c r="AA95" s="198"/>
      <c r="AB95" s="198"/>
      <c r="AC95" s="198" t="s">
        <v>302</v>
      </c>
      <c r="AD95" s="198" t="s">
        <v>417</v>
      </c>
      <c r="AE95" s="198" t="n">
        <v>191</v>
      </c>
      <c r="AF95" s="200" t="n">
        <v>45813</v>
      </c>
      <c r="AG95" s="198" t="n">
        <v>130790</v>
      </c>
      <c r="AH95" s="198" t="n">
        <f aca="false">VLOOKUP(Таблица310[[#This Row],[№ акта]],'Степень зрелости 2025'!$H$13:$I$583,2,FALSE())</f>
        <v>61</v>
      </c>
      <c r="AI95" s="198" t="str">
        <f aca="false">VLOOKUP(Таблица310[[#This Row],[№ акта]],$AQ$1:$AT$594,2,FALSE())</f>
        <v> 2/4</v>
      </c>
      <c r="AJ95" s="198" t="str">
        <f aca="false">Таблица310[[#This Row],[Регистратор.Номенклатура]]</f>
        <v>Преладо</v>
      </c>
      <c r="AK95" s="198" t="str">
        <f aca="false">VLOOKUP(Таблица310[[#This Row],[№ акта]],$AQ$1:$AT$594,4,FALSE())</f>
        <v>Учхоз Кубань (богара)</v>
      </c>
      <c r="AL95" s="230" t="n">
        <f aca="false">VLOOKUP(Таблица310[[#This Row],[№ акта]],$AQ$1:$AT$594,3,FALSE())</f>
        <v>2.03438199168988</v>
      </c>
      <c r="AM95" s="198" t="str">
        <f aca="false">IF(Таблица310[[#This Row],[Площадь уборки, га]]=Таблица310[[#This Row],[Площадь уборки до корр]],"нет","да")</f>
        <v>нет</v>
      </c>
      <c r="AN95" s="230" t="n">
        <f aca="false">Таблица310[[#This Row],[Площадь уборки до корр]]-Таблица310[[#This Row],[Площадь уборки, га]]</f>
        <v>0</v>
      </c>
      <c r="AQ95" s="0" t="n">
        <v>191</v>
      </c>
      <c r="AR95" s="0" t="s">
        <v>416</v>
      </c>
      <c r="AS95" s="0" t="n">
        <v>2.03438199168988</v>
      </c>
      <c r="AT95" s="0" t="s">
        <v>323</v>
      </c>
    </row>
    <row r="96" customFormat="false" ht="37.3" hidden="false" customHeight="false" outlineLevel="0" collapsed="false">
      <c r="A96" s="216" t="s">
        <v>358</v>
      </c>
      <c r="B96" s="217" t="n">
        <v>12230.4</v>
      </c>
      <c r="C96" s="241" t="n">
        <v>57</v>
      </c>
      <c r="D96" s="218" t="n">
        <v>192</v>
      </c>
      <c r="E96" s="219" t="n">
        <v>45812</v>
      </c>
      <c r="F96" s="217" t="n">
        <v>33490</v>
      </c>
      <c r="G96" s="217" t="n">
        <v>14720</v>
      </c>
      <c r="H96" s="220" t="n">
        <v>18770</v>
      </c>
      <c r="I96" s="217" t="n">
        <v>12230.4</v>
      </c>
      <c r="J96" s="216" t="s">
        <v>422</v>
      </c>
      <c r="K96" s="216" t="s">
        <v>423</v>
      </c>
      <c r="L96" s="216" t="s">
        <v>628</v>
      </c>
      <c r="M96" s="189" t="s">
        <v>685</v>
      </c>
      <c r="N96" s="216" t="s">
        <v>757</v>
      </c>
      <c r="O96" s="216" t="s">
        <v>758</v>
      </c>
      <c r="P96" s="216"/>
      <c r="Q96" s="216" t="s">
        <v>759</v>
      </c>
      <c r="R96" s="216" t="s">
        <v>689</v>
      </c>
      <c r="S96" s="216" t="s">
        <v>690</v>
      </c>
      <c r="T96" s="228" t="s">
        <v>628</v>
      </c>
      <c r="U96" s="195" t="str">
        <f aca="false">Таблица310[[#This Row],[Регистратор.Номенклатура]]</f>
        <v>Оскар</v>
      </c>
      <c r="V96" s="230" t="n">
        <f aca="false">29.2*Таблица310[[#This Row],[Регистратор.Вес нетто]]/69890</f>
        <v>6.1500071540993</v>
      </c>
      <c r="W96" s="216" t="s">
        <v>324</v>
      </c>
      <c r="X96" s="242" t="s">
        <v>52</v>
      </c>
      <c r="Y96" s="216" t="n">
        <v>7</v>
      </c>
      <c r="Z96" s="221" t="n">
        <v>45812</v>
      </c>
      <c r="AA96" s="231" t="n">
        <f aca="false">Таблица310[[#This Row],[Регистратор.Вес нетто]]</f>
        <v>14720</v>
      </c>
      <c r="AB96" s="198" t="s">
        <v>608</v>
      </c>
      <c r="AC96" s="198" t="s">
        <v>302</v>
      </c>
      <c r="AD96" s="198" t="s">
        <v>417</v>
      </c>
      <c r="AE96" s="198" t="n">
        <v>192</v>
      </c>
      <c r="AF96" s="200" t="n">
        <v>45812</v>
      </c>
      <c r="AG96" s="198" t="s">
        <v>760</v>
      </c>
      <c r="AH96" s="198" t="n">
        <f aca="false">VLOOKUP(Таблица310[[#This Row],[№ акта]],'Степень зрелости 2025'!$H$13:$I$583,2,FALSE())</f>
        <v>0</v>
      </c>
      <c r="AI96" s="198" t="str">
        <f aca="false">VLOOKUP(Таблица310[[#This Row],[№ акта]],$AQ$1:$AT$594,2,FALSE())</f>
        <v>А-46</v>
      </c>
      <c r="AJ96" s="198" t="str">
        <f aca="false">Таблица310[[#This Row],[Регистратор.Номенклатура]]</f>
        <v>Оскар</v>
      </c>
      <c r="AK96" s="198" t="str">
        <f aca="false">VLOOKUP(Таблица310[[#This Row],[№ акта]],$AQ$1:$AT$594,4,FALSE())</f>
        <v>ГРК собственные семена (богара)</v>
      </c>
      <c r="AL96" s="230" t="n">
        <f aca="false">VLOOKUP(Таблица310[[#This Row],[№ акта]],$AQ$1:$AT$594,3,FALSE())</f>
        <v>6.25334706488157</v>
      </c>
      <c r="AM96" s="198" t="str">
        <f aca="false">IF(Таблица310[[#This Row],[Площадь уборки, га]]=Таблица310[[#This Row],[Площадь уборки до корр]],"нет","да")</f>
        <v>да</v>
      </c>
      <c r="AN96" s="230" t="n">
        <f aca="false">Таблица310[[#This Row],[Площадь уборки до корр]]-Таблица310[[#This Row],[Площадь уборки, га]]</f>
        <v>0.103339910782267</v>
      </c>
      <c r="AQ96" s="0" t="n">
        <v>192</v>
      </c>
      <c r="AR96" s="0" t="s">
        <v>628</v>
      </c>
      <c r="AS96" s="0" t="n">
        <v>6.25334706488157</v>
      </c>
      <c r="AT96" s="0" t="s">
        <v>324</v>
      </c>
    </row>
    <row r="97" customFormat="false" ht="37.3" hidden="false" customHeight="false" outlineLevel="0" collapsed="false">
      <c r="A97" s="216" t="s">
        <v>358</v>
      </c>
      <c r="B97" s="217" t="n">
        <v>11044.8</v>
      </c>
      <c r="C97" s="241" t="n">
        <v>43</v>
      </c>
      <c r="D97" s="218" t="n">
        <v>193</v>
      </c>
      <c r="E97" s="219" t="n">
        <v>45812</v>
      </c>
      <c r="F97" s="217" t="n">
        <v>32100</v>
      </c>
      <c r="G97" s="217" t="n">
        <v>14480</v>
      </c>
      <c r="H97" s="220" t="n">
        <v>17620</v>
      </c>
      <c r="I97" s="217" t="n">
        <v>11044.8</v>
      </c>
      <c r="J97" s="216" t="s">
        <v>761</v>
      </c>
      <c r="K97" s="216" t="s">
        <v>423</v>
      </c>
      <c r="L97" s="216" t="s">
        <v>628</v>
      </c>
      <c r="M97" s="189" t="s">
        <v>617</v>
      </c>
      <c r="N97" s="216" t="s">
        <v>762</v>
      </c>
      <c r="O97" s="216" t="s">
        <v>763</v>
      </c>
      <c r="P97" s="216"/>
      <c r="Q97" s="216" t="s">
        <v>764</v>
      </c>
      <c r="R97" s="216" t="s">
        <v>621</v>
      </c>
      <c r="S97" s="216" t="s">
        <v>622</v>
      </c>
      <c r="T97" s="228" t="s">
        <v>628</v>
      </c>
      <c r="U97" s="195" t="str">
        <f aca="false">Таблица310[[#This Row],[Регистратор.Номенклатура]]</f>
        <v>Оскар</v>
      </c>
      <c r="V97" s="230" t="n">
        <f aca="false">29.2*Таблица310[[#This Row],[Регистратор.Вес нетто]]/69890</f>
        <v>6.04973529832594</v>
      </c>
      <c r="W97" s="216" t="s">
        <v>324</v>
      </c>
      <c r="X97" s="242" t="s">
        <v>52</v>
      </c>
      <c r="Y97" s="216" t="n">
        <v>7</v>
      </c>
      <c r="Z97" s="221" t="n">
        <v>45812</v>
      </c>
      <c r="AA97" s="231" t="n">
        <f aca="false">Таблица310[[#This Row],[Регистратор.Вес нетто]]</f>
        <v>14480</v>
      </c>
      <c r="AB97" s="198" t="s">
        <v>608</v>
      </c>
      <c r="AC97" s="198" t="s">
        <v>53</v>
      </c>
      <c r="AD97" s="198" t="s">
        <v>417</v>
      </c>
      <c r="AE97" s="198" t="n">
        <v>193</v>
      </c>
      <c r="AF97" s="200" t="n">
        <v>45812</v>
      </c>
      <c r="AG97" s="198" t="s">
        <v>765</v>
      </c>
      <c r="AH97" s="198" t="n">
        <f aca="false">VLOOKUP(Таблица310[[#This Row],[№ акта]],'Степень зрелости 2025'!$H$13:$I$583,2,FALSE())</f>
        <v>0</v>
      </c>
      <c r="AI97" s="198" t="str">
        <f aca="false">VLOOKUP(Таблица310[[#This Row],[№ акта]],$AQ$1:$AT$594,2,FALSE())</f>
        <v>А-46</v>
      </c>
      <c r="AJ97" s="198" t="str">
        <f aca="false">Таблица310[[#This Row],[Регистратор.Номенклатура]]</f>
        <v>Оскар</v>
      </c>
      <c r="AK97" s="198" t="str">
        <f aca="false">VLOOKUP(Таблица310[[#This Row],[№ акта]],$AQ$1:$AT$594,4,FALSE())</f>
        <v>ГРК собственные семена (богара)</v>
      </c>
      <c r="AL97" s="230" t="n">
        <f aca="false">VLOOKUP(Таблица310[[#This Row],[№ акта]],$AQ$1:$AT$594,3,FALSE())</f>
        <v>6.1513903192585</v>
      </c>
      <c r="AM97" s="198" t="str">
        <f aca="false">IF(Таблица310[[#This Row],[Площадь уборки, га]]=Таблица310[[#This Row],[Площадь уборки до корр]],"нет","да")</f>
        <v>да</v>
      </c>
      <c r="AN97" s="230" t="n">
        <f aca="false">Таблица310[[#This Row],[Площадь уборки до корр]]-Таблица310[[#This Row],[Площадь уборки, га]]</f>
        <v>0.101655020932555</v>
      </c>
      <c r="AQ97" s="0" t="n">
        <v>193</v>
      </c>
      <c r="AR97" s="0" t="s">
        <v>628</v>
      </c>
      <c r="AS97" s="0" t="n">
        <v>6.1513903192585</v>
      </c>
      <c r="AT97" s="0" t="s">
        <v>324</v>
      </c>
    </row>
    <row r="98" customFormat="false" ht="37.3" hidden="false" customHeight="false" outlineLevel="0" collapsed="false">
      <c r="A98" s="216" t="s">
        <v>358</v>
      </c>
      <c r="B98" s="217" t="n">
        <v>9785</v>
      </c>
      <c r="C98" s="241" t="n">
        <v>43</v>
      </c>
      <c r="D98" s="218" t="n">
        <v>194</v>
      </c>
      <c r="E98" s="219" t="n">
        <v>45812</v>
      </c>
      <c r="F98" s="217" t="n">
        <v>30820</v>
      </c>
      <c r="G98" s="217" t="n">
        <v>14340</v>
      </c>
      <c r="H98" s="220" t="n">
        <v>16480</v>
      </c>
      <c r="I98" s="217" t="n">
        <v>9785</v>
      </c>
      <c r="J98" s="216" t="s">
        <v>422</v>
      </c>
      <c r="K98" s="216" t="s">
        <v>423</v>
      </c>
      <c r="L98" s="216" t="s">
        <v>628</v>
      </c>
      <c r="M98" s="189" t="s">
        <v>677</v>
      </c>
      <c r="N98" s="216" t="s">
        <v>766</v>
      </c>
      <c r="O98" s="216" t="s">
        <v>767</v>
      </c>
      <c r="P98" s="216"/>
      <c r="Q98" s="216" t="s">
        <v>768</v>
      </c>
      <c r="R98" s="216" t="s">
        <v>681</v>
      </c>
      <c r="S98" s="216" t="s">
        <v>682</v>
      </c>
      <c r="T98" s="228" t="s">
        <v>628</v>
      </c>
      <c r="U98" s="195" t="str">
        <f aca="false">Таблица310[[#This Row],[Регистратор.Номенклатура]]</f>
        <v>Оскар</v>
      </c>
      <c r="V98" s="230" t="n">
        <f aca="false">29.2*Таблица310[[#This Row],[Регистратор.Вес нетто]]/69890</f>
        <v>5.99124338245815</v>
      </c>
      <c r="W98" s="216" t="s">
        <v>324</v>
      </c>
      <c r="X98" s="242" t="s">
        <v>52</v>
      </c>
      <c r="Y98" s="216" t="n">
        <v>7</v>
      </c>
      <c r="Z98" s="221" t="n">
        <v>45812</v>
      </c>
      <c r="AA98" s="231" t="n">
        <f aca="false">Таблица310[[#This Row],[Регистратор.Вес нетто]]</f>
        <v>14340</v>
      </c>
      <c r="AB98" s="198" t="s">
        <v>699</v>
      </c>
      <c r="AC98" s="198" t="s">
        <v>53</v>
      </c>
      <c r="AD98" s="198" t="s">
        <v>417</v>
      </c>
      <c r="AE98" s="198" t="n">
        <v>194</v>
      </c>
      <c r="AF98" s="200" t="n">
        <v>45812</v>
      </c>
      <c r="AG98" s="198" t="s">
        <v>769</v>
      </c>
      <c r="AH98" s="198" t="n">
        <f aca="false">VLOOKUP(Таблица310[[#This Row],[№ акта]],'Степень зрелости 2025'!$H$13:$I$583,2,FALSE())</f>
        <v>0</v>
      </c>
      <c r="AI98" s="198" t="str">
        <f aca="false">VLOOKUP(Таблица310[[#This Row],[№ акта]],$AQ$1:$AT$594,2,FALSE())</f>
        <v>А-46</v>
      </c>
      <c r="AJ98" s="198" t="str">
        <f aca="false">Таблица310[[#This Row],[Регистратор.Номенклатура]]</f>
        <v>Оскар</v>
      </c>
      <c r="AK98" s="198" t="str">
        <f aca="false">VLOOKUP(Таблица310[[#This Row],[№ акта]],$AQ$1:$AT$594,4,FALSE())</f>
        <v>ГРК собственные семена (богара)</v>
      </c>
      <c r="AL98" s="230" t="n">
        <f aca="false">VLOOKUP(Таблица310[[#This Row],[№ акта]],$AQ$1:$AT$594,3,FALSE())</f>
        <v>6.09191555097837</v>
      </c>
      <c r="AM98" s="198" t="str">
        <f aca="false">IF(Таблица310[[#This Row],[Площадь уборки, га]]=Таблица310[[#This Row],[Площадь уборки до корр]],"нет","да")</f>
        <v>да</v>
      </c>
      <c r="AN98" s="230" t="n">
        <f aca="false">Таблица310[[#This Row],[Площадь уборки до корр]]-Таблица310[[#This Row],[Площадь уборки, га]]</f>
        <v>0.100672168520224</v>
      </c>
      <c r="AQ98" s="0" t="n">
        <v>194</v>
      </c>
      <c r="AR98" s="0" t="s">
        <v>628</v>
      </c>
      <c r="AS98" s="0" t="n">
        <v>6.09191555097837</v>
      </c>
      <c r="AT98" s="0" t="s">
        <v>324</v>
      </c>
    </row>
    <row r="99" customFormat="false" ht="37.3" hidden="false" customHeight="false" outlineLevel="0" collapsed="false">
      <c r="A99" s="216" t="s">
        <v>358</v>
      </c>
      <c r="B99" s="217" t="n">
        <v>14450</v>
      </c>
      <c r="C99" s="241" t="n">
        <v>51</v>
      </c>
      <c r="D99" s="218" t="n">
        <v>195</v>
      </c>
      <c r="E99" s="219" t="n">
        <v>45812</v>
      </c>
      <c r="F99" s="217" t="n">
        <v>32190</v>
      </c>
      <c r="G99" s="217" t="n">
        <v>14450</v>
      </c>
      <c r="H99" s="220" t="n">
        <v>17740</v>
      </c>
      <c r="I99" s="217" t="n">
        <v>12716</v>
      </c>
      <c r="J99" s="216" t="s">
        <v>761</v>
      </c>
      <c r="K99" s="216" t="s">
        <v>423</v>
      </c>
      <c r="L99" s="216" t="s">
        <v>628</v>
      </c>
      <c r="M99" s="189" t="s">
        <v>602</v>
      </c>
      <c r="N99" s="216" t="s">
        <v>770</v>
      </c>
      <c r="O99" s="216" t="s">
        <v>771</v>
      </c>
      <c r="P99" s="216"/>
      <c r="Q99" s="216" t="s">
        <v>772</v>
      </c>
      <c r="R99" s="216" t="s">
        <v>606</v>
      </c>
      <c r="S99" s="216" t="s">
        <v>607</v>
      </c>
      <c r="T99" s="228" t="s">
        <v>628</v>
      </c>
      <c r="U99" s="195" t="str">
        <f aca="false">Таблица310[[#This Row],[Регистратор.Номенклатура]]</f>
        <v>Оскар</v>
      </c>
      <c r="V99" s="230" t="n">
        <f aca="false">29.2*Таблица310[[#This Row],[Регистратор.Вес нетто]]/69890</f>
        <v>6.03720131635427</v>
      </c>
      <c r="W99" s="216" t="s">
        <v>324</v>
      </c>
      <c r="X99" s="242" t="s">
        <v>52</v>
      </c>
      <c r="Y99" s="216" t="n">
        <v>7</v>
      </c>
      <c r="Z99" s="221" t="n">
        <v>45812</v>
      </c>
      <c r="AA99" s="231" t="n">
        <f aca="false">Таблица310[[#This Row],[Регистратор.Вес нетто]]</f>
        <v>14450</v>
      </c>
      <c r="AB99" s="198" t="s">
        <v>608</v>
      </c>
      <c r="AC99" s="198" t="s">
        <v>53</v>
      </c>
      <c r="AD99" s="198" t="s">
        <v>417</v>
      </c>
      <c r="AE99" s="198" t="n">
        <v>195</v>
      </c>
      <c r="AF99" s="200" t="n">
        <v>45812</v>
      </c>
      <c r="AG99" s="198" t="s">
        <v>773</v>
      </c>
      <c r="AH99" s="198" t="n">
        <f aca="false">VLOOKUP(Таблица310[[#This Row],[№ акта]],'Степень зрелости 2025'!$H$13:$I$583,2,FALSE())</f>
        <v>0</v>
      </c>
      <c r="AI99" s="198" t="str">
        <f aca="false">VLOOKUP(Таблица310[[#This Row],[№ акта]],$AQ$1:$AT$594,2,FALSE())</f>
        <v>А-46</v>
      </c>
      <c r="AJ99" s="198" t="str">
        <f aca="false">Таблица310[[#This Row],[Регистратор.Номенклатура]]</f>
        <v>Оскар</v>
      </c>
      <c r="AK99" s="198" t="str">
        <f aca="false">VLOOKUP(Таблица310[[#This Row],[№ акта]],$AQ$1:$AT$594,4,FALSE())</f>
        <v>ГРК собственные семена (богара)</v>
      </c>
      <c r="AL99" s="230" t="n">
        <f aca="false">VLOOKUP(Таблица310[[#This Row],[№ акта]],$AQ$1:$AT$594,3,FALSE())</f>
        <v>6.13864572605561</v>
      </c>
      <c r="AM99" s="198" t="str">
        <f aca="false">IF(Таблица310[[#This Row],[Площадь уборки, га]]=Таблица310[[#This Row],[Площадь уборки до корр]],"нет","да")</f>
        <v>да</v>
      </c>
      <c r="AN99" s="230" t="n">
        <f aca="false">Таблица310[[#This Row],[Площадь уборки до корр]]-Таблица310[[#This Row],[Площадь уборки, га]]</f>
        <v>0.101444409701341</v>
      </c>
      <c r="AQ99" s="0" t="n">
        <v>195</v>
      </c>
      <c r="AR99" s="0" t="s">
        <v>628</v>
      </c>
      <c r="AS99" s="0" t="n">
        <v>6.13864572605561</v>
      </c>
      <c r="AT99" s="0" t="s">
        <v>324</v>
      </c>
    </row>
    <row r="100" customFormat="false" ht="28.35" hidden="false" customHeight="false" outlineLevel="0" collapsed="false">
      <c r="A100" s="216" t="s">
        <v>358</v>
      </c>
      <c r="B100" s="217" t="n">
        <v>11797</v>
      </c>
      <c r="C100" s="241" t="n">
        <v>62</v>
      </c>
      <c r="D100" s="218" t="n">
        <v>196</v>
      </c>
      <c r="E100" s="219" t="n">
        <v>45813</v>
      </c>
      <c r="F100" s="217" t="n">
        <v>28060</v>
      </c>
      <c r="G100" s="217" t="n">
        <v>13330</v>
      </c>
      <c r="H100" s="220" t="n">
        <v>14730</v>
      </c>
      <c r="I100" s="217" t="n">
        <v>11797</v>
      </c>
      <c r="J100" s="216" t="s">
        <v>409</v>
      </c>
      <c r="K100" s="216" t="s">
        <v>252</v>
      </c>
      <c r="L100" s="216" t="s">
        <v>410</v>
      </c>
      <c r="M100" s="189" t="s">
        <v>547</v>
      </c>
      <c r="N100" s="216" t="s">
        <v>774</v>
      </c>
      <c r="O100" s="216" t="s">
        <v>775</v>
      </c>
      <c r="P100" s="216"/>
      <c r="Q100" s="216" t="s">
        <v>776</v>
      </c>
      <c r="R100" s="216" t="s">
        <v>551</v>
      </c>
      <c r="S100" s="216" t="s">
        <v>552</v>
      </c>
      <c r="T100" s="228" t="s">
        <v>416</v>
      </c>
      <c r="U100" s="195" t="str">
        <f aca="false">Таблица310[[#This Row],[Регистратор.Номенклатура]]</f>
        <v>Преладо</v>
      </c>
      <c r="V100" s="230" t="n">
        <f aca="false">33.5*Таблица310[[#This Row],[Регистратор.Вес нетто]]/219010</f>
        <v>2.03897082325008</v>
      </c>
      <c r="W100" s="216" t="s">
        <v>323</v>
      </c>
      <c r="X100" s="216" t="s">
        <v>52</v>
      </c>
      <c r="Y100" s="216" t="n">
        <v>6</v>
      </c>
      <c r="Z100" s="221" t="n">
        <v>45812</v>
      </c>
      <c r="AA100" s="198"/>
      <c r="AB100" s="198"/>
      <c r="AC100" s="198" t="s">
        <v>302</v>
      </c>
      <c r="AD100" s="198" t="s">
        <v>417</v>
      </c>
      <c r="AE100" s="198" t="n">
        <v>196</v>
      </c>
      <c r="AF100" s="200" t="n">
        <v>45813</v>
      </c>
      <c r="AG100" s="198" t="n">
        <v>130791</v>
      </c>
      <c r="AH100" s="198" t="n">
        <f aca="false">VLOOKUP(Таблица310[[#This Row],[№ акта]],'Степень зрелости 2025'!$H$13:$I$583,2,FALSE())</f>
        <v>62</v>
      </c>
      <c r="AI100" s="198" t="str">
        <f aca="false">VLOOKUP(Таблица310[[#This Row],[№ акта]],$AQ$1:$AT$594,2,FALSE())</f>
        <v> 2/4</v>
      </c>
      <c r="AJ100" s="198" t="str">
        <f aca="false">Таблица310[[#This Row],[Регистратор.Номенклатура]]</f>
        <v>Преладо</v>
      </c>
      <c r="AK100" s="198" t="str">
        <f aca="false">VLOOKUP(Таблица310[[#This Row],[№ акта]],$AQ$1:$AT$594,4,FALSE())</f>
        <v>Учхоз Кубань (богара)</v>
      </c>
      <c r="AL100" s="230" t="n">
        <f aca="false">VLOOKUP(Таблица310[[#This Row],[№ акта]],$AQ$1:$AT$594,3,FALSE())</f>
        <v>2.03897082325008</v>
      </c>
      <c r="AM100" s="198" t="str">
        <f aca="false">IF(Таблица310[[#This Row],[Площадь уборки, га]]=Таблица310[[#This Row],[Площадь уборки до корр]],"нет","да")</f>
        <v>нет</v>
      </c>
      <c r="AN100" s="230" t="n">
        <f aca="false">Таблица310[[#This Row],[Площадь уборки до корр]]-Таблица310[[#This Row],[Площадь уборки, га]]</f>
        <v>0</v>
      </c>
      <c r="AQ100" s="0" t="n">
        <v>196</v>
      </c>
      <c r="AR100" s="0" t="s">
        <v>416</v>
      </c>
      <c r="AS100" s="0" t="n">
        <v>2.03897082325008</v>
      </c>
      <c r="AT100" s="0" t="s">
        <v>323</v>
      </c>
    </row>
    <row r="101" customFormat="false" ht="28.35" hidden="false" customHeight="false" outlineLevel="0" collapsed="false">
      <c r="A101" s="216" t="s">
        <v>358</v>
      </c>
      <c r="B101" s="217" t="n">
        <v>17110</v>
      </c>
      <c r="C101" s="241" t="n">
        <v>57</v>
      </c>
      <c r="D101" s="218" t="n">
        <v>197</v>
      </c>
      <c r="E101" s="219" t="n">
        <v>45811</v>
      </c>
      <c r="F101" s="217" t="n">
        <v>32800</v>
      </c>
      <c r="G101" s="217" t="n">
        <v>18300</v>
      </c>
      <c r="H101" s="220" t="n">
        <v>14500</v>
      </c>
      <c r="I101" s="217" t="n">
        <v>17110</v>
      </c>
      <c r="J101" s="216" t="s">
        <v>409</v>
      </c>
      <c r="K101" s="216" t="s">
        <v>252</v>
      </c>
      <c r="L101" s="216" t="s">
        <v>410</v>
      </c>
      <c r="M101" s="189" t="s">
        <v>777</v>
      </c>
      <c r="N101" s="216"/>
      <c r="O101" s="216"/>
      <c r="P101" s="216"/>
      <c r="Q101" s="216" t="s">
        <v>778</v>
      </c>
      <c r="R101" s="216" t="s">
        <v>779</v>
      </c>
      <c r="S101" s="216"/>
      <c r="T101" s="228" t="s">
        <v>416</v>
      </c>
      <c r="U101" s="195" t="str">
        <f aca="false">Таблица310[[#This Row],[Регистратор.Номенклатура]]</f>
        <v>Преладо</v>
      </c>
      <c r="V101" s="230" t="n">
        <f aca="false">33.5*Таблица310[[#This Row],[Регистратор.Вес нетто]]/219010</f>
        <v>2.79918725172367</v>
      </c>
      <c r="W101" s="216" t="s">
        <v>323</v>
      </c>
      <c r="X101" s="216" t="s">
        <v>52</v>
      </c>
      <c r="Y101" s="216" t="n">
        <v>6</v>
      </c>
      <c r="Z101" s="221" t="n">
        <v>45812</v>
      </c>
      <c r="AA101" s="231" t="n">
        <f aca="false">Таблица310[[#This Row],[Регистратор.Вес нетто]]</f>
        <v>18300</v>
      </c>
      <c r="AB101" s="198" t="s">
        <v>626</v>
      </c>
      <c r="AC101" s="198" t="s">
        <v>302</v>
      </c>
      <c r="AD101" s="198" t="s">
        <v>417</v>
      </c>
      <c r="AE101" s="198" t="n">
        <v>197</v>
      </c>
      <c r="AF101" s="200" t="n">
        <v>45811</v>
      </c>
      <c r="AG101" s="198" t="s">
        <v>780</v>
      </c>
      <c r="AH101" s="198" t="n">
        <f aca="false">VLOOKUP(Таблица310[[#This Row],[№ акта]],'Степень зрелости 2025'!$H$13:$I$583,2,FALSE())</f>
        <v>0</v>
      </c>
      <c r="AI101" s="198" t="str">
        <f aca="false">VLOOKUP(Таблица310[[#This Row],[№ акта]],$AQ$1:$AT$594,2,FALSE())</f>
        <v> 2/4</v>
      </c>
      <c r="AJ101" s="198" t="str">
        <f aca="false">Таблица310[[#This Row],[Регистратор.Номенклатура]]</f>
        <v>Преладо</v>
      </c>
      <c r="AK101" s="198" t="str">
        <f aca="false">VLOOKUP(Таблица310[[#This Row],[№ акта]],$AQ$1:$AT$594,4,FALSE())</f>
        <v>Учхоз Кубань (богара)</v>
      </c>
      <c r="AL101" s="230" t="n">
        <f aca="false">VLOOKUP(Таблица310[[#This Row],[№ акта]],$AQ$1:$AT$594,3,FALSE())</f>
        <v>2.79918725172367</v>
      </c>
      <c r="AM101" s="198" t="str">
        <f aca="false">IF(Таблица310[[#This Row],[Площадь уборки, га]]=Таблица310[[#This Row],[Площадь уборки до корр]],"нет","да")</f>
        <v>нет</v>
      </c>
      <c r="AN101" s="230" t="n">
        <f aca="false">Таблица310[[#This Row],[Площадь уборки до корр]]-Таблица310[[#This Row],[Площадь уборки, га]]</f>
        <v>0</v>
      </c>
      <c r="AQ101" s="0" t="n">
        <v>197</v>
      </c>
      <c r="AR101" s="0" t="s">
        <v>416</v>
      </c>
      <c r="AS101" s="0" t="n">
        <v>2.79918725172367</v>
      </c>
      <c r="AT101" s="0" t="s">
        <v>323</v>
      </c>
    </row>
    <row r="102" customFormat="false" ht="28.35" hidden="false" customHeight="false" outlineLevel="0" collapsed="false">
      <c r="A102" s="216" t="s">
        <v>358</v>
      </c>
      <c r="B102" s="217" t="n">
        <v>12118.7</v>
      </c>
      <c r="C102" s="241" t="n">
        <v>47</v>
      </c>
      <c r="D102" s="218" t="n">
        <v>198</v>
      </c>
      <c r="E102" s="219" t="n">
        <v>45813</v>
      </c>
      <c r="F102" s="217" t="n">
        <v>29030</v>
      </c>
      <c r="G102" s="217" t="n">
        <v>14170</v>
      </c>
      <c r="H102" s="220" t="n">
        <v>22250</v>
      </c>
      <c r="I102" s="217" t="n">
        <v>12728.9</v>
      </c>
      <c r="J102" s="216" t="s">
        <v>409</v>
      </c>
      <c r="K102" s="216" t="s">
        <v>252</v>
      </c>
      <c r="L102" s="216" t="s">
        <v>781</v>
      </c>
      <c r="M102" s="189" t="s">
        <v>553</v>
      </c>
      <c r="N102" s="216" t="s">
        <v>782</v>
      </c>
      <c r="O102" s="216" t="s">
        <v>783</v>
      </c>
      <c r="P102" s="216"/>
      <c r="Q102" s="216" t="s">
        <v>784</v>
      </c>
      <c r="R102" s="216" t="s">
        <v>557</v>
      </c>
      <c r="S102" s="216" t="s">
        <v>558</v>
      </c>
      <c r="T102" s="228" t="s">
        <v>781</v>
      </c>
      <c r="U102" s="195" t="str">
        <f aca="false">Таблица310[[#This Row],[Регистратор.Номенклатура]]</f>
        <v>Преладо</v>
      </c>
      <c r="V102" s="230" t="n">
        <f aca="false">6.5*Таблица310[[#This Row],[Регистратор.Вес нетто]]/40880</f>
        <v>2.25305772994129</v>
      </c>
      <c r="W102" s="216" t="s">
        <v>323</v>
      </c>
      <c r="X102" s="216" t="s">
        <v>52</v>
      </c>
      <c r="Y102" s="216" t="n">
        <v>6</v>
      </c>
      <c r="Z102" s="221" t="n">
        <v>45812</v>
      </c>
      <c r="AA102" s="198"/>
      <c r="AB102" s="198" t="s">
        <v>785</v>
      </c>
      <c r="AC102" s="198" t="s">
        <v>53</v>
      </c>
      <c r="AD102" s="198" t="s">
        <v>417</v>
      </c>
      <c r="AE102" s="198" t="n">
        <v>198</v>
      </c>
      <c r="AF102" s="200" t="n">
        <v>45813</v>
      </c>
      <c r="AG102" s="198" t="n">
        <v>130792</v>
      </c>
      <c r="AH102" s="198" t="n">
        <f aca="false">VLOOKUP(Таблица310[[#This Row],[№ акта]],'Степень зрелости 2025'!$H$13:$I$583,2,FALSE())</f>
        <v>60</v>
      </c>
      <c r="AI102" s="198" t="str">
        <f aca="false">VLOOKUP(Таблица310[[#This Row],[№ акта]],$AQ$1:$AT$594,2,FALSE())</f>
        <v>1/8.1</v>
      </c>
      <c r="AJ102" s="198" t="str">
        <f aca="false">Таблица310[[#This Row],[Регистратор.Номенклатура]]</f>
        <v>Преладо</v>
      </c>
      <c r="AK102" s="198" t="str">
        <f aca="false">VLOOKUP(Таблица310[[#This Row],[№ акта]],$AQ$1:$AT$594,4,FALSE())</f>
        <v>Учхоз Кубань (богара)</v>
      </c>
      <c r="AL102" s="230" t="n">
        <f aca="false">VLOOKUP(Таблица310[[#This Row],[№ акта]],$AQ$1:$AT$594,3,FALSE())</f>
        <v>2.25305772994129</v>
      </c>
      <c r="AM102" s="198" t="str">
        <f aca="false">IF(Таблица310[[#This Row],[Площадь уборки, га]]=Таблица310[[#This Row],[Площадь уборки до корр]],"нет","да")</f>
        <v>нет</v>
      </c>
      <c r="AN102" s="230" t="n">
        <f aca="false">Таблица310[[#This Row],[Площадь уборки до корр]]-Таблица310[[#This Row],[Площадь уборки, га]]</f>
        <v>0</v>
      </c>
      <c r="AQ102" s="0" t="n">
        <v>198</v>
      </c>
      <c r="AR102" s="0" t="s">
        <v>781</v>
      </c>
      <c r="AS102" s="0" t="n">
        <v>2.25305772994129</v>
      </c>
      <c r="AT102" s="0" t="s">
        <v>323</v>
      </c>
    </row>
    <row r="103" customFormat="false" ht="28.35" hidden="false" customHeight="false" outlineLevel="0" collapsed="false">
      <c r="A103" s="216" t="s">
        <v>358</v>
      </c>
      <c r="B103" s="217" t="n">
        <v>10716.6</v>
      </c>
      <c r="C103" s="241" t="n">
        <v>50</v>
      </c>
      <c r="D103" s="218" t="n">
        <v>199</v>
      </c>
      <c r="E103" s="219" t="n">
        <v>45813</v>
      </c>
      <c r="F103" s="217" t="n">
        <v>28060</v>
      </c>
      <c r="G103" s="217" t="n">
        <v>13480</v>
      </c>
      <c r="H103" s="220" t="n">
        <v>14580</v>
      </c>
      <c r="I103" s="217" t="n">
        <v>10716.6</v>
      </c>
      <c r="J103" s="216" t="s">
        <v>409</v>
      </c>
      <c r="K103" s="216" t="s">
        <v>252</v>
      </c>
      <c r="L103" s="216" t="s">
        <v>781</v>
      </c>
      <c r="M103" s="189" t="s">
        <v>55</v>
      </c>
      <c r="N103" s="216" t="s">
        <v>786</v>
      </c>
      <c r="O103" s="216" t="s">
        <v>787</v>
      </c>
      <c r="P103" s="216"/>
      <c r="Q103" s="216" t="s">
        <v>788</v>
      </c>
      <c r="R103" s="216" t="s">
        <v>56</v>
      </c>
      <c r="S103" s="216" t="s">
        <v>465</v>
      </c>
      <c r="T103" s="228" t="s">
        <v>781</v>
      </c>
      <c r="U103" s="195" t="str">
        <f aca="false">Таблица310[[#This Row],[Регистратор.Номенклатура]]</f>
        <v>Преладо</v>
      </c>
      <c r="V103" s="230" t="n">
        <f aca="false">6.5*Таблица310[[#This Row],[Регистратор.Вес нетто]]/40880</f>
        <v>2.14334637964775</v>
      </c>
      <c r="W103" s="216" t="s">
        <v>323</v>
      </c>
      <c r="X103" s="216" t="s">
        <v>52</v>
      </c>
      <c r="Y103" s="216" t="n">
        <v>6</v>
      </c>
      <c r="Z103" s="221" t="n">
        <v>45812</v>
      </c>
      <c r="AA103" s="198"/>
      <c r="AB103" s="198"/>
      <c r="AC103" s="198" t="s">
        <v>53</v>
      </c>
      <c r="AD103" s="198" t="s">
        <v>417</v>
      </c>
      <c r="AE103" s="198" t="n">
        <v>199</v>
      </c>
      <c r="AF103" s="200" t="n">
        <v>45813</v>
      </c>
      <c r="AG103" s="198" t="n">
        <v>130793</v>
      </c>
      <c r="AH103" s="198" t="n">
        <f aca="false">VLOOKUP(Таблица310[[#This Row],[№ акта]],'Степень зрелости 2025'!$H$13:$I$583,2,FALSE())</f>
        <v>50</v>
      </c>
      <c r="AI103" s="198" t="str">
        <f aca="false">VLOOKUP(Таблица310[[#This Row],[№ акта]],$AQ$1:$AT$594,2,FALSE())</f>
        <v>1/8.1</v>
      </c>
      <c r="AJ103" s="198" t="str">
        <f aca="false">Таблица310[[#This Row],[Регистратор.Номенклатура]]</f>
        <v>Преладо</v>
      </c>
      <c r="AK103" s="198" t="str">
        <f aca="false">VLOOKUP(Таблица310[[#This Row],[№ акта]],$AQ$1:$AT$594,4,FALSE())</f>
        <v>Учхоз Кубань (богара)</v>
      </c>
      <c r="AL103" s="230" t="n">
        <f aca="false">VLOOKUP(Таблица310[[#This Row],[№ акта]],$AQ$1:$AT$594,3,FALSE())</f>
        <v>2.14334637964775</v>
      </c>
      <c r="AM103" s="198" t="str">
        <f aca="false">IF(Таблица310[[#This Row],[Площадь уборки, га]]=Таблица310[[#This Row],[Площадь уборки до корр]],"нет","да")</f>
        <v>нет</v>
      </c>
      <c r="AN103" s="230" t="n">
        <f aca="false">Таблица310[[#This Row],[Площадь уборки до корр]]-Таблица310[[#This Row],[Площадь уборки, га]]</f>
        <v>0</v>
      </c>
      <c r="AQ103" s="0" t="n">
        <v>199</v>
      </c>
      <c r="AR103" s="0" t="s">
        <v>781</v>
      </c>
      <c r="AS103" s="0" t="n">
        <v>2.14334637964775</v>
      </c>
      <c r="AT103" s="0" t="s">
        <v>323</v>
      </c>
    </row>
    <row r="104" customFormat="false" ht="28.35" hidden="false" customHeight="false" outlineLevel="0" collapsed="false">
      <c r="A104" s="216" t="s">
        <v>358</v>
      </c>
      <c r="B104" s="217" t="n">
        <v>10253.2</v>
      </c>
      <c r="C104" s="241" t="n">
        <v>50</v>
      </c>
      <c r="D104" s="218" t="n">
        <v>200</v>
      </c>
      <c r="E104" s="219" t="n">
        <v>45813</v>
      </c>
      <c r="F104" s="217" t="n">
        <v>28080</v>
      </c>
      <c r="G104" s="217" t="n">
        <v>13230</v>
      </c>
      <c r="H104" s="220" t="n">
        <v>14850</v>
      </c>
      <c r="I104" s="217" t="n">
        <v>10253.2</v>
      </c>
      <c r="J104" s="216" t="s">
        <v>409</v>
      </c>
      <c r="K104" s="216" t="s">
        <v>252</v>
      </c>
      <c r="L104" s="216" t="s">
        <v>781</v>
      </c>
      <c r="M104" s="189" t="s">
        <v>457</v>
      </c>
      <c r="N104" s="216" t="s">
        <v>789</v>
      </c>
      <c r="O104" s="216" t="s">
        <v>790</v>
      </c>
      <c r="P104" s="216"/>
      <c r="Q104" s="216" t="s">
        <v>791</v>
      </c>
      <c r="R104" s="216" t="s">
        <v>366</v>
      </c>
      <c r="S104" s="216" t="s">
        <v>461</v>
      </c>
      <c r="T104" s="228" t="s">
        <v>781</v>
      </c>
      <c r="U104" s="195" t="str">
        <f aca="false">Таблица310[[#This Row],[Регистратор.Номенклатура]]</f>
        <v>Преладо</v>
      </c>
      <c r="V104" s="230" t="n">
        <f aca="false">6.5*Таблица310[[#This Row],[Регистратор.Вес нетто]]/40880</f>
        <v>2.10359589041096</v>
      </c>
      <c r="W104" s="216" t="s">
        <v>323</v>
      </c>
      <c r="X104" s="216" t="s">
        <v>52</v>
      </c>
      <c r="Y104" s="216" t="n">
        <v>6</v>
      </c>
      <c r="Z104" s="221" t="n">
        <v>45812</v>
      </c>
      <c r="AA104" s="198"/>
      <c r="AB104" s="198"/>
      <c r="AC104" s="198" t="s">
        <v>53</v>
      </c>
      <c r="AD104" s="198" t="s">
        <v>417</v>
      </c>
      <c r="AE104" s="198" t="n">
        <v>200</v>
      </c>
      <c r="AF104" s="200" t="n">
        <v>45813</v>
      </c>
      <c r="AG104" s="198" t="n">
        <v>130794</v>
      </c>
      <c r="AH104" s="198" t="n">
        <f aca="false">VLOOKUP(Таблица310[[#This Row],[№ акта]],'Степень зрелости 2025'!$H$13:$I$583,2,FALSE())</f>
        <v>50</v>
      </c>
      <c r="AI104" s="198" t="str">
        <f aca="false">VLOOKUP(Таблица310[[#This Row],[№ акта]],$AQ$1:$AT$594,2,FALSE())</f>
        <v>1/8.1</v>
      </c>
      <c r="AJ104" s="198" t="str">
        <f aca="false">Таблица310[[#This Row],[Регистратор.Номенклатура]]</f>
        <v>Преладо</v>
      </c>
      <c r="AK104" s="198" t="str">
        <f aca="false">VLOOKUP(Таблица310[[#This Row],[№ акта]],$AQ$1:$AT$594,4,FALSE())</f>
        <v>Учхоз Кубань (богара)</v>
      </c>
      <c r="AL104" s="230" t="n">
        <f aca="false">VLOOKUP(Таблица310[[#This Row],[№ акта]],$AQ$1:$AT$594,3,FALSE())</f>
        <v>2.10359589041096</v>
      </c>
      <c r="AM104" s="198" t="str">
        <f aca="false">IF(Таблица310[[#This Row],[Площадь уборки, га]]=Таблица310[[#This Row],[Площадь уборки до корр]],"нет","да")</f>
        <v>нет</v>
      </c>
      <c r="AN104" s="230" t="n">
        <f aca="false">Таблица310[[#This Row],[Площадь уборки до корр]]-Таблица310[[#This Row],[Площадь уборки, га]]</f>
        <v>0</v>
      </c>
      <c r="AQ104" s="0" t="n">
        <v>200</v>
      </c>
      <c r="AR104" s="0" t="s">
        <v>781</v>
      </c>
      <c r="AS104" s="0" t="n">
        <v>2.10359589041096</v>
      </c>
      <c r="AT104" s="0" t="s">
        <v>323</v>
      </c>
    </row>
    <row r="105" customFormat="false" ht="28.35" hidden="false" customHeight="false" outlineLevel="0" collapsed="false">
      <c r="A105" s="216" t="s">
        <v>358</v>
      </c>
      <c r="B105" s="217" t="n">
        <v>13550.64</v>
      </c>
      <c r="C105" s="241" t="n">
        <v>57</v>
      </c>
      <c r="D105" s="218" t="n">
        <v>201</v>
      </c>
      <c r="E105" s="219" t="n">
        <v>45812</v>
      </c>
      <c r="F105" s="217" t="n">
        <v>33040</v>
      </c>
      <c r="G105" s="217" t="n">
        <v>15900</v>
      </c>
      <c r="H105" s="220" t="n">
        <v>17140</v>
      </c>
      <c r="I105" s="217" t="n">
        <v>13550.6</v>
      </c>
      <c r="J105" s="216" t="s">
        <v>409</v>
      </c>
      <c r="K105" s="216" t="s">
        <v>252</v>
      </c>
      <c r="L105" s="216" t="s">
        <v>410</v>
      </c>
      <c r="M105" s="189" t="s">
        <v>792</v>
      </c>
      <c r="N105" s="216"/>
      <c r="O105" s="216"/>
      <c r="P105" s="216"/>
      <c r="Q105" s="216" t="s">
        <v>778</v>
      </c>
      <c r="R105" s="216" t="s">
        <v>793</v>
      </c>
      <c r="S105" s="216"/>
      <c r="T105" s="228" t="s">
        <v>416</v>
      </c>
      <c r="U105" s="195" t="str">
        <f aca="false">Таблица310[[#This Row],[Регистратор.Номенклатура]]</f>
        <v>Преладо</v>
      </c>
      <c r="V105" s="230" t="n">
        <f aca="false">33.5*Таблица310[[#This Row],[Регистратор.Вес нетто]]/219010</f>
        <v>2.43208072690745</v>
      </c>
      <c r="W105" s="216" t="s">
        <v>323</v>
      </c>
      <c r="X105" s="216" t="s">
        <v>52</v>
      </c>
      <c r="Y105" s="216" t="n">
        <v>6</v>
      </c>
      <c r="Z105" s="221" t="n">
        <v>45812</v>
      </c>
      <c r="AA105" s="231" t="n">
        <f aca="false">Таблица310[[#This Row],[Регистратор.Вес нетто]]</f>
        <v>15900</v>
      </c>
      <c r="AB105" s="198" t="s">
        <v>608</v>
      </c>
      <c r="AC105" s="198" t="s">
        <v>302</v>
      </c>
      <c r="AD105" s="198" t="s">
        <v>417</v>
      </c>
      <c r="AE105" s="198" t="n">
        <v>201</v>
      </c>
      <c r="AF105" s="200" t="n">
        <v>45812</v>
      </c>
      <c r="AG105" s="198" t="s">
        <v>794</v>
      </c>
      <c r="AH105" s="198" t="n">
        <f aca="false">VLOOKUP(Таблица310[[#This Row],[№ акта]],'Степень зрелости 2025'!$H$13:$I$583,2,FALSE())</f>
        <v>0</v>
      </c>
      <c r="AI105" s="198" t="str">
        <f aca="false">VLOOKUP(Таблица310[[#This Row],[№ акта]],$AQ$1:$AT$594,2,FALSE())</f>
        <v> 2/4</v>
      </c>
      <c r="AJ105" s="198" t="str">
        <f aca="false">Таблица310[[#This Row],[Регистратор.Номенклатура]]</f>
        <v>Преладо</v>
      </c>
      <c r="AK105" s="198" t="str">
        <f aca="false">VLOOKUP(Таблица310[[#This Row],[№ акта]],$AQ$1:$AT$594,4,FALSE())</f>
        <v>Учхоз Кубань (богара)</v>
      </c>
      <c r="AL105" s="230" t="n">
        <f aca="false">VLOOKUP(Таблица310[[#This Row],[№ акта]],$AQ$1:$AT$594,3,FALSE())</f>
        <v>2.43208072690745</v>
      </c>
      <c r="AM105" s="198" t="str">
        <f aca="false">IF(Таблица310[[#This Row],[Площадь уборки, га]]=Таблица310[[#This Row],[Площадь уборки до корр]],"нет","да")</f>
        <v>нет</v>
      </c>
      <c r="AN105" s="230" t="n">
        <f aca="false">Таблица310[[#This Row],[Площадь уборки до корр]]-Таблица310[[#This Row],[Площадь уборки, га]]</f>
        <v>0</v>
      </c>
      <c r="AQ105" s="0" t="n">
        <v>201</v>
      </c>
      <c r="AR105" s="0" t="s">
        <v>416</v>
      </c>
      <c r="AS105" s="0" t="n">
        <v>2.43208072690745</v>
      </c>
      <c r="AT105" s="0" t="s">
        <v>323</v>
      </c>
    </row>
    <row r="106" customFormat="false" ht="28.35" hidden="false" customHeight="false" outlineLevel="0" collapsed="false">
      <c r="A106" s="216" t="s">
        <v>358</v>
      </c>
      <c r="B106" s="217" t="n">
        <v>15820</v>
      </c>
      <c r="C106" s="241" t="n">
        <v>59</v>
      </c>
      <c r="D106" s="218" t="n">
        <v>202</v>
      </c>
      <c r="E106" s="219" t="n">
        <v>45812</v>
      </c>
      <c r="F106" s="217" t="n">
        <v>34180</v>
      </c>
      <c r="G106" s="217" t="n">
        <v>15820</v>
      </c>
      <c r="H106" s="220" t="n">
        <v>18360</v>
      </c>
      <c r="I106" s="217" t="n">
        <v>13692.1</v>
      </c>
      <c r="J106" s="216" t="s">
        <v>409</v>
      </c>
      <c r="K106" s="216" t="s">
        <v>252</v>
      </c>
      <c r="L106" s="216" t="s">
        <v>410</v>
      </c>
      <c r="M106" s="189" t="s">
        <v>795</v>
      </c>
      <c r="N106" s="216"/>
      <c r="O106" s="216"/>
      <c r="P106" s="216"/>
      <c r="Q106" s="216" t="s">
        <v>778</v>
      </c>
      <c r="R106" s="216" t="s">
        <v>796</v>
      </c>
      <c r="S106" s="216"/>
      <c r="T106" s="228" t="s">
        <v>416</v>
      </c>
      <c r="U106" s="195" t="str">
        <f aca="false">Таблица310[[#This Row],[Регистратор.Номенклатура]]</f>
        <v>Преладо</v>
      </c>
      <c r="V106" s="230" t="n">
        <f aca="false">33.5*Таблица310[[#This Row],[Регистратор.Вес нетто]]/219010</f>
        <v>2.41984384274691</v>
      </c>
      <c r="W106" s="216" t="s">
        <v>323</v>
      </c>
      <c r="X106" s="216" t="s">
        <v>52</v>
      </c>
      <c r="Y106" s="216" t="n">
        <v>6</v>
      </c>
      <c r="Z106" s="221" t="n">
        <v>45812</v>
      </c>
      <c r="AA106" s="231" t="n">
        <f aca="false">Таблица310[[#This Row],[Регистратор.Вес нетто]]</f>
        <v>15820</v>
      </c>
      <c r="AB106" s="198" t="s">
        <v>608</v>
      </c>
      <c r="AC106" s="198" t="s">
        <v>302</v>
      </c>
      <c r="AD106" s="198" t="s">
        <v>417</v>
      </c>
      <c r="AE106" s="198" t="n">
        <v>202</v>
      </c>
      <c r="AF106" s="200" t="n">
        <v>45812</v>
      </c>
      <c r="AG106" s="198" t="s">
        <v>797</v>
      </c>
      <c r="AH106" s="198" t="n">
        <f aca="false">VLOOKUP(Таблица310[[#This Row],[№ акта]],'Степень зрелости 2025'!$H$13:$I$583,2,FALSE())</f>
        <v>0</v>
      </c>
      <c r="AI106" s="198" t="str">
        <f aca="false">VLOOKUP(Таблица310[[#This Row],[№ акта]],$AQ$1:$AT$594,2,FALSE())</f>
        <v> 2/4</v>
      </c>
      <c r="AJ106" s="198" t="str">
        <f aca="false">Таблица310[[#This Row],[Регистратор.Номенклатура]]</f>
        <v>Преладо</v>
      </c>
      <c r="AK106" s="198" t="str">
        <f aca="false">VLOOKUP(Таблица310[[#This Row],[№ акта]],$AQ$1:$AT$594,4,FALSE())</f>
        <v>Учхоз Кубань (богара)</v>
      </c>
      <c r="AL106" s="230" t="n">
        <f aca="false">VLOOKUP(Таблица310[[#This Row],[№ акта]],$AQ$1:$AT$594,3,FALSE())</f>
        <v>2.41984384274691</v>
      </c>
      <c r="AM106" s="198" t="str">
        <f aca="false">IF(Таблица310[[#This Row],[Площадь уборки, га]]=Таблица310[[#This Row],[Площадь уборки до корр]],"нет","да")</f>
        <v>нет</v>
      </c>
      <c r="AN106" s="230" t="n">
        <f aca="false">Таблица310[[#This Row],[Площадь уборки до корр]]-Таблица310[[#This Row],[Площадь уборки, га]]</f>
        <v>0</v>
      </c>
      <c r="AQ106" s="0" t="n">
        <v>202</v>
      </c>
      <c r="AR106" s="0" t="s">
        <v>416</v>
      </c>
      <c r="AS106" s="0" t="n">
        <v>2.41984384274691</v>
      </c>
      <c r="AT106" s="0" t="s">
        <v>323</v>
      </c>
    </row>
    <row r="107" customFormat="false" ht="28.35" hidden="false" customHeight="false" outlineLevel="0" collapsed="false">
      <c r="A107" s="216" t="s">
        <v>358</v>
      </c>
      <c r="B107" s="217" t="n">
        <v>15540</v>
      </c>
      <c r="C107" s="241" t="n">
        <v>62</v>
      </c>
      <c r="D107" s="218" t="n">
        <v>203</v>
      </c>
      <c r="E107" s="219" t="n">
        <v>45812</v>
      </c>
      <c r="F107" s="217" t="n">
        <v>32580</v>
      </c>
      <c r="G107" s="217" t="n">
        <v>15540</v>
      </c>
      <c r="H107" s="220" t="n">
        <v>17040</v>
      </c>
      <c r="I107" s="217" t="n">
        <v>13560.5</v>
      </c>
      <c r="J107" s="216" t="s">
        <v>409</v>
      </c>
      <c r="K107" s="216" t="s">
        <v>252</v>
      </c>
      <c r="L107" s="216" t="s">
        <v>410</v>
      </c>
      <c r="M107" s="189" t="s">
        <v>792</v>
      </c>
      <c r="N107" s="216"/>
      <c r="O107" s="216"/>
      <c r="P107" s="216"/>
      <c r="Q107" s="216" t="s">
        <v>778</v>
      </c>
      <c r="R107" s="216" t="s">
        <v>793</v>
      </c>
      <c r="S107" s="216"/>
      <c r="T107" s="228" t="s">
        <v>416</v>
      </c>
      <c r="U107" s="195" t="str">
        <f aca="false">Таблица310[[#This Row],[Регистратор.Номенклатура]]</f>
        <v>Преладо</v>
      </c>
      <c r="V107" s="230" t="n">
        <f aca="false">33.5*Таблица310[[#This Row],[Регистратор.Вес нетто]]/219010</f>
        <v>2.37701474818501</v>
      </c>
      <c r="W107" s="216" t="s">
        <v>323</v>
      </c>
      <c r="X107" s="216" t="s">
        <v>52</v>
      </c>
      <c r="Y107" s="216" t="n">
        <v>6</v>
      </c>
      <c r="Z107" s="221" t="n">
        <v>45812</v>
      </c>
      <c r="AA107" s="231" t="n">
        <f aca="false">Таблица310[[#This Row],[Регистратор.Вес нетто]]</f>
        <v>15540</v>
      </c>
      <c r="AB107" s="198" t="s">
        <v>608</v>
      </c>
      <c r="AC107" s="198" t="s">
        <v>302</v>
      </c>
      <c r="AD107" s="198" t="s">
        <v>417</v>
      </c>
      <c r="AE107" s="198" t="n">
        <v>203</v>
      </c>
      <c r="AF107" s="200" t="n">
        <v>45812</v>
      </c>
      <c r="AG107" s="198" t="s">
        <v>798</v>
      </c>
      <c r="AH107" s="198" t="n">
        <f aca="false">VLOOKUP(Таблица310[[#This Row],[№ акта]],'Степень зрелости 2025'!$H$13:$I$583,2,FALSE())</f>
        <v>0</v>
      </c>
      <c r="AI107" s="198" t="str">
        <f aca="false">VLOOKUP(Таблица310[[#This Row],[№ акта]],$AQ$1:$AT$594,2,FALSE())</f>
        <v> 2/4</v>
      </c>
      <c r="AJ107" s="198" t="str">
        <f aca="false">Таблица310[[#This Row],[Регистратор.Номенклатура]]</f>
        <v>Преладо</v>
      </c>
      <c r="AK107" s="198" t="str">
        <f aca="false">VLOOKUP(Таблица310[[#This Row],[№ акта]],$AQ$1:$AT$594,4,FALSE())</f>
        <v>Учхоз Кубань (богара)</v>
      </c>
      <c r="AL107" s="230" t="n">
        <f aca="false">VLOOKUP(Таблица310[[#This Row],[№ акта]],$AQ$1:$AT$594,3,FALSE())</f>
        <v>2.37701474818501</v>
      </c>
      <c r="AM107" s="198" t="str">
        <f aca="false">IF(Таблица310[[#This Row],[Площадь уборки, га]]=Таблица310[[#This Row],[Площадь уборки до корр]],"нет","да")</f>
        <v>нет</v>
      </c>
      <c r="AN107" s="230" t="n">
        <f aca="false">Таблица310[[#This Row],[Площадь уборки до корр]]-Таблица310[[#This Row],[Площадь уборки, га]]</f>
        <v>0</v>
      </c>
      <c r="AQ107" s="0" t="n">
        <v>203</v>
      </c>
      <c r="AR107" s="0" t="s">
        <v>416</v>
      </c>
      <c r="AS107" s="0" t="n">
        <v>2.37701474818501</v>
      </c>
      <c r="AT107" s="0" t="s">
        <v>323</v>
      </c>
    </row>
    <row r="108" customFormat="false" ht="28.35" hidden="false" customHeight="false" outlineLevel="0" collapsed="false">
      <c r="A108" s="216" t="s">
        <v>358</v>
      </c>
      <c r="B108" s="217" t="n">
        <v>13632.4</v>
      </c>
      <c r="C108" s="241" t="n">
        <v>58</v>
      </c>
      <c r="D108" s="218" t="n">
        <v>204</v>
      </c>
      <c r="E108" s="219" t="n">
        <v>45812</v>
      </c>
      <c r="F108" s="217" t="n">
        <v>32040</v>
      </c>
      <c r="G108" s="217" t="n">
        <v>15920</v>
      </c>
      <c r="H108" s="220" t="n">
        <v>16120</v>
      </c>
      <c r="I108" s="217" t="n">
        <v>13632.4</v>
      </c>
      <c r="J108" s="216" t="s">
        <v>409</v>
      </c>
      <c r="K108" s="216" t="s">
        <v>252</v>
      </c>
      <c r="L108" s="216" t="s">
        <v>410</v>
      </c>
      <c r="M108" s="189" t="s">
        <v>799</v>
      </c>
      <c r="N108" s="216"/>
      <c r="O108" s="216"/>
      <c r="P108" s="216"/>
      <c r="Q108" s="216" t="s">
        <v>778</v>
      </c>
      <c r="R108" s="216" t="s">
        <v>800</v>
      </c>
      <c r="S108" s="216"/>
      <c r="T108" s="228" t="s">
        <v>416</v>
      </c>
      <c r="U108" s="195" t="str">
        <f aca="false">Таблица310[[#This Row],[Регистратор.Номенклатура]]</f>
        <v>Преладо</v>
      </c>
      <c r="V108" s="230" t="n">
        <f aca="false">33.5*Таблица310[[#This Row],[Регистратор.Вес нетто]]/219010</f>
        <v>2.43513994794758</v>
      </c>
      <c r="W108" s="216" t="s">
        <v>323</v>
      </c>
      <c r="X108" s="216" t="s">
        <v>52</v>
      </c>
      <c r="Y108" s="216" t="n">
        <v>6</v>
      </c>
      <c r="Z108" s="221" t="n">
        <v>45812</v>
      </c>
      <c r="AA108" s="231" t="n">
        <f aca="false">Таблица310[[#This Row],[Регистратор.Вес нетто]]</f>
        <v>15920</v>
      </c>
      <c r="AB108" s="198" t="s">
        <v>608</v>
      </c>
      <c r="AC108" s="198" t="s">
        <v>302</v>
      </c>
      <c r="AD108" s="198" t="s">
        <v>417</v>
      </c>
      <c r="AE108" s="198" t="n">
        <v>204</v>
      </c>
      <c r="AF108" s="200" t="n">
        <v>45812</v>
      </c>
      <c r="AG108" s="198" t="s">
        <v>801</v>
      </c>
      <c r="AH108" s="198" t="n">
        <f aca="false">VLOOKUP(Таблица310[[#This Row],[№ акта]],'Степень зрелости 2025'!$H$13:$I$583,2,FALSE())</f>
        <v>0</v>
      </c>
      <c r="AI108" s="198" t="str">
        <f aca="false">VLOOKUP(Таблица310[[#This Row],[№ акта]],$AQ$1:$AT$594,2,FALSE())</f>
        <v> 2/4</v>
      </c>
      <c r="AJ108" s="198" t="str">
        <f aca="false">Таблица310[[#This Row],[Регистратор.Номенклатура]]</f>
        <v>Преладо</v>
      </c>
      <c r="AK108" s="198" t="str">
        <f aca="false">VLOOKUP(Таблица310[[#This Row],[№ акта]],$AQ$1:$AT$594,4,FALSE())</f>
        <v>Учхоз Кубань (богара)</v>
      </c>
      <c r="AL108" s="230" t="n">
        <f aca="false">VLOOKUP(Таблица310[[#This Row],[№ акта]],$AQ$1:$AT$594,3,FALSE())</f>
        <v>2.43513994794758</v>
      </c>
      <c r="AM108" s="198" t="str">
        <f aca="false">IF(Таблица310[[#This Row],[Площадь уборки, га]]=Таблица310[[#This Row],[Площадь уборки до корр]],"нет","да")</f>
        <v>нет</v>
      </c>
      <c r="AN108" s="230" t="n">
        <f aca="false">Таблица310[[#This Row],[Площадь уборки до корр]]-Таблица310[[#This Row],[Площадь уборки, га]]</f>
        <v>0</v>
      </c>
      <c r="AQ108" s="0" t="n">
        <v>204</v>
      </c>
      <c r="AR108" s="0" t="s">
        <v>416</v>
      </c>
      <c r="AS108" s="0" t="n">
        <v>2.43513994794758</v>
      </c>
      <c r="AT108" s="0" t="s">
        <v>323</v>
      </c>
    </row>
    <row r="109" customFormat="false" ht="19.4" hidden="false" customHeight="false" outlineLevel="0" collapsed="false">
      <c r="A109" s="216" t="s">
        <v>358</v>
      </c>
      <c r="B109" s="217" t="n">
        <v>4059</v>
      </c>
      <c r="C109" s="241" t="n">
        <v>59</v>
      </c>
      <c r="D109" s="218" t="n">
        <v>205</v>
      </c>
      <c r="E109" s="219" t="n">
        <v>45813</v>
      </c>
      <c r="F109" s="217" t="n">
        <v>14400</v>
      </c>
      <c r="G109" s="217" t="n">
        <v>4920</v>
      </c>
      <c r="H109" s="220" t="n">
        <v>9480</v>
      </c>
      <c r="I109" s="217" t="n">
        <v>4059</v>
      </c>
      <c r="J109" s="216" t="s">
        <v>422</v>
      </c>
      <c r="K109" s="216" t="s">
        <v>47</v>
      </c>
      <c r="L109" s="216" t="s">
        <v>730</v>
      </c>
      <c r="M109" s="189" t="s">
        <v>411</v>
      </c>
      <c r="N109" s="216" t="s">
        <v>802</v>
      </c>
      <c r="O109" s="216" t="s">
        <v>803</v>
      </c>
      <c r="P109" s="216"/>
      <c r="Q109" s="216" t="n">
        <v>981.98</v>
      </c>
      <c r="R109" s="216" t="s">
        <v>381</v>
      </c>
      <c r="S109" s="216"/>
      <c r="T109" s="228" t="s">
        <v>730</v>
      </c>
      <c r="U109" s="195" t="str">
        <f aca="false">Таблица310[[#This Row],[Регистратор.Номенклатура]]</f>
        <v>Авола</v>
      </c>
      <c r="V109" s="230" t="n">
        <f aca="false">23.2*Таблица310[[#This Row],[Регистратор.Вес нетто]]/49520</f>
        <v>2.30500807754443</v>
      </c>
      <c r="W109" s="216" t="s">
        <v>51</v>
      </c>
      <c r="X109" s="242" t="s">
        <v>52</v>
      </c>
      <c r="Y109" s="216" t="n">
        <v>8</v>
      </c>
      <c r="Z109" s="221" t="n">
        <v>45813</v>
      </c>
      <c r="AA109" s="198"/>
      <c r="AB109" s="198"/>
      <c r="AC109" s="198" t="s">
        <v>302</v>
      </c>
      <c r="AD109" s="198" t="s">
        <v>417</v>
      </c>
      <c r="AE109" s="198" t="n">
        <v>205</v>
      </c>
      <c r="AF109" s="200" t="n">
        <v>45813</v>
      </c>
      <c r="AG109" s="198" t="n">
        <v>45</v>
      </c>
      <c r="AH109" s="198" t="n">
        <f aca="false">VLOOKUP(Таблица310[[#This Row],[№ акта]],'Степень зрелости 2025'!$H$13:$I$583,2,FALSE())</f>
        <v>59</v>
      </c>
      <c r="AI109" s="198" t="str">
        <f aca="false">VLOOKUP(Таблица310[[#This Row],[№ акта]],$AQ$1:$AT$594,2,FALSE())</f>
        <v>А-57</v>
      </c>
      <c r="AJ109" s="198" t="str">
        <f aca="false">Таблица310[[#This Row],[Регистратор.Номенклатура]]</f>
        <v>Авола</v>
      </c>
      <c r="AK109" s="198" t="str">
        <f aca="false">VLOOKUP(Таблица310[[#This Row],[№ акта]],$AQ$1:$AT$594,4,FALSE())</f>
        <v>ГРК (богара)</v>
      </c>
      <c r="AL109" s="230" t="n">
        <f aca="false">VLOOKUP(Таблица310[[#This Row],[№ акта]],$AQ$1:$AT$594,3,FALSE())</f>
        <v>1.79780755176614</v>
      </c>
      <c r="AM109" s="198" t="str">
        <f aca="false">IF(Таблица310[[#This Row],[Площадь уборки, га]]=Таблица310[[#This Row],[Площадь уборки до корр]],"нет","да")</f>
        <v>да</v>
      </c>
      <c r="AN109" s="230" t="n">
        <f aca="false">Таблица310[[#This Row],[Площадь уборки до корр]]-Таблица310[[#This Row],[Площадь уборки, га]]</f>
        <v>-0.507200525778287</v>
      </c>
      <c r="AQ109" s="0" t="n">
        <v>205</v>
      </c>
      <c r="AR109" s="0" t="s">
        <v>730</v>
      </c>
      <c r="AS109" s="0" t="n">
        <v>1.79780755176614</v>
      </c>
      <c r="AT109" s="0" t="s">
        <v>51</v>
      </c>
    </row>
    <row r="110" customFormat="false" ht="28.35" hidden="false" customHeight="false" outlineLevel="0" collapsed="false">
      <c r="A110" s="216" t="s">
        <v>358</v>
      </c>
      <c r="B110" s="217" t="n">
        <v>11154</v>
      </c>
      <c r="C110" s="241" t="n">
        <v>51</v>
      </c>
      <c r="D110" s="218" t="n">
        <v>206</v>
      </c>
      <c r="E110" s="219" t="n">
        <v>45813</v>
      </c>
      <c r="F110" s="217" t="n">
        <v>28060</v>
      </c>
      <c r="G110" s="217" t="n">
        <v>13520</v>
      </c>
      <c r="H110" s="220" t="n">
        <v>14540</v>
      </c>
      <c r="I110" s="217" t="n">
        <v>11154</v>
      </c>
      <c r="J110" s="216" t="s">
        <v>409</v>
      </c>
      <c r="K110" s="216" t="s">
        <v>252</v>
      </c>
      <c r="L110" s="216" t="s">
        <v>781</v>
      </c>
      <c r="M110" s="189" t="s">
        <v>363</v>
      </c>
      <c r="N110" s="216" t="s">
        <v>804</v>
      </c>
      <c r="O110" s="216" t="s">
        <v>805</v>
      </c>
      <c r="P110" s="216"/>
      <c r="Q110" s="216" t="s">
        <v>806</v>
      </c>
      <c r="R110" s="216" t="s">
        <v>364</v>
      </c>
      <c r="S110" s="216" t="s">
        <v>710</v>
      </c>
      <c r="T110" s="228" t="s">
        <v>781</v>
      </c>
      <c r="U110" s="195" t="str">
        <f aca="false">Таблица310[[#This Row],[Регистратор.Номенклатура]]</f>
        <v>Преладо</v>
      </c>
      <c r="V110" s="230" t="n">
        <f aca="false">40.2*Таблица310[[#This Row],[Регистратор.Вес нетто]]/176990</f>
        <v>3.07081756031414</v>
      </c>
      <c r="W110" s="216" t="s">
        <v>323</v>
      </c>
      <c r="X110" s="242" t="s">
        <v>52</v>
      </c>
      <c r="Y110" s="216" t="n">
        <v>7</v>
      </c>
      <c r="Z110" s="221" t="n">
        <v>45813</v>
      </c>
      <c r="AA110" s="198"/>
      <c r="AB110" s="198"/>
      <c r="AC110" s="198" t="s">
        <v>53</v>
      </c>
      <c r="AD110" s="198" t="s">
        <v>417</v>
      </c>
      <c r="AE110" s="198" t="n">
        <v>206</v>
      </c>
      <c r="AF110" s="200" t="n">
        <v>45813</v>
      </c>
      <c r="AG110" s="198" t="n">
        <v>130796</v>
      </c>
      <c r="AH110" s="198" t="n">
        <f aca="false">VLOOKUP(Таблица310[[#This Row],[№ акта]],'Степень зрелости 2025'!$H$13:$I$583,2,FALSE())</f>
        <v>51</v>
      </c>
      <c r="AI110" s="198" t="str">
        <f aca="false">VLOOKUP(Таблица310[[#This Row],[№ акта]],$AQ$1:$AT$594,2,FALSE())</f>
        <v>1/8.1</v>
      </c>
      <c r="AJ110" s="198" t="str">
        <f aca="false">Таблица310[[#This Row],[Регистратор.Номенклатура]]</f>
        <v>Преладо</v>
      </c>
      <c r="AK110" s="198" t="str">
        <f aca="false">VLOOKUP(Таблица310[[#This Row],[№ акта]],$AQ$1:$AT$594,4,FALSE())</f>
        <v>Учхоз Кубань (богара)</v>
      </c>
      <c r="AL110" s="230" t="n">
        <f aca="false">VLOOKUP(Таблица310[[#This Row],[№ акта]],$AQ$1:$AT$594,3,FALSE())</f>
        <v>3.07081756031414</v>
      </c>
      <c r="AM110" s="198" t="str">
        <f aca="false">IF(Таблица310[[#This Row],[Площадь уборки, га]]=Таблица310[[#This Row],[Площадь уборки до корр]],"нет","да")</f>
        <v>нет</v>
      </c>
      <c r="AN110" s="230" t="n">
        <f aca="false">Таблица310[[#This Row],[Площадь уборки до корр]]-Таблица310[[#This Row],[Площадь уборки, га]]</f>
        <v>0</v>
      </c>
      <c r="AQ110" s="0" t="n">
        <v>206</v>
      </c>
      <c r="AR110" s="0" t="s">
        <v>781</v>
      </c>
      <c r="AS110" s="0" t="n">
        <v>3.07081756031414</v>
      </c>
      <c r="AT110" s="0" t="s">
        <v>323</v>
      </c>
    </row>
    <row r="111" customFormat="false" ht="19.4" hidden="false" customHeight="false" outlineLevel="0" collapsed="false">
      <c r="A111" s="216" t="s">
        <v>358</v>
      </c>
      <c r="B111" s="217" t="n">
        <f aca="false">Таблица310[[#This Row],[Регистратор.Вес чистый]]</f>
        <v>0</v>
      </c>
      <c r="C111" s="241"/>
      <c r="D111" s="218" t="n">
        <v>207</v>
      </c>
      <c r="E111" s="219" t="n">
        <v>45812</v>
      </c>
      <c r="F111" s="217"/>
      <c r="G111" s="217"/>
      <c r="H111" s="220"/>
      <c r="I111" s="217"/>
      <c r="J111" s="216" t="s">
        <v>422</v>
      </c>
      <c r="K111" s="216" t="s">
        <v>47</v>
      </c>
      <c r="L111" s="216" t="s">
        <v>730</v>
      </c>
      <c r="M111" s="189" t="s">
        <v>376</v>
      </c>
      <c r="N111" s="216"/>
      <c r="O111" s="216"/>
      <c r="P111" s="216"/>
      <c r="Q111" s="216"/>
      <c r="R111" s="216" t="s">
        <v>377</v>
      </c>
      <c r="S111" s="216"/>
      <c r="T111" s="228"/>
      <c r="U111" s="195" t="str">
        <f aca="false">Таблица310[[#This Row],[Регистратор.Номенклатура]]</f>
        <v>Авола</v>
      </c>
      <c r="V111" s="230"/>
      <c r="W111" s="216"/>
      <c r="X111" s="242"/>
      <c r="Y111" s="216"/>
      <c r="Z111" s="221"/>
      <c r="AA111" s="231"/>
      <c r="AB111" s="198" t="s">
        <v>807</v>
      </c>
      <c r="AC111" s="198"/>
      <c r="AD111" s="198"/>
      <c r="AE111" s="198" t="n">
        <v>207</v>
      </c>
      <c r="AF111" s="200" t="n">
        <v>45812</v>
      </c>
      <c r="AG111" s="198" t="n">
        <v>37</v>
      </c>
      <c r="AH111" s="198" t="e">
        <f aca="false">VLOOKUP(Таблица310[[#This Row],[№ акта]],'Степень зрелости 2025'!$H$13:$I$583,2,FALSE())</f>
        <v>#N/A</v>
      </c>
      <c r="AI111" s="198" t="n">
        <f aca="false">VLOOKUP(Таблица310[[#This Row],[№ акта]],$AQ$1:$AT$594,2,FALSE())</f>
        <v>0</v>
      </c>
      <c r="AJ111" s="198" t="str">
        <f aca="false">Таблица310[[#This Row],[Регистратор.Номенклатура]]</f>
        <v>Авола</v>
      </c>
      <c r="AK111" s="198" t="n">
        <f aca="false">VLOOKUP(Таблица310[[#This Row],[№ акта]],$AQ$1:$AT$594,4,FALSE())</f>
        <v>0</v>
      </c>
      <c r="AL111" s="230" t="n">
        <f aca="false">VLOOKUP(Таблица310[[#This Row],[№ акта]],$AQ$1:$AT$594,3,FALSE())</f>
        <v>0</v>
      </c>
      <c r="AM111" s="198" t="str">
        <f aca="false">IF(Таблица310[[#This Row],[Площадь уборки, га]]=Таблица310[[#This Row],[Площадь уборки до корр]],"нет","да")</f>
        <v>нет</v>
      </c>
      <c r="AN111" s="230" t="n">
        <f aca="false">Таблица310[[#This Row],[Площадь уборки до корр]]-Таблица310[[#This Row],[Площадь уборки, га]]</f>
        <v>0</v>
      </c>
      <c r="AQ111" s="0" t="n">
        <v>207</v>
      </c>
    </row>
    <row r="112" customFormat="false" ht="28.35" hidden="false" customHeight="false" outlineLevel="0" collapsed="false">
      <c r="A112" s="216" t="s">
        <v>358</v>
      </c>
      <c r="B112" s="217" t="n">
        <v>10875.5</v>
      </c>
      <c r="C112" s="241" t="n">
        <v>51</v>
      </c>
      <c r="D112" s="218" t="n">
        <v>208</v>
      </c>
      <c r="E112" s="219" t="n">
        <v>45813</v>
      </c>
      <c r="F112" s="217" t="n">
        <v>28680</v>
      </c>
      <c r="G112" s="217" t="n">
        <v>13510</v>
      </c>
      <c r="H112" s="220" t="n">
        <v>15170</v>
      </c>
      <c r="I112" s="217" t="n">
        <v>10875.5</v>
      </c>
      <c r="J112" s="216" t="s">
        <v>409</v>
      </c>
      <c r="K112" s="216" t="s">
        <v>252</v>
      </c>
      <c r="L112" s="216" t="s">
        <v>781</v>
      </c>
      <c r="M112" s="189" t="s">
        <v>537</v>
      </c>
      <c r="N112" s="216" t="s">
        <v>808</v>
      </c>
      <c r="O112" s="216" t="s">
        <v>809</v>
      </c>
      <c r="P112" s="216"/>
      <c r="Q112" s="216" t="s">
        <v>810</v>
      </c>
      <c r="R112" s="216" t="s">
        <v>541</v>
      </c>
      <c r="S112" s="216" t="s">
        <v>714</v>
      </c>
      <c r="T112" s="228" t="s">
        <v>781</v>
      </c>
      <c r="U112" s="195" t="str">
        <f aca="false">Таблица310[[#This Row],[Регистратор.Номенклатура]]</f>
        <v>Преладо</v>
      </c>
      <c r="V112" s="230" t="n">
        <f aca="false">40.2*Таблица310[[#This Row],[Регистратор.Вес нетто]]/176990</f>
        <v>3.0685462455506</v>
      </c>
      <c r="W112" s="216" t="s">
        <v>323</v>
      </c>
      <c r="X112" s="242" t="s">
        <v>52</v>
      </c>
      <c r="Y112" s="216" t="n">
        <v>7</v>
      </c>
      <c r="Z112" s="221" t="n">
        <v>45813</v>
      </c>
      <c r="AA112" s="198"/>
      <c r="AB112" s="198"/>
      <c r="AC112" s="198" t="s">
        <v>53</v>
      </c>
      <c r="AD112" s="198" t="s">
        <v>417</v>
      </c>
      <c r="AE112" s="198" t="n">
        <v>208</v>
      </c>
      <c r="AF112" s="200" t="n">
        <v>45813</v>
      </c>
      <c r="AG112" s="198" t="n">
        <v>130797</v>
      </c>
      <c r="AH112" s="198" t="n">
        <f aca="false">VLOOKUP(Таблица310[[#This Row],[№ акта]],'Степень зрелости 2025'!$H$13:$I$583,2,FALSE())</f>
        <v>51</v>
      </c>
      <c r="AI112" s="198" t="str">
        <f aca="false">VLOOKUP(Таблица310[[#This Row],[№ акта]],$AQ$1:$AT$594,2,FALSE())</f>
        <v>1/8.1</v>
      </c>
      <c r="AJ112" s="198" t="str">
        <f aca="false">Таблица310[[#This Row],[Регистратор.Номенклатура]]</f>
        <v>Преладо</v>
      </c>
      <c r="AK112" s="198" t="str">
        <f aca="false">VLOOKUP(Таблица310[[#This Row],[№ акта]],$AQ$1:$AT$594,4,FALSE())</f>
        <v>Учхоз Кубань (богара)</v>
      </c>
      <c r="AL112" s="230" t="n">
        <f aca="false">VLOOKUP(Таблица310[[#This Row],[№ акта]],$AQ$1:$AT$594,3,FALSE())</f>
        <v>3.0685462455506</v>
      </c>
      <c r="AM112" s="198" t="str">
        <f aca="false">IF(Таблица310[[#This Row],[Площадь уборки, га]]=Таблица310[[#This Row],[Площадь уборки до корр]],"нет","да")</f>
        <v>нет</v>
      </c>
      <c r="AN112" s="230" t="n">
        <f aca="false">Таблица310[[#This Row],[Площадь уборки до корр]]-Таблица310[[#This Row],[Площадь уборки, га]]</f>
        <v>0</v>
      </c>
      <c r="AQ112" s="0" t="n">
        <v>208</v>
      </c>
      <c r="AR112" s="0" t="s">
        <v>781</v>
      </c>
      <c r="AS112" s="0" t="n">
        <v>3.0685462455506</v>
      </c>
      <c r="AT112" s="0" t="s">
        <v>323</v>
      </c>
    </row>
    <row r="113" customFormat="false" ht="25.5" hidden="false" customHeight="true" outlineLevel="0" collapsed="false">
      <c r="A113" s="216" t="s">
        <v>358</v>
      </c>
      <c r="B113" s="217" t="n">
        <v>11431.1</v>
      </c>
      <c r="C113" s="241" t="n">
        <v>50</v>
      </c>
      <c r="D113" s="218" t="n">
        <v>209</v>
      </c>
      <c r="E113" s="219" t="n">
        <v>45813</v>
      </c>
      <c r="F113" s="217" t="n">
        <v>29330</v>
      </c>
      <c r="G113" s="217" t="n">
        <v>13690</v>
      </c>
      <c r="H113" s="220" t="n">
        <v>15640</v>
      </c>
      <c r="I113" s="217" t="n">
        <v>11431.1</v>
      </c>
      <c r="J113" s="216" t="s">
        <v>409</v>
      </c>
      <c r="K113" s="216" t="s">
        <v>252</v>
      </c>
      <c r="L113" s="216" t="s">
        <v>781</v>
      </c>
      <c r="M113" s="189" t="s">
        <v>445</v>
      </c>
      <c r="N113" s="216" t="s">
        <v>811</v>
      </c>
      <c r="O113" s="216" t="s">
        <v>812</v>
      </c>
      <c r="P113" s="216"/>
      <c r="Q113" s="216" t="s">
        <v>813</v>
      </c>
      <c r="R113" s="216" t="s">
        <v>449</v>
      </c>
      <c r="S113" s="216" t="s">
        <v>450</v>
      </c>
      <c r="T113" s="228" t="s">
        <v>781</v>
      </c>
      <c r="U113" s="195" t="str">
        <f aca="false">Таблица310[[#This Row],[Регистратор.Номенклатура]]</f>
        <v>Преладо</v>
      </c>
      <c r="V113" s="230" t="n">
        <f aca="false">40.2*Таблица310[[#This Row],[Регистратор.Вес нетто]]/176990</f>
        <v>3.10942991129442</v>
      </c>
      <c r="W113" s="216" t="s">
        <v>323</v>
      </c>
      <c r="X113" s="242" t="s">
        <v>52</v>
      </c>
      <c r="Y113" s="216" t="n">
        <v>7</v>
      </c>
      <c r="Z113" s="221" t="n">
        <v>45813</v>
      </c>
      <c r="AA113" s="198"/>
      <c r="AB113" s="198"/>
      <c r="AC113" s="198" t="s">
        <v>53</v>
      </c>
      <c r="AD113" s="198" t="s">
        <v>417</v>
      </c>
      <c r="AE113" s="198" t="n">
        <v>209</v>
      </c>
      <c r="AF113" s="200" t="n">
        <v>45813</v>
      </c>
      <c r="AG113" s="198" t="n">
        <v>130798</v>
      </c>
      <c r="AH113" s="198" t="n">
        <f aca="false">VLOOKUP(Таблица310[[#This Row],[№ акта]],'Степень зрелости 2025'!$H$13:$I$583,2,FALSE())</f>
        <v>50</v>
      </c>
      <c r="AI113" s="198" t="str">
        <f aca="false">VLOOKUP(Таблица310[[#This Row],[№ акта]],$AQ$1:$AT$594,2,FALSE())</f>
        <v>1/8.1</v>
      </c>
      <c r="AJ113" s="198" t="str">
        <f aca="false">Таблица310[[#This Row],[Регистратор.Номенклатура]]</f>
        <v>Преладо</v>
      </c>
      <c r="AK113" s="198" t="str">
        <f aca="false">VLOOKUP(Таблица310[[#This Row],[№ акта]],$AQ$1:$AT$594,4,FALSE())</f>
        <v>Учхоз Кубань (богара)</v>
      </c>
      <c r="AL113" s="230" t="n">
        <f aca="false">VLOOKUP(Таблица310[[#This Row],[№ акта]],$AQ$1:$AT$594,3,FALSE())</f>
        <v>3.10942991129442</v>
      </c>
      <c r="AM113" s="198" t="str">
        <f aca="false">IF(Таблица310[[#This Row],[Площадь уборки, га]]=Таблица310[[#This Row],[Площадь уборки до корр]],"нет","да")</f>
        <v>нет</v>
      </c>
      <c r="AN113" s="230" t="n">
        <f aca="false">Таблица310[[#This Row],[Площадь уборки до корр]]-Таблица310[[#This Row],[Площадь уборки, га]]</f>
        <v>0</v>
      </c>
      <c r="AQ113" s="0" t="n">
        <v>209</v>
      </c>
      <c r="AR113" s="0" t="s">
        <v>781</v>
      </c>
      <c r="AS113" s="0" t="n">
        <v>3.10942991129442</v>
      </c>
      <c r="AT113" s="0" t="s">
        <v>323</v>
      </c>
    </row>
    <row r="114" customFormat="false" ht="25.5" hidden="false" customHeight="true" outlineLevel="0" collapsed="false">
      <c r="A114" s="216" t="s">
        <v>358</v>
      </c>
      <c r="B114" s="217" t="n">
        <v>10915.3</v>
      </c>
      <c r="C114" s="241" t="n">
        <v>50</v>
      </c>
      <c r="D114" s="218" t="n">
        <v>210</v>
      </c>
      <c r="E114" s="219" t="n">
        <v>45813</v>
      </c>
      <c r="F114" s="217" t="n">
        <v>28640</v>
      </c>
      <c r="G114" s="217" t="n">
        <v>13730</v>
      </c>
      <c r="H114" s="216" t="n">
        <v>14910</v>
      </c>
      <c r="I114" s="216" t="n">
        <v>10915.3</v>
      </c>
      <c r="J114" s="216" t="s">
        <v>409</v>
      </c>
      <c r="K114" s="216" t="s">
        <v>252</v>
      </c>
      <c r="L114" s="216" t="s">
        <v>781</v>
      </c>
      <c r="M114" s="189" t="s">
        <v>451</v>
      </c>
      <c r="N114" s="230" t="s">
        <v>814</v>
      </c>
      <c r="O114" s="216" t="s">
        <v>815</v>
      </c>
      <c r="P114" s="216"/>
      <c r="Q114" s="216" t="s">
        <v>816</v>
      </c>
      <c r="R114" s="221" t="s">
        <v>455</v>
      </c>
      <c r="S114" s="198" t="s">
        <v>456</v>
      </c>
      <c r="T114" s="228" t="s">
        <v>781</v>
      </c>
      <c r="U114" s="195" t="str">
        <f aca="false">Таблица310[[#This Row],[Регистратор.Номенклатура]]</f>
        <v>Преладо</v>
      </c>
      <c r="V114" s="230" t="n">
        <f aca="false">40.2*Таблица310[[#This Row],[Регистратор.Вес нетто]]/176990</f>
        <v>3.11851517034861</v>
      </c>
      <c r="W114" s="216" t="s">
        <v>323</v>
      </c>
      <c r="X114" s="242" t="s">
        <v>52</v>
      </c>
      <c r="Y114" s="216" t="n">
        <v>7</v>
      </c>
      <c r="Z114" s="221" t="n">
        <v>45813</v>
      </c>
      <c r="AC114" s="198" t="s">
        <v>53</v>
      </c>
      <c r="AD114" s="198" t="s">
        <v>417</v>
      </c>
      <c r="AE114" s="198" t="n">
        <v>210</v>
      </c>
      <c r="AF114" s="200" t="n">
        <v>45813</v>
      </c>
      <c r="AG114" s="198" t="n">
        <v>130799</v>
      </c>
      <c r="AH114" s="198" t="n">
        <f aca="false">VLOOKUP(Таблица310[[#This Row],[№ акта]],'Степень зрелости 2025'!$H$13:$I$583,2,FALSE())</f>
        <v>50</v>
      </c>
      <c r="AI114" s="198" t="str">
        <f aca="false">VLOOKUP(Таблица310[[#This Row],[№ акта]],$AQ$1:$AT$594,2,FALSE())</f>
        <v>1/8.1</v>
      </c>
      <c r="AJ114" s="198" t="str">
        <f aca="false">Таблица310[[#This Row],[Регистратор.Номенклатура]]</f>
        <v>Преладо</v>
      </c>
      <c r="AK114" s="198" t="str">
        <f aca="false">VLOOKUP(Таблица310[[#This Row],[№ акта]],$AQ$1:$AT$594,4,FALSE())</f>
        <v>Учхоз Кубань (богара)</v>
      </c>
      <c r="AL114" s="230" t="n">
        <f aca="false">VLOOKUP(Таблица310[[#This Row],[№ акта]],$AQ$1:$AT$594,3,FALSE())</f>
        <v>3.11851517034861</v>
      </c>
      <c r="AM114" s="198" t="str">
        <f aca="false">IF(Таблица310[[#This Row],[Площадь уборки, га]]=Таблица310[[#This Row],[Площадь уборки до корр]],"нет","да")</f>
        <v>нет</v>
      </c>
      <c r="AN114" s="230" t="n">
        <f aca="false">Таблица310[[#This Row],[Площадь уборки до корр]]-Таблица310[[#This Row],[Площадь уборки, га]]</f>
        <v>0</v>
      </c>
      <c r="AQ114" s="0" t="n">
        <v>210</v>
      </c>
      <c r="AR114" s="0" t="s">
        <v>781</v>
      </c>
      <c r="AS114" s="0" t="n">
        <v>3.11851517034861</v>
      </c>
      <c r="AT114" s="0" t="s">
        <v>323</v>
      </c>
      <c r="XEM114" s="216"/>
      <c r="XEN114" s="217"/>
      <c r="XEO114" s="243"/>
      <c r="XEP114" s="218"/>
      <c r="XEQ114" s="244"/>
      <c r="XER114" s="217"/>
    </row>
    <row r="115" customFormat="false" ht="25.5" hidden="false" customHeight="true" outlineLevel="0" collapsed="false">
      <c r="A115" s="216" t="s">
        <v>358</v>
      </c>
      <c r="B115" s="217" t="n">
        <v>11263.3</v>
      </c>
      <c r="C115" s="241" t="n">
        <v>54</v>
      </c>
      <c r="D115" s="218" t="n">
        <v>211</v>
      </c>
      <c r="E115" s="219" t="n">
        <v>45813</v>
      </c>
      <c r="F115" s="217" t="n">
        <v>28760</v>
      </c>
      <c r="G115" s="217" t="n">
        <v>13820</v>
      </c>
      <c r="H115" s="216" t="n">
        <v>14940</v>
      </c>
      <c r="I115" s="216" t="n">
        <v>11263.3</v>
      </c>
      <c r="J115" s="216" t="s">
        <v>409</v>
      </c>
      <c r="K115" s="216" t="s">
        <v>252</v>
      </c>
      <c r="L115" s="216" t="s">
        <v>781</v>
      </c>
      <c r="M115" s="189" t="s">
        <v>371</v>
      </c>
      <c r="N115" s="230" t="s">
        <v>817</v>
      </c>
      <c r="O115" s="216" t="s">
        <v>818</v>
      </c>
      <c r="P115" s="216"/>
      <c r="Q115" s="216" t="s">
        <v>819</v>
      </c>
      <c r="R115" s="221" t="s">
        <v>372</v>
      </c>
      <c r="S115" s="198" t="s">
        <v>588</v>
      </c>
      <c r="T115" s="228" t="s">
        <v>781</v>
      </c>
      <c r="U115" s="195" t="str">
        <f aca="false">Таблица310[[#This Row],[Регистратор.Номенклатура]]</f>
        <v>Преладо</v>
      </c>
      <c r="V115" s="230" t="n">
        <f aca="false">40.2*Таблица310[[#This Row],[Регистратор.Вес нетто]]/176990</f>
        <v>3.13895700322052</v>
      </c>
      <c r="W115" s="216" t="s">
        <v>323</v>
      </c>
      <c r="X115" s="242" t="s">
        <v>52</v>
      </c>
      <c r="Y115" s="216" t="n">
        <v>7</v>
      </c>
      <c r="Z115" s="221" t="n">
        <v>45813</v>
      </c>
      <c r="AC115" s="198" t="s">
        <v>302</v>
      </c>
      <c r="AD115" s="198" t="s">
        <v>417</v>
      </c>
      <c r="AE115" s="198" t="n">
        <v>211</v>
      </c>
      <c r="AF115" s="200" t="n">
        <v>45813</v>
      </c>
      <c r="AG115" s="198" t="n">
        <v>130800</v>
      </c>
      <c r="AH115" s="198" t="n">
        <f aca="false">VLOOKUP(Таблица310[[#This Row],[№ акта]],'Степень зрелости 2025'!$H$13:$I$583,2,FALSE())</f>
        <v>54</v>
      </c>
      <c r="AI115" s="198" t="str">
        <f aca="false">VLOOKUP(Таблица310[[#This Row],[№ акта]],$AQ$1:$AT$594,2,FALSE())</f>
        <v>1/8.1</v>
      </c>
      <c r="AJ115" s="198" t="str">
        <f aca="false">Таблица310[[#This Row],[Регистратор.Номенклатура]]</f>
        <v>Преладо</v>
      </c>
      <c r="AK115" s="198" t="str">
        <f aca="false">VLOOKUP(Таблица310[[#This Row],[№ акта]],$AQ$1:$AT$594,4,FALSE())</f>
        <v>Учхоз Кубань (богара)</v>
      </c>
      <c r="AL115" s="230" t="n">
        <f aca="false">VLOOKUP(Таблица310[[#This Row],[№ акта]],$AQ$1:$AT$594,3,FALSE())</f>
        <v>3.13895700322052</v>
      </c>
      <c r="AM115" s="198" t="str">
        <f aca="false">IF(Таблица310[[#This Row],[Площадь уборки, га]]=Таблица310[[#This Row],[Площадь уборки до корр]],"нет","да")</f>
        <v>нет</v>
      </c>
      <c r="AN115" s="230" t="n">
        <f aca="false">Таблица310[[#This Row],[Площадь уборки до корр]]-Таблица310[[#This Row],[Площадь уборки, га]]</f>
        <v>0</v>
      </c>
      <c r="AQ115" s="0" t="n">
        <v>211</v>
      </c>
      <c r="AR115" s="0" t="s">
        <v>781</v>
      </c>
      <c r="AS115" s="0" t="n">
        <v>3.13895700322052</v>
      </c>
      <c r="AT115" s="0" t="s">
        <v>323</v>
      </c>
      <c r="XEM115" s="216"/>
      <c r="XEN115" s="217"/>
      <c r="XEO115" s="243"/>
      <c r="XEP115" s="218"/>
      <c r="XEQ115" s="244"/>
      <c r="XER115" s="217"/>
    </row>
    <row r="116" customFormat="false" ht="25.5" hidden="false" customHeight="true" outlineLevel="0" collapsed="false">
      <c r="A116" s="216" t="s">
        <v>358</v>
      </c>
      <c r="B116" s="217" t="n">
        <v>11489.6</v>
      </c>
      <c r="C116" s="241" t="n">
        <v>53</v>
      </c>
      <c r="D116" s="218" t="n">
        <v>212</v>
      </c>
      <c r="E116" s="219" t="n">
        <v>45813</v>
      </c>
      <c r="F116" s="217" t="n">
        <v>32460</v>
      </c>
      <c r="G116" s="217" t="n">
        <v>13760</v>
      </c>
      <c r="H116" s="216" t="n">
        <v>18700</v>
      </c>
      <c r="I116" s="216" t="n">
        <v>11489.6</v>
      </c>
      <c r="J116" s="216" t="s">
        <v>409</v>
      </c>
      <c r="K116" s="216" t="s">
        <v>252</v>
      </c>
      <c r="L116" s="216" t="s">
        <v>781</v>
      </c>
      <c r="M116" s="189" t="s">
        <v>365</v>
      </c>
      <c r="N116" s="230" t="s">
        <v>820</v>
      </c>
      <c r="O116" s="216" t="s">
        <v>821</v>
      </c>
      <c r="P116" s="216"/>
      <c r="Q116" s="216" t="s">
        <v>822</v>
      </c>
      <c r="R116" s="221" t="s">
        <v>373</v>
      </c>
      <c r="S116" s="198" t="s">
        <v>592</v>
      </c>
      <c r="T116" s="228" t="s">
        <v>781</v>
      </c>
      <c r="U116" s="195" t="str">
        <f aca="false">Таблица310[[#This Row],[Регистратор.Номенклатура]]</f>
        <v>Преладо</v>
      </c>
      <c r="V116" s="230" t="n">
        <f aca="false">40.2*Таблица310[[#This Row],[Регистратор.Вес нетто]]/176990</f>
        <v>3.12532911463925</v>
      </c>
      <c r="W116" s="216" t="s">
        <v>323</v>
      </c>
      <c r="X116" s="242" t="s">
        <v>52</v>
      </c>
      <c r="Y116" s="216" t="n">
        <v>7</v>
      </c>
      <c r="Z116" s="221" t="n">
        <v>45813</v>
      </c>
      <c r="AC116" s="198" t="s">
        <v>302</v>
      </c>
      <c r="AD116" s="198" t="s">
        <v>417</v>
      </c>
      <c r="AE116" s="198" t="n">
        <v>212</v>
      </c>
      <c r="AF116" s="200" t="n">
        <v>45813</v>
      </c>
      <c r="AG116" s="198" t="n">
        <v>130751</v>
      </c>
      <c r="AH116" s="198" t="n">
        <f aca="false">VLOOKUP(Таблица310[[#This Row],[№ акта]],'Степень зрелости 2025'!$H$13:$I$583,2,FALSE())</f>
        <v>53</v>
      </c>
      <c r="AI116" s="198" t="str">
        <f aca="false">VLOOKUP(Таблица310[[#This Row],[№ акта]],$AQ$1:$AT$594,2,FALSE())</f>
        <v>1/8.1</v>
      </c>
      <c r="AJ116" s="198" t="str">
        <f aca="false">Таблица310[[#This Row],[Регистратор.Номенклатура]]</f>
        <v>Преладо</v>
      </c>
      <c r="AK116" s="198" t="str">
        <f aca="false">VLOOKUP(Таблица310[[#This Row],[№ акта]],$AQ$1:$AT$594,4,FALSE())</f>
        <v>Учхоз Кубань (богара)</v>
      </c>
      <c r="AL116" s="230" t="n">
        <f aca="false">VLOOKUP(Таблица310[[#This Row],[№ акта]],$AQ$1:$AT$594,3,FALSE())</f>
        <v>3.12532911463925</v>
      </c>
      <c r="AM116" s="198" t="str">
        <f aca="false">IF(Таблица310[[#This Row],[Площадь уборки, га]]=Таблица310[[#This Row],[Площадь уборки до корр]],"нет","да")</f>
        <v>нет</v>
      </c>
      <c r="AN116" s="230" t="n">
        <f aca="false">Таблица310[[#This Row],[Площадь уборки до корр]]-Таблица310[[#This Row],[Площадь уборки, га]]</f>
        <v>0</v>
      </c>
      <c r="AQ116" s="0" t="n">
        <v>212</v>
      </c>
      <c r="AR116" s="0" t="s">
        <v>781</v>
      </c>
      <c r="AS116" s="0" t="n">
        <v>3.12532911463925</v>
      </c>
      <c r="AT116" s="0" t="s">
        <v>323</v>
      </c>
      <c r="XEM116" s="216"/>
      <c r="XEN116" s="217"/>
      <c r="XEO116" s="243"/>
      <c r="XEP116" s="218"/>
      <c r="XEQ116" s="244"/>
      <c r="XER116" s="217"/>
    </row>
    <row r="117" customFormat="false" ht="25.5" hidden="false" customHeight="true" outlineLevel="0" collapsed="false">
      <c r="A117" s="216" t="s">
        <v>358</v>
      </c>
      <c r="B117" s="217" t="n">
        <v>11393.2</v>
      </c>
      <c r="C117" s="241" t="n">
        <v>54</v>
      </c>
      <c r="D117" s="218" t="n">
        <v>213</v>
      </c>
      <c r="E117" s="219" t="n">
        <v>45813</v>
      </c>
      <c r="F117" s="217" t="n">
        <v>28200</v>
      </c>
      <c r="G117" s="217" t="n">
        <v>13810</v>
      </c>
      <c r="H117" s="216" t="n">
        <v>14390</v>
      </c>
      <c r="I117" s="216" t="n">
        <v>11393.2</v>
      </c>
      <c r="J117" s="216" t="s">
        <v>409</v>
      </c>
      <c r="K117" s="216" t="s">
        <v>252</v>
      </c>
      <c r="L117" s="216" t="s">
        <v>781</v>
      </c>
      <c r="M117" s="189" t="s">
        <v>384</v>
      </c>
      <c r="N117" s="230" t="s">
        <v>823</v>
      </c>
      <c r="O117" s="216" t="s">
        <v>824</v>
      </c>
      <c r="P117" s="216"/>
      <c r="Q117" s="216" t="s">
        <v>825</v>
      </c>
      <c r="R117" s="221" t="s">
        <v>385</v>
      </c>
      <c r="S117" s="198" t="s">
        <v>578</v>
      </c>
      <c r="T117" s="228" t="s">
        <v>781</v>
      </c>
      <c r="U117" s="195" t="str">
        <f aca="false">Таблица310[[#This Row],[Регистратор.Номенклатура]]</f>
        <v>Преладо</v>
      </c>
      <c r="V117" s="230" t="n">
        <f aca="false">40.2*Таблица310[[#This Row],[Регистратор.Вес нетто]]/176990</f>
        <v>3.13668568845698</v>
      </c>
      <c r="W117" s="216" t="s">
        <v>323</v>
      </c>
      <c r="X117" s="242" t="s">
        <v>52</v>
      </c>
      <c r="Y117" s="216" t="n">
        <v>7</v>
      </c>
      <c r="Z117" s="221" t="n">
        <v>45813</v>
      </c>
      <c r="AC117" s="198" t="s">
        <v>302</v>
      </c>
      <c r="AD117" s="198" t="s">
        <v>417</v>
      </c>
      <c r="AE117" s="198" t="n">
        <v>213</v>
      </c>
      <c r="AF117" s="200" t="n">
        <v>45813</v>
      </c>
      <c r="AG117" s="198" t="n">
        <v>130752</v>
      </c>
      <c r="AH117" s="198" t="n">
        <f aca="false">VLOOKUP(Таблица310[[#This Row],[№ акта]],'Степень зрелости 2025'!$H$13:$I$583,2,FALSE())</f>
        <v>54</v>
      </c>
      <c r="AI117" s="198" t="str">
        <f aca="false">VLOOKUP(Таблица310[[#This Row],[№ акта]],$AQ$1:$AT$594,2,FALSE())</f>
        <v>1/8.1</v>
      </c>
      <c r="AJ117" s="198" t="str">
        <f aca="false">Таблица310[[#This Row],[Регистратор.Номенклатура]]</f>
        <v>Преладо</v>
      </c>
      <c r="AK117" s="198" t="str">
        <f aca="false">VLOOKUP(Таблица310[[#This Row],[№ акта]],$AQ$1:$AT$594,4,FALSE())</f>
        <v>Учхоз Кубань (богара)</v>
      </c>
      <c r="AL117" s="230" t="n">
        <f aca="false">VLOOKUP(Таблица310[[#This Row],[№ акта]],$AQ$1:$AT$594,3,FALSE())</f>
        <v>3.13668568845698</v>
      </c>
      <c r="AM117" s="198" t="str">
        <f aca="false">IF(Таблица310[[#This Row],[Площадь уборки, га]]=Таблица310[[#This Row],[Площадь уборки до корр]],"нет","да")</f>
        <v>нет</v>
      </c>
      <c r="AN117" s="230" t="n">
        <f aca="false">Таблица310[[#This Row],[Площадь уборки до корр]]-Таблица310[[#This Row],[Площадь уборки, га]]</f>
        <v>0</v>
      </c>
      <c r="AQ117" s="0" t="n">
        <v>213</v>
      </c>
      <c r="AR117" s="0" t="s">
        <v>781</v>
      </c>
      <c r="AS117" s="0" t="n">
        <v>3.13668568845698</v>
      </c>
      <c r="AT117" s="0" t="s">
        <v>323</v>
      </c>
      <c r="XEM117" s="216"/>
      <c r="XEN117" s="217"/>
      <c r="XEO117" s="243"/>
      <c r="XEP117" s="218"/>
      <c r="XEQ117" s="244"/>
      <c r="XER117" s="217"/>
    </row>
    <row r="118" customFormat="false" ht="25.5" hidden="false" customHeight="true" outlineLevel="0" collapsed="false">
      <c r="A118" s="216" t="s">
        <v>358</v>
      </c>
      <c r="B118" s="217" t="n">
        <v>5347.5</v>
      </c>
      <c r="C118" s="241" t="n">
        <v>54</v>
      </c>
      <c r="D118" s="218" t="n">
        <v>214</v>
      </c>
      <c r="E118" s="219" t="n">
        <v>45813</v>
      </c>
      <c r="F118" s="217" t="n">
        <v>16370</v>
      </c>
      <c r="G118" s="217" t="n">
        <v>6900</v>
      </c>
      <c r="H118" s="216" t="n">
        <v>9470</v>
      </c>
      <c r="I118" s="216" t="n">
        <v>5347.5</v>
      </c>
      <c r="J118" s="216" t="s">
        <v>422</v>
      </c>
      <c r="K118" s="216" t="s">
        <v>47</v>
      </c>
      <c r="L118" s="216" t="s">
        <v>730</v>
      </c>
      <c r="M118" s="189" t="s">
        <v>411</v>
      </c>
      <c r="N118" s="230" t="s">
        <v>826</v>
      </c>
      <c r="O118" s="216" t="s">
        <v>827</v>
      </c>
      <c r="P118" s="242"/>
      <c r="Q118" s="216" t="s">
        <v>828</v>
      </c>
      <c r="R118" s="221" t="s">
        <v>381</v>
      </c>
      <c r="S118" s="198"/>
      <c r="T118" s="198" t="s">
        <v>730</v>
      </c>
      <c r="U118" s="195" t="str">
        <f aca="false">Таблица310[[#This Row],[Регистратор.Номенклатура]]</f>
        <v>Авола</v>
      </c>
      <c r="V118" s="230" t="n">
        <f aca="false">23.2*Таблица310[[#This Row],[Регистратор.Вес нетто]]/49520</f>
        <v>3.23263327948304</v>
      </c>
      <c r="W118" s="216" t="s">
        <v>51</v>
      </c>
      <c r="X118" s="242" t="s">
        <v>52</v>
      </c>
      <c r="Y118" s="216" t="n">
        <v>8</v>
      </c>
      <c r="Z118" s="221" t="n">
        <v>45813</v>
      </c>
      <c r="AC118" s="198" t="s">
        <v>302</v>
      </c>
      <c r="AD118" s="198" t="s">
        <v>417</v>
      </c>
      <c r="AE118" s="198" t="n">
        <v>214</v>
      </c>
      <c r="AF118" s="200" t="n">
        <v>45813</v>
      </c>
      <c r="AG118" s="198" t="n">
        <v>47</v>
      </c>
      <c r="AH118" s="198" t="n">
        <f aca="false">VLOOKUP(Таблица310[[#This Row],[№ акта]],'Степень зрелости 2025'!$H$13:$I$583,2,FALSE())</f>
        <v>54</v>
      </c>
      <c r="AI118" s="198" t="str">
        <f aca="false">VLOOKUP(Таблица310[[#This Row],[№ акта]],$AQ$1:$AT$594,2,FALSE())</f>
        <v>А-57</v>
      </c>
      <c r="AJ118" s="198" t="str">
        <f aca="false">Таблица310[[#This Row],[Регистратор.Номенклатура]]</f>
        <v>Авола</v>
      </c>
      <c r="AK118" s="198" t="str">
        <f aca="false">VLOOKUP(Таблица310[[#This Row],[№ акта]],$AQ$1:$AT$594,4,FALSE())</f>
        <v>ГРК (богара)</v>
      </c>
      <c r="AL118" s="230" t="n">
        <f aca="false">VLOOKUP(Таблица310[[#This Row],[№ акта]],$AQ$1:$AT$594,3,FALSE())</f>
        <v>2.52131546894032</v>
      </c>
      <c r="AM118" s="198" t="str">
        <f aca="false">IF(Таблица310[[#This Row],[Площадь уборки, га]]=Таблица310[[#This Row],[Площадь уборки до корр]],"нет","да")</f>
        <v>да</v>
      </c>
      <c r="AN118" s="230" t="n">
        <f aca="false">Таблица310[[#This Row],[Площадь уборки до корр]]-Таблица310[[#This Row],[Площадь уборки, га]]</f>
        <v>-0.71131781054272</v>
      </c>
      <c r="AQ118" s="0" t="n">
        <v>214</v>
      </c>
      <c r="AR118" s="0" t="s">
        <v>730</v>
      </c>
      <c r="AS118" s="0" t="n">
        <v>2.52131546894032</v>
      </c>
      <c r="AT118" s="0" t="s">
        <v>51</v>
      </c>
      <c r="XEO118" s="216"/>
      <c r="XEP118" s="217"/>
      <c r="XEQ118" s="243"/>
      <c r="XER118" s="218"/>
      <c r="XES118" s="244"/>
      <c r="XET118" s="217"/>
    </row>
    <row r="119" customFormat="false" ht="25.5" hidden="false" customHeight="true" outlineLevel="0" collapsed="false">
      <c r="A119" s="216" t="s">
        <v>358</v>
      </c>
      <c r="B119" s="217" t="n">
        <v>11365.2</v>
      </c>
      <c r="C119" s="241" t="n">
        <v>54</v>
      </c>
      <c r="D119" s="218" t="n">
        <v>215</v>
      </c>
      <c r="E119" s="219" t="n">
        <v>45813</v>
      </c>
      <c r="F119" s="217" t="n">
        <v>28130</v>
      </c>
      <c r="G119" s="217" t="n">
        <v>13450</v>
      </c>
      <c r="H119" s="216" t="n">
        <v>14680</v>
      </c>
      <c r="I119" s="216" t="n">
        <v>11365.2</v>
      </c>
      <c r="J119" s="216" t="s">
        <v>409</v>
      </c>
      <c r="K119" s="216" t="s">
        <v>252</v>
      </c>
      <c r="L119" s="216" t="s">
        <v>781</v>
      </c>
      <c r="M119" s="189" t="s">
        <v>361</v>
      </c>
      <c r="N119" s="230" t="s">
        <v>829</v>
      </c>
      <c r="O119" s="216" t="s">
        <v>830</v>
      </c>
      <c r="P119" s="216"/>
      <c r="Q119" s="216" t="s">
        <v>831</v>
      </c>
      <c r="R119" s="221" t="s">
        <v>362</v>
      </c>
      <c r="S119" s="198" t="s">
        <v>583</v>
      </c>
      <c r="T119" s="228" t="s">
        <v>781</v>
      </c>
      <c r="U119" s="195" t="str">
        <f aca="false">Таблица310[[#This Row],[Регистратор.Номенклатура]]</f>
        <v>Преладо</v>
      </c>
      <c r="V119" s="230" t="n">
        <f aca="false">40.2*Таблица310[[#This Row],[Регистратор.Вес нетто]]/176990</f>
        <v>3.05491835696932</v>
      </c>
      <c r="W119" s="216" t="s">
        <v>323</v>
      </c>
      <c r="X119" s="242" t="s">
        <v>52</v>
      </c>
      <c r="Y119" s="216" t="n">
        <v>7</v>
      </c>
      <c r="Z119" s="221" t="n">
        <v>45813</v>
      </c>
      <c r="AC119" s="198" t="s">
        <v>302</v>
      </c>
      <c r="AD119" s="198" t="s">
        <v>417</v>
      </c>
      <c r="AE119" s="198" t="n">
        <v>215</v>
      </c>
      <c r="AF119" s="200" t="n">
        <v>45813</v>
      </c>
      <c r="AG119" s="198" t="n">
        <v>130753</v>
      </c>
      <c r="AH119" s="198" t="n">
        <f aca="false">VLOOKUP(Таблица310[[#This Row],[№ акта]],'Степень зрелости 2025'!$H$13:$I$583,2,FALSE())</f>
        <v>54</v>
      </c>
      <c r="AI119" s="198" t="str">
        <f aca="false">VLOOKUP(Таблица310[[#This Row],[№ акта]],$AQ$1:$AT$594,2,FALSE())</f>
        <v>1/8.1</v>
      </c>
      <c r="AJ119" s="198" t="str">
        <f aca="false">Таблица310[[#This Row],[Регистратор.Номенклатура]]</f>
        <v>Преладо</v>
      </c>
      <c r="AK119" s="198" t="str">
        <f aca="false">VLOOKUP(Таблица310[[#This Row],[№ акта]],$AQ$1:$AT$594,4,FALSE())</f>
        <v>Учхоз Кубань (богара)</v>
      </c>
      <c r="AL119" s="230" t="n">
        <f aca="false">VLOOKUP(Таблица310[[#This Row],[№ акта]],$AQ$1:$AT$594,3,FALSE())</f>
        <v>3.05491835696932</v>
      </c>
      <c r="AM119" s="198" t="str">
        <f aca="false">IF(Таблица310[[#This Row],[Площадь уборки, га]]=Таблица310[[#This Row],[Площадь уборки до корр]],"нет","да")</f>
        <v>нет</v>
      </c>
      <c r="AN119" s="230" t="n">
        <f aca="false">Таблица310[[#This Row],[Площадь уборки до корр]]-Таблица310[[#This Row],[Площадь уборки, га]]</f>
        <v>0</v>
      </c>
      <c r="AQ119" s="0" t="n">
        <v>215</v>
      </c>
      <c r="AR119" s="0" t="s">
        <v>781</v>
      </c>
      <c r="AS119" s="0" t="n">
        <v>3.05491835696932</v>
      </c>
      <c r="AT119" s="0" t="s">
        <v>323</v>
      </c>
      <c r="XEM119" s="216"/>
      <c r="XEN119" s="217"/>
      <c r="XEO119" s="243"/>
      <c r="XEP119" s="218"/>
      <c r="XEQ119" s="244"/>
      <c r="XER119" s="217"/>
    </row>
    <row r="120" customFormat="false" ht="25.5" hidden="false" customHeight="true" outlineLevel="0" collapsed="false">
      <c r="A120" s="216" t="s">
        <v>358</v>
      </c>
      <c r="B120" s="217" t="n">
        <v>11092.1</v>
      </c>
      <c r="C120" s="241" t="n">
        <v>53</v>
      </c>
      <c r="D120" s="218" t="n">
        <v>216</v>
      </c>
      <c r="E120" s="219" t="n">
        <v>45813</v>
      </c>
      <c r="F120" s="217" t="n">
        <v>34520</v>
      </c>
      <c r="G120" s="217" t="n">
        <v>13610</v>
      </c>
      <c r="H120" s="216" t="n">
        <v>20910</v>
      </c>
      <c r="I120" s="216" t="n">
        <v>11092.1</v>
      </c>
      <c r="J120" s="216" t="s">
        <v>409</v>
      </c>
      <c r="K120" s="216" t="s">
        <v>252</v>
      </c>
      <c r="L120" s="216" t="s">
        <v>781</v>
      </c>
      <c r="M120" s="189" t="s">
        <v>427</v>
      </c>
      <c r="N120" s="230" t="s">
        <v>832</v>
      </c>
      <c r="O120" s="216" t="s">
        <v>833</v>
      </c>
      <c r="P120" s="216"/>
      <c r="Q120" s="216" t="s">
        <v>834</v>
      </c>
      <c r="R120" s="221" t="s">
        <v>431</v>
      </c>
      <c r="S120" s="198" t="s">
        <v>432</v>
      </c>
      <c r="T120" s="228" t="s">
        <v>781</v>
      </c>
      <c r="U120" s="195" t="str">
        <f aca="false">Таблица310[[#This Row],[Регистратор.Номенклатура]]</f>
        <v>Преладо</v>
      </c>
      <c r="V120" s="230" t="n">
        <f aca="false">40.2*Таблица310[[#This Row],[Регистратор.Вес нетто]]/176990</f>
        <v>3.09125939318606</v>
      </c>
      <c r="W120" s="216" t="s">
        <v>323</v>
      </c>
      <c r="X120" s="242" t="s">
        <v>52</v>
      </c>
      <c r="Y120" s="216" t="n">
        <v>7</v>
      </c>
      <c r="Z120" s="221" t="n">
        <v>45813</v>
      </c>
      <c r="AC120" s="198" t="s">
        <v>302</v>
      </c>
      <c r="AD120" s="198" t="s">
        <v>417</v>
      </c>
      <c r="AE120" s="198" t="n">
        <v>216</v>
      </c>
      <c r="AF120" s="200" t="n">
        <v>45813</v>
      </c>
      <c r="AG120" s="198" t="n">
        <v>130756</v>
      </c>
      <c r="AH120" s="198" t="n">
        <f aca="false">VLOOKUP(Таблица310[[#This Row],[№ акта]],'Степень зрелости 2025'!$H$13:$I$583,2,FALSE())</f>
        <v>53</v>
      </c>
      <c r="AI120" s="198" t="str">
        <f aca="false">VLOOKUP(Таблица310[[#This Row],[№ акта]],$AQ$1:$AT$594,2,FALSE())</f>
        <v>1/8.1</v>
      </c>
      <c r="AJ120" s="198" t="str">
        <f aca="false">Таблица310[[#This Row],[Регистратор.Номенклатура]]</f>
        <v>Преладо</v>
      </c>
      <c r="AK120" s="198" t="str">
        <f aca="false">VLOOKUP(Таблица310[[#This Row],[№ акта]],$AQ$1:$AT$594,4,FALSE())</f>
        <v>Учхоз Кубань (богара)</v>
      </c>
      <c r="AL120" s="230" t="n">
        <f aca="false">VLOOKUP(Таблица310[[#This Row],[№ акта]],$AQ$1:$AT$594,3,FALSE())</f>
        <v>3.09125939318606</v>
      </c>
      <c r="AM120" s="198" t="str">
        <f aca="false">IF(Таблица310[[#This Row],[Площадь уборки, га]]=Таблица310[[#This Row],[Площадь уборки до корр]],"нет","да")</f>
        <v>нет</v>
      </c>
      <c r="AN120" s="230" t="n">
        <f aca="false">Таблица310[[#This Row],[Площадь уборки до корр]]-Таблица310[[#This Row],[Площадь уборки, га]]</f>
        <v>0</v>
      </c>
      <c r="AQ120" s="0" t="n">
        <v>216</v>
      </c>
      <c r="AR120" s="0" t="s">
        <v>781</v>
      </c>
      <c r="AS120" s="0" t="n">
        <v>3.09125939318606</v>
      </c>
      <c r="AT120" s="0" t="s">
        <v>323</v>
      </c>
      <c r="XEM120" s="216"/>
      <c r="XEN120" s="217"/>
      <c r="XEO120" s="243"/>
      <c r="XEP120" s="218"/>
      <c r="XEQ120" s="244"/>
      <c r="XER120" s="217"/>
    </row>
    <row r="121" customFormat="false" ht="25.5" hidden="false" customHeight="true" outlineLevel="0" collapsed="false">
      <c r="A121" s="216" t="s">
        <v>358</v>
      </c>
      <c r="B121" s="217" t="n">
        <v>11458.2</v>
      </c>
      <c r="C121" s="241" t="n">
        <v>53</v>
      </c>
      <c r="D121" s="218" t="n">
        <v>217</v>
      </c>
      <c r="E121" s="219" t="n">
        <v>45813</v>
      </c>
      <c r="F121" s="217" t="n">
        <v>28420</v>
      </c>
      <c r="G121" s="217" t="n">
        <v>13560</v>
      </c>
      <c r="H121" s="216" t="n">
        <v>14860</v>
      </c>
      <c r="I121" s="216" t="n">
        <v>11458.2</v>
      </c>
      <c r="J121" s="216" t="s">
        <v>409</v>
      </c>
      <c r="K121" s="216" t="s">
        <v>252</v>
      </c>
      <c r="L121" s="216" t="s">
        <v>781</v>
      </c>
      <c r="M121" s="189" t="s">
        <v>433</v>
      </c>
      <c r="N121" s="230" t="s">
        <v>835</v>
      </c>
      <c r="O121" s="216" t="s">
        <v>836</v>
      </c>
      <c r="P121" s="216"/>
      <c r="Q121" s="216" t="s">
        <v>837</v>
      </c>
      <c r="R121" s="221" t="s">
        <v>437</v>
      </c>
      <c r="S121" s="198" t="s">
        <v>438</v>
      </c>
      <c r="T121" s="228" t="s">
        <v>781</v>
      </c>
      <c r="U121" s="195" t="str">
        <f aca="false">Таблица310[[#This Row],[Регистратор.Номенклатура]]</f>
        <v>Преладо</v>
      </c>
      <c r="V121" s="230" t="n">
        <f aca="false">40.2*Таблица310[[#This Row],[Регистратор.Вес нетто]]/176990</f>
        <v>3.07990281936833</v>
      </c>
      <c r="W121" s="216" t="s">
        <v>323</v>
      </c>
      <c r="X121" s="242" t="s">
        <v>52</v>
      </c>
      <c r="Y121" s="216" t="n">
        <v>7</v>
      </c>
      <c r="Z121" s="221" t="n">
        <v>45813</v>
      </c>
      <c r="AC121" s="198" t="s">
        <v>302</v>
      </c>
      <c r="AD121" s="198" t="s">
        <v>417</v>
      </c>
      <c r="AE121" s="198" t="n">
        <v>217</v>
      </c>
      <c r="AF121" s="200" t="n">
        <v>45813</v>
      </c>
      <c r="AG121" s="198" t="n">
        <v>130755</v>
      </c>
      <c r="AH121" s="198" t="n">
        <f aca="false">VLOOKUP(Таблица310[[#This Row],[№ акта]],'Степень зрелости 2025'!$H$13:$I$583,2,FALSE())</f>
        <v>53</v>
      </c>
      <c r="AI121" s="198" t="str">
        <f aca="false">VLOOKUP(Таблица310[[#This Row],[№ акта]],$AQ$1:$AT$594,2,FALSE())</f>
        <v>1/8.1</v>
      </c>
      <c r="AJ121" s="198" t="str">
        <f aca="false">Таблица310[[#This Row],[Регистратор.Номенклатура]]</f>
        <v>Преладо</v>
      </c>
      <c r="AK121" s="198" t="str">
        <f aca="false">VLOOKUP(Таблица310[[#This Row],[№ акта]],$AQ$1:$AT$594,4,FALSE())</f>
        <v>Учхоз Кубань (богара)</v>
      </c>
      <c r="AL121" s="230" t="n">
        <f aca="false">VLOOKUP(Таблица310[[#This Row],[№ акта]],$AQ$1:$AT$594,3,FALSE())</f>
        <v>3.07990281936833</v>
      </c>
      <c r="AM121" s="198" t="str">
        <f aca="false">IF(Таблица310[[#This Row],[Площадь уборки, га]]=Таблица310[[#This Row],[Площадь уборки до корр]],"нет","да")</f>
        <v>нет</v>
      </c>
      <c r="AN121" s="230" t="n">
        <f aca="false">Таблица310[[#This Row],[Площадь уборки до корр]]-Таблица310[[#This Row],[Площадь уборки, га]]</f>
        <v>0</v>
      </c>
      <c r="AQ121" s="0" t="n">
        <v>217</v>
      </c>
      <c r="AR121" s="0" t="s">
        <v>781</v>
      </c>
      <c r="AS121" s="0" t="n">
        <v>3.07990281936833</v>
      </c>
      <c r="AT121" s="0" t="s">
        <v>323</v>
      </c>
      <c r="XEM121" s="216"/>
      <c r="XEN121" s="217"/>
      <c r="XEO121" s="243"/>
      <c r="XEP121" s="218"/>
      <c r="XEQ121" s="244"/>
      <c r="XER121" s="217"/>
    </row>
    <row r="122" customFormat="false" ht="25.5" hidden="false" customHeight="true" outlineLevel="0" collapsed="false">
      <c r="A122" s="216" t="s">
        <v>358</v>
      </c>
      <c r="B122" s="217" t="n">
        <v>11738</v>
      </c>
      <c r="C122" s="241" t="n">
        <v>53</v>
      </c>
      <c r="D122" s="218" t="n">
        <v>218</v>
      </c>
      <c r="E122" s="219" t="n">
        <v>45813</v>
      </c>
      <c r="F122" s="217" t="n">
        <v>37580</v>
      </c>
      <c r="G122" s="217" t="n">
        <v>13570</v>
      </c>
      <c r="H122" s="216" t="n">
        <v>24010</v>
      </c>
      <c r="I122" s="216" t="n">
        <v>11738</v>
      </c>
      <c r="J122" s="216" t="s">
        <v>409</v>
      </c>
      <c r="K122" s="216" t="s">
        <v>252</v>
      </c>
      <c r="L122" s="216" t="s">
        <v>781</v>
      </c>
      <c r="M122" s="189" t="s">
        <v>439</v>
      </c>
      <c r="N122" s="230" t="s">
        <v>838</v>
      </c>
      <c r="O122" s="216" t="s">
        <v>839</v>
      </c>
      <c r="P122" s="216"/>
      <c r="Q122" s="216" t="s">
        <v>840</v>
      </c>
      <c r="R122" s="221" t="s">
        <v>443</v>
      </c>
      <c r="S122" s="198" t="s">
        <v>444</v>
      </c>
      <c r="T122" s="228" t="s">
        <v>781</v>
      </c>
      <c r="U122" s="195" t="str">
        <f aca="false">Таблица310[[#This Row],[Регистратор.Номенклатура]]</f>
        <v>Преладо</v>
      </c>
      <c r="V122" s="230" t="n">
        <f aca="false">40.2*Таблица310[[#This Row],[Регистратор.Вес нетто]]/176990</f>
        <v>3.08217413413187</v>
      </c>
      <c r="W122" s="216" t="s">
        <v>323</v>
      </c>
      <c r="X122" s="242" t="s">
        <v>52</v>
      </c>
      <c r="Y122" s="216" t="n">
        <v>7</v>
      </c>
      <c r="Z122" s="221" t="n">
        <v>45813</v>
      </c>
      <c r="AC122" s="198" t="s">
        <v>302</v>
      </c>
      <c r="AD122" s="198" t="s">
        <v>417</v>
      </c>
      <c r="AE122" s="198" t="n">
        <v>218</v>
      </c>
      <c r="AF122" s="200" t="n">
        <v>45813</v>
      </c>
      <c r="AG122" s="198" t="n">
        <v>130754</v>
      </c>
      <c r="AH122" s="198" t="n">
        <f aca="false">VLOOKUP(Таблица310[[#This Row],[№ акта]],'Степень зрелости 2025'!$H$13:$I$583,2,FALSE())</f>
        <v>53</v>
      </c>
      <c r="AI122" s="198" t="str">
        <f aca="false">VLOOKUP(Таблица310[[#This Row],[№ акта]],$AQ$1:$AT$594,2,FALSE())</f>
        <v>1/8.1</v>
      </c>
      <c r="AJ122" s="198" t="str">
        <f aca="false">Таблица310[[#This Row],[Регистратор.Номенклатура]]</f>
        <v>Преладо</v>
      </c>
      <c r="AK122" s="198" t="str">
        <f aca="false">VLOOKUP(Таблица310[[#This Row],[№ акта]],$AQ$1:$AT$594,4,FALSE())</f>
        <v>Учхоз Кубань (богара)</v>
      </c>
      <c r="AL122" s="230" t="n">
        <f aca="false">VLOOKUP(Таблица310[[#This Row],[№ акта]],$AQ$1:$AT$594,3,FALSE())</f>
        <v>3.08217413413187</v>
      </c>
      <c r="AM122" s="198" t="str">
        <f aca="false">IF(Таблица310[[#This Row],[Площадь уборки, га]]=Таблица310[[#This Row],[Площадь уборки до корр]],"нет","да")</f>
        <v>нет</v>
      </c>
      <c r="AN122" s="230" t="n">
        <f aca="false">Таблица310[[#This Row],[Площадь уборки до корр]]-Таблица310[[#This Row],[Площадь уборки, га]]</f>
        <v>0</v>
      </c>
      <c r="AQ122" s="0" t="n">
        <v>218</v>
      </c>
      <c r="AR122" s="0" t="s">
        <v>781</v>
      </c>
      <c r="AS122" s="0" t="n">
        <v>3.08217413413187</v>
      </c>
      <c r="AT122" s="0" t="s">
        <v>323</v>
      </c>
      <c r="XEM122" s="216"/>
      <c r="XEN122" s="217"/>
      <c r="XEO122" s="243"/>
      <c r="XEP122" s="218"/>
      <c r="XEQ122" s="244"/>
      <c r="XER122" s="217"/>
    </row>
    <row r="123" customFormat="false" ht="25.5" hidden="false" customHeight="true" outlineLevel="0" collapsed="false">
      <c r="A123" s="216" t="s">
        <v>358</v>
      </c>
      <c r="B123" s="217" t="n">
        <v>11686.1</v>
      </c>
      <c r="C123" s="241" t="n">
        <v>53</v>
      </c>
      <c r="D123" s="218" t="n">
        <v>219</v>
      </c>
      <c r="E123" s="219" t="n">
        <v>45814</v>
      </c>
      <c r="F123" s="217" t="n">
        <v>27270</v>
      </c>
      <c r="G123" s="217" t="n">
        <v>13510</v>
      </c>
      <c r="H123" s="216" t="n">
        <v>13760</v>
      </c>
      <c r="I123" s="216" t="n">
        <v>11686.1</v>
      </c>
      <c r="J123" s="216" t="s">
        <v>409</v>
      </c>
      <c r="K123" s="216" t="s">
        <v>252</v>
      </c>
      <c r="L123" s="216" t="s">
        <v>841</v>
      </c>
      <c r="M123" s="189" t="s">
        <v>359</v>
      </c>
      <c r="N123" s="230" t="s">
        <v>842</v>
      </c>
      <c r="O123" s="216" t="s">
        <v>843</v>
      </c>
      <c r="P123" s="216"/>
      <c r="Q123" s="216" t="s">
        <v>844</v>
      </c>
      <c r="R123" s="221" t="s">
        <v>426</v>
      </c>
      <c r="S123" s="198" t="s">
        <v>562</v>
      </c>
      <c r="T123" s="228" t="s">
        <v>781</v>
      </c>
      <c r="U123" s="195" t="str">
        <f aca="false">Таблица310[[#This Row],[Регистратор.Номенклатура]]</f>
        <v>Преладо</v>
      </c>
      <c r="V123" s="230" t="n">
        <f aca="false">40.2*Таблица310[[#This Row],[Регистратор.Вес нетто]]/176990</f>
        <v>3.0685462455506</v>
      </c>
      <c r="W123" s="216" t="s">
        <v>323</v>
      </c>
      <c r="X123" s="242" t="s">
        <v>52</v>
      </c>
      <c r="Y123" s="216" t="n">
        <v>7</v>
      </c>
      <c r="Z123" s="221" t="n">
        <v>45813</v>
      </c>
      <c r="AC123" s="198" t="s">
        <v>302</v>
      </c>
      <c r="AD123" s="198" t="s">
        <v>417</v>
      </c>
      <c r="AE123" s="198" t="n">
        <v>219</v>
      </c>
      <c r="AF123" s="200" t="n">
        <v>45814</v>
      </c>
      <c r="AG123" s="198" t="n">
        <v>130757</v>
      </c>
      <c r="AH123" s="198" t="n">
        <f aca="false">VLOOKUP(Таблица310[[#This Row],[№ акта]],'Степень зрелости 2025'!$H$13:$I$583,2,FALSE())</f>
        <v>53</v>
      </c>
      <c r="AI123" s="198" t="str">
        <f aca="false">VLOOKUP(Таблица310[[#This Row],[№ акта]],$AQ$1:$AT$594,2,FALSE())</f>
        <v>1/8.1</v>
      </c>
      <c r="AJ123" s="198" t="str">
        <f aca="false">Таблица310[[#This Row],[Регистратор.Номенклатура]]</f>
        <v>Преладо</v>
      </c>
      <c r="AK123" s="198" t="str">
        <f aca="false">VLOOKUP(Таблица310[[#This Row],[№ акта]],$AQ$1:$AT$594,4,FALSE())</f>
        <v>Учхоз Кубань (богара)</v>
      </c>
      <c r="AL123" s="230" t="n">
        <f aca="false">VLOOKUP(Таблица310[[#This Row],[№ акта]],$AQ$1:$AT$594,3,FALSE())</f>
        <v>3.0685462455506</v>
      </c>
      <c r="AM123" s="198" t="str">
        <f aca="false">IF(Таблица310[[#This Row],[Площадь уборки, га]]=Таблица310[[#This Row],[Площадь уборки до корр]],"нет","да")</f>
        <v>нет</v>
      </c>
      <c r="AN123" s="230" t="n">
        <f aca="false">Таблица310[[#This Row],[Площадь уборки до корр]]-Таблица310[[#This Row],[Площадь уборки, га]]</f>
        <v>0</v>
      </c>
      <c r="AQ123" s="0" t="n">
        <v>219</v>
      </c>
      <c r="AR123" s="0" t="s">
        <v>781</v>
      </c>
      <c r="AS123" s="0" t="n">
        <v>3.0685462455506</v>
      </c>
      <c r="AT123" s="0" t="s">
        <v>323</v>
      </c>
      <c r="XEM123" s="216"/>
      <c r="XEN123" s="217"/>
      <c r="XEO123" s="243"/>
      <c r="XEP123" s="218"/>
      <c r="XEQ123" s="244"/>
      <c r="XER123" s="217"/>
    </row>
    <row r="124" customFormat="false" ht="25.5" hidden="false" customHeight="true" outlineLevel="0" collapsed="false">
      <c r="A124" s="216" t="s">
        <v>358</v>
      </c>
      <c r="B124" s="217" t="n">
        <v>13940</v>
      </c>
      <c r="C124" s="241" t="n">
        <v>46</v>
      </c>
      <c r="D124" s="218" t="n">
        <v>220</v>
      </c>
      <c r="E124" s="219" t="n">
        <v>45813</v>
      </c>
      <c r="F124" s="217" t="n">
        <v>31040</v>
      </c>
      <c r="G124" s="217" t="n">
        <v>13940</v>
      </c>
      <c r="H124" s="216" t="n">
        <v>17100</v>
      </c>
      <c r="I124" s="217" t="n">
        <v>10413.2</v>
      </c>
      <c r="J124" s="216" t="s">
        <v>761</v>
      </c>
      <c r="K124" s="216" t="s">
        <v>423</v>
      </c>
      <c r="L124" s="216" t="s">
        <v>628</v>
      </c>
      <c r="M124" s="189" t="s">
        <v>610</v>
      </c>
      <c r="N124" s="230" t="s">
        <v>845</v>
      </c>
      <c r="O124" s="216" t="s">
        <v>846</v>
      </c>
      <c r="P124" s="216"/>
      <c r="Q124" s="216" t="s">
        <v>847</v>
      </c>
      <c r="R124" s="221" t="s">
        <v>614</v>
      </c>
      <c r="S124" s="198" t="s">
        <v>615</v>
      </c>
      <c r="T124" s="228" t="s">
        <v>628</v>
      </c>
      <c r="U124" s="195" t="str">
        <f aca="false">Таблица310[[#This Row],[Регистратор.Номенклатура]]</f>
        <v>Оскар</v>
      </c>
      <c r="V124" s="230" t="n">
        <f aca="false">6.3*Таблица310[[#This Row],[Регистратор.Вес нетто]]/28750</f>
        <v>3.05467826086957</v>
      </c>
      <c r="W124" s="216" t="s">
        <v>324</v>
      </c>
      <c r="X124" s="242" t="s">
        <v>52</v>
      </c>
      <c r="Y124" s="216" t="n">
        <v>8</v>
      </c>
      <c r="Z124" s="221" t="n">
        <v>45813</v>
      </c>
      <c r="AA124" s="231" t="n">
        <f aca="false">Таблица310[[#This Row],[Регистратор.Вес нетто]]</f>
        <v>13940</v>
      </c>
      <c r="AB124" s="198" t="s">
        <v>608</v>
      </c>
      <c r="AC124" s="198" t="s">
        <v>53</v>
      </c>
      <c r="AD124" s="198" t="s">
        <v>417</v>
      </c>
      <c r="AE124" s="198" t="n">
        <v>220</v>
      </c>
      <c r="AF124" s="200" t="n">
        <v>45813</v>
      </c>
      <c r="AG124" s="198" t="s">
        <v>848</v>
      </c>
      <c r="AH124" s="198" t="n">
        <f aca="false">VLOOKUP(Таблица310[[#This Row],[№ акта]],'Степень зрелости 2025'!$H$13:$I$583,2,FALSE())</f>
        <v>0</v>
      </c>
      <c r="AI124" s="198" t="str">
        <f aca="false">VLOOKUP(Таблица310[[#This Row],[№ акта]],$AQ$1:$AT$594,2,FALSE())</f>
        <v>А-57</v>
      </c>
      <c r="AJ124" s="198" t="str">
        <f aca="false">Таблица310[[#This Row],[Регистратор.Номенклатура]]</f>
        <v>Оскар</v>
      </c>
      <c r="AK124" s="198" t="str">
        <f aca="false">VLOOKUP(Таблица310[[#This Row],[№ акта]],$AQ$1:$AT$594,4,FALSE())</f>
        <v>ГРК (богара)</v>
      </c>
      <c r="AL124" s="230" t="n">
        <f aca="false">VLOOKUP(Таблица310[[#This Row],[№ акта]],$AQ$1:$AT$594,3,FALSE())</f>
        <v>5.09378806333739</v>
      </c>
      <c r="AM124" s="198" t="str">
        <f aca="false">IF(Таблица310[[#This Row],[Площадь уборки, га]]=Таблица310[[#This Row],[Площадь уборки до корр]],"нет","да")</f>
        <v>да</v>
      </c>
      <c r="AN124" s="230" t="n">
        <f aca="false">Таблица310[[#This Row],[Площадь уборки до корр]]-Таблица310[[#This Row],[Площадь уборки, га]]</f>
        <v>2.03910980246783</v>
      </c>
      <c r="AQ124" s="0" t="n">
        <v>220</v>
      </c>
      <c r="AR124" s="0" t="s">
        <v>730</v>
      </c>
      <c r="AS124" s="0" t="n">
        <v>5.09378806333739</v>
      </c>
      <c r="AT124" s="0" t="s">
        <v>51</v>
      </c>
      <c r="XEM124" s="216"/>
      <c r="XEN124" s="217"/>
      <c r="XEO124" s="243"/>
      <c r="XEP124" s="218"/>
      <c r="XEQ124" s="244"/>
      <c r="XER124" s="217"/>
    </row>
    <row r="125" customFormat="false" ht="25.5" hidden="false" customHeight="true" outlineLevel="0" collapsed="false">
      <c r="A125" s="216" t="s">
        <v>358</v>
      </c>
      <c r="B125" s="217" t="n">
        <v>9550</v>
      </c>
      <c r="C125" s="241" t="n">
        <v>58</v>
      </c>
      <c r="D125" s="218" t="n">
        <v>221</v>
      </c>
      <c r="E125" s="219" t="n">
        <v>45813</v>
      </c>
      <c r="F125" s="217" t="n">
        <v>26090</v>
      </c>
      <c r="G125" s="217" t="n">
        <v>9550</v>
      </c>
      <c r="H125" s="216" t="n">
        <v>16540</v>
      </c>
      <c r="I125" s="217" t="n">
        <v>7928.2</v>
      </c>
      <c r="J125" s="216" t="s">
        <v>422</v>
      </c>
      <c r="K125" s="216" t="s">
        <v>47</v>
      </c>
      <c r="L125" s="216" t="s">
        <v>730</v>
      </c>
      <c r="M125" s="189" t="s">
        <v>677</v>
      </c>
      <c r="N125" s="230" t="s">
        <v>849</v>
      </c>
      <c r="O125" s="216" t="s">
        <v>850</v>
      </c>
      <c r="P125" s="216"/>
      <c r="Q125" s="216" t="s">
        <v>851</v>
      </c>
      <c r="R125" s="221" t="s">
        <v>681</v>
      </c>
      <c r="S125" s="198" t="s">
        <v>682</v>
      </c>
      <c r="T125" s="198" t="s">
        <v>730</v>
      </c>
      <c r="U125" s="195" t="str">
        <f aca="false">Таблица310[[#This Row],[Регистратор.Номенклатура]]</f>
        <v>Авола</v>
      </c>
      <c r="V125" s="230" t="n">
        <f aca="false">23.2*Таблица310[[#This Row],[Регистратор.Вес нетто]]/49520</f>
        <v>4.47415185783522</v>
      </c>
      <c r="W125" s="216" t="s">
        <v>51</v>
      </c>
      <c r="X125" s="242" t="s">
        <v>52</v>
      </c>
      <c r="Y125" s="216" t="n">
        <v>8</v>
      </c>
      <c r="Z125" s="221" t="n">
        <v>45813</v>
      </c>
      <c r="AA125" s="231" t="n">
        <f aca="false">Таблица310[[#This Row],[Регистратор.Вес нетто]]</f>
        <v>9550</v>
      </c>
      <c r="AB125" s="198" t="s">
        <v>608</v>
      </c>
      <c r="AC125" s="198" t="s">
        <v>302</v>
      </c>
      <c r="AD125" s="198" t="s">
        <v>417</v>
      </c>
      <c r="AE125" s="198" t="n">
        <v>221</v>
      </c>
      <c r="AF125" s="200" t="n">
        <v>45813</v>
      </c>
      <c r="AG125" s="198" t="s">
        <v>852</v>
      </c>
      <c r="AH125" s="198" t="n">
        <f aca="false">VLOOKUP(Таблица310[[#This Row],[№ акта]],'Степень зрелости 2025'!$H$13:$I$583,2,FALSE())</f>
        <v>0</v>
      </c>
      <c r="AI125" s="198" t="str">
        <f aca="false">VLOOKUP(Таблица310[[#This Row],[№ акта]],$AQ$1:$AT$594,2,FALSE())</f>
        <v>А-57</v>
      </c>
      <c r="AJ125" s="198" t="str">
        <f aca="false">Таблица310[[#This Row],[Регистратор.Номенклатура]]</f>
        <v>Авола</v>
      </c>
      <c r="AK125" s="198" t="str">
        <f aca="false">VLOOKUP(Таблица310[[#This Row],[№ акта]],$AQ$1:$AT$594,4,FALSE())</f>
        <v>ГРК (богара)</v>
      </c>
      <c r="AL125" s="230" t="n">
        <f aca="false">VLOOKUP(Таблица310[[#This Row],[№ акта]],$AQ$1:$AT$594,3,FALSE())</f>
        <v>3.48964677222899</v>
      </c>
      <c r="AM125" s="198" t="str">
        <f aca="false">IF(Таблица310[[#This Row],[Площадь уборки, га]]=Таблица310[[#This Row],[Площадь уборки до корр]],"нет","да")</f>
        <v>да</v>
      </c>
      <c r="AN125" s="230" t="n">
        <f aca="false">Таблица310[[#This Row],[Площадь уборки до корр]]-Таблица310[[#This Row],[Площадь уборки, га]]</f>
        <v>-0.984505085606229</v>
      </c>
      <c r="AQ125" s="0" t="n">
        <v>221</v>
      </c>
      <c r="AR125" s="0" t="s">
        <v>730</v>
      </c>
      <c r="AS125" s="0" t="n">
        <v>3.48964677222899</v>
      </c>
      <c r="AT125" s="0" t="s">
        <v>51</v>
      </c>
      <c r="XEM125" s="216"/>
      <c r="XEN125" s="217"/>
      <c r="XEO125" s="243"/>
      <c r="XEP125" s="218"/>
      <c r="XEQ125" s="244"/>
      <c r="XER125" s="217"/>
    </row>
    <row r="126" customFormat="false" ht="25.5" hidden="false" customHeight="true" outlineLevel="0" collapsed="false">
      <c r="A126" s="216" t="s">
        <v>358</v>
      </c>
      <c r="B126" s="217" t="n">
        <v>14290</v>
      </c>
      <c r="C126" s="241" t="n">
        <v>57</v>
      </c>
      <c r="D126" s="218" t="n">
        <v>222</v>
      </c>
      <c r="E126" s="219" t="n">
        <v>45813</v>
      </c>
      <c r="F126" s="217" t="n">
        <v>33080</v>
      </c>
      <c r="G126" s="217" t="n">
        <v>14290</v>
      </c>
      <c r="H126" s="216" t="n">
        <v>18790</v>
      </c>
      <c r="I126" s="217" t="n">
        <v>12725.4</v>
      </c>
      <c r="J126" s="216" t="s">
        <v>422</v>
      </c>
      <c r="K126" s="216" t="s">
        <v>423</v>
      </c>
      <c r="L126" s="216" t="s">
        <v>730</v>
      </c>
      <c r="M126" s="189" t="s">
        <v>685</v>
      </c>
      <c r="N126" s="230" t="s">
        <v>853</v>
      </c>
      <c r="O126" s="216" t="s">
        <v>854</v>
      </c>
      <c r="P126" s="216"/>
      <c r="Q126" s="216" t="s">
        <v>855</v>
      </c>
      <c r="R126" s="221" t="s">
        <v>689</v>
      </c>
      <c r="S126" s="198" t="s">
        <v>690</v>
      </c>
      <c r="T126" s="198" t="s">
        <v>730</v>
      </c>
      <c r="U126" s="195" t="str">
        <f aca="false">Таблица310[[#This Row],[Регистратор.Номенклатура]]</f>
        <v>Оскар</v>
      </c>
      <c r="V126" s="230" t="n">
        <f aca="false">23.2*Таблица310[[#This Row],[Регистратор.Вес нетто]]/49520</f>
        <v>6.69483037156704</v>
      </c>
      <c r="W126" s="216" t="s">
        <v>51</v>
      </c>
      <c r="X126" s="242" t="s">
        <v>52</v>
      </c>
      <c r="Y126" s="216" t="n">
        <v>8</v>
      </c>
      <c r="Z126" s="221" t="n">
        <v>45813</v>
      </c>
      <c r="AA126" s="231" t="n">
        <f aca="false">Таблица310[[#This Row],[Регистратор.Вес нетто]]</f>
        <v>14290</v>
      </c>
      <c r="AB126" s="198" t="s">
        <v>608</v>
      </c>
      <c r="AC126" s="198" t="s">
        <v>302</v>
      </c>
      <c r="AD126" s="198" t="s">
        <v>417</v>
      </c>
      <c r="AE126" s="198" t="n">
        <v>222</v>
      </c>
      <c r="AF126" s="200" t="n">
        <v>45813</v>
      </c>
      <c r="AG126" s="198" t="s">
        <v>856</v>
      </c>
      <c r="AH126" s="198" t="n">
        <f aca="false">VLOOKUP(Таблица310[[#This Row],[№ акта]],'Степень зрелости 2025'!$H$13:$I$583,2,FALSE())</f>
        <v>0</v>
      </c>
      <c r="AI126" s="198" t="str">
        <f aca="false">VLOOKUP(Таблица310[[#This Row],[№ акта]],$AQ$1:$AT$594,2,FALSE())</f>
        <v>А-57</v>
      </c>
      <c r="AJ126" s="198" t="str">
        <f aca="false">Таблица310[[#This Row],[Регистратор.Номенклатура]]</f>
        <v>Оскар</v>
      </c>
      <c r="AK126" s="198" t="str">
        <f aca="false">VLOOKUP(Таблица310[[#This Row],[№ акта]],$AQ$1:$AT$594,4,FALSE())</f>
        <v>ГРК (богара)</v>
      </c>
      <c r="AL126" s="230" t="n">
        <f aca="false">VLOOKUP(Таблица310[[#This Row],[№ акта]],$AQ$1:$AT$594,3,FALSE())</f>
        <v>5.22168087697929</v>
      </c>
      <c r="AM126" s="198" t="str">
        <f aca="false">IF(Таблица310[[#This Row],[Площадь уборки, га]]=Таблица310[[#This Row],[Площадь уборки до корр]],"нет","да")</f>
        <v>да</v>
      </c>
      <c r="AN126" s="230" t="n">
        <f aca="false">Таблица310[[#This Row],[Площадь уборки до корр]]-Таблица310[[#This Row],[Площадь уборки, га]]</f>
        <v>-1.47314949458775</v>
      </c>
      <c r="AQ126" s="0" t="n">
        <v>222</v>
      </c>
      <c r="AR126" s="0" t="s">
        <v>730</v>
      </c>
      <c r="AS126" s="0" t="n">
        <v>5.22168087697929</v>
      </c>
      <c r="AT126" s="0" t="s">
        <v>51</v>
      </c>
      <c r="XEM126" s="216"/>
      <c r="XEN126" s="217"/>
      <c r="XEO126" s="243"/>
      <c r="XEP126" s="218"/>
      <c r="XEQ126" s="244"/>
      <c r="XER126" s="217"/>
    </row>
    <row r="127" customFormat="false" ht="25.5" hidden="false" customHeight="true" outlineLevel="0" collapsed="false">
      <c r="A127" s="216" t="s">
        <v>358</v>
      </c>
      <c r="B127" s="217" t="n">
        <v>13860</v>
      </c>
      <c r="C127" s="241" t="n">
        <v>60</v>
      </c>
      <c r="D127" s="218" t="n">
        <v>223</v>
      </c>
      <c r="E127" s="219" t="n">
        <v>45813</v>
      </c>
      <c r="F127" s="217" t="n">
        <v>31650</v>
      </c>
      <c r="G127" s="217" t="n">
        <v>13860</v>
      </c>
      <c r="H127" s="216" t="n">
        <v>17790</v>
      </c>
      <c r="I127" s="217" t="n">
        <v>11448.4</v>
      </c>
      <c r="J127" s="216" t="s">
        <v>761</v>
      </c>
      <c r="K127" s="216" t="s">
        <v>47</v>
      </c>
      <c r="L127" s="216" t="s">
        <v>730</v>
      </c>
      <c r="M127" s="189" t="s">
        <v>617</v>
      </c>
      <c r="N127" s="230" t="s">
        <v>857</v>
      </c>
      <c r="O127" s="216" t="s">
        <v>858</v>
      </c>
      <c r="P127" s="216"/>
      <c r="Q127" s="216" t="s">
        <v>859</v>
      </c>
      <c r="R127" s="221" t="s">
        <v>621</v>
      </c>
      <c r="S127" s="198" t="s">
        <v>622</v>
      </c>
      <c r="T127" s="198" t="s">
        <v>730</v>
      </c>
      <c r="U127" s="195" t="str">
        <f aca="false">Таблица310[[#This Row],[Регистратор.Номенклатура]]</f>
        <v>Авола</v>
      </c>
      <c r="V127" s="230" t="n">
        <f aca="false">23.2*Таблица310[[#This Row],[Регистратор.Вес нетто]]/49520</f>
        <v>6.49337641357027</v>
      </c>
      <c r="W127" s="216" t="s">
        <v>51</v>
      </c>
      <c r="X127" s="242" t="s">
        <v>52</v>
      </c>
      <c r="Y127" s="216" t="n">
        <v>8</v>
      </c>
      <c r="Z127" s="221" t="n">
        <v>45813</v>
      </c>
      <c r="AA127" s="231" t="n">
        <f aca="false">Таблица310[[#This Row],[Регистратор.Вес нетто]]</f>
        <v>13860</v>
      </c>
      <c r="AB127" s="198" t="s">
        <v>608</v>
      </c>
      <c r="AC127" s="198" t="s">
        <v>302</v>
      </c>
      <c r="AD127" s="198" t="s">
        <v>417</v>
      </c>
      <c r="AE127" s="198" t="n">
        <v>223</v>
      </c>
      <c r="AF127" s="200" t="n">
        <v>45813</v>
      </c>
      <c r="AG127" s="198" t="s">
        <v>860</v>
      </c>
      <c r="AH127" s="198" t="n">
        <f aca="false">VLOOKUP(Таблица310[[#This Row],[№ акта]],'Степень зрелости 2025'!$H$13:$I$583,2,FALSE())</f>
        <v>0</v>
      </c>
      <c r="AI127" s="198" t="str">
        <f aca="false">VLOOKUP(Таблица310[[#This Row],[№ акта]],$AQ$1:$AT$594,2,FALSE())</f>
        <v>А-57</v>
      </c>
      <c r="AJ127" s="198" t="str">
        <f aca="false">Таблица310[[#This Row],[Регистратор.Номенклатура]]</f>
        <v>Авола</v>
      </c>
      <c r="AK127" s="198" t="str">
        <f aca="false">VLOOKUP(Таблица310[[#This Row],[№ акта]],$AQ$1:$AT$594,4,FALSE())</f>
        <v>ГРК (богара)</v>
      </c>
      <c r="AL127" s="230" t="n">
        <f aca="false">VLOOKUP(Таблица310[[#This Row],[№ акта]],$AQ$1:$AT$594,3,FALSE())</f>
        <v>5.06455542021925</v>
      </c>
      <c r="AM127" s="198" t="str">
        <f aca="false">IF(Таблица310[[#This Row],[Площадь уборки, га]]=Таблица310[[#This Row],[Площадь уборки до корр]],"нет","да")</f>
        <v>да</v>
      </c>
      <c r="AN127" s="230" t="n">
        <f aca="false">Таблица310[[#This Row],[Площадь уборки до корр]]-Таблица310[[#This Row],[Площадь уборки, га]]</f>
        <v>-1.42882099335103</v>
      </c>
      <c r="AQ127" s="0" t="n">
        <v>223</v>
      </c>
      <c r="AR127" s="0" t="s">
        <v>730</v>
      </c>
      <c r="AS127" s="0" t="n">
        <v>5.06455542021925</v>
      </c>
      <c r="AT127" s="0" t="s">
        <v>51</v>
      </c>
      <c r="XEM127" s="216"/>
      <c r="XEN127" s="217"/>
      <c r="XEO127" s="243"/>
      <c r="XEP127" s="218"/>
      <c r="XEQ127" s="244"/>
      <c r="XER127" s="217"/>
    </row>
    <row r="128" customFormat="false" ht="25.5" hidden="false" customHeight="true" outlineLevel="0" collapsed="false">
      <c r="A128" s="216" t="s">
        <v>358</v>
      </c>
      <c r="B128" s="217" t="n">
        <v>11768.7</v>
      </c>
      <c r="C128" s="241" t="n">
        <v>53</v>
      </c>
      <c r="D128" s="218" t="n">
        <v>224</v>
      </c>
      <c r="E128" s="219" t="n">
        <v>45814</v>
      </c>
      <c r="F128" s="217" t="n">
        <v>28040</v>
      </c>
      <c r="G128" s="217" t="n">
        <v>13450</v>
      </c>
      <c r="H128" s="216" t="n">
        <v>14590</v>
      </c>
      <c r="I128" s="217" t="n">
        <v>11768.7</v>
      </c>
      <c r="J128" s="216" t="s">
        <v>409</v>
      </c>
      <c r="K128" s="216" t="s">
        <v>252</v>
      </c>
      <c r="L128" s="216" t="s">
        <v>841</v>
      </c>
      <c r="M128" s="189" t="s">
        <v>542</v>
      </c>
      <c r="N128" s="230" t="s">
        <v>861</v>
      </c>
      <c r="O128" s="216" t="s">
        <v>862</v>
      </c>
      <c r="P128" s="216"/>
      <c r="Q128" s="216" t="s">
        <v>863</v>
      </c>
      <c r="R128" s="221" t="s">
        <v>704</v>
      </c>
      <c r="S128" s="198" t="s">
        <v>705</v>
      </c>
      <c r="T128" s="228" t="s">
        <v>781</v>
      </c>
      <c r="U128" s="195" t="str">
        <f aca="false">Таблица310[[#This Row],[Регистратор.Номенклатура]]</f>
        <v>Преладо</v>
      </c>
      <c r="V128" s="230" t="n">
        <f aca="false">40.2*Таблица310[[#This Row],[Регистратор.Вес нетто]]/176990</f>
        <v>3.05491835696932</v>
      </c>
      <c r="W128" s="216" t="s">
        <v>323</v>
      </c>
      <c r="X128" s="242" t="s">
        <v>52</v>
      </c>
      <c r="Y128" s="216" t="n">
        <v>7</v>
      </c>
      <c r="Z128" s="221" t="n">
        <v>45813</v>
      </c>
      <c r="AC128" s="198" t="s">
        <v>302</v>
      </c>
      <c r="AD128" s="198" t="s">
        <v>417</v>
      </c>
      <c r="AE128" s="198" t="n">
        <v>224</v>
      </c>
      <c r="AF128" s="200" t="n">
        <v>45814</v>
      </c>
      <c r="AG128" s="198" t="n">
        <v>130758</v>
      </c>
      <c r="AH128" s="198" t="n">
        <f aca="false">VLOOKUP(Таблица310[[#This Row],[№ акта]],'Степень зрелости 2025'!$H$13:$I$583,2,FALSE())</f>
        <v>53</v>
      </c>
      <c r="AI128" s="198" t="str">
        <f aca="false">VLOOKUP(Таблица310[[#This Row],[№ акта]],$AQ$1:$AT$594,2,FALSE())</f>
        <v>1/8.1</v>
      </c>
      <c r="AJ128" s="198" t="str">
        <f aca="false">Таблица310[[#This Row],[Регистратор.Номенклатура]]</f>
        <v>Преладо</v>
      </c>
      <c r="AK128" s="198" t="str">
        <f aca="false">VLOOKUP(Таблица310[[#This Row],[№ акта]],$AQ$1:$AT$594,4,FALSE())</f>
        <v>Учхоз Кубань (богара)</v>
      </c>
      <c r="AL128" s="230" t="n">
        <f aca="false">VLOOKUP(Таблица310[[#This Row],[№ акта]],$AQ$1:$AT$594,3,FALSE())</f>
        <v>3.05491835696932</v>
      </c>
      <c r="AM128" s="198" t="str">
        <f aca="false">IF(Таблица310[[#This Row],[Площадь уборки, га]]=Таблица310[[#This Row],[Площадь уборки до корр]],"нет","да")</f>
        <v>нет</v>
      </c>
      <c r="AN128" s="230" t="n">
        <f aca="false">Таблица310[[#This Row],[Площадь уборки до корр]]-Таблица310[[#This Row],[Площадь уборки, га]]</f>
        <v>0</v>
      </c>
      <c r="AQ128" s="0" t="n">
        <v>224</v>
      </c>
      <c r="AR128" s="0" t="s">
        <v>781</v>
      </c>
      <c r="AS128" s="0" t="n">
        <v>3.05491835696932</v>
      </c>
      <c r="AT128" s="0" t="s">
        <v>323</v>
      </c>
      <c r="XEM128" s="216"/>
      <c r="XEN128" s="217"/>
      <c r="XEO128" s="243"/>
      <c r="XEP128" s="218"/>
      <c r="XEQ128" s="244"/>
      <c r="XER128" s="217"/>
    </row>
    <row r="129" customFormat="false" ht="25.5" hidden="false" customHeight="true" outlineLevel="0" collapsed="false">
      <c r="A129" s="216"/>
      <c r="B129" s="217"/>
      <c r="C129" s="241" t="n">
        <f aca="false">Таблица310[[#This Row],[Степень зрелости вспом]]</f>
        <v>53</v>
      </c>
      <c r="D129" s="218" t="n">
        <v>225</v>
      </c>
      <c r="E129" s="219" t="n">
        <v>45814</v>
      </c>
      <c r="F129" s="217" t="n">
        <v>28180</v>
      </c>
      <c r="G129" s="217" t="n">
        <v>13440</v>
      </c>
      <c r="H129" s="220" t="n">
        <v>14740</v>
      </c>
      <c r="I129" s="217" t="n">
        <v>11356.8</v>
      </c>
      <c r="J129" s="216" t="s">
        <v>409</v>
      </c>
      <c r="K129" s="216" t="s">
        <v>252</v>
      </c>
      <c r="L129" s="216" t="s">
        <v>841</v>
      </c>
      <c r="M129" s="189" t="s">
        <v>547</v>
      </c>
      <c r="N129" s="198"/>
      <c r="O129" s="216"/>
      <c r="P129" s="216"/>
      <c r="Q129" s="216"/>
      <c r="R129" s="216" t="s">
        <v>551</v>
      </c>
      <c r="S129" s="198"/>
      <c r="T129" s="228" t="s">
        <v>781</v>
      </c>
      <c r="U129" s="195" t="str">
        <f aca="false">Таблица310[[#This Row],[Регистратор.Номенклатура]]</f>
        <v>Преладо</v>
      </c>
      <c r="V129" s="230" t="n">
        <f aca="false">30*Таблица310[[#This Row],[Регистратор.Вес нетто]]/250190</f>
        <v>1.61157520284584</v>
      </c>
      <c r="W129" s="216" t="s">
        <v>323</v>
      </c>
      <c r="X129" s="216" t="s">
        <v>52</v>
      </c>
      <c r="Y129" s="216" t="n">
        <v>8</v>
      </c>
      <c r="Z129" s="221" t="n">
        <v>45814</v>
      </c>
      <c r="AA129" s="198"/>
      <c r="AB129" s="198"/>
      <c r="AC129" s="198" t="s">
        <v>302</v>
      </c>
      <c r="AD129" s="198" t="s">
        <v>417</v>
      </c>
      <c r="AE129" s="198" t="n">
        <v>225</v>
      </c>
      <c r="AF129" s="200" t="n">
        <v>45814</v>
      </c>
      <c r="AG129" s="198" t="n">
        <v>130759</v>
      </c>
      <c r="AH129" s="198" t="n">
        <f aca="false">VLOOKUP(Таблица310[[#This Row],[№ акта]],'Степень зрелости 2025'!$H$13:$I$583,2,FALSE())</f>
        <v>53</v>
      </c>
      <c r="AI129" s="198" t="str">
        <f aca="false">VLOOKUP(Таблица310[[#This Row],[№ акта]],$AQ$1:$AT$594,2,FALSE())</f>
        <v>1/8.1</v>
      </c>
      <c r="AJ129" s="198" t="str">
        <f aca="false">Таблица310[[#This Row],[Регистратор.Номенклатура]]</f>
        <v>Преладо</v>
      </c>
      <c r="AK129" s="198" t="str">
        <f aca="false">VLOOKUP(Таблица310[[#This Row],[№ акта]],$AQ$1:$AT$594,4,FALSE())</f>
        <v>Учхоз Кубань (богара)</v>
      </c>
      <c r="AL129" s="230" t="n">
        <f aca="false">VLOOKUP(Таблица310[[#This Row],[№ акта]],$AQ$1:$AT$594,3,FALSE())</f>
        <v>1.61157520284584</v>
      </c>
      <c r="AM129" s="198" t="str">
        <f aca="false">IF(Таблица310[[#This Row],[Площадь уборки, га]]=Таблица310[[#This Row],[Площадь уборки до корр]],"нет","да")</f>
        <v>нет</v>
      </c>
      <c r="AN129" s="230" t="n">
        <f aca="false">Таблица310[[#This Row],[Площадь уборки до корр]]-Таблица310[[#This Row],[Площадь уборки, га]]</f>
        <v>0</v>
      </c>
      <c r="AQ129" s="0" t="n">
        <v>225</v>
      </c>
      <c r="AR129" s="0" t="s">
        <v>781</v>
      </c>
      <c r="AS129" s="0" t="n">
        <v>1.61157520284584</v>
      </c>
      <c r="AT129" s="0" t="s">
        <v>323</v>
      </c>
      <c r="XEM129" s="216"/>
      <c r="XEN129" s="217"/>
      <c r="XEO129" s="243"/>
      <c r="XEP129" s="218"/>
      <c r="XEQ129" s="244"/>
      <c r="XER129" s="217"/>
    </row>
    <row r="130" customFormat="false" ht="25.5" hidden="false" customHeight="true" outlineLevel="0" collapsed="false">
      <c r="A130" s="216"/>
      <c r="B130" s="217"/>
      <c r="C130" s="241" t="n">
        <f aca="false">Таблица310[[#This Row],[Степень зрелости вспом]]</f>
        <v>54</v>
      </c>
      <c r="D130" s="218" t="n">
        <v>226</v>
      </c>
      <c r="E130" s="219" t="n">
        <v>45814</v>
      </c>
      <c r="F130" s="217" t="n">
        <v>28240</v>
      </c>
      <c r="G130" s="217" t="n">
        <v>13420</v>
      </c>
      <c r="H130" s="220" t="n">
        <v>14820</v>
      </c>
      <c r="I130" s="217" t="n">
        <v>11474.1</v>
      </c>
      <c r="J130" s="216" t="s">
        <v>409</v>
      </c>
      <c r="K130" s="216" t="s">
        <v>252</v>
      </c>
      <c r="L130" s="216" t="s">
        <v>841</v>
      </c>
      <c r="M130" s="189" t="s">
        <v>553</v>
      </c>
      <c r="N130" s="198"/>
      <c r="O130" s="216"/>
      <c r="P130" s="216"/>
      <c r="Q130" s="216"/>
      <c r="R130" s="216" t="s">
        <v>557</v>
      </c>
      <c r="S130" s="198"/>
      <c r="T130" s="228" t="s">
        <v>781</v>
      </c>
      <c r="U130" s="195" t="str">
        <f aca="false">Таблица310[[#This Row],[Регистратор.Номенклатура]]</f>
        <v>Преладо</v>
      </c>
      <c r="V130" s="230" t="n">
        <f aca="false">30*Таблица310[[#This Row],[Регистратор.Вес нетто]]/250190</f>
        <v>1.60917702546065</v>
      </c>
      <c r="W130" s="216" t="s">
        <v>323</v>
      </c>
      <c r="X130" s="216" t="s">
        <v>52</v>
      </c>
      <c r="Y130" s="216" t="n">
        <v>8</v>
      </c>
      <c r="Z130" s="221" t="n">
        <v>45814</v>
      </c>
      <c r="AA130" s="198"/>
      <c r="AB130" s="198"/>
      <c r="AC130" s="198" t="s">
        <v>302</v>
      </c>
      <c r="AD130" s="198" t="s">
        <v>417</v>
      </c>
      <c r="AE130" s="198" t="n">
        <v>226</v>
      </c>
      <c r="AF130" s="200" t="n">
        <v>45814</v>
      </c>
      <c r="AG130" s="198" t="n">
        <v>130760</v>
      </c>
      <c r="AH130" s="198" t="n">
        <f aca="false">VLOOKUP(Таблица310[[#This Row],[№ акта]],'Степень зрелости 2025'!$H$13:$I$583,2,FALSE())</f>
        <v>54</v>
      </c>
      <c r="AI130" s="198" t="str">
        <f aca="false">VLOOKUP(Таблица310[[#This Row],[№ акта]],$AQ$1:$AT$594,2,FALSE())</f>
        <v>1/8.1</v>
      </c>
      <c r="AJ130" s="198" t="str">
        <f aca="false">Таблица310[[#This Row],[Регистратор.Номенклатура]]</f>
        <v>Преладо</v>
      </c>
      <c r="AK130" s="198" t="str">
        <f aca="false">VLOOKUP(Таблица310[[#This Row],[№ акта]],$AQ$1:$AT$594,4,FALSE())</f>
        <v>Учхоз Кубань (богара)</v>
      </c>
      <c r="AL130" s="230" t="n">
        <f aca="false">VLOOKUP(Таблица310[[#This Row],[№ акта]],$AQ$1:$AT$594,3,FALSE())</f>
        <v>1.60917702546065</v>
      </c>
      <c r="AM130" s="198" t="str">
        <f aca="false">IF(Таблица310[[#This Row],[Площадь уборки, га]]=Таблица310[[#This Row],[Площадь уборки до корр]],"нет","да")</f>
        <v>нет</v>
      </c>
      <c r="AN130" s="230" t="n">
        <f aca="false">Таблица310[[#This Row],[Площадь уборки до корр]]-Таблица310[[#This Row],[Площадь уборки, га]]</f>
        <v>0</v>
      </c>
      <c r="AQ130" s="0" t="n">
        <v>226</v>
      </c>
      <c r="AR130" s="0" t="s">
        <v>781</v>
      </c>
      <c r="AS130" s="0" t="n">
        <v>1.60917702546065</v>
      </c>
      <c r="AT130" s="0" t="s">
        <v>323</v>
      </c>
      <c r="XEM130" s="216"/>
      <c r="XEN130" s="217"/>
      <c r="XEO130" s="243"/>
      <c r="XEP130" s="218"/>
      <c r="XEQ130" s="244"/>
      <c r="XER130" s="217"/>
    </row>
    <row r="131" customFormat="false" ht="25.5" hidden="false" customHeight="true" outlineLevel="0" collapsed="false">
      <c r="A131" s="216"/>
      <c r="B131" s="217"/>
      <c r="C131" s="241" t="n">
        <f aca="false">Таблица310[[#This Row],[Степень зрелости вспом]]</f>
        <v>59</v>
      </c>
      <c r="D131" s="218" t="n">
        <v>227</v>
      </c>
      <c r="E131" s="219" t="n">
        <v>45814</v>
      </c>
      <c r="F131" s="217" t="n">
        <v>9090</v>
      </c>
      <c r="G131" s="217" t="n">
        <v>4490</v>
      </c>
      <c r="H131" s="220" t="n">
        <v>4600</v>
      </c>
      <c r="I131" s="217" t="n">
        <v>3906.3</v>
      </c>
      <c r="J131" s="216" t="s">
        <v>422</v>
      </c>
      <c r="K131" s="216" t="s">
        <v>47</v>
      </c>
      <c r="L131" s="216" t="s">
        <v>730</v>
      </c>
      <c r="M131" s="189" t="s">
        <v>374</v>
      </c>
      <c r="N131" s="198"/>
      <c r="O131" s="216"/>
      <c r="P131" s="216"/>
      <c r="Q131" s="216"/>
      <c r="R131" s="216" t="s">
        <v>375</v>
      </c>
      <c r="S131" s="198"/>
      <c r="T131" s="228" t="s">
        <v>730</v>
      </c>
      <c r="U131" s="195" t="str">
        <f aca="false">Таблица310[[#This Row],[Регистратор.Номенклатура]]</f>
        <v>Авола</v>
      </c>
      <c r="V131" s="230" t="n">
        <f aca="false">14*Таблица310[[#This Row],[Регистратор.Вес нетто]]/64630</f>
        <v>0.972613337459384</v>
      </c>
      <c r="W131" s="216" t="s">
        <v>51</v>
      </c>
      <c r="X131" s="216" t="s">
        <v>52</v>
      </c>
      <c r="Y131" s="216" t="n">
        <v>9</v>
      </c>
      <c r="Z131" s="221" t="n">
        <v>45814</v>
      </c>
      <c r="AA131" s="198"/>
      <c r="AB131" s="198"/>
      <c r="AC131" s="198" t="s">
        <v>302</v>
      </c>
      <c r="AD131" s="198" t="s">
        <v>417</v>
      </c>
      <c r="AE131" s="198" t="n">
        <v>227</v>
      </c>
      <c r="AF131" s="200" t="n">
        <v>45814</v>
      </c>
      <c r="AG131" s="198" t="n">
        <v>51</v>
      </c>
      <c r="AH131" s="198" t="n">
        <f aca="false">VLOOKUP(Таблица310[[#This Row],[№ акта]],'Степень зрелости 2025'!$H$13:$I$583,2,FALSE())</f>
        <v>59</v>
      </c>
      <c r="AI131" s="198" t="str">
        <f aca="false">VLOOKUP(Таблица310[[#This Row],[№ акта]],$AQ$1:$AT$594,2,FALSE())</f>
        <v>А-57</v>
      </c>
      <c r="AJ131" s="198" t="str">
        <f aca="false">Таблица310[[#This Row],[Регистратор.Номенклатура]]</f>
        <v>Авола</v>
      </c>
      <c r="AK131" s="198" t="str">
        <f aca="false">VLOOKUP(Таблица310[[#This Row],[№ акта]],$AQ$1:$AT$594,4,FALSE())</f>
        <v>ГРК (богара)</v>
      </c>
      <c r="AL131" s="230" t="n">
        <f aca="false">VLOOKUP(Таблица310[[#This Row],[№ акта]],$AQ$1:$AT$594,3,FALSE())</f>
        <v>0.972613337459384</v>
      </c>
      <c r="AM131" s="198" t="str">
        <f aca="false">IF(Таблица310[[#This Row],[Площадь уборки, га]]=Таблица310[[#This Row],[Площадь уборки до корр]],"нет","да")</f>
        <v>нет</v>
      </c>
      <c r="AN131" s="230" t="n">
        <f aca="false">Таблица310[[#This Row],[Площадь уборки до корр]]-Таблица310[[#This Row],[Площадь уборки, га]]</f>
        <v>0</v>
      </c>
      <c r="AQ131" s="0" t="n">
        <v>227</v>
      </c>
      <c r="AR131" s="0" t="s">
        <v>730</v>
      </c>
      <c r="AS131" s="0" t="n">
        <v>0.972613337459384</v>
      </c>
      <c r="AT131" s="0" t="s">
        <v>51</v>
      </c>
      <c r="XEM131" s="216"/>
      <c r="XEN131" s="217"/>
      <c r="XEO131" s="243"/>
      <c r="XEP131" s="218"/>
      <c r="XEQ131" s="244"/>
      <c r="XER131" s="217"/>
    </row>
    <row r="132" customFormat="false" ht="25.5" hidden="false" customHeight="true" outlineLevel="0" collapsed="false">
      <c r="A132" s="216"/>
      <c r="B132" s="217"/>
      <c r="C132" s="241" t="n">
        <f aca="false">Таблица310[[#This Row],[Степень зрелости вспом]]</f>
        <v>57</v>
      </c>
      <c r="D132" s="218" t="n">
        <v>228</v>
      </c>
      <c r="E132" s="219" t="n">
        <v>45814</v>
      </c>
      <c r="F132" s="217" t="n">
        <v>28880</v>
      </c>
      <c r="G132" s="217" t="n">
        <v>13440</v>
      </c>
      <c r="H132" s="220" t="n">
        <v>15440</v>
      </c>
      <c r="I132" s="217" t="n">
        <v>10953.6</v>
      </c>
      <c r="J132" s="216" t="s">
        <v>409</v>
      </c>
      <c r="K132" s="216" t="s">
        <v>252</v>
      </c>
      <c r="L132" s="216" t="s">
        <v>841</v>
      </c>
      <c r="M132" s="189" t="s">
        <v>57</v>
      </c>
      <c r="N132" s="198"/>
      <c r="O132" s="216"/>
      <c r="P132" s="216"/>
      <c r="Q132" s="216"/>
      <c r="R132" s="216" t="s">
        <v>58</v>
      </c>
      <c r="S132" s="198"/>
      <c r="T132" s="228" t="s">
        <v>781</v>
      </c>
      <c r="U132" s="195" t="str">
        <f aca="false">Таблица310[[#This Row],[Регистратор.Номенклатура]]</f>
        <v>Преладо</v>
      </c>
      <c r="V132" s="230" t="n">
        <f aca="false">30*Таблица310[[#This Row],[Регистратор.Вес нетто]]/250190</f>
        <v>1.61157520284584</v>
      </c>
      <c r="W132" s="216" t="s">
        <v>323</v>
      </c>
      <c r="X132" s="216" t="s">
        <v>52</v>
      </c>
      <c r="Y132" s="216" t="n">
        <v>8</v>
      </c>
      <c r="Z132" s="221" t="n">
        <v>45814</v>
      </c>
      <c r="AA132" s="198"/>
      <c r="AB132" s="198"/>
      <c r="AC132" s="198" t="s">
        <v>302</v>
      </c>
      <c r="AD132" s="198" t="s">
        <v>417</v>
      </c>
      <c r="AE132" s="198" t="n">
        <v>228</v>
      </c>
      <c r="AF132" s="200" t="n">
        <v>45814</v>
      </c>
      <c r="AG132" s="198" t="n">
        <v>130761</v>
      </c>
      <c r="AH132" s="198" t="n">
        <f aca="false">VLOOKUP(Таблица310[[#This Row],[№ акта]],'Степень зрелости 2025'!$H$13:$I$583,2,FALSE())</f>
        <v>57</v>
      </c>
      <c r="AI132" s="198" t="str">
        <f aca="false">VLOOKUP(Таблица310[[#This Row],[№ акта]],$AQ$1:$AT$594,2,FALSE())</f>
        <v>1/8.1</v>
      </c>
      <c r="AJ132" s="198" t="str">
        <f aca="false">Таблица310[[#This Row],[Регистратор.Номенклатура]]</f>
        <v>Преладо</v>
      </c>
      <c r="AK132" s="198" t="str">
        <f aca="false">VLOOKUP(Таблица310[[#This Row],[№ акта]],$AQ$1:$AT$594,4,FALSE())</f>
        <v>Учхоз Кубань (богара)</v>
      </c>
      <c r="AL132" s="230" t="n">
        <f aca="false">VLOOKUP(Таблица310[[#This Row],[№ акта]],$AQ$1:$AT$594,3,FALSE())</f>
        <v>1.61157520284584</v>
      </c>
      <c r="AM132" s="198" t="str">
        <f aca="false">IF(Таблица310[[#This Row],[Площадь уборки, га]]=Таблица310[[#This Row],[Площадь уборки до корр]],"нет","да")</f>
        <v>нет</v>
      </c>
      <c r="AN132" s="230" t="n">
        <f aca="false">Таблица310[[#This Row],[Площадь уборки до корр]]-Таблица310[[#This Row],[Площадь уборки, га]]</f>
        <v>0</v>
      </c>
      <c r="AQ132" s="0" t="n">
        <v>228</v>
      </c>
      <c r="AR132" s="0" t="s">
        <v>781</v>
      </c>
      <c r="AS132" s="0" t="n">
        <v>1.61157520284584</v>
      </c>
      <c r="AT132" s="0" t="s">
        <v>323</v>
      </c>
      <c r="XEM132" s="216"/>
      <c r="XEN132" s="217"/>
      <c r="XEO132" s="243"/>
      <c r="XEP132" s="218"/>
      <c r="XEQ132" s="244"/>
      <c r="XER132" s="217"/>
    </row>
    <row r="133" customFormat="false" ht="25.5" hidden="false" customHeight="true" outlineLevel="0" collapsed="false">
      <c r="A133" s="216"/>
      <c r="B133" s="217"/>
      <c r="C133" s="241" t="n">
        <f aca="false">Таблица310[[#This Row],[Степень зрелости вспом]]</f>
        <v>54</v>
      </c>
      <c r="D133" s="218" t="n">
        <v>229</v>
      </c>
      <c r="E133" s="219" t="n">
        <v>45814</v>
      </c>
      <c r="F133" s="217" t="n">
        <v>28090</v>
      </c>
      <c r="G133" s="217" t="n">
        <v>13300</v>
      </c>
      <c r="H133" s="220" t="n">
        <v>14790</v>
      </c>
      <c r="I133" s="217" t="n">
        <v>10972.5</v>
      </c>
      <c r="J133" s="216" t="s">
        <v>409</v>
      </c>
      <c r="K133" s="216" t="s">
        <v>252</v>
      </c>
      <c r="L133" s="216" t="s">
        <v>841</v>
      </c>
      <c r="M133" s="189" t="s">
        <v>457</v>
      </c>
      <c r="N133" s="198"/>
      <c r="O133" s="216"/>
      <c r="P133" s="216"/>
      <c r="Q133" s="216"/>
      <c r="R133" s="216" t="s">
        <v>366</v>
      </c>
      <c r="S133" s="198"/>
      <c r="T133" s="228" t="s">
        <v>781</v>
      </c>
      <c r="U133" s="195" t="str">
        <f aca="false">Таблица310[[#This Row],[Регистратор.Номенклатура]]</f>
        <v>Преладо</v>
      </c>
      <c r="V133" s="230" t="n">
        <f aca="false">30*Таблица310[[#This Row],[Регистратор.Вес нетто]]/250190</f>
        <v>1.59478796114953</v>
      </c>
      <c r="W133" s="216" t="s">
        <v>323</v>
      </c>
      <c r="X133" s="216" t="s">
        <v>52</v>
      </c>
      <c r="Y133" s="198" t="n">
        <v>8</v>
      </c>
      <c r="Z133" s="221" t="n">
        <v>45814</v>
      </c>
      <c r="AA133" s="198"/>
      <c r="AB133" s="198"/>
      <c r="AC133" s="198" t="s">
        <v>302</v>
      </c>
      <c r="AD133" s="198" t="s">
        <v>417</v>
      </c>
      <c r="AE133" s="198" t="n">
        <v>229</v>
      </c>
      <c r="AF133" s="200" t="n">
        <v>45814</v>
      </c>
      <c r="AG133" s="198" t="n">
        <v>130762</v>
      </c>
      <c r="AH133" s="198" t="n">
        <f aca="false">VLOOKUP(Таблица310[[#This Row],[№ акта]],'Степень зрелости 2025'!$H$13:$I$583,2,FALSE())</f>
        <v>54</v>
      </c>
      <c r="AI133" s="198" t="str">
        <f aca="false">VLOOKUP(Таблица310[[#This Row],[№ акта]],$AQ$1:$AT$594,2,FALSE())</f>
        <v>1/8.1</v>
      </c>
      <c r="AJ133" s="198" t="str">
        <f aca="false">Таблица310[[#This Row],[Регистратор.Номенклатура]]</f>
        <v>Преладо</v>
      </c>
      <c r="AK133" s="198" t="str">
        <f aca="false">VLOOKUP(Таблица310[[#This Row],[№ акта]],$AQ$1:$AT$594,4,FALSE())</f>
        <v>Учхоз Кубань (богара)</v>
      </c>
      <c r="AL133" s="230" t="n">
        <f aca="false">VLOOKUP(Таблица310[[#This Row],[№ акта]],$AQ$1:$AT$594,3,FALSE())</f>
        <v>1.59478796114953</v>
      </c>
      <c r="AM133" s="198" t="str">
        <f aca="false">IF(Таблица310[[#This Row],[Площадь уборки, га]]=Таблица310[[#This Row],[Площадь уборки до корр]],"нет","да")</f>
        <v>нет</v>
      </c>
      <c r="AN133" s="230" t="n">
        <f aca="false">Таблица310[[#This Row],[Площадь уборки до корр]]-Таблица310[[#This Row],[Площадь уборки, га]]</f>
        <v>0</v>
      </c>
      <c r="AQ133" s="0" t="n">
        <v>229</v>
      </c>
      <c r="AR133" s="0" t="s">
        <v>781</v>
      </c>
      <c r="AS133" s="0" t="n">
        <v>1.59478796114953</v>
      </c>
      <c r="AT133" s="0" t="s">
        <v>323</v>
      </c>
      <c r="XEM133" s="216"/>
      <c r="XEN133" s="217"/>
      <c r="XEO133" s="243"/>
      <c r="XEP133" s="218"/>
      <c r="XEQ133" s="244"/>
      <c r="XER133" s="217"/>
    </row>
    <row r="134" customFormat="false" ht="25.5" hidden="false" customHeight="true" outlineLevel="0" collapsed="false">
      <c r="A134" s="216"/>
      <c r="B134" s="217"/>
      <c r="C134" s="241" t="n">
        <f aca="false">Таблица310[[#This Row],[Степень зрелости вспом]]</f>
        <v>53</v>
      </c>
      <c r="D134" s="218" t="n">
        <v>230</v>
      </c>
      <c r="E134" s="219" t="n">
        <v>45814</v>
      </c>
      <c r="F134" s="217" t="n">
        <v>28290</v>
      </c>
      <c r="G134" s="217" t="n">
        <v>13230</v>
      </c>
      <c r="H134" s="220" t="n">
        <v>15060</v>
      </c>
      <c r="I134" s="217" t="n">
        <v>11840.8</v>
      </c>
      <c r="J134" s="216" t="s">
        <v>409</v>
      </c>
      <c r="K134" s="216" t="s">
        <v>252</v>
      </c>
      <c r="L134" s="216" t="s">
        <v>841</v>
      </c>
      <c r="M134" s="189" t="s">
        <v>537</v>
      </c>
      <c r="N134" s="198"/>
      <c r="O134" s="216"/>
      <c r="P134" s="216"/>
      <c r="Q134" s="216"/>
      <c r="R134" s="216" t="s">
        <v>541</v>
      </c>
      <c r="S134" s="198"/>
      <c r="T134" s="228" t="s">
        <v>781</v>
      </c>
      <c r="U134" s="195" t="str">
        <f aca="false">Таблица310[[#This Row],[Регистратор.Номенклатура]]</f>
        <v>Преладо</v>
      </c>
      <c r="V134" s="230" t="n">
        <f aca="false">30*Таблица310[[#This Row],[Регистратор.Вес нетто]]/250190</f>
        <v>1.58639434030137</v>
      </c>
      <c r="W134" s="216" t="s">
        <v>323</v>
      </c>
      <c r="X134" s="216" t="s">
        <v>52</v>
      </c>
      <c r="Y134" s="198" t="n">
        <v>8</v>
      </c>
      <c r="Z134" s="221" t="n">
        <v>45814</v>
      </c>
      <c r="AA134" s="198"/>
      <c r="AB134" s="198"/>
      <c r="AC134" s="198" t="s">
        <v>302</v>
      </c>
      <c r="AD134" s="198" t="s">
        <v>417</v>
      </c>
      <c r="AE134" s="198" t="n">
        <v>230</v>
      </c>
      <c r="AF134" s="200" t="n">
        <v>45814</v>
      </c>
      <c r="AG134" s="198" t="n">
        <v>130763</v>
      </c>
      <c r="AH134" s="198" t="n">
        <f aca="false">VLOOKUP(Таблица310[[#This Row],[№ акта]],'Степень зрелости 2025'!$H$13:$I$583,2,FALSE())</f>
        <v>53</v>
      </c>
      <c r="AI134" s="198" t="str">
        <f aca="false">VLOOKUP(Таблица310[[#This Row],[№ акта]],$AQ$1:$AT$594,2,FALSE())</f>
        <v>1/8.1</v>
      </c>
      <c r="AJ134" s="198" t="str">
        <f aca="false">Таблица310[[#This Row],[Регистратор.Номенклатура]]</f>
        <v>Преладо</v>
      </c>
      <c r="AK134" s="198" t="str">
        <f aca="false">VLOOKUP(Таблица310[[#This Row],[№ акта]],$AQ$1:$AT$594,4,FALSE())</f>
        <v>Учхоз Кубань (богара)</v>
      </c>
      <c r="AL134" s="230" t="n">
        <f aca="false">VLOOKUP(Таблица310[[#This Row],[№ акта]],$AQ$1:$AT$594,3,FALSE())</f>
        <v>1.58639434030137</v>
      </c>
      <c r="AM134" s="198" t="str">
        <f aca="false">IF(Таблица310[[#This Row],[Площадь уборки, га]]=Таблица310[[#This Row],[Площадь уборки до корр]],"нет","да")</f>
        <v>нет</v>
      </c>
      <c r="AN134" s="230" t="n">
        <f aca="false">Таблица310[[#This Row],[Площадь уборки до корр]]-Таблица310[[#This Row],[Площадь уборки, га]]</f>
        <v>0</v>
      </c>
      <c r="AQ134" s="0" t="n">
        <v>230</v>
      </c>
      <c r="AR134" s="0" t="s">
        <v>781</v>
      </c>
      <c r="AS134" s="0" t="n">
        <v>1.58639434030137</v>
      </c>
      <c r="AT134" s="0" t="s">
        <v>323</v>
      </c>
      <c r="XEM134" s="216"/>
      <c r="XEN134" s="217"/>
      <c r="XEO134" s="243"/>
      <c r="XEP134" s="218"/>
      <c r="XEQ134" s="244"/>
      <c r="XER134" s="217"/>
    </row>
    <row r="135" customFormat="false" ht="25.5" hidden="false" customHeight="true" outlineLevel="0" collapsed="false">
      <c r="A135" s="216"/>
      <c r="B135" s="217"/>
      <c r="C135" s="241" t="n">
        <f aca="false">Таблица310[[#This Row],[Степень зрелости вспом]]</f>
        <v>63</v>
      </c>
      <c r="D135" s="218" t="n">
        <v>231</v>
      </c>
      <c r="E135" s="219" t="n">
        <v>45814</v>
      </c>
      <c r="F135" s="217" t="n">
        <v>14210</v>
      </c>
      <c r="G135" s="217" t="n">
        <v>4490</v>
      </c>
      <c r="H135" s="220" t="n">
        <v>9720</v>
      </c>
      <c r="I135" s="217" t="n">
        <v>4018.5</v>
      </c>
      <c r="J135" s="216" t="s">
        <v>422</v>
      </c>
      <c r="K135" s="216" t="s">
        <v>47</v>
      </c>
      <c r="L135" s="216" t="s">
        <v>730</v>
      </c>
      <c r="M135" s="189" t="s">
        <v>376</v>
      </c>
      <c r="N135" s="198"/>
      <c r="O135" s="216"/>
      <c r="P135" s="216"/>
      <c r="Q135" s="216"/>
      <c r="R135" s="216" t="s">
        <v>377</v>
      </c>
      <c r="S135" s="198"/>
      <c r="T135" s="228" t="s">
        <v>730</v>
      </c>
      <c r="U135" s="195" t="str">
        <f aca="false">Таблица310[[#This Row],[Регистратор.Номенклатура]]</f>
        <v>Авола</v>
      </c>
      <c r="V135" s="230" t="n">
        <f aca="false">14*Таблица310[[#This Row],[Регистратор.Вес нетто]]/64630</f>
        <v>0.972613337459384</v>
      </c>
      <c r="W135" s="216" t="s">
        <v>51</v>
      </c>
      <c r="X135" s="216" t="s">
        <v>52</v>
      </c>
      <c r="Y135" s="198" t="n">
        <v>9</v>
      </c>
      <c r="Z135" s="221" t="n">
        <v>45814</v>
      </c>
      <c r="AA135" s="198"/>
      <c r="AB135" s="198"/>
      <c r="AC135" s="198" t="s">
        <v>302</v>
      </c>
      <c r="AD135" s="198" t="s">
        <v>417</v>
      </c>
      <c r="AE135" s="198" t="n">
        <v>231</v>
      </c>
      <c r="AF135" s="200" t="n">
        <v>45814</v>
      </c>
      <c r="AG135" s="198" t="n">
        <v>52</v>
      </c>
      <c r="AH135" s="198" t="n">
        <f aca="false">VLOOKUP(Таблица310[[#This Row],[№ акта]],'Степень зрелости 2025'!$H$13:$I$583,2,FALSE())</f>
        <v>63</v>
      </c>
      <c r="AI135" s="198" t="str">
        <f aca="false">VLOOKUP(Таблица310[[#This Row],[№ акта]],$AQ$1:$AT$594,2,FALSE())</f>
        <v>А-57</v>
      </c>
      <c r="AJ135" s="198" t="str">
        <f aca="false">Таблица310[[#This Row],[Регистратор.Номенклатура]]</f>
        <v>Авола</v>
      </c>
      <c r="AK135" s="198" t="str">
        <f aca="false">VLOOKUP(Таблица310[[#This Row],[№ акта]],$AQ$1:$AT$594,4,FALSE())</f>
        <v>ГРК (богара)</v>
      </c>
      <c r="AL135" s="230" t="n">
        <f aca="false">VLOOKUP(Таблица310[[#This Row],[№ акта]],$AQ$1:$AT$594,3,FALSE())</f>
        <v>0.972613337459384</v>
      </c>
      <c r="AM135" s="198" t="str">
        <f aca="false">IF(Таблица310[[#This Row],[Площадь уборки, га]]=Таблица310[[#This Row],[Площадь уборки до корр]],"нет","да")</f>
        <v>нет</v>
      </c>
      <c r="AN135" s="230" t="n">
        <f aca="false">Таблица310[[#This Row],[Площадь уборки до корр]]-Таблица310[[#This Row],[Площадь уборки, га]]</f>
        <v>0</v>
      </c>
      <c r="AQ135" s="0" t="n">
        <v>231</v>
      </c>
      <c r="AR135" s="0" t="s">
        <v>730</v>
      </c>
      <c r="AS135" s="0" t="n">
        <v>0.972613337459384</v>
      </c>
      <c r="AT135" s="0" t="s">
        <v>51</v>
      </c>
      <c r="XEM135" s="216"/>
      <c r="XEN135" s="217"/>
      <c r="XEO135" s="243"/>
      <c r="XEP135" s="218"/>
      <c r="XEQ135" s="244"/>
      <c r="XER135" s="217"/>
    </row>
    <row r="136" customFormat="false" ht="25.5" hidden="false" customHeight="true" outlineLevel="0" collapsed="false">
      <c r="A136" s="216"/>
      <c r="B136" s="217"/>
      <c r="C136" s="241" t="n">
        <f aca="false">Таблица310[[#This Row],[Степень зрелости вспом]]</f>
        <v>56</v>
      </c>
      <c r="D136" s="218" t="n">
        <v>232</v>
      </c>
      <c r="E136" s="219" t="n">
        <v>45814</v>
      </c>
      <c r="F136" s="217" t="n">
        <v>29310</v>
      </c>
      <c r="G136" s="217" t="n">
        <v>13670</v>
      </c>
      <c r="H136" s="220" t="n">
        <v>15640</v>
      </c>
      <c r="I136" s="217" t="n">
        <v>10936</v>
      </c>
      <c r="J136" s="216" t="s">
        <v>409</v>
      </c>
      <c r="K136" s="216" t="s">
        <v>252</v>
      </c>
      <c r="L136" s="216" t="s">
        <v>841</v>
      </c>
      <c r="M136" s="189" t="s">
        <v>445</v>
      </c>
      <c r="N136" s="198"/>
      <c r="O136" s="216"/>
      <c r="P136" s="216"/>
      <c r="Q136" s="216"/>
      <c r="R136" s="216" t="s">
        <v>449</v>
      </c>
      <c r="S136" s="198"/>
      <c r="T136" s="228" t="s">
        <v>781</v>
      </c>
      <c r="U136" s="195" t="str">
        <f aca="false">Таблица310[[#This Row],[Регистратор.Номенклатура]]</f>
        <v>Преладо</v>
      </c>
      <c r="V136" s="230" t="n">
        <f aca="false">30*Таблица310[[#This Row],[Регистратор.Вес нетто]]/250190</f>
        <v>1.63915424277549</v>
      </c>
      <c r="W136" s="216" t="s">
        <v>323</v>
      </c>
      <c r="X136" s="216" t="s">
        <v>52</v>
      </c>
      <c r="Y136" s="198" t="n">
        <v>8</v>
      </c>
      <c r="Z136" s="221" t="n">
        <v>45814</v>
      </c>
      <c r="AA136" s="198"/>
      <c r="AB136" s="198"/>
      <c r="AC136" s="198" t="s">
        <v>302</v>
      </c>
      <c r="AD136" s="198" t="s">
        <v>417</v>
      </c>
      <c r="AE136" s="198" t="n">
        <v>232</v>
      </c>
      <c r="AF136" s="200" t="n">
        <v>45814</v>
      </c>
      <c r="AG136" s="198" t="n">
        <v>130764</v>
      </c>
      <c r="AH136" s="198" t="n">
        <f aca="false">VLOOKUP(Таблица310[[#This Row],[№ акта]],'Степень зрелости 2025'!$H$13:$I$583,2,FALSE())</f>
        <v>56</v>
      </c>
      <c r="AI136" s="198" t="str">
        <f aca="false">VLOOKUP(Таблица310[[#This Row],[№ акта]],$AQ$1:$AT$594,2,FALSE())</f>
        <v>1/8.1</v>
      </c>
      <c r="AJ136" s="198" t="str">
        <f aca="false">Таблица310[[#This Row],[Регистратор.Номенклатура]]</f>
        <v>Преладо</v>
      </c>
      <c r="AK136" s="198" t="str">
        <f aca="false">VLOOKUP(Таблица310[[#This Row],[№ акта]],$AQ$1:$AT$594,4,FALSE())</f>
        <v>Учхоз Кубань (богара)</v>
      </c>
      <c r="AL136" s="230" t="n">
        <f aca="false">VLOOKUP(Таблица310[[#This Row],[№ акта]],$AQ$1:$AT$594,3,FALSE())</f>
        <v>1.63915424277549</v>
      </c>
      <c r="AM136" s="198" t="str">
        <f aca="false">IF(Таблица310[[#This Row],[Площадь уборки, га]]=Таблица310[[#This Row],[Площадь уборки до корр]],"нет","да")</f>
        <v>нет</v>
      </c>
      <c r="AN136" s="230" t="n">
        <f aca="false">Таблица310[[#This Row],[Площадь уборки до корр]]-Таблица310[[#This Row],[Площадь уборки, га]]</f>
        <v>0</v>
      </c>
      <c r="AQ136" s="0" t="n">
        <v>232</v>
      </c>
      <c r="AR136" s="0" t="s">
        <v>781</v>
      </c>
      <c r="AS136" s="0" t="n">
        <v>1.63915424277549</v>
      </c>
      <c r="AT136" s="0" t="s">
        <v>323</v>
      </c>
      <c r="XEM136" s="216"/>
      <c r="XEN136" s="217"/>
      <c r="XEO136" s="243"/>
      <c r="XEP136" s="218"/>
      <c r="XEQ136" s="244"/>
      <c r="XER136" s="217"/>
    </row>
    <row r="137" customFormat="false" ht="25.5" hidden="false" customHeight="true" outlineLevel="0" collapsed="false">
      <c r="A137" s="216"/>
      <c r="B137" s="217"/>
      <c r="C137" s="241" t="n">
        <f aca="false">Таблица310[[#This Row],[Степень зрелости вспом]]</f>
        <v>55</v>
      </c>
      <c r="D137" s="218" t="n">
        <v>233</v>
      </c>
      <c r="E137" s="219" t="n">
        <v>45814</v>
      </c>
      <c r="F137" s="217" t="n">
        <v>28580</v>
      </c>
      <c r="G137" s="217" t="n">
        <v>13670</v>
      </c>
      <c r="H137" s="220" t="n">
        <v>14910</v>
      </c>
      <c r="I137" s="217" t="n">
        <v>11004.3</v>
      </c>
      <c r="J137" s="216" t="s">
        <v>409</v>
      </c>
      <c r="K137" s="216" t="s">
        <v>252</v>
      </c>
      <c r="L137" s="216" t="s">
        <v>841</v>
      </c>
      <c r="M137" s="189" t="s">
        <v>451</v>
      </c>
      <c r="N137" s="198"/>
      <c r="O137" s="216"/>
      <c r="P137" s="216"/>
      <c r="Q137" s="216"/>
      <c r="R137" s="216" t="s">
        <v>455</v>
      </c>
      <c r="S137" s="198"/>
      <c r="T137" s="228" t="s">
        <v>781</v>
      </c>
      <c r="U137" s="195" t="str">
        <f aca="false">Таблица310[[#This Row],[Регистратор.Номенклатура]]</f>
        <v>Преладо</v>
      </c>
      <c r="V137" s="230" t="n">
        <f aca="false">30*Таблица310[[#This Row],[Регистратор.Вес нетто]]/250190</f>
        <v>1.63915424277549</v>
      </c>
      <c r="W137" s="216" t="s">
        <v>323</v>
      </c>
      <c r="X137" s="216" t="s">
        <v>52</v>
      </c>
      <c r="Y137" s="198" t="n">
        <v>8</v>
      </c>
      <c r="Z137" s="221" t="n">
        <v>45814</v>
      </c>
      <c r="AA137" s="198"/>
      <c r="AB137" s="198"/>
      <c r="AC137" s="198" t="s">
        <v>302</v>
      </c>
      <c r="AD137" s="198" t="s">
        <v>417</v>
      </c>
      <c r="AE137" s="198" t="n">
        <v>233</v>
      </c>
      <c r="AF137" s="200" t="n">
        <v>45814</v>
      </c>
      <c r="AG137" s="198" t="n">
        <v>130765</v>
      </c>
      <c r="AH137" s="198" t="n">
        <f aca="false">VLOOKUP(Таблица310[[#This Row],[№ акта]],'Степень зрелости 2025'!$H$13:$I$583,2,FALSE())</f>
        <v>55</v>
      </c>
      <c r="AI137" s="198" t="str">
        <f aca="false">VLOOKUP(Таблица310[[#This Row],[№ акта]],$AQ$1:$AT$594,2,FALSE())</f>
        <v>1/8.1</v>
      </c>
      <c r="AJ137" s="198" t="str">
        <f aca="false">Таблица310[[#This Row],[Регистратор.Номенклатура]]</f>
        <v>Преладо</v>
      </c>
      <c r="AK137" s="198" t="str">
        <f aca="false">VLOOKUP(Таблица310[[#This Row],[№ акта]],$AQ$1:$AT$594,4,FALSE())</f>
        <v>Учхоз Кубань (богара)</v>
      </c>
      <c r="AL137" s="230" t="n">
        <f aca="false">VLOOKUP(Таблица310[[#This Row],[№ акта]],$AQ$1:$AT$594,3,FALSE())</f>
        <v>1.63915424277549</v>
      </c>
      <c r="AM137" s="198" t="str">
        <f aca="false">IF(Таблица310[[#This Row],[Площадь уборки, га]]=Таблица310[[#This Row],[Площадь уборки до корр]],"нет","да")</f>
        <v>нет</v>
      </c>
      <c r="AN137" s="230" t="n">
        <f aca="false">Таблица310[[#This Row],[Площадь уборки до корр]]-Таблица310[[#This Row],[Площадь уборки, га]]</f>
        <v>0</v>
      </c>
      <c r="AQ137" s="0" t="n">
        <v>233</v>
      </c>
      <c r="AR137" s="0" t="s">
        <v>781</v>
      </c>
      <c r="AS137" s="0" t="n">
        <v>1.63915424277549</v>
      </c>
      <c r="AT137" s="0" t="s">
        <v>323</v>
      </c>
      <c r="XEM137" s="216"/>
      <c r="XEN137" s="217"/>
      <c r="XEO137" s="243"/>
      <c r="XEP137" s="218"/>
      <c r="XEQ137" s="244"/>
      <c r="XER137" s="217"/>
    </row>
    <row r="138" customFormat="false" ht="25.5" hidden="false" customHeight="true" outlineLevel="0" collapsed="false">
      <c r="A138" s="216"/>
      <c r="B138" s="217"/>
      <c r="C138" s="241" t="n">
        <f aca="false">Таблица310[[#This Row],[Степень зрелости вспом]]</f>
        <v>63</v>
      </c>
      <c r="D138" s="218" t="n">
        <v>234</v>
      </c>
      <c r="E138" s="219" t="n">
        <v>45814</v>
      </c>
      <c r="F138" s="217" t="n">
        <v>6920</v>
      </c>
      <c r="G138" s="217" t="n">
        <v>2320</v>
      </c>
      <c r="H138" s="220" t="n">
        <v>4600</v>
      </c>
      <c r="I138" s="217" t="n">
        <v>2030</v>
      </c>
      <c r="J138" s="216" t="s">
        <v>422</v>
      </c>
      <c r="K138" s="216" t="s">
        <v>68</v>
      </c>
      <c r="L138" s="216" t="s">
        <v>157</v>
      </c>
      <c r="M138" s="189" t="s">
        <v>374</v>
      </c>
      <c r="N138" s="198"/>
      <c r="O138" s="216"/>
      <c r="P138" s="216"/>
      <c r="Q138" s="216"/>
      <c r="R138" s="216" t="s">
        <v>375</v>
      </c>
      <c r="S138" s="198"/>
      <c r="T138" s="228" t="s">
        <v>157</v>
      </c>
      <c r="U138" s="195" t="str">
        <f aca="false">Таблица310[[#This Row],[Регистратор.Номенклатура]]</f>
        <v>Увертюра</v>
      </c>
      <c r="V138" s="230" t="n">
        <v>0.1</v>
      </c>
      <c r="W138" s="216" t="s">
        <v>51</v>
      </c>
      <c r="X138" s="216" t="s">
        <v>52</v>
      </c>
      <c r="Y138" s="198" t="n">
        <v>9</v>
      </c>
      <c r="Z138" s="221" t="n">
        <v>45814</v>
      </c>
      <c r="AA138" s="198"/>
      <c r="AB138" s="198" t="s">
        <v>864</v>
      </c>
      <c r="AC138" s="198" t="s">
        <v>302</v>
      </c>
      <c r="AD138" s="198" t="s">
        <v>417</v>
      </c>
      <c r="AE138" s="198" t="n">
        <v>234</v>
      </c>
      <c r="AF138" s="200" t="n">
        <v>45814</v>
      </c>
      <c r="AG138" s="198" t="n">
        <v>53</v>
      </c>
      <c r="AH138" s="198" t="n">
        <f aca="false">VLOOKUP(Таблица310[[#This Row],[№ акта]],'Степень зрелости 2025'!$H$13:$I$583,2,FALSE())</f>
        <v>63</v>
      </c>
      <c r="AI138" s="198" t="str">
        <f aca="false">VLOOKUP(Таблица310[[#This Row],[№ акта]],$AQ$1:$AT$594,2,FALSE())</f>
        <v>А-87</v>
      </c>
      <c r="AJ138" s="198" t="str">
        <f aca="false">Таблица310[[#This Row],[Регистратор.Номенклатура]]</f>
        <v>Увертюра</v>
      </c>
      <c r="AK138" s="198" t="str">
        <f aca="false">VLOOKUP(Таблица310[[#This Row],[№ акта]],$AQ$1:$AT$594,4,FALSE())</f>
        <v>ГРК (богара)</v>
      </c>
      <c r="AL138" s="230" t="n">
        <f aca="false">VLOOKUP(Таблица310[[#This Row],[№ акта]],$AQ$1:$AT$594,3,FALSE())</f>
        <v>3.1</v>
      </c>
      <c r="AM138" s="198" t="str">
        <f aca="false">IF(Таблица310[[#This Row],[Площадь уборки, га]]=Таблица310[[#This Row],[Площадь уборки до корр]],"нет","да")</f>
        <v>да</v>
      </c>
      <c r="AN138" s="230" t="n">
        <f aca="false">Таблица310[[#This Row],[Площадь уборки до корр]]-Таблица310[[#This Row],[Площадь уборки, га]]</f>
        <v>3</v>
      </c>
      <c r="AQ138" s="0" t="n">
        <v>234</v>
      </c>
      <c r="AR138" s="0" t="s">
        <v>157</v>
      </c>
      <c r="AS138" s="0" t="n">
        <v>3.1</v>
      </c>
      <c r="AT138" s="0" t="s">
        <v>51</v>
      </c>
      <c r="XEM138" s="216"/>
      <c r="XEN138" s="217"/>
      <c r="XEO138" s="243"/>
      <c r="XEP138" s="218"/>
      <c r="XEQ138" s="244"/>
      <c r="XER138" s="217"/>
    </row>
    <row r="139" customFormat="false" ht="25.5" hidden="false" customHeight="true" outlineLevel="0" collapsed="false">
      <c r="A139" s="216"/>
      <c r="B139" s="217"/>
      <c r="C139" s="241" t="n">
        <f aca="false">Таблица310[[#This Row],[Степень зрелости вспом]]</f>
        <v>59</v>
      </c>
      <c r="D139" s="218" t="n">
        <v>235</v>
      </c>
      <c r="E139" s="219" t="n">
        <v>45814</v>
      </c>
      <c r="F139" s="217" t="n">
        <v>28770</v>
      </c>
      <c r="G139" s="217" t="n">
        <v>13840</v>
      </c>
      <c r="H139" s="220" t="n">
        <v>14930</v>
      </c>
      <c r="I139" s="217" t="n">
        <v>11556.4</v>
      </c>
      <c r="J139" s="216" t="s">
        <v>409</v>
      </c>
      <c r="K139" s="216" t="s">
        <v>252</v>
      </c>
      <c r="L139" s="216" t="s">
        <v>841</v>
      </c>
      <c r="M139" s="189" t="s">
        <v>48</v>
      </c>
      <c r="N139" s="198"/>
      <c r="O139" s="216"/>
      <c r="P139" s="216"/>
      <c r="Q139" s="216"/>
      <c r="R139" s="216" t="s">
        <v>49</v>
      </c>
      <c r="S139" s="198"/>
      <c r="T139" s="228" t="s">
        <v>781</v>
      </c>
      <c r="U139" s="195" t="str">
        <f aca="false">Таблица310[[#This Row],[Регистратор.Номенклатура]]</f>
        <v>Преладо</v>
      </c>
      <c r="V139" s="230" t="n">
        <f aca="false">30*Таблица310[[#This Row],[Регистратор.Вес нетто]]/250190</f>
        <v>1.65953875054958</v>
      </c>
      <c r="W139" s="216" t="s">
        <v>323</v>
      </c>
      <c r="X139" s="216" t="s">
        <v>52</v>
      </c>
      <c r="Y139" s="198" t="n">
        <v>8</v>
      </c>
      <c r="Z139" s="221" t="n">
        <v>45814</v>
      </c>
      <c r="AA139" s="198"/>
      <c r="AB139" s="198"/>
      <c r="AC139" s="198" t="s">
        <v>302</v>
      </c>
      <c r="AD139" s="198" t="s">
        <v>417</v>
      </c>
      <c r="AE139" s="198" t="n">
        <v>235</v>
      </c>
      <c r="AF139" s="200" t="n">
        <v>45814</v>
      </c>
      <c r="AG139" s="198" t="n">
        <v>130767</v>
      </c>
      <c r="AH139" s="198" t="n">
        <f aca="false">VLOOKUP(Таблица310[[#This Row],[№ акта]],'Степень зрелости 2025'!$H$13:$I$583,2,FALSE())</f>
        <v>59</v>
      </c>
      <c r="AI139" s="198" t="str">
        <f aca="false">VLOOKUP(Таблица310[[#This Row],[№ акта]],$AQ$1:$AT$594,2,FALSE())</f>
        <v>1/8.1</v>
      </c>
      <c r="AJ139" s="198" t="str">
        <f aca="false">Таблица310[[#This Row],[Регистратор.Номенклатура]]</f>
        <v>Преладо</v>
      </c>
      <c r="AK139" s="198" t="str">
        <f aca="false">VLOOKUP(Таблица310[[#This Row],[№ акта]],$AQ$1:$AT$594,4,FALSE())</f>
        <v>Учхоз Кубань (богара)</v>
      </c>
      <c r="AL139" s="230" t="n">
        <f aca="false">VLOOKUP(Таблица310[[#This Row],[№ акта]],$AQ$1:$AT$594,3,FALSE())</f>
        <v>1.65953875054958</v>
      </c>
      <c r="AM139" s="198" t="str">
        <f aca="false">IF(Таблица310[[#This Row],[Площадь уборки, га]]=Таблица310[[#This Row],[Площадь уборки до корр]],"нет","да")</f>
        <v>нет</v>
      </c>
      <c r="AN139" s="230" t="n">
        <f aca="false">Таблица310[[#This Row],[Площадь уборки до корр]]-Таблица310[[#This Row],[Площадь уборки, га]]</f>
        <v>0</v>
      </c>
      <c r="AQ139" s="0" t="n">
        <v>235</v>
      </c>
      <c r="AR139" s="0" t="s">
        <v>781</v>
      </c>
      <c r="AS139" s="0" t="n">
        <v>1.65953875054958</v>
      </c>
      <c r="AT139" s="0" t="s">
        <v>323</v>
      </c>
      <c r="XEM139" s="216"/>
      <c r="XEN139" s="217"/>
      <c r="XEO139" s="243"/>
      <c r="XEP139" s="218"/>
      <c r="XEQ139" s="244"/>
      <c r="XER139" s="217"/>
    </row>
    <row r="140" customFormat="false" ht="25.5" hidden="false" customHeight="true" outlineLevel="0" collapsed="false">
      <c r="A140" s="216"/>
      <c r="B140" s="217"/>
      <c r="C140" s="241" t="n">
        <f aca="false">Таблица310[[#This Row],[Степень зрелости вспом]]</f>
        <v>56</v>
      </c>
      <c r="D140" s="218" t="n">
        <v>236</v>
      </c>
      <c r="E140" s="219" t="n">
        <v>45814</v>
      </c>
      <c r="F140" s="217" t="n">
        <v>28260</v>
      </c>
      <c r="G140" s="217" t="n">
        <v>13630</v>
      </c>
      <c r="H140" s="220" t="n">
        <v>14630</v>
      </c>
      <c r="I140" s="217" t="n">
        <v>11244.7</v>
      </c>
      <c r="J140" s="216" t="s">
        <v>409</v>
      </c>
      <c r="K140" s="216" t="s">
        <v>252</v>
      </c>
      <c r="L140" s="216" t="s">
        <v>841</v>
      </c>
      <c r="M140" s="189" t="s">
        <v>466</v>
      </c>
      <c r="N140" s="198"/>
      <c r="O140" s="216"/>
      <c r="P140" s="216"/>
      <c r="Q140" s="216"/>
      <c r="R140" s="216" t="s">
        <v>470</v>
      </c>
      <c r="S140" s="198"/>
      <c r="T140" s="228" t="s">
        <v>781</v>
      </c>
      <c r="U140" s="195" t="str">
        <f aca="false">Таблица310[[#This Row],[Регистратор.Номенклатура]]</f>
        <v>Преладо</v>
      </c>
      <c r="V140" s="230" t="n">
        <f aca="false">30*Таблица310[[#This Row],[Регистратор.Вес нетто]]/250190</f>
        <v>1.63435788800512</v>
      </c>
      <c r="W140" s="216" t="s">
        <v>323</v>
      </c>
      <c r="X140" s="216" t="s">
        <v>52</v>
      </c>
      <c r="Y140" s="198" t="n">
        <v>8</v>
      </c>
      <c r="Z140" s="221" t="n">
        <v>45814</v>
      </c>
      <c r="AA140" s="198"/>
      <c r="AB140" s="198"/>
      <c r="AC140" s="198" t="s">
        <v>302</v>
      </c>
      <c r="AD140" s="198" t="s">
        <v>417</v>
      </c>
      <c r="AE140" s="198" t="n">
        <v>236</v>
      </c>
      <c r="AF140" s="200" t="n">
        <v>45814</v>
      </c>
      <c r="AG140" s="198" t="n">
        <v>130766</v>
      </c>
      <c r="AH140" s="198" t="n">
        <f aca="false">VLOOKUP(Таблица310[[#This Row],[№ акта]],'Степень зрелости 2025'!$H$13:$I$583,2,FALSE())</f>
        <v>56</v>
      </c>
      <c r="AI140" s="198" t="str">
        <f aca="false">VLOOKUP(Таблица310[[#This Row],[№ акта]],$AQ$1:$AT$594,2,FALSE())</f>
        <v>1/8.1</v>
      </c>
      <c r="AJ140" s="198" t="str">
        <f aca="false">Таблица310[[#This Row],[Регистратор.Номенклатура]]</f>
        <v>Преладо</v>
      </c>
      <c r="AK140" s="198" t="str">
        <f aca="false">VLOOKUP(Таблица310[[#This Row],[№ акта]],$AQ$1:$AT$594,4,FALSE())</f>
        <v>Учхоз Кубань (богара)</v>
      </c>
      <c r="AL140" s="230" t="n">
        <f aca="false">VLOOKUP(Таблица310[[#This Row],[№ акта]],$AQ$1:$AT$594,3,FALSE())</f>
        <v>1.63435788800512</v>
      </c>
      <c r="AM140" s="198" t="str">
        <f aca="false">IF(Таблица310[[#This Row],[Площадь уборки, га]]=Таблица310[[#This Row],[Площадь уборки до корр]],"нет","да")</f>
        <v>нет</v>
      </c>
      <c r="AN140" s="230" t="n">
        <f aca="false">Таблица310[[#This Row],[Площадь уборки до корр]]-Таблица310[[#This Row],[Площадь уборки, га]]</f>
        <v>0</v>
      </c>
      <c r="AQ140" s="0" t="n">
        <v>236</v>
      </c>
      <c r="AR140" s="0" t="s">
        <v>781</v>
      </c>
      <c r="AS140" s="0" t="n">
        <v>1.63435788800512</v>
      </c>
      <c r="AT140" s="0" t="s">
        <v>323</v>
      </c>
      <c r="XEM140" s="216"/>
      <c r="XEN140" s="217"/>
      <c r="XEO140" s="243"/>
      <c r="XEP140" s="218"/>
      <c r="XEQ140" s="244"/>
      <c r="XER140" s="217"/>
    </row>
    <row r="141" customFormat="false" ht="25.5" hidden="false" customHeight="true" outlineLevel="0" collapsed="false">
      <c r="A141" s="216"/>
      <c r="B141" s="217"/>
      <c r="C141" s="241" t="n">
        <f aca="false">Таблица310[[#This Row],[Степень зрелости вспом]]</f>
        <v>59</v>
      </c>
      <c r="D141" s="218" t="n">
        <v>237</v>
      </c>
      <c r="E141" s="219" t="n">
        <v>45814</v>
      </c>
      <c r="F141" s="217" t="n">
        <v>29270</v>
      </c>
      <c r="G141" s="217" t="n">
        <v>13910</v>
      </c>
      <c r="H141" s="220" t="n">
        <v>15360</v>
      </c>
      <c r="I141" s="217" t="n">
        <v>11336.6</v>
      </c>
      <c r="J141" s="216" t="s">
        <v>409</v>
      </c>
      <c r="K141" s="216" t="s">
        <v>252</v>
      </c>
      <c r="L141" s="216" t="s">
        <v>841</v>
      </c>
      <c r="M141" s="189" t="s">
        <v>472</v>
      </c>
      <c r="N141" s="198"/>
      <c r="O141" s="216"/>
      <c r="P141" s="216"/>
      <c r="Q141" s="216"/>
      <c r="R141" s="216" t="s">
        <v>476</v>
      </c>
      <c r="S141" s="198"/>
      <c r="T141" s="228" t="s">
        <v>781</v>
      </c>
      <c r="U141" s="195" t="str">
        <f aca="false">Таблица310[[#This Row],[Регистратор.Номенклатура]]</f>
        <v>Преладо</v>
      </c>
      <c r="V141" s="230" t="n">
        <f aca="false">30*Таблица310[[#This Row],[Регистратор.Вес нетто]]/250190</f>
        <v>1.66793237139774</v>
      </c>
      <c r="W141" s="216" t="s">
        <v>323</v>
      </c>
      <c r="X141" s="216" t="s">
        <v>52</v>
      </c>
      <c r="Y141" s="198" t="n">
        <v>8</v>
      </c>
      <c r="Z141" s="221" t="n">
        <v>45814</v>
      </c>
      <c r="AA141" s="198"/>
      <c r="AB141" s="198"/>
      <c r="AC141" s="198" t="s">
        <v>302</v>
      </c>
      <c r="AD141" s="198" t="s">
        <v>417</v>
      </c>
      <c r="AE141" s="198" t="n">
        <v>237</v>
      </c>
      <c r="AF141" s="200" t="n">
        <v>45814</v>
      </c>
      <c r="AG141" s="198" t="n">
        <v>130768</v>
      </c>
      <c r="AH141" s="198" t="n">
        <f aca="false">VLOOKUP(Таблица310[[#This Row],[№ акта]],'Степень зрелости 2025'!$H$13:$I$583,2,FALSE())</f>
        <v>59</v>
      </c>
      <c r="AI141" s="198" t="str">
        <f aca="false">VLOOKUP(Таблица310[[#This Row],[№ акта]],$AQ$1:$AT$594,2,FALSE())</f>
        <v>1/8.1</v>
      </c>
      <c r="AJ141" s="198" t="str">
        <f aca="false">Таблица310[[#This Row],[Регистратор.Номенклатура]]</f>
        <v>Преладо</v>
      </c>
      <c r="AK141" s="198" t="str">
        <f aca="false">VLOOKUP(Таблица310[[#This Row],[№ акта]],$AQ$1:$AT$594,4,FALSE())</f>
        <v>Учхоз Кубань (богара)</v>
      </c>
      <c r="AL141" s="230" t="n">
        <f aca="false">VLOOKUP(Таблица310[[#This Row],[№ акта]],$AQ$1:$AT$594,3,FALSE())</f>
        <v>1.66793237139774</v>
      </c>
      <c r="AM141" s="198" t="str">
        <f aca="false">IF(Таблица310[[#This Row],[Площадь уборки, га]]=Таблица310[[#This Row],[Площадь уборки до корр]],"нет","да")</f>
        <v>нет</v>
      </c>
      <c r="AN141" s="230" t="n">
        <f aca="false">Таблица310[[#This Row],[Площадь уборки до корр]]-Таблица310[[#This Row],[Площадь уборки, га]]</f>
        <v>0</v>
      </c>
      <c r="AQ141" s="0" t="n">
        <v>237</v>
      </c>
      <c r="AR141" s="0" t="s">
        <v>781</v>
      </c>
      <c r="AS141" s="0" t="n">
        <v>1.66793237139774</v>
      </c>
      <c r="AT141" s="0" t="s">
        <v>323</v>
      </c>
      <c r="XEM141" s="216"/>
      <c r="XEN141" s="217"/>
      <c r="XEO141" s="243"/>
      <c r="XEP141" s="218"/>
      <c r="XEQ141" s="244"/>
      <c r="XER141" s="217"/>
    </row>
    <row r="142" customFormat="false" ht="25.5" hidden="false" customHeight="true" outlineLevel="0" collapsed="false">
      <c r="A142" s="216"/>
      <c r="B142" s="217"/>
      <c r="C142" s="241" t="n">
        <f aca="false">Таблица310[[#This Row],[Степень зрелости вспом]]</f>
        <v>57</v>
      </c>
      <c r="D142" s="218" t="n">
        <v>238</v>
      </c>
      <c r="E142" s="219" t="n">
        <v>45814</v>
      </c>
      <c r="F142" s="217" t="n">
        <v>28690</v>
      </c>
      <c r="G142" s="217" t="n">
        <v>13730</v>
      </c>
      <c r="H142" s="220" t="n">
        <v>14960</v>
      </c>
      <c r="I142" s="217" t="n">
        <v>11327.2</v>
      </c>
      <c r="J142" s="216" t="s">
        <v>409</v>
      </c>
      <c r="K142" s="216" t="s">
        <v>252</v>
      </c>
      <c r="L142" s="216" t="s">
        <v>841</v>
      </c>
      <c r="M142" s="189" t="s">
        <v>371</v>
      </c>
      <c r="N142" s="198"/>
      <c r="O142" s="216"/>
      <c r="P142" s="216"/>
      <c r="Q142" s="216"/>
      <c r="R142" s="216" t="s">
        <v>372</v>
      </c>
      <c r="S142" s="198"/>
      <c r="T142" s="228" t="s">
        <v>781</v>
      </c>
      <c r="U142" s="195" t="str">
        <f aca="false">Таблица310[[#This Row],[Регистратор.Номенклатура]]</f>
        <v>Преладо</v>
      </c>
      <c r="V142" s="230" t="n">
        <f aca="false">30*Таблица310[[#This Row],[Регистратор.Вес нетто]]/250190</f>
        <v>1.64634877493105</v>
      </c>
      <c r="W142" s="216" t="s">
        <v>323</v>
      </c>
      <c r="X142" s="216" t="s">
        <v>52</v>
      </c>
      <c r="Y142" s="198" t="n">
        <v>8</v>
      </c>
      <c r="Z142" s="221" t="n">
        <v>45814</v>
      </c>
      <c r="AA142" s="198"/>
      <c r="AB142" s="198"/>
      <c r="AC142" s="198" t="s">
        <v>302</v>
      </c>
      <c r="AD142" s="198" t="s">
        <v>417</v>
      </c>
      <c r="AE142" s="198" t="n">
        <v>238</v>
      </c>
      <c r="AF142" s="200" t="n">
        <v>45814</v>
      </c>
      <c r="AG142" s="198" t="n">
        <v>130770</v>
      </c>
      <c r="AH142" s="198" t="n">
        <f aca="false">VLOOKUP(Таблица310[[#This Row],[№ акта]],'Степень зрелости 2025'!$H$13:$I$583,2,FALSE())</f>
        <v>57</v>
      </c>
      <c r="AI142" s="198" t="str">
        <f aca="false">VLOOKUP(Таблица310[[#This Row],[№ акта]],$AQ$1:$AT$594,2,FALSE())</f>
        <v>1/8.1</v>
      </c>
      <c r="AJ142" s="198" t="str">
        <f aca="false">Таблица310[[#This Row],[Регистратор.Номенклатура]]</f>
        <v>Преладо</v>
      </c>
      <c r="AK142" s="198" t="str">
        <f aca="false">VLOOKUP(Таблица310[[#This Row],[№ акта]],$AQ$1:$AT$594,4,FALSE())</f>
        <v>Учхоз Кубань (богара)</v>
      </c>
      <c r="AL142" s="230" t="n">
        <f aca="false">VLOOKUP(Таблица310[[#This Row],[№ акта]],$AQ$1:$AT$594,3,FALSE())</f>
        <v>1.64634877493105</v>
      </c>
      <c r="AM142" s="198" t="str">
        <f aca="false">IF(Таблица310[[#This Row],[Площадь уборки, га]]=Таблица310[[#This Row],[Площадь уборки до корр]],"нет","да")</f>
        <v>нет</v>
      </c>
      <c r="AN142" s="230" t="n">
        <f aca="false">Таблица310[[#This Row],[Площадь уборки до корр]]-Таблица310[[#This Row],[Площадь уборки, га]]</f>
        <v>0</v>
      </c>
      <c r="AQ142" s="0" t="n">
        <v>238</v>
      </c>
      <c r="AR142" s="0" t="s">
        <v>781</v>
      </c>
      <c r="AS142" s="0" t="n">
        <v>1.64634877493105</v>
      </c>
      <c r="AT142" s="0" t="s">
        <v>323</v>
      </c>
      <c r="XEM142" s="216"/>
      <c r="XEN142" s="217"/>
      <c r="XEO142" s="243"/>
      <c r="XEP142" s="218"/>
      <c r="XEQ142" s="244"/>
      <c r="XER142" s="217"/>
    </row>
    <row r="143" customFormat="false" ht="25.5" hidden="false" customHeight="true" outlineLevel="0" collapsed="false">
      <c r="A143" s="216"/>
      <c r="B143" s="217"/>
      <c r="C143" s="241" t="n">
        <f aca="false">Таблица310[[#This Row],[Степень зрелости вспом]]</f>
        <v>59</v>
      </c>
      <c r="D143" s="218" t="n">
        <v>239</v>
      </c>
      <c r="E143" s="219" t="n">
        <v>45815</v>
      </c>
      <c r="F143" s="217" t="n">
        <v>32400</v>
      </c>
      <c r="G143" s="217" t="n">
        <v>13680</v>
      </c>
      <c r="H143" s="220" t="n">
        <v>18720</v>
      </c>
      <c r="I143" s="217" t="n">
        <v>11149.2</v>
      </c>
      <c r="J143" s="216" t="s">
        <v>409</v>
      </c>
      <c r="K143" s="216" t="s">
        <v>252</v>
      </c>
      <c r="L143" s="216" t="s">
        <v>841</v>
      </c>
      <c r="M143" s="189" t="s">
        <v>365</v>
      </c>
      <c r="N143" s="198"/>
      <c r="O143" s="216"/>
      <c r="P143" s="216"/>
      <c r="Q143" s="216"/>
      <c r="R143" s="216" t="s">
        <v>373</v>
      </c>
      <c r="S143" s="198"/>
      <c r="T143" s="228" t="s">
        <v>781</v>
      </c>
      <c r="U143" s="195" t="str">
        <f aca="false">Таблица310[[#This Row],[Регистратор.Номенклатура]]</f>
        <v>Преладо</v>
      </c>
      <c r="V143" s="230" t="n">
        <f aca="false">30*Таблица310[[#This Row],[Регистратор.Вес нетто]]/250190</f>
        <v>1.64035333146808</v>
      </c>
      <c r="W143" s="216" t="s">
        <v>323</v>
      </c>
      <c r="X143" s="216" t="s">
        <v>52</v>
      </c>
      <c r="Y143" s="198" t="n">
        <v>8</v>
      </c>
      <c r="Z143" s="221" t="n">
        <v>45814</v>
      </c>
      <c r="AA143" s="198"/>
      <c r="AB143" s="198"/>
      <c r="AC143" s="198" t="s">
        <v>302</v>
      </c>
      <c r="AD143" s="198" t="s">
        <v>417</v>
      </c>
      <c r="AE143" s="198" t="n">
        <v>239</v>
      </c>
      <c r="AF143" s="200" t="n">
        <v>45815</v>
      </c>
      <c r="AG143" s="198" t="n">
        <v>130771</v>
      </c>
      <c r="AH143" s="198" t="n">
        <f aca="false">VLOOKUP(Таблица310[[#This Row],[№ акта]],'Степень зрелости 2025'!$H$13:$I$583,2,FALSE())</f>
        <v>59</v>
      </c>
      <c r="AI143" s="198" t="str">
        <f aca="false">VLOOKUP(Таблица310[[#This Row],[№ акта]],$AQ$1:$AT$594,2,FALSE())</f>
        <v>1/8.1</v>
      </c>
      <c r="AJ143" s="198" t="str">
        <f aca="false">Таблица310[[#This Row],[Регистратор.Номенклатура]]</f>
        <v>Преладо</v>
      </c>
      <c r="AK143" s="198" t="str">
        <f aca="false">VLOOKUP(Таблица310[[#This Row],[№ акта]],$AQ$1:$AT$594,4,FALSE())</f>
        <v>Учхоз Кубань (богара)</v>
      </c>
      <c r="AL143" s="230" t="n">
        <f aca="false">VLOOKUP(Таблица310[[#This Row],[№ акта]],$AQ$1:$AT$594,3,FALSE())</f>
        <v>1.64035333146808</v>
      </c>
      <c r="AM143" s="198" t="str">
        <f aca="false">IF(Таблица310[[#This Row],[Площадь уборки, га]]=Таблица310[[#This Row],[Площадь уборки до корр]],"нет","да")</f>
        <v>нет</v>
      </c>
      <c r="AN143" s="230" t="n">
        <f aca="false">Таблица310[[#This Row],[Площадь уборки до корр]]-Таблица310[[#This Row],[Площадь уборки, га]]</f>
        <v>0</v>
      </c>
      <c r="AQ143" s="0" t="n">
        <v>239</v>
      </c>
      <c r="AR143" s="0" t="s">
        <v>781</v>
      </c>
      <c r="AS143" s="0" t="n">
        <v>1.64035333146808</v>
      </c>
      <c r="AT143" s="0" t="s">
        <v>323</v>
      </c>
      <c r="XEM143" s="216"/>
      <c r="XEN143" s="217"/>
      <c r="XEO143" s="243"/>
      <c r="XEP143" s="218"/>
      <c r="XEQ143" s="244"/>
      <c r="XER143" s="217"/>
    </row>
    <row r="144" customFormat="false" ht="25.5" hidden="false" customHeight="true" outlineLevel="0" collapsed="false">
      <c r="A144" s="216"/>
      <c r="B144" s="217"/>
      <c r="C144" s="241" t="n">
        <f aca="false">Таблица310[[#This Row],[Степень зрелости вспом]]</f>
        <v>56</v>
      </c>
      <c r="D144" s="218" t="n">
        <v>240</v>
      </c>
      <c r="E144" s="219" t="n">
        <v>45815</v>
      </c>
      <c r="F144" s="217" t="n">
        <v>28010</v>
      </c>
      <c r="G144" s="245" t="n">
        <v>13610</v>
      </c>
      <c r="H144" s="220" t="n">
        <v>14400</v>
      </c>
      <c r="I144" s="217" t="n">
        <v>11772.6</v>
      </c>
      <c r="J144" s="216" t="s">
        <v>422</v>
      </c>
      <c r="K144" s="216" t="s">
        <v>252</v>
      </c>
      <c r="L144" s="216" t="s">
        <v>865</v>
      </c>
      <c r="M144" s="189" t="s">
        <v>376</v>
      </c>
      <c r="N144" s="198"/>
      <c r="O144" s="216"/>
      <c r="P144" s="216"/>
      <c r="Q144" s="216"/>
      <c r="R144" s="216" t="s">
        <v>377</v>
      </c>
      <c r="S144" s="198"/>
      <c r="T144" s="228" t="s">
        <v>865</v>
      </c>
      <c r="U144" s="195" t="str">
        <f aca="false">Таблица310[[#This Row],[Регистратор.Номенклатура]]</f>
        <v>Преладо</v>
      </c>
      <c r="V144" s="230" t="n">
        <f aca="false">6.1*Таблица310[[#This Row],[Регистратор.Вес нетто]]/92910</f>
        <v>0.893563663760629</v>
      </c>
      <c r="W144" s="216" t="s">
        <v>51</v>
      </c>
      <c r="X144" s="216" t="s">
        <v>52</v>
      </c>
      <c r="Y144" s="198" t="n">
        <v>9</v>
      </c>
      <c r="Z144" s="221" t="n">
        <v>45814</v>
      </c>
      <c r="AA144" s="198"/>
      <c r="AB144" s="198" t="s">
        <v>866</v>
      </c>
      <c r="AC144" s="198" t="s">
        <v>302</v>
      </c>
      <c r="AD144" s="198" t="s">
        <v>417</v>
      </c>
      <c r="AE144" s="198" t="n">
        <v>240</v>
      </c>
      <c r="AF144" s="200" t="n">
        <v>45815</v>
      </c>
      <c r="AG144" s="198" t="n">
        <v>59</v>
      </c>
      <c r="AH144" s="198" t="n">
        <f aca="false">VLOOKUP(Таблица310[[#This Row],[№ акта]],'Степень зрелости 2025'!$H$13:$I$583,2,FALSE())</f>
        <v>56</v>
      </c>
      <c r="AI144" s="198" t="str">
        <f aca="false">VLOOKUP(Таблица310[[#This Row],[№ акта]],$AQ$1:$AT$594,2,FALSE())</f>
        <v>А-67</v>
      </c>
      <c r="AJ144" s="198" t="str">
        <f aca="false">Таблица310[[#This Row],[Регистратор.Номенклатура]]</f>
        <v>Преладо</v>
      </c>
      <c r="AK144" s="198" t="str">
        <f aca="false">VLOOKUP(Таблица310[[#This Row],[№ акта]],$AQ$1:$AT$594,4,FALSE())</f>
        <v>ГРК (богара)</v>
      </c>
      <c r="AL144" s="230" t="n">
        <f aca="false">VLOOKUP(Таблица310[[#This Row],[№ акта]],$AQ$1:$AT$594,3,FALSE())</f>
        <v>4.74972579519394</v>
      </c>
      <c r="AM144" s="198" t="str">
        <f aca="false">IF(Таблица310[[#This Row],[Площадь уборки, га]]=Таблица310[[#This Row],[Площадь уборки до корр]],"нет","да")</f>
        <v>да</v>
      </c>
      <c r="AN144" s="230" t="n">
        <f aca="false">Таблица310[[#This Row],[Площадь уборки до корр]]-Таблица310[[#This Row],[Площадь уборки, га]]</f>
        <v>3.85616213143331</v>
      </c>
      <c r="AQ144" s="0" t="n">
        <v>240</v>
      </c>
      <c r="AR144" s="0" t="s">
        <v>865</v>
      </c>
      <c r="AS144" s="0" t="n">
        <v>4.74972579519394</v>
      </c>
      <c r="AT144" s="0" t="s">
        <v>51</v>
      </c>
      <c r="XEM144" s="216"/>
      <c r="XEN144" s="217"/>
      <c r="XEO144" s="243"/>
      <c r="XEP144" s="218"/>
      <c r="XEQ144" s="244"/>
      <c r="XER144" s="217"/>
    </row>
    <row r="145" customFormat="false" ht="25.5" hidden="false" customHeight="true" outlineLevel="0" collapsed="false">
      <c r="A145" s="216"/>
      <c r="B145" s="217"/>
      <c r="C145" s="241" t="n">
        <f aca="false">Таблица310[[#This Row],[Степень зрелости вспом]]</f>
        <v>55</v>
      </c>
      <c r="D145" s="218" t="n">
        <v>241</v>
      </c>
      <c r="E145" s="219" t="n">
        <v>45815</v>
      </c>
      <c r="F145" s="217" t="n">
        <v>9050</v>
      </c>
      <c r="G145" s="245" t="n">
        <v>4470</v>
      </c>
      <c r="H145" s="220" t="n">
        <v>4580</v>
      </c>
      <c r="I145" s="217" t="n">
        <v>3955.9</v>
      </c>
      <c r="J145" s="216" t="s">
        <v>867</v>
      </c>
      <c r="K145" s="216" t="s">
        <v>252</v>
      </c>
      <c r="L145" s="216" t="s">
        <v>865</v>
      </c>
      <c r="M145" s="189" t="s">
        <v>374</v>
      </c>
      <c r="N145" s="198"/>
      <c r="O145" s="216"/>
      <c r="P145" s="216"/>
      <c r="Q145" s="216"/>
      <c r="R145" s="216" t="s">
        <v>375</v>
      </c>
      <c r="S145" s="198"/>
      <c r="T145" s="228" t="s">
        <v>865</v>
      </c>
      <c r="U145" s="195" t="str">
        <f aca="false">Таблица310[[#This Row],[Регистратор.Номенклатура]]</f>
        <v>Преладо</v>
      </c>
      <c r="V145" s="230" t="n">
        <f aca="false">6.1*Таблица310[[#This Row],[Регистратор.Вес нетто]]/92910</f>
        <v>0.293477558927995</v>
      </c>
      <c r="W145" s="216" t="s">
        <v>51</v>
      </c>
      <c r="X145" s="216" t="s">
        <v>52</v>
      </c>
      <c r="Y145" s="198" t="n">
        <v>9</v>
      </c>
      <c r="Z145" s="221" t="n">
        <v>45814</v>
      </c>
      <c r="AA145" s="198"/>
      <c r="AB145" s="198" t="s">
        <v>866</v>
      </c>
      <c r="AC145" s="198" t="s">
        <v>302</v>
      </c>
      <c r="AD145" s="198" t="s">
        <v>417</v>
      </c>
      <c r="AE145" s="198" t="n">
        <v>241</v>
      </c>
      <c r="AF145" s="200" t="n">
        <v>45815</v>
      </c>
      <c r="AG145" s="198" t="n">
        <v>60</v>
      </c>
      <c r="AH145" s="198" t="n">
        <f aca="false">VLOOKUP(Таблица310[[#This Row],[№ акта]],'Степень зрелости 2025'!$H$13:$I$583,2,FALSE())</f>
        <v>55</v>
      </c>
      <c r="AI145" s="198" t="str">
        <f aca="false">VLOOKUP(Таблица310[[#This Row],[№ акта]],$AQ$1:$AT$594,2,FALSE())</f>
        <v>А-67</v>
      </c>
      <c r="AJ145" s="198" t="str">
        <f aca="false">Таблица310[[#This Row],[Регистратор.Номенклатура]]</f>
        <v>Преладо</v>
      </c>
      <c r="AK145" s="198" t="str">
        <f aca="false">VLOOKUP(Таблица310[[#This Row],[№ акта]],$AQ$1:$AT$594,4,FALSE())</f>
        <v>ГРК (богара)</v>
      </c>
      <c r="AL145" s="230" t="n">
        <f aca="false">VLOOKUP(Таблица310[[#This Row],[№ акта]],$AQ$1:$AT$594,3,FALSE())</f>
        <v>1.55997606939874</v>
      </c>
      <c r="AM145" s="198" t="str">
        <f aca="false">IF(Таблица310[[#This Row],[Площадь уборки, га]]=Таблица310[[#This Row],[Площадь уборки до корр]],"нет","да")</f>
        <v>да</v>
      </c>
      <c r="AN145" s="230" t="n">
        <f aca="false">Таблица310[[#This Row],[Площадь уборки до корр]]-Таблица310[[#This Row],[Площадь уборки, га]]</f>
        <v>1.26649851047075</v>
      </c>
      <c r="AQ145" s="0" t="n">
        <v>241</v>
      </c>
      <c r="AR145" s="0" t="s">
        <v>865</v>
      </c>
      <c r="AS145" s="0" t="n">
        <v>1.55997606939874</v>
      </c>
      <c r="AT145" s="0" t="s">
        <v>51</v>
      </c>
      <c r="XEM145" s="216"/>
      <c r="XEN145" s="217"/>
      <c r="XEO145" s="243"/>
      <c r="XEP145" s="218"/>
      <c r="XEQ145" s="244"/>
      <c r="XER145" s="217"/>
    </row>
    <row r="146" customFormat="false" ht="25.5" hidden="false" customHeight="true" outlineLevel="0" collapsed="false">
      <c r="A146" s="216"/>
      <c r="B146" s="217"/>
      <c r="C146" s="241" t="n">
        <f aca="false">Таблица310[[#This Row],[Степень зрелости вспом]]</f>
        <v>59</v>
      </c>
      <c r="D146" s="218" t="n">
        <v>242</v>
      </c>
      <c r="E146" s="219" t="n">
        <v>45815</v>
      </c>
      <c r="F146" s="217" t="n">
        <v>28430</v>
      </c>
      <c r="G146" s="217" t="n">
        <v>13700</v>
      </c>
      <c r="H146" s="220" t="n">
        <v>14730</v>
      </c>
      <c r="I146" s="217" t="n">
        <v>11165.5</v>
      </c>
      <c r="J146" s="216" t="s">
        <v>409</v>
      </c>
      <c r="K146" s="216" t="s">
        <v>252</v>
      </c>
      <c r="L146" s="216" t="s">
        <v>841</v>
      </c>
      <c r="M146" s="189" t="s">
        <v>361</v>
      </c>
      <c r="N146" s="198"/>
      <c r="O146" s="216"/>
      <c r="P146" s="216"/>
      <c r="Q146" s="216"/>
      <c r="R146" s="216" t="s">
        <v>362</v>
      </c>
      <c r="S146" s="198"/>
      <c r="T146" s="228" t="s">
        <v>781</v>
      </c>
      <c r="U146" s="195" t="str">
        <f aca="false">Таблица310[[#This Row],[Регистратор.Номенклатура]]</f>
        <v>Преладо</v>
      </c>
      <c r="V146" s="230" t="n">
        <f aca="false">30*Таблица310[[#This Row],[Регистратор.Вес нетто]]/250190</f>
        <v>1.64275150885327</v>
      </c>
      <c r="W146" s="216" t="s">
        <v>323</v>
      </c>
      <c r="X146" s="216" t="s">
        <v>52</v>
      </c>
      <c r="Y146" s="198" t="n">
        <v>8</v>
      </c>
      <c r="Z146" s="221" t="n">
        <v>45814</v>
      </c>
      <c r="AA146" s="198"/>
      <c r="AB146" s="198"/>
      <c r="AC146" s="198" t="s">
        <v>302</v>
      </c>
      <c r="AD146" s="198" t="s">
        <v>417</v>
      </c>
      <c r="AE146" s="198" t="n">
        <v>242</v>
      </c>
      <c r="AF146" s="200" t="n">
        <v>45815</v>
      </c>
      <c r="AG146" s="198" t="n">
        <v>130775</v>
      </c>
      <c r="AH146" s="198" t="n">
        <f aca="false">VLOOKUP(Таблица310[[#This Row],[№ акта]],'Степень зрелости 2025'!$H$13:$I$583,2,FALSE())</f>
        <v>59</v>
      </c>
      <c r="AI146" s="198" t="str">
        <f aca="false">VLOOKUP(Таблица310[[#This Row],[№ акта]],$AQ$1:$AT$594,2,FALSE())</f>
        <v>1/8.1</v>
      </c>
      <c r="AJ146" s="198" t="str">
        <f aca="false">Таблица310[[#This Row],[Регистратор.Номенклатура]]</f>
        <v>Преладо</v>
      </c>
      <c r="AK146" s="198" t="str">
        <f aca="false">VLOOKUP(Таблица310[[#This Row],[№ акта]],$AQ$1:$AT$594,4,FALSE())</f>
        <v>Учхоз Кубань (богара)</v>
      </c>
      <c r="AL146" s="230" t="n">
        <f aca="false">VLOOKUP(Таблица310[[#This Row],[№ акта]],$AQ$1:$AT$594,3,FALSE())</f>
        <v>1.64275150885327</v>
      </c>
      <c r="AM146" s="198" t="str">
        <f aca="false">IF(Таблица310[[#This Row],[Площадь уборки, га]]=Таблица310[[#This Row],[Площадь уборки до корр]],"нет","да")</f>
        <v>нет</v>
      </c>
      <c r="AN146" s="230" t="n">
        <f aca="false">Таблица310[[#This Row],[Площадь уборки до корр]]-Таблица310[[#This Row],[Площадь уборки, га]]</f>
        <v>0</v>
      </c>
      <c r="AQ146" s="0" t="n">
        <v>242</v>
      </c>
      <c r="AR146" s="0" t="s">
        <v>781</v>
      </c>
      <c r="AS146" s="0" t="n">
        <v>1.64275150885327</v>
      </c>
      <c r="AT146" s="0" t="s">
        <v>323</v>
      </c>
      <c r="XEM146" s="216"/>
      <c r="XEN146" s="217"/>
      <c r="XEO146" s="243"/>
      <c r="XEP146" s="218"/>
      <c r="XEQ146" s="244"/>
      <c r="XER146" s="217"/>
    </row>
    <row r="147" customFormat="false" ht="25.5" hidden="false" customHeight="true" outlineLevel="0" collapsed="false">
      <c r="A147" s="216"/>
      <c r="B147" s="217"/>
      <c r="C147" s="241" t="n">
        <f aca="false">Таблица310[[#This Row],[Степень зрелости вспом]]</f>
        <v>59</v>
      </c>
      <c r="D147" s="218" t="n">
        <v>243</v>
      </c>
      <c r="E147" s="219" t="n">
        <v>45815</v>
      </c>
      <c r="F147" s="217" t="n">
        <v>28030</v>
      </c>
      <c r="G147" s="217" t="n">
        <v>13750</v>
      </c>
      <c r="H147" s="220" t="n">
        <v>14280</v>
      </c>
      <c r="I147" s="217" t="n">
        <v>12168.7</v>
      </c>
      <c r="J147" s="216" t="s">
        <v>409</v>
      </c>
      <c r="K147" s="216" t="s">
        <v>252</v>
      </c>
      <c r="L147" s="216" t="s">
        <v>841</v>
      </c>
      <c r="M147" s="189" t="s">
        <v>395</v>
      </c>
      <c r="N147" s="198"/>
      <c r="O147" s="216"/>
      <c r="P147" s="216"/>
      <c r="Q147" s="216"/>
      <c r="R147" s="216" t="s">
        <v>566</v>
      </c>
      <c r="S147" s="198"/>
      <c r="T147" s="228" t="s">
        <v>781</v>
      </c>
      <c r="U147" s="195" t="str">
        <f aca="false">Таблица310[[#This Row],[Регистратор.Номенклатура]]</f>
        <v>Преладо</v>
      </c>
      <c r="V147" s="230" t="n">
        <f aca="false">30*Таблица310[[#This Row],[Регистратор.Вес нетто]]/250190</f>
        <v>1.64874695231624</v>
      </c>
      <c r="W147" s="216" t="s">
        <v>323</v>
      </c>
      <c r="X147" s="216" t="s">
        <v>52</v>
      </c>
      <c r="Y147" s="198" t="n">
        <v>8</v>
      </c>
      <c r="Z147" s="221" t="n">
        <v>45814</v>
      </c>
      <c r="AA147" s="198"/>
      <c r="AB147" s="198"/>
      <c r="AC147" s="198" t="s">
        <v>302</v>
      </c>
      <c r="AD147" s="198" t="s">
        <v>417</v>
      </c>
      <c r="AE147" s="198" t="n">
        <v>243</v>
      </c>
      <c r="AF147" s="200" t="n">
        <v>45815</v>
      </c>
      <c r="AG147" s="198" t="n">
        <v>130773</v>
      </c>
      <c r="AH147" s="198" t="n">
        <f aca="false">VLOOKUP(Таблица310[[#This Row],[№ акта]],'Степень зрелости 2025'!$H$13:$I$583,2,FALSE())</f>
        <v>59</v>
      </c>
      <c r="AI147" s="198" t="str">
        <f aca="false">VLOOKUP(Таблица310[[#This Row],[№ акта]],$AQ$1:$AT$594,2,FALSE())</f>
        <v>1/8.1</v>
      </c>
      <c r="AJ147" s="198" t="str">
        <f aca="false">Таблица310[[#This Row],[Регистратор.Номенклатура]]</f>
        <v>Преладо</v>
      </c>
      <c r="AK147" s="198" t="str">
        <f aca="false">VLOOKUP(Таблица310[[#This Row],[№ акта]],$AQ$1:$AT$594,4,FALSE())</f>
        <v>Учхоз Кубань (богара)</v>
      </c>
      <c r="AL147" s="230" t="n">
        <f aca="false">VLOOKUP(Таблица310[[#This Row],[№ акта]],$AQ$1:$AT$594,3,FALSE())</f>
        <v>1.64874695231624</v>
      </c>
      <c r="AM147" s="198" t="str">
        <f aca="false">IF(Таблица310[[#This Row],[Площадь уборки, га]]=Таблица310[[#This Row],[Площадь уборки до корр]],"нет","да")</f>
        <v>нет</v>
      </c>
      <c r="AN147" s="230" t="n">
        <f aca="false">Таблица310[[#This Row],[Площадь уборки до корр]]-Таблица310[[#This Row],[Площадь уборки, га]]</f>
        <v>0</v>
      </c>
      <c r="AQ147" s="0" t="n">
        <v>243</v>
      </c>
      <c r="AR147" s="0" t="s">
        <v>781</v>
      </c>
      <c r="AS147" s="0" t="n">
        <v>1.64874695231624</v>
      </c>
      <c r="AT147" s="0" t="s">
        <v>323</v>
      </c>
      <c r="XEM147" s="216"/>
      <c r="XEN147" s="217"/>
      <c r="XEO147" s="243"/>
      <c r="XEP147" s="218"/>
      <c r="XEQ147" s="244"/>
      <c r="XER147" s="217"/>
    </row>
    <row r="148" customFormat="false" ht="25.5" hidden="false" customHeight="true" outlineLevel="0" collapsed="false">
      <c r="A148" s="216"/>
      <c r="B148" s="217"/>
      <c r="C148" s="241" t="n">
        <f aca="false">Таблица310[[#This Row],[Степень зрелости вспом]]</f>
        <v>60</v>
      </c>
      <c r="D148" s="218" t="n">
        <v>244</v>
      </c>
      <c r="E148" s="219" t="n">
        <v>45815</v>
      </c>
      <c r="F148" s="217" t="n">
        <v>28730</v>
      </c>
      <c r="G148" s="217" t="n">
        <v>13650</v>
      </c>
      <c r="H148" s="220" t="n">
        <v>15080</v>
      </c>
      <c r="I148" s="217" t="n">
        <v>11397.7</v>
      </c>
      <c r="J148" s="216" t="s">
        <v>409</v>
      </c>
      <c r="K148" s="216" t="s">
        <v>252</v>
      </c>
      <c r="L148" s="216" t="s">
        <v>841</v>
      </c>
      <c r="M148" s="189" t="s">
        <v>386</v>
      </c>
      <c r="N148" s="198"/>
      <c r="O148" s="216"/>
      <c r="P148" s="216"/>
      <c r="Q148" s="216"/>
      <c r="R148" s="216" t="s">
        <v>387</v>
      </c>
      <c r="S148" s="198"/>
      <c r="T148" s="228" t="s">
        <v>781</v>
      </c>
      <c r="U148" s="195" t="str">
        <f aca="false">Таблица310[[#This Row],[Регистратор.Номенклатура]]</f>
        <v>Преладо</v>
      </c>
      <c r="V148" s="230" t="n">
        <f aca="false">30*Таблица310[[#This Row],[Регистратор.Вес нетто]]/250190</f>
        <v>1.6367560653903</v>
      </c>
      <c r="W148" s="216" t="s">
        <v>323</v>
      </c>
      <c r="X148" s="216" t="s">
        <v>52</v>
      </c>
      <c r="Y148" s="198" t="n">
        <v>8</v>
      </c>
      <c r="Z148" s="221" t="n">
        <v>45814</v>
      </c>
      <c r="AA148" s="198"/>
      <c r="AB148" s="198"/>
      <c r="AC148" s="198" t="s">
        <v>302</v>
      </c>
      <c r="AD148" s="198" t="s">
        <v>417</v>
      </c>
      <c r="AE148" s="198" t="n">
        <v>244</v>
      </c>
      <c r="AF148" s="200" t="n">
        <v>45815</v>
      </c>
      <c r="AG148" s="198" t="n">
        <v>130774</v>
      </c>
      <c r="AH148" s="198" t="n">
        <f aca="false">VLOOKUP(Таблица310[[#This Row],[№ акта]],'Степень зрелости 2025'!$H$13:$I$583,2,FALSE())</f>
        <v>60</v>
      </c>
      <c r="AI148" s="198" t="str">
        <f aca="false">VLOOKUP(Таблица310[[#This Row],[№ акта]],$AQ$1:$AT$594,2,FALSE())</f>
        <v>1/8.1</v>
      </c>
      <c r="AJ148" s="198" t="str">
        <f aca="false">Таблица310[[#This Row],[Регистратор.Номенклатура]]</f>
        <v>Преладо</v>
      </c>
      <c r="AK148" s="198" t="str">
        <f aca="false">VLOOKUP(Таблица310[[#This Row],[№ акта]],$AQ$1:$AT$594,4,FALSE())</f>
        <v>Учхоз Кубань (богара)</v>
      </c>
      <c r="AL148" s="230" t="n">
        <f aca="false">VLOOKUP(Таблица310[[#This Row],[№ акта]],$AQ$1:$AT$594,3,FALSE())</f>
        <v>1.6367560653903</v>
      </c>
      <c r="AM148" s="198" t="str">
        <f aca="false">IF(Таблица310[[#This Row],[Площадь уборки, га]]=Таблица310[[#This Row],[Площадь уборки до корр]],"нет","да")</f>
        <v>нет</v>
      </c>
      <c r="AN148" s="230" t="n">
        <f aca="false">Таблица310[[#This Row],[Площадь уборки до корр]]-Таблица310[[#This Row],[Площадь уборки, га]]</f>
        <v>0</v>
      </c>
      <c r="AQ148" s="0" t="n">
        <v>244</v>
      </c>
      <c r="AR148" s="0" t="s">
        <v>781</v>
      </c>
      <c r="AS148" s="0" t="n">
        <v>1.6367560653903</v>
      </c>
      <c r="AT148" s="0" t="s">
        <v>323</v>
      </c>
      <c r="XEM148" s="216"/>
      <c r="XEN148" s="217"/>
      <c r="XEO148" s="243"/>
      <c r="XEP148" s="218"/>
      <c r="XEQ148" s="244"/>
      <c r="XER148" s="217"/>
    </row>
    <row r="149" customFormat="false" ht="25.5" hidden="false" customHeight="true" outlineLevel="0" collapsed="false">
      <c r="A149" s="216"/>
      <c r="B149" s="217"/>
      <c r="C149" s="241" t="n">
        <f aca="false">Таблица310[[#This Row],[Степень зрелости вспом]]</f>
        <v>60</v>
      </c>
      <c r="D149" s="218" t="n">
        <v>245</v>
      </c>
      <c r="E149" s="219" t="n">
        <v>45815</v>
      </c>
      <c r="F149" s="217" t="n">
        <v>37850</v>
      </c>
      <c r="G149" s="217" t="n">
        <v>13950</v>
      </c>
      <c r="H149" s="220" t="n">
        <v>23900</v>
      </c>
      <c r="I149" s="217" t="n">
        <v>11229.7</v>
      </c>
      <c r="J149" s="216" t="s">
        <v>409</v>
      </c>
      <c r="K149" s="216" t="s">
        <v>252</v>
      </c>
      <c r="L149" s="216" t="s">
        <v>841</v>
      </c>
      <c r="M149" s="189" t="s">
        <v>439</v>
      </c>
      <c r="N149" s="198"/>
      <c r="O149" s="216"/>
      <c r="P149" s="216"/>
      <c r="Q149" s="216"/>
      <c r="R149" s="216" t="s">
        <v>443</v>
      </c>
      <c r="S149" s="198"/>
      <c r="T149" s="228" t="s">
        <v>781</v>
      </c>
      <c r="U149" s="195" t="str">
        <f aca="false">Таблица310[[#This Row],[Регистратор.Номенклатура]]</f>
        <v>Преладо</v>
      </c>
      <c r="V149" s="230" t="n">
        <f aca="false">30*Таблица310[[#This Row],[Регистратор.Вес нетто]]/250190</f>
        <v>1.67272872616811</v>
      </c>
      <c r="W149" s="216" t="s">
        <v>323</v>
      </c>
      <c r="X149" s="216" t="s">
        <v>52</v>
      </c>
      <c r="Y149" s="198" t="n">
        <v>8</v>
      </c>
      <c r="Z149" s="221" t="n">
        <v>45814</v>
      </c>
      <c r="AA149" s="198"/>
      <c r="AB149" s="198"/>
      <c r="AC149" s="198" t="s">
        <v>302</v>
      </c>
      <c r="AD149" s="198" t="s">
        <v>417</v>
      </c>
      <c r="AE149" s="198" t="n">
        <v>245</v>
      </c>
      <c r="AF149" s="200" t="n">
        <v>45815</v>
      </c>
      <c r="AG149" s="198" t="n">
        <v>83501</v>
      </c>
      <c r="AH149" s="198" t="n">
        <f aca="false">VLOOKUP(Таблица310[[#This Row],[№ акта]],'Степень зрелости 2025'!$H$13:$I$583,2,FALSE())</f>
        <v>60</v>
      </c>
      <c r="AI149" s="198" t="str">
        <f aca="false">VLOOKUP(Таблица310[[#This Row],[№ акта]],$AQ$1:$AT$594,2,FALSE())</f>
        <v>1/8.1</v>
      </c>
      <c r="AJ149" s="198" t="str">
        <f aca="false">Таблица310[[#This Row],[Регистратор.Номенклатура]]</f>
        <v>Преладо</v>
      </c>
      <c r="AK149" s="198" t="str">
        <f aca="false">VLOOKUP(Таблица310[[#This Row],[№ акта]],$AQ$1:$AT$594,4,FALSE())</f>
        <v>Учхоз Кубань (богара)</v>
      </c>
      <c r="AL149" s="230" t="n">
        <f aca="false">VLOOKUP(Таблица310[[#This Row],[№ акта]],$AQ$1:$AT$594,3,FALSE())</f>
        <v>1.67272872616811</v>
      </c>
      <c r="AM149" s="198" t="str">
        <f aca="false">IF(Таблица310[[#This Row],[Площадь уборки, га]]=Таблица310[[#This Row],[Площадь уборки до корр]],"нет","да")</f>
        <v>нет</v>
      </c>
      <c r="AN149" s="230" t="n">
        <f aca="false">Таблица310[[#This Row],[Площадь уборки до корр]]-Таблица310[[#This Row],[Площадь уборки, га]]</f>
        <v>0</v>
      </c>
      <c r="AQ149" s="0" t="n">
        <v>245</v>
      </c>
      <c r="AR149" s="0" t="s">
        <v>781</v>
      </c>
      <c r="AS149" s="0" t="n">
        <v>1.67272872616811</v>
      </c>
      <c r="AT149" s="0" t="s">
        <v>323</v>
      </c>
      <c r="XEM149" s="216"/>
      <c r="XEN149" s="217"/>
      <c r="XEO149" s="243"/>
      <c r="XEP149" s="218"/>
      <c r="XEQ149" s="244"/>
      <c r="XER149" s="217"/>
    </row>
    <row r="150" customFormat="false" ht="25.5" hidden="false" customHeight="true" outlineLevel="0" collapsed="false">
      <c r="A150" s="216"/>
      <c r="B150" s="217"/>
      <c r="C150" s="241" t="n">
        <f aca="false">Таблица310[[#This Row],[Степень зрелости вспом]]</f>
        <v>57</v>
      </c>
      <c r="D150" s="218" t="n">
        <v>246</v>
      </c>
      <c r="E150" s="219" t="n">
        <v>45815</v>
      </c>
      <c r="F150" s="217" t="n">
        <v>23240</v>
      </c>
      <c r="G150" s="245" t="n">
        <v>9120</v>
      </c>
      <c r="H150" s="220" t="n">
        <v>14120</v>
      </c>
      <c r="I150" s="217" t="n">
        <v>8116.8</v>
      </c>
      <c r="J150" s="216" t="s">
        <v>422</v>
      </c>
      <c r="K150" s="216" t="s">
        <v>252</v>
      </c>
      <c r="L150" s="216" t="s">
        <v>865</v>
      </c>
      <c r="M150" s="189" t="s">
        <v>411</v>
      </c>
      <c r="N150" s="198"/>
      <c r="O150" s="216"/>
      <c r="P150" s="216"/>
      <c r="Q150" s="216"/>
      <c r="R150" s="216" t="s">
        <v>381</v>
      </c>
      <c r="S150" s="198"/>
      <c r="T150" s="228" t="s">
        <v>865</v>
      </c>
      <c r="U150" s="195" t="str">
        <f aca="false">Таблица310[[#This Row],[Регистратор.Номенклатура]]</f>
        <v>Преладо</v>
      </c>
      <c r="V150" s="230" t="n">
        <f aca="false">6.1*Таблица310[[#This Row],[Регистратор.Вес нетто]]/92910</f>
        <v>0.598773006134969</v>
      </c>
      <c r="W150" s="216" t="s">
        <v>51</v>
      </c>
      <c r="X150" s="216" t="s">
        <v>52</v>
      </c>
      <c r="Y150" s="198" t="n">
        <v>9</v>
      </c>
      <c r="Z150" s="221" t="n">
        <v>45814</v>
      </c>
      <c r="AA150" s="198"/>
      <c r="AB150" s="198" t="s">
        <v>866</v>
      </c>
      <c r="AC150" s="198" t="s">
        <v>302</v>
      </c>
      <c r="AD150" s="198" t="s">
        <v>417</v>
      </c>
      <c r="AE150" s="198" t="n">
        <v>246</v>
      </c>
      <c r="AF150" s="200" t="n">
        <v>45815</v>
      </c>
      <c r="AG150" s="198" t="n">
        <v>65</v>
      </c>
      <c r="AH150" s="198" t="n">
        <f aca="false">VLOOKUP(Таблица310[[#This Row],[№ акта]],'Степень зрелости 2025'!$H$13:$I$583,2,FALSE())</f>
        <v>57</v>
      </c>
      <c r="AI150" s="198" t="str">
        <f aca="false">VLOOKUP(Таблица310[[#This Row],[№ акта]],$AQ$1:$AT$594,2,FALSE())</f>
        <v>А-67</v>
      </c>
      <c r="AJ150" s="198" t="str">
        <f aca="false">Таблица310[[#This Row],[Регистратор.Номенклатура]]</f>
        <v>Преладо</v>
      </c>
      <c r="AK150" s="198" t="str">
        <f aca="false">VLOOKUP(Таблица310[[#This Row],[№ акта]],$AQ$1:$AT$594,4,FALSE())</f>
        <v>ГРК (богара)</v>
      </c>
      <c r="AL150" s="230" t="n">
        <f aca="false">VLOOKUP(Таблица310[[#This Row],[№ акта]],$AQ$1:$AT$594,3,FALSE())</f>
        <v>3.18276996709542</v>
      </c>
      <c r="AM150" s="198" t="str">
        <f aca="false">IF(Таблица310[[#This Row],[Площадь уборки, га]]=Таблица310[[#This Row],[Площадь уборки до корр]],"нет","да")</f>
        <v>да</v>
      </c>
      <c r="AN150" s="230" t="n">
        <f aca="false">Таблица310[[#This Row],[Площадь уборки до корр]]-Таблица310[[#This Row],[Площадь уборки, га]]</f>
        <v>2.58399696096045</v>
      </c>
      <c r="AQ150" s="0" t="n">
        <v>246</v>
      </c>
      <c r="AR150" s="0" t="s">
        <v>865</v>
      </c>
      <c r="AS150" s="0" t="n">
        <v>3.18276996709542</v>
      </c>
      <c r="AT150" s="0" t="s">
        <v>51</v>
      </c>
      <c r="XEM150" s="216"/>
      <c r="XEN150" s="217"/>
      <c r="XEO150" s="243"/>
      <c r="XEP150" s="218"/>
      <c r="XEQ150" s="244"/>
      <c r="XER150" s="217"/>
    </row>
    <row r="151" customFormat="false" ht="25.5" hidden="false" customHeight="true" outlineLevel="0" collapsed="false">
      <c r="A151" s="216"/>
      <c r="B151" s="217"/>
      <c r="C151" s="241" t="n">
        <f aca="false">Таблица310[[#This Row],[Степень зрелости вспом]]</f>
        <v>54</v>
      </c>
      <c r="D151" s="218" t="n">
        <v>247</v>
      </c>
      <c r="E151" s="219" t="n">
        <v>45815</v>
      </c>
      <c r="F151" s="217" t="n">
        <v>8900</v>
      </c>
      <c r="G151" s="245" t="n">
        <v>4270</v>
      </c>
      <c r="H151" s="220" t="n">
        <v>4630</v>
      </c>
      <c r="I151" s="217" t="n">
        <v>3907</v>
      </c>
      <c r="J151" s="216" t="s">
        <v>422</v>
      </c>
      <c r="K151" s="216" t="s">
        <v>252</v>
      </c>
      <c r="L151" s="216" t="s">
        <v>865</v>
      </c>
      <c r="M151" s="189" t="s">
        <v>378</v>
      </c>
      <c r="N151" s="198"/>
      <c r="O151" s="216"/>
      <c r="P151" s="216"/>
      <c r="Q151" s="216"/>
      <c r="R151" s="216" t="s">
        <v>379</v>
      </c>
      <c r="S151" s="198"/>
      <c r="T151" s="228" t="s">
        <v>865</v>
      </c>
      <c r="U151" s="195" t="str">
        <f aca="false">Таблица310[[#This Row],[Регистратор.Номенклатура]]</f>
        <v>Преладо</v>
      </c>
      <c r="V151" s="230" t="n">
        <f aca="false">6.1*Таблица310[[#This Row],[Регистратор.Вес нетто]]/92910</f>
        <v>0.280346571951351</v>
      </c>
      <c r="W151" s="216" t="s">
        <v>51</v>
      </c>
      <c r="X151" s="216" t="s">
        <v>52</v>
      </c>
      <c r="Y151" s="198" t="n">
        <v>9</v>
      </c>
      <c r="Z151" s="221" t="n">
        <v>45814</v>
      </c>
      <c r="AA151" s="198"/>
      <c r="AB151" s="198" t="s">
        <v>866</v>
      </c>
      <c r="AC151" s="198" t="s">
        <v>302</v>
      </c>
      <c r="AD151" s="198" t="s">
        <v>417</v>
      </c>
      <c r="AE151" s="198" t="n">
        <v>247</v>
      </c>
      <c r="AF151" s="200" t="n">
        <v>45815</v>
      </c>
      <c r="AG151" s="198" t="n">
        <v>66</v>
      </c>
      <c r="AH151" s="198" t="n">
        <f aca="false">VLOOKUP(Таблица310[[#This Row],[№ акта]],'Степень зрелости 2025'!$H$13:$I$583,2,FALSE())</f>
        <v>54</v>
      </c>
      <c r="AI151" s="198" t="str">
        <f aca="false">VLOOKUP(Таблица310[[#This Row],[№ акта]],$AQ$1:$AT$594,2,FALSE())</f>
        <v>А-67</v>
      </c>
      <c r="AJ151" s="198" t="str">
        <f aca="false">Таблица310[[#This Row],[Регистратор.Номенклатура]]</f>
        <v>Преладо</v>
      </c>
      <c r="AK151" s="198" t="str">
        <f aca="false">VLOOKUP(Таблица310[[#This Row],[№ акта]],$AQ$1:$AT$594,4,FALSE())</f>
        <v>ГРК (богара)</v>
      </c>
      <c r="AL151" s="230" t="n">
        <f aca="false">VLOOKUP(Таблица310[[#This Row],[№ акта]],$AQ$1:$AT$594,3,FALSE())</f>
        <v>1.49017848240104</v>
      </c>
      <c r="AM151" s="198" t="str">
        <f aca="false">IF(Таблица310[[#This Row],[Площадь уборки, га]]=Таблица310[[#This Row],[Площадь уборки до корр]],"нет","да")</f>
        <v>да</v>
      </c>
      <c r="AN151" s="230" t="n">
        <f aca="false">Таблица310[[#This Row],[Площадь уборки до корр]]-Таблица310[[#This Row],[Площадь уборки, га]]</f>
        <v>1.20983191044969</v>
      </c>
      <c r="AQ151" s="0" t="n">
        <v>247</v>
      </c>
      <c r="AR151" s="0" t="s">
        <v>865</v>
      </c>
      <c r="AS151" s="0" t="n">
        <v>1.49017848240104</v>
      </c>
      <c r="AT151" s="0" t="s">
        <v>51</v>
      </c>
      <c r="XEM151" s="216"/>
      <c r="XEN151" s="217"/>
      <c r="XEO151" s="243"/>
      <c r="XEP151" s="218"/>
      <c r="XEQ151" s="244"/>
      <c r="XER151" s="217"/>
    </row>
    <row r="152" customFormat="false" ht="25.5" hidden="false" customHeight="true" outlineLevel="0" collapsed="false">
      <c r="A152" s="216"/>
      <c r="B152" s="217"/>
      <c r="C152" s="241" t="n">
        <f aca="false">Таблица310[[#This Row],[Степень зрелости вспом]]</f>
        <v>60</v>
      </c>
      <c r="D152" s="218" t="n">
        <v>248</v>
      </c>
      <c r="E152" s="219" t="n">
        <v>45815</v>
      </c>
      <c r="F152" s="217" t="n">
        <v>27260</v>
      </c>
      <c r="G152" s="245" t="n">
        <v>12780</v>
      </c>
      <c r="H152" s="220" t="n">
        <v>14480</v>
      </c>
      <c r="I152" s="217" t="n">
        <v>10735.2</v>
      </c>
      <c r="J152" s="216" t="s">
        <v>422</v>
      </c>
      <c r="K152" s="216" t="s">
        <v>252</v>
      </c>
      <c r="L152" s="216" t="s">
        <v>865</v>
      </c>
      <c r="M152" s="189" t="s">
        <v>384</v>
      </c>
      <c r="N152" s="198"/>
      <c r="O152" s="216"/>
      <c r="P152" s="216"/>
      <c r="Q152" s="216"/>
      <c r="R152" s="216" t="s">
        <v>385</v>
      </c>
      <c r="S152" s="198"/>
      <c r="T152" s="228" t="s">
        <v>865</v>
      </c>
      <c r="U152" s="195" t="str">
        <f aca="false">Таблица310[[#This Row],[Регистратор.Номенклатура]]</f>
        <v>Преладо</v>
      </c>
      <c r="V152" s="230" t="n">
        <f aca="false">6.1*Таблица310[[#This Row],[Регистратор.Вес нетто]]/92910</f>
        <v>0.839070067807556</v>
      </c>
      <c r="W152" s="216" t="s">
        <v>51</v>
      </c>
      <c r="X152" s="216" t="s">
        <v>52</v>
      </c>
      <c r="Y152" s="198" t="n">
        <v>9</v>
      </c>
      <c r="Z152" s="221" t="n">
        <v>45814</v>
      </c>
      <c r="AA152" s="198"/>
      <c r="AB152" s="198" t="s">
        <v>866</v>
      </c>
      <c r="AC152" s="198" t="s">
        <v>302</v>
      </c>
      <c r="AD152" s="198" t="s">
        <v>417</v>
      </c>
      <c r="AE152" s="198" t="n">
        <v>248</v>
      </c>
      <c r="AF152" s="200" t="n">
        <v>45815</v>
      </c>
      <c r="AG152" s="198" t="n">
        <v>67</v>
      </c>
      <c r="AH152" s="198" t="n">
        <f aca="false">VLOOKUP(Таблица310[[#This Row],[№ акта]],'Степень зрелости 2025'!$H$13:$I$583,2,FALSE())</f>
        <v>60</v>
      </c>
      <c r="AI152" s="198" t="str">
        <f aca="false">VLOOKUP(Таблица310[[#This Row],[№ акта]],$AQ$1:$AT$594,2,FALSE())</f>
        <v>А-67</v>
      </c>
      <c r="AJ152" s="198" t="str">
        <f aca="false">Таблица310[[#This Row],[Регистратор.Номенклатура]]</f>
        <v>Преладо</v>
      </c>
      <c r="AK152" s="198" t="str">
        <f aca="false">VLOOKUP(Таблица310[[#This Row],[№ акта]],$AQ$1:$AT$594,4,FALSE())</f>
        <v>ГРК (богара)</v>
      </c>
      <c r="AL152" s="230" t="n">
        <f aca="false">VLOOKUP(Таблица310[[#This Row],[№ акта]],$AQ$1:$AT$594,3,FALSE())</f>
        <v>4.46006580915346</v>
      </c>
      <c r="AM152" s="198" t="str">
        <f aca="false">IF(Таблица310[[#This Row],[Площадь уборки, га]]=Таблица310[[#This Row],[Площадь уборки до корр]],"нет","да")</f>
        <v>да</v>
      </c>
      <c r="AN152" s="230" t="n">
        <f aca="false">Таблица310[[#This Row],[Площадь уборки до корр]]-Таблица310[[#This Row],[Площадь уборки, га]]</f>
        <v>3.6209957413459</v>
      </c>
      <c r="AQ152" s="0" t="n">
        <v>248</v>
      </c>
      <c r="AR152" s="0" t="s">
        <v>865</v>
      </c>
      <c r="AS152" s="0" t="n">
        <v>4.46006580915346</v>
      </c>
      <c r="AT152" s="0" t="s">
        <v>51</v>
      </c>
      <c r="XEM152" s="216"/>
      <c r="XEN152" s="217"/>
      <c r="XEO152" s="243"/>
      <c r="XEP152" s="218"/>
      <c r="XEQ152" s="244"/>
      <c r="XER152" s="217"/>
    </row>
    <row r="153" customFormat="false" ht="25.5" hidden="false" customHeight="true" outlineLevel="0" collapsed="false">
      <c r="A153" s="216"/>
      <c r="B153" s="217"/>
      <c r="C153" s="241" t="n">
        <f aca="false">Таблица310[[#This Row],[Степень зрелости вспом]]</f>
        <v>58</v>
      </c>
      <c r="D153" s="218" t="n">
        <v>249</v>
      </c>
      <c r="E153" s="219" t="n">
        <v>45815</v>
      </c>
      <c r="F153" s="217" t="n">
        <v>24210</v>
      </c>
      <c r="G153" s="245" t="n">
        <v>9330</v>
      </c>
      <c r="H153" s="220" t="n">
        <v>14880</v>
      </c>
      <c r="I153" s="217" t="n">
        <v>7930.5</v>
      </c>
      <c r="J153" s="216" t="s">
        <v>422</v>
      </c>
      <c r="K153" s="216" t="s">
        <v>252</v>
      </c>
      <c r="L153" s="216" t="s">
        <v>865</v>
      </c>
      <c r="M153" s="189" t="s">
        <v>48</v>
      </c>
      <c r="N153" s="198"/>
      <c r="O153" s="216"/>
      <c r="P153" s="216"/>
      <c r="Q153" s="216"/>
      <c r="R153" s="216" t="s">
        <v>49</v>
      </c>
      <c r="S153" s="198"/>
      <c r="T153" s="228" t="s">
        <v>865</v>
      </c>
      <c r="U153" s="195" t="str">
        <f aca="false">Таблица310[[#This Row],[Регистратор.Номенклатура]]</f>
        <v>Преладо</v>
      </c>
      <c r="V153" s="230" t="n">
        <f aca="false">6.1*Таблица310[[#This Row],[Регистратор.Вес нетто]]/92910</f>
        <v>0.612560542460446</v>
      </c>
      <c r="W153" s="216" t="s">
        <v>51</v>
      </c>
      <c r="X153" s="216" t="s">
        <v>52</v>
      </c>
      <c r="Y153" s="198" t="n">
        <v>9</v>
      </c>
      <c r="Z153" s="221" t="n">
        <v>45814</v>
      </c>
      <c r="AA153" s="198"/>
      <c r="AB153" s="198" t="s">
        <v>866</v>
      </c>
      <c r="AC153" s="198" t="s">
        <v>302</v>
      </c>
      <c r="AD153" s="198" t="s">
        <v>417</v>
      </c>
      <c r="AE153" s="198" t="n">
        <v>249</v>
      </c>
      <c r="AF153" s="200" t="n">
        <v>45815</v>
      </c>
      <c r="AG153" s="198" t="n">
        <v>68</v>
      </c>
      <c r="AH153" s="198" t="n">
        <f aca="false">VLOOKUP(Таблица310[[#This Row],[№ акта]],'Степень зрелости 2025'!$H$13:$I$583,2,FALSE())</f>
        <v>58</v>
      </c>
      <c r="AI153" s="198" t="str">
        <f aca="false">VLOOKUP(Таблица310[[#This Row],[№ акта]],$AQ$1:$AT$594,2,FALSE())</f>
        <v>А-67</v>
      </c>
      <c r="AJ153" s="198" t="str">
        <f aca="false">Таблица310[[#This Row],[Регистратор.Номенклатура]]</f>
        <v>Преладо</v>
      </c>
      <c r="AK153" s="198" t="str">
        <f aca="false">VLOOKUP(Таблица310[[#This Row],[№ акта]],$AQ$1:$AT$594,4,FALSE())</f>
        <v>ГРК (богара)</v>
      </c>
      <c r="AL153" s="230" t="n">
        <f aca="false">VLOOKUP(Таблица310[[#This Row],[№ акта]],$AQ$1:$AT$594,3,FALSE())</f>
        <v>3.25605743344302</v>
      </c>
      <c r="AM153" s="198" t="str">
        <f aca="false">IF(Таблица310[[#This Row],[Площадь уборки, га]]=Таблица310[[#This Row],[Площадь уборки до корр]],"нет","да")</f>
        <v>да</v>
      </c>
      <c r="AN153" s="230" t="n">
        <f aca="false">Таблица310[[#This Row],[Площадь уборки до корр]]-Таблица310[[#This Row],[Площадь уборки, га]]</f>
        <v>2.64349689098257</v>
      </c>
      <c r="AQ153" s="0" t="n">
        <v>249</v>
      </c>
      <c r="AR153" s="0" t="s">
        <v>865</v>
      </c>
      <c r="AS153" s="0" t="n">
        <v>3.25605743344302</v>
      </c>
      <c r="AT153" s="0" t="s">
        <v>51</v>
      </c>
      <c r="XEM153" s="216"/>
      <c r="XEN153" s="217"/>
      <c r="XEO153" s="243"/>
      <c r="XEP153" s="218"/>
      <c r="XEQ153" s="244"/>
      <c r="XER153" s="217"/>
    </row>
    <row r="154" customFormat="false" ht="25.5" hidden="false" customHeight="true" outlineLevel="0" collapsed="false">
      <c r="A154" s="216"/>
      <c r="B154" s="217"/>
      <c r="C154" s="241" t="n">
        <f aca="false">Таблица310[[#This Row],[Степень зрелости вспом]]</f>
        <v>58</v>
      </c>
      <c r="D154" s="218" t="n">
        <v>250</v>
      </c>
      <c r="E154" s="219" t="n">
        <v>45815</v>
      </c>
      <c r="F154" s="217" t="n">
        <v>23310</v>
      </c>
      <c r="G154" s="245" t="n">
        <v>9210</v>
      </c>
      <c r="H154" s="220" t="n">
        <v>14100</v>
      </c>
      <c r="I154" s="217" t="n">
        <v>7506.1</v>
      </c>
      <c r="J154" s="216" t="s">
        <v>422</v>
      </c>
      <c r="K154" s="216" t="s">
        <v>252</v>
      </c>
      <c r="L154" s="216" t="s">
        <v>865</v>
      </c>
      <c r="M154" s="189" t="s">
        <v>411</v>
      </c>
      <c r="N154" s="198"/>
      <c r="O154" s="216"/>
      <c r="P154" s="216"/>
      <c r="Q154" s="216"/>
      <c r="R154" s="216" t="s">
        <v>868</v>
      </c>
      <c r="S154" s="198"/>
      <c r="T154" s="228" t="s">
        <v>865</v>
      </c>
      <c r="U154" s="195" t="str">
        <f aca="false">Таблица310[[#This Row],[Регистратор.Номенклатура]]</f>
        <v>Преладо</v>
      </c>
      <c r="V154" s="230" t="n">
        <f aca="false">6.1*Таблица310[[#This Row],[Регистратор.Вес нетто]]/92910</f>
        <v>0.604681950274459</v>
      </c>
      <c r="W154" s="216" t="s">
        <v>51</v>
      </c>
      <c r="X154" s="216" t="s">
        <v>52</v>
      </c>
      <c r="Y154" s="198" t="n">
        <v>9</v>
      </c>
      <c r="Z154" s="221" t="n">
        <v>45814</v>
      </c>
      <c r="AA154" s="198"/>
      <c r="AB154" s="198" t="s">
        <v>866</v>
      </c>
      <c r="AC154" s="198" t="s">
        <v>302</v>
      </c>
      <c r="AD154" s="198" t="s">
        <v>417</v>
      </c>
      <c r="AE154" s="198" t="n">
        <v>250</v>
      </c>
      <c r="AF154" s="200" t="n">
        <v>45815</v>
      </c>
      <c r="AG154" s="198" t="n">
        <v>69</v>
      </c>
      <c r="AH154" s="198" t="n">
        <f aca="false">VLOOKUP(Таблица310[[#This Row],[№ акта]],'Степень зрелости 2025'!$H$13:$I$583,2,FALSE())</f>
        <v>58</v>
      </c>
      <c r="AI154" s="198" t="str">
        <f aca="false">VLOOKUP(Таблица310[[#This Row],[№ акта]],$AQ$1:$AT$594,2,FALSE())</f>
        <v>А-67</v>
      </c>
      <c r="AJ154" s="198" t="str">
        <f aca="false">Таблица310[[#This Row],[Регистратор.Номенклатура]]</f>
        <v>Преладо</v>
      </c>
      <c r="AK154" s="198" t="str">
        <f aca="false">VLOOKUP(Таблица310[[#This Row],[№ акта]],$AQ$1:$AT$594,4,FALSE())</f>
        <v>ГРК (богара)</v>
      </c>
      <c r="AL154" s="230" t="n">
        <f aca="false">VLOOKUP(Таблица310[[#This Row],[№ акта]],$AQ$1:$AT$594,3,FALSE())</f>
        <v>3.21417888124439</v>
      </c>
      <c r="AM154" s="198" t="str">
        <f aca="false">IF(Таблица310[[#This Row],[Площадь уборки, га]]=Таблица310[[#This Row],[Площадь уборки до корр]],"нет","да")</f>
        <v>да</v>
      </c>
      <c r="AN154" s="230" t="n">
        <f aca="false">Таблица310[[#This Row],[Площадь уборки до корр]]-Таблица310[[#This Row],[Площадь уборки, га]]</f>
        <v>2.60949693096993</v>
      </c>
      <c r="AQ154" s="0" t="n">
        <v>250</v>
      </c>
      <c r="AR154" s="0" t="s">
        <v>865</v>
      </c>
      <c r="AS154" s="0" t="n">
        <v>3.21417888124439</v>
      </c>
      <c r="AT154" s="0" t="s">
        <v>51</v>
      </c>
      <c r="XEM154" s="216"/>
      <c r="XEN154" s="217"/>
      <c r="XEO154" s="243"/>
      <c r="XEP154" s="218"/>
      <c r="XEQ154" s="244"/>
      <c r="XER154" s="217"/>
    </row>
    <row r="155" customFormat="false" ht="25.5" hidden="false" customHeight="true" outlineLevel="0" collapsed="false">
      <c r="A155" s="216"/>
      <c r="B155" s="217"/>
      <c r="C155" s="241" t="n">
        <f aca="false">Таблица310[[#This Row],[Степень зрелости вспом]]</f>
        <v>59</v>
      </c>
      <c r="D155" s="218" t="n">
        <v>251</v>
      </c>
      <c r="E155" s="219" t="n">
        <v>45815</v>
      </c>
      <c r="F155" s="217" t="n">
        <v>9180</v>
      </c>
      <c r="G155" s="245" t="n">
        <v>4560</v>
      </c>
      <c r="H155" s="220" t="n">
        <v>4620</v>
      </c>
      <c r="I155" s="217" t="n">
        <v>3853.2</v>
      </c>
      <c r="J155" s="216" t="s">
        <v>422</v>
      </c>
      <c r="K155" s="216" t="s">
        <v>252</v>
      </c>
      <c r="L155" s="216" t="s">
        <v>865</v>
      </c>
      <c r="M155" s="189" t="s">
        <v>378</v>
      </c>
      <c r="N155" s="198"/>
      <c r="O155" s="216"/>
      <c r="P155" s="216"/>
      <c r="Q155" s="216"/>
      <c r="R155" s="216" t="s">
        <v>379</v>
      </c>
      <c r="S155" s="198"/>
      <c r="T155" s="228" t="s">
        <v>865</v>
      </c>
      <c r="U155" s="195" t="str">
        <f aca="false">Таблица310[[#This Row],[Регистратор.Номенклатура]]</f>
        <v>Преладо</v>
      </c>
      <c r="V155" s="230" t="n">
        <f aca="false">6.1*Таблица310[[#This Row],[Регистратор.Вес нетто]]/92910</f>
        <v>0.299386503067485</v>
      </c>
      <c r="W155" s="216" t="s">
        <v>51</v>
      </c>
      <c r="X155" s="216" t="s">
        <v>52</v>
      </c>
      <c r="Y155" s="198" t="n">
        <v>9</v>
      </c>
      <c r="Z155" s="221" t="n">
        <v>45814</v>
      </c>
      <c r="AA155" s="198"/>
      <c r="AB155" s="198" t="s">
        <v>866</v>
      </c>
      <c r="AC155" s="198" t="s">
        <v>302</v>
      </c>
      <c r="AD155" s="198" t="s">
        <v>417</v>
      </c>
      <c r="AE155" s="198" t="n">
        <v>251</v>
      </c>
      <c r="AF155" s="200" t="n">
        <v>45815</v>
      </c>
      <c r="AG155" s="198" t="n">
        <v>70</v>
      </c>
      <c r="AH155" s="198" t="n">
        <f aca="false">VLOOKUP(Таблица310[[#This Row],[№ акта]],'Степень зрелости 2025'!$H$13:$I$583,2,FALSE())</f>
        <v>59</v>
      </c>
      <c r="AI155" s="198" t="str">
        <f aca="false">VLOOKUP(Таблица310[[#This Row],[№ акта]],$AQ$1:$AT$594,2,FALSE())</f>
        <v>А-67</v>
      </c>
      <c r="AJ155" s="198" t="str">
        <f aca="false">Таблица310[[#This Row],[Регистратор.Номенклатура]]</f>
        <v>Преладо</v>
      </c>
      <c r="AK155" s="198" t="str">
        <f aca="false">VLOOKUP(Таблица310[[#This Row],[№ акта]],$AQ$1:$AT$594,4,FALSE())</f>
        <v>ГРК (богара)</v>
      </c>
      <c r="AL155" s="230" t="n">
        <f aca="false">VLOOKUP(Таблица310[[#This Row],[№ акта]],$AQ$1:$AT$594,3,FALSE())</f>
        <v>1.59138498354771</v>
      </c>
      <c r="AM155" s="198" t="str">
        <f aca="false">IF(Таблица310[[#This Row],[Площадь уборки, га]]=Таблица310[[#This Row],[Площадь уборки до корр]],"нет","да")</f>
        <v>да</v>
      </c>
      <c r="AN155" s="230" t="n">
        <f aca="false">Таблица310[[#This Row],[Площадь уборки до корр]]-Таблица310[[#This Row],[Площадь уборки, га]]</f>
        <v>1.29199848048023</v>
      </c>
      <c r="AQ155" s="0" t="n">
        <v>251</v>
      </c>
      <c r="AR155" s="0" t="s">
        <v>865</v>
      </c>
      <c r="AS155" s="0" t="n">
        <v>1.59138498354771</v>
      </c>
      <c r="AT155" s="0" t="s">
        <v>51</v>
      </c>
      <c r="XEM155" s="216"/>
      <c r="XEN155" s="217"/>
      <c r="XEO155" s="243"/>
      <c r="XEP155" s="218"/>
      <c r="XEQ155" s="244"/>
      <c r="XER155" s="217"/>
    </row>
    <row r="156" customFormat="false" ht="25.5" hidden="false" customHeight="true" outlineLevel="0" collapsed="false">
      <c r="A156" s="216"/>
      <c r="B156" s="217"/>
      <c r="C156" s="241" t="n">
        <f aca="false">Таблица310[[#This Row],[Степень зрелости вспом]]</f>
        <v>60</v>
      </c>
      <c r="D156" s="218" t="n">
        <v>252</v>
      </c>
      <c r="E156" s="219" t="n">
        <v>45815</v>
      </c>
      <c r="F156" s="217" t="n">
        <v>31060</v>
      </c>
      <c r="G156" s="245" t="n">
        <v>16600</v>
      </c>
      <c r="H156" s="220" t="n">
        <v>14460</v>
      </c>
      <c r="I156" s="217" t="n">
        <v>14276</v>
      </c>
      <c r="J156" s="216" t="s">
        <v>422</v>
      </c>
      <c r="K156" s="216" t="s">
        <v>252</v>
      </c>
      <c r="L156" s="216" t="s">
        <v>865</v>
      </c>
      <c r="M156" s="189" t="s">
        <v>384</v>
      </c>
      <c r="N156" s="198"/>
      <c r="O156" s="216"/>
      <c r="P156" s="216"/>
      <c r="Q156" s="216"/>
      <c r="R156" s="216" t="s">
        <v>385</v>
      </c>
      <c r="S156" s="198"/>
      <c r="T156" s="228" t="s">
        <v>865</v>
      </c>
      <c r="U156" s="195" t="str">
        <f aca="false">Таблица310[[#This Row],[Регистратор.Номенклатура]]</f>
        <v>Преладо</v>
      </c>
      <c r="V156" s="230" t="n">
        <f aca="false">6.1*Таблица310[[#This Row],[Регистратор.Вес нетто]]/92910</f>
        <v>1.08987191906146</v>
      </c>
      <c r="W156" s="216" t="s">
        <v>51</v>
      </c>
      <c r="X156" s="216" t="s">
        <v>52</v>
      </c>
      <c r="Y156" s="198" t="n">
        <v>9</v>
      </c>
      <c r="Z156" s="221" t="n">
        <v>45814</v>
      </c>
      <c r="AA156" s="198"/>
      <c r="AB156" s="198" t="s">
        <v>866</v>
      </c>
      <c r="AC156" s="198" t="s">
        <v>302</v>
      </c>
      <c r="AD156" s="198" t="s">
        <v>417</v>
      </c>
      <c r="AE156" s="198" t="n">
        <v>252</v>
      </c>
      <c r="AF156" s="200" t="n">
        <v>45815</v>
      </c>
      <c r="AG156" s="198" t="n">
        <v>71</v>
      </c>
      <c r="AH156" s="198" t="n">
        <f aca="false">VLOOKUP(Таблица310[[#This Row],[№ акта]],'Степень зрелости 2025'!$H$13:$I$583,2,FALSE())</f>
        <v>60</v>
      </c>
      <c r="AI156" s="198" t="str">
        <f aca="false">VLOOKUP(Таблица310[[#This Row],[№ акта]],$AQ$1:$AT$594,2,FALSE())</f>
        <v>А-67</v>
      </c>
      <c r="AJ156" s="198" t="str">
        <f aca="false">Таблица310[[#This Row],[Регистратор.Номенклатура]]</f>
        <v>Преладо</v>
      </c>
      <c r="AK156" s="198" t="str">
        <f aca="false">VLOOKUP(Таблица310[[#This Row],[№ акта]],$AQ$1:$AT$594,4,FALSE())</f>
        <v>ГРК (богара)</v>
      </c>
      <c r="AL156" s="230" t="n">
        <f aca="false">VLOOKUP(Таблица310[[#This Row],[№ акта]],$AQ$1:$AT$594,3,FALSE())</f>
        <v>5.79319972080965</v>
      </c>
      <c r="AM156" s="198" t="str">
        <f aca="false">IF(Таблица310[[#This Row],[Площадь уборки, га]]=Таблица310[[#This Row],[Площадь уборки до корр]],"нет","да")</f>
        <v>да</v>
      </c>
      <c r="AN156" s="230" t="n">
        <f aca="false">Таблица310[[#This Row],[Площадь уборки до корр]]-Таблица310[[#This Row],[Площадь уборки, га]]</f>
        <v>4.7033278017482</v>
      </c>
      <c r="AQ156" s="0" t="n">
        <v>252</v>
      </c>
      <c r="AR156" s="0" t="s">
        <v>865</v>
      </c>
      <c r="AS156" s="0" t="n">
        <v>5.79319972080965</v>
      </c>
      <c r="AT156" s="0" t="s">
        <v>51</v>
      </c>
      <c r="XEM156" s="216"/>
      <c r="XEN156" s="217"/>
      <c r="XEO156" s="243"/>
      <c r="XEP156" s="218"/>
      <c r="XEQ156" s="244"/>
      <c r="XER156" s="217"/>
    </row>
    <row r="157" customFormat="false" ht="25.5" hidden="false" customHeight="true" outlineLevel="0" collapsed="false">
      <c r="A157" s="216"/>
      <c r="B157" s="217"/>
      <c r="C157" s="241" t="n">
        <f aca="false">Таблица310[[#This Row],[Степень зрелости вспом]]</f>
        <v>63</v>
      </c>
      <c r="D157" s="218" t="n">
        <v>253</v>
      </c>
      <c r="E157" s="219" t="n">
        <v>45815</v>
      </c>
      <c r="F157" s="217" t="n">
        <v>28630</v>
      </c>
      <c r="G157" s="217" t="n">
        <v>13640</v>
      </c>
      <c r="H157" s="220" t="n">
        <v>14990</v>
      </c>
      <c r="I157" s="217" t="n">
        <v>12003.2</v>
      </c>
      <c r="J157" s="216" t="s">
        <v>422</v>
      </c>
      <c r="K157" s="216" t="s">
        <v>869</v>
      </c>
      <c r="L157" s="216" t="s">
        <v>870</v>
      </c>
      <c r="M157" s="189" t="s">
        <v>48</v>
      </c>
      <c r="N157" s="198"/>
      <c r="O157" s="216"/>
      <c r="P157" s="216"/>
      <c r="Q157" s="216"/>
      <c r="R157" s="216" t="s">
        <v>49</v>
      </c>
      <c r="S157" s="198"/>
      <c r="T157" s="228" t="s">
        <v>157</v>
      </c>
      <c r="U157" s="195" t="str">
        <f aca="false">Таблица310[[#This Row],[Регистратор.Номенклатура]]</f>
        <v>Фалкон</v>
      </c>
      <c r="V157" s="230" t="n">
        <f aca="false">3*Таблица310[[#This Row],[Регистратор.Вес нетто]]/61100</f>
        <v>0.669721767594108</v>
      </c>
      <c r="W157" s="216" t="s">
        <v>51</v>
      </c>
      <c r="X157" s="216" t="s">
        <v>52</v>
      </c>
      <c r="Y157" s="198" t="n">
        <v>10</v>
      </c>
      <c r="Z157" s="221" t="n">
        <v>45815</v>
      </c>
      <c r="AA157" s="198"/>
      <c r="AB157" s="198" t="s">
        <v>871</v>
      </c>
      <c r="AC157" s="198" t="s">
        <v>302</v>
      </c>
      <c r="AD157" s="198" t="s">
        <v>417</v>
      </c>
      <c r="AE157" s="198" t="n">
        <v>253</v>
      </c>
      <c r="AF157" s="200" t="n">
        <v>45815</v>
      </c>
      <c r="AG157" s="198" t="n">
        <v>72</v>
      </c>
      <c r="AH157" s="198" t="n">
        <f aca="false">VLOOKUP(Таблица310[[#This Row],[№ акта]],'Степень зрелости 2025'!$H$13:$I$583,2,FALSE())</f>
        <v>63</v>
      </c>
      <c r="AI157" s="198" t="str">
        <f aca="false">VLOOKUP(Таблица310[[#This Row],[№ акта]],$AQ$1:$AT$594,2,FALSE())</f>
        <v>А-66</v>
      </c>
      <c r="AJ157" s="198" t="str">
        <f aca="false">Таблица310[[#This Row],[Регистратор.Номенклатура]]</f>
        <v>Фалкон</v>
      </c>
      <c r="AK157" s="198" t="str">
        <f aca="false">VLOOKUP(Таблица310[[#This Row],[№ акта]],$AQ$1:$AT$594,4,FALSE())</f>
        <v>ГРК собственные семена (богара)</v>
      </c>
      <c r="AL157" s="230" t="n">
        <f aca="false">VLOOKUP(Таблица310[[#This Row],[№ акта]],$AQ$1:$AT$594,3,FALSE())</f>
        <v>3.21054489819936</v>
      </c>
      <c r="AM157" s="198" t="str">
        <f aca="false">IF(Таблица310[[#This Row],[Площадь уборки, га]]=Таблица310[[#This Row],[Площадь уборки до корр]],"нет","да")</f>
        <v>да</v>
      </c>
      <c r="AN157" s="230" t="n">
        <f aca="false">Таблица310[[#This Row],[Площадь уборки до корр]]-Таблица310[[#This Row],[Площадь уборки, га]]</f>
        <v>2.54082313060526</v>
      </c>
      <c r="AQ157" s="0" t="n">
        <v>253</v>
      </c>
      <c r="AR157" s="0" t="s">
        <v>870</v>
      </c>
      <c r="AS157" s="0" t="n">
        <v>3.21054489819936</v>
      </c>
      <c r="AT157" s="0" t="s">
        <v>324</v>
      </c>
      <c r="XEM157" s="216"/>
      <c r="XEN157" s="217"/>
      <c r="XEO157" s="243"/>
      <c r="XEP157" s="218"/>
      <c r="XEQ157" s="244"/>
      <c r="XER157" s="217"/>
    </row>
    <row r="158" customFormat="false" ht="25.5" hidden="false" customHeight="true" outlineLevel="0" collapsed="false">
      <c r="A158" s="216"/>
      <c r="B158" s="217"/>
      <c r="C158" s="241" t="n">
        <f aca="false">Таблица310[[#This Row],[Степень зрелости вспом]]</f>
        <v>65</v>
      </c>
      <c r="D158" s="218" t="n">
        <v>254</v>
      </c>
      <c r="E158" s="219" t="n">
        <v>45815</v>
      </c>
      <c r="F158" s="217" t="n">
        <v>27400</v>
      </c>
      <c r="G158" s="217" t="n">
        <v>13310</v>
      </c>
      <c r="H158" s="220" t="n">
        <v>14090</v>
      </c>
      <c r="I158" s="217" t="n">
        <v>11313.5</v>
      </c>
      <c r="J158" s="216" t="s">
        <v>422</v>
      </c>
      <c r="K158" s="216" t="s">
        <v>869</v>
      </c>
      <c r="L158" s="216" t="s">
        <v>870</v>
      </c>
      <c r="M158" s="189" t="s">
        <v>411</v>
      </c>
      <c r="N158" s="198"/>
      <c r="O158" s="216"/>
      <c r="P158" s="216"/>
      <c r="Q158" s="216"/>
      <c r="R158" s="216" t="s">
        <v>381</v>
      </c>
      <c r="S158" s="198"/>
      <c r="T158" s="228" t="s">
        <v>157</v>
      </c>
      <c r="U158" s="195" t="str">
        <f aca="false">Таблица310[[#This Row],[Регистратор.Номенклатура]]</f>
        <v>Фалкон</v>
      </c>
      <c r="V158" s="230" t="n">
        <f aca="false">3*Таблица310[[#This Row],[Регистратор.Вес нетто]]/61100</f>
        <v>0.653518821603928</v>
      </c>
      <c r="W158" s="216" t="s">
        <v>51</v>
      </c>
      <c r="X158" s="216" t="s">
        <v>52</v>
      </c>
      <c r="Y158" s="198" t="n">
        <v>10</v>
      </c>
      <c r="Z158" s="221" t="n">
        <v>45815</v>
      </c>
      <c r="AA158" s="198"/>
      <c r="AB158" s="198" t="s">
        <v>871</v>
      </c>
      <c r="AC158" s="198" t="s">
        <v>302</v>
      </c>
      <c r="AD158" s="198" t="s">
        <v>417</v>
      </c>
      <c r="AE158" s="198" t="n">
        <v>254</v>
      </c>
      <c r="AF158" s="200" t="n">
        <v>45815</v>
      </c>
      <c r="AG158" s="198" t="n">
        <v>73</v>
      </c>
      <c r="AH158" s="198" t="n">
        <f aca="false">VLOOKUP(Таблица310[[#This Row],[№ акта]],'Степень зрелости 2025'!$H$13:$I$583,2,FALSE())</f>
        <v>65</v>
      </c>
      <c r="AI158" s="198" t="str">
        <f aca="false">VLOOKUP(Таблица310[[#This Row],[№ акта]],$AQ$1:$AT$594,2,FALSE())</f>
        <v>А-66</v>
      </c>
      <c r="AJ158" s="198" t="str">
        <f aca="false">Таблица310[[#This Row],[Регистратор.Номенклатура]]</f>
        <v>Фалкон</v>
      </c>
      <c r="AK158" s="198" t="str">
        <f aca="false">VLOOKUP(Таблица310[[#This Row],[№ акта]],$AQ$1:$AT$594,4,FALSE())</f>
        <v>ГРК собственные семена (богара)</v>
      </c>
      <c r="AL158" s="230" t="n">
        <f aca="false">VLOOKUP(Таблица310[[#This Row],[№ акта]],$AQ$1:$AT$594,3,FALSE())</f>
        <v>3.13287042485583</v>
      </c>
      <c r="AM158" s="198" t="str">
        <f aca="false">IF(Таблица310[[#This Row],[Площадь уборки, га]]=Таблица310[[#This Row],[Площадь уборки до корр]],"нет","да")</f>
        <v>да</v>
      </c>
      <c r="AN158" s="230" t="n">
        <f aca="false">Таблица310[[#This Row],[Площадь уборки до корр]]-Таблица310[[#This Row],[Площадь уборки, га]]</f>
        <v>2.4793516032519</v>
      </c>
      <c r="AQ158" s="0" t="n">
        <v>254</v>
      </c>
      <c r="AR158" s="0" t="s">
        <v>870</v>
      </c>
      <c r="AS158" s="0" t="n">
        <v>3.13287042485583</v>
      </c>
      <c r="AT158" s="0" t="s">
        <v>324</v>
      </c>
      <c r="XEM158" s="216"/>
      <c r="XEN158" s="217"/>
      <c r="XEO158" s="243"/>
      <c r="XEP158" s="218"/>
      <c r="XEQ158" s="244"/>
      <c r="XER158" s="217"/>
    </row>
    <row r="159" customFormat="false" ht="25.5" hidden="false" customHeight="true" outlineLevel="0" collapsed="false">
      <c r="A159" s="216"/>
      <c r="B159" s="217"/>
      <c r="C159" s="241" t="n">
        <f aca="false">Таблица310[[#This Row],[Степень зрелости вспом]]</f>
        <v>67</v>
      </c>
      <c r="D159" s="218" t="n">
        <v>255</v>
      </c>
      <c r="E159" s="219" t="n">
        <v>45815</v>
      </c>
      <c r="F159" s="217" t="n">
        <v>8620</v>
      </c>
      <c r="G159" s="217" t="n">
        <v>4010</v>
      </c>
      <c r="H159" s="220" t="n">
        <v>4610</v>
      </c>
      <c r="I159" s="217" t="n">
        <v>3348.3</v>
      </c>
      <c r="J159" s="216" t="s">
        <v>422</v>
      </c>
      <c r="K159" s="216" t="s">
        <v>869</v>
      </c>
      <c r="L159" s="216" t="s">
        <v>870</v>
      </c>
      <c r="M159" s="189" t="s">
        <v>378</v>
      </c>
      <c r="N159" s="198"/>
      <c r="O159" s="216"/>
      <c r="P159" s="216"/>
      <c r="Q159" s="216"/>
      <c r="R159" s="216" t="s">
        <v>379</v>
      </c>
      <c r="S159" s="198"/>
      <c r="T159" s="228" t="s">
        <v>157</v>
      </c>
      <c r="U159" s="195" t="str">
        <f aca="false">Таблица310[[#This Row],[Регистратор.Номенклатура]]</f>
        <v>Фалкон</v>
      </c>
      <c r="V159" s="230" t="n">
        <f aca="false">3*Таблица310[[#This Row],[Регистратор.Вес нетто]]/61100</f>
        <v>0.196890343698854</v>
      </c>
      <c r="W159" s="216" t="s">
        <v>51</v>
      </c>
      <c r="X159" s="216" t="s">
        <v>52</v>
      </c>
      <c r="Y159" s="198" t="n">
        <v>10</v>
      </c>
      <c r="Z159" s="221" t="n">
        <v>45815</v>
      </c>
      <c r="AA159" s="198"/>
      <c r="AB159" s="198" t="s">
        <v>871</v>
      </c>
      <c r="AC159" s="198" t="s">
        <v>305</v>
      </c>
      <c r="AD159" s="198" t="s">
        <v>746</v>
      </c>
      <c r="AE159" s="198" t="n">
        <v>255</v>
      </c>
      <c r="AF159" s="200" t="n">
        <v>45815</v>
      </c>
      <c r="AG159" s="198" t="n">
        <v>74</v>
      </c>
      <c r="AH159" s="198" t="n">
        <f aca="false">VLOOKUP(Таблица310[[#This Row],[№ акта]],'Степень зрелости 2025'!$H$13:$I$583,2,FALSE())</f>
        <v>67</v>
      </c>
      <c r="AI159" s="198" t="str">
        <f aca="false">VLOOKUP(Таблица310[[#This Row],[№ акта]],$AQ$1:$AT$594,2,FALSE())</f>
        <v>А-66</v>
      </c>
      <c r="AJ159" s="198" t="str">
        <f aca="false">Таблица310[[#This Row],[Регистратор.Номенклатура]]</f>
        <v>Фалкон</v>
      </c>
      <c r="AK159" s="198" t="str">
        <f aca="false">VLOOKUP(Таблица310[[#This Row],[№ акта]],$AQ$1:$AT$594,4,FALSE())</f>
        <v>ГРК собственные семена (богара)</v>
      </c>
      <c r="AL159" s="230" t="n">
        <f aca="false">VLOOKUP(Таблица310[[#This Row],[№ акта]],$AQ$1:$AT$594,3,FALSE())</f>
        <v>0.943862539719901</v>
      </c>
      <c r="AM159" s="198" t="str">
        <f aca="false">IF(Таблица310[[#This Row],[Площадь уборки, га]]=Таблица310[[#This Row],[Площадь уборки до корр]],"нет","да")</f>
        <v>да</v>
      </c>
      <c r="AN159" s="230" t="n">
        <f aca="false">Таблица310[[#This Row],[Площадь уборки до корр]]-Таблица310[[#This Row],[Площадь уборки, га]]</f>
        <v>0.746972196021047</v>
      </c>
      <c r="AQ159" s="0" t="n">
        <v>255</v>
      </c>
      <c r="AR159" s="0" t="s">
        <v>870</v>
      </c>
      <c r="AS159" s="0" t="n">
        <v>0.943862539719901</v>
      </c>
      <c r="AT159" s="0" t="s">
        <v>324</v>
      </c>
      <c r="XEM159" s="216"/>
      <c r="XEN159" s="217"/>
      <c r="XEO159" s="243"/>
      <c r="XEP159" s="218"/>
      <c r="XEQ159" s="244"/>
      <c r="XER159" s="217"/>
    </row>
    <row r="160" customFormat="false" ht="25.5" hidden="false" customHeight="true" outlineLevel="0" collapsed="false">
      <c r="A160" s="216"/>
      <c r="B160" s="217"/>
      <c r="C160" s="241" t="n">
        <f aca="false">Таблица310[[#This Row],[Степень зрелости вспом]]</f>
        <v>62</v>
      </c>
      <c r="D160" s="218" t="n">
        <v>256</v>
      </c>
      <c r="E160" s="219" t="n">
        <v>45815</v>
      </c>
      <c r="F160" s="217" t="n">
        <v>31480</v>
      </c>
      <c r="G160" s="217" t="n">
        <v>17020</v>
      </c>
      <c r="H160" s="220" t="n">
        <v>14460</v>
      </c>
      <c r="I160" s="217" t="n">
        <v>14977.6</v>
      </c>
      <c r="J160" s="216" t="s">
        <v>422</v>
      </c>
      <c r="K160" s="216" t="s">
        <v>869</v>
      </c>
      <c r="L160" s="216" t="s">
        <v>870</v>
      </c>
      <c r="M160" s="189" t="s">
        <v>384</v>
      </c>
      <c r="N160" s="198"/>
      <c r="O160" s="216"/>
      <c r="P160" s="216"/>
      <c r="Q160" s="216"/>
      <c r="R160" s="216" t="s">
        <v>385</v>
      </c>
      <c r="S160" s="198"/>
      <c r="T160" s="228" t="s">
        <v>157</v>
      </c>
      <c r="U160" s="195" t="str">
        <f aca="false">Таблица310[[#This Row],[Регистратор.Номенклатура]]</f>
        <v>Фалкон</v>
      </c>
      <c r="V160" s="230" t="n">
        <f aca="false">3*Таблица310[[#This Row],[Регистратор.Вес нетто]]/61100</f>
        <v>0.835679214402619</v>
      </c>
      <c r="W160" s="216" t="s">
        <v>51</v>
      </c>
      <c r="X160" s="216" t="s">
        <v>52</v>
      </c>
      <c r="Y160" s="198" t="n">
        <v>10</v>
      </c>
      <c r="Z160" s="221" t="n">
        <v>45815</v>
      </c>
      <c r="AA160" s="198"/>
      <c r="AB160" s="198" t="s">
        <v>871</v>
      </c>
      <c r="AC160" s="198" t="s">
        <v>302</v>
      </c>
      <c r="AD160" s="198" t="s">
        <v>746</v>
      </c>
      <c r="AE160" s="198" t="n">
        <v>256</v>
      </c>
      <c r="AF160" s="200" t="n">
        <v>45815</v>
      </c>
      <c r="AG160" s="198" t="n">
        <v>75</v>
      </c>
      <c r="AH160" s="198" t="n">
        <f aca="false">VLOOKUP(Таблица310[[#This Row],[№ акта]],'Степень зрелости 2025'!$H$13:$I$583,2,FALSE())</f>
        <v>62</v>
      </c>
      <c r="AI160" s="198" t="str">
        <f aca="false">VLOOKUP(Таблица310[[#This Row],[№ акта]],$AQ$1:$AT$594,2,FALSE())</f>
        <v>А-66</v>
      </c>
      <c r="AJ160" s="198" t="str">
        <f aca="false">Таблица310[[#This Row],[Регистратор.Номенклатура]]</f>
        <v>Фалкон</v>
      </c>
      <c r="AK160" s="198" t="str">
        <f aca="false">VLOOKUP(Таблица310[[#This Row],[№ акта]],$AQ$1:$AT$594,4,FALSE())</f>
        <v>ГРК собственные семена (богара)</v>
      </c>
      <c r="AL160" s="230" t="n">
        <f aca="false">VLOOKUP(Таблица310[[#This Row],[№ акта]],$AQ$1:$AT$594,3,FALSE())</f>
        <v>4.0061198069907</v>
      </c>
      <c r="AM160" s="198" t="str">
        <f aca="false">IF(Таблица310[[#This Row],[Площадь уборки, га]]=Таблица310[[#This Row],[Площадь уборки до корр]],"нет","да")</f>
        <v>да</v>
      </c>
      <c r="AN160" s="230" t="n">
        <f aca="false">Таблица310[[#This Row],[Площадь уборки до корр]]-Таблица310[[#This Row],[Площадь уборки, га]]</f>
        <v>3.17044059258808</v>
      </c>
      <c r="AQ160" s="0" t="n">
        <v>256</v>
      </c>
      <c r="AR160" s="0" t="s">
        <v>870</v>
      </c>
      <c r="AS160" s="0" t="n">
        <v>4.0061198069907</v>
      </c>
      <c r="AT160" s="0" t="s">
        <v>324</v>
      </c>
      <c r="XEM160" s="216"/>
      <c r="XEN160" s="217"/>
      <c r="XEO160" s="243"/>
      <c r="XEP160" s="218"/>
      <c r="XEQ160" s="244"/>
      <c r="XER160" s="217"/>
    </row>
    <row r="161" customFormat="false" ht="25.5" hidden="false" customHeight="true" outlineLevel="0" collapsed="false">
      <c r="A161" s="216"/>
      <c r="B161" s="217"/>
      <c r="C161" s="241" t="n">
        <f aca="false">Таблица310[[#This Row],[Степень зрелости вспом]]</f>
        <v>62</v>
      </c>
      <c r="D161" s="218" t="n">
        <v>257</v>
      </c>
      <c r="E161" s="219" t="n">
        <v>45815</v>
      </c>
      <c r="F161" s="217" t="n">
        <v>28100</v>
      </c>
      <c r="G161" s="217" t="n">
        <v>13130</v>
      </c>
      <c r="H161" s="220" t="n">
        <v>14970</v>
      </c>
      <c r="I161" s="217" t="n">
        <v>10897.9</v>
      </c>
      <c r="J161" s="216" t="s">
        <v>422</v>
      </c>
      <c r="K161" s="216" t="s">
        <v>869</v>
      </c>
      <c r="L161" s="216" t="s">
        <v>870</v>
      </c>
      <c r="M161" s="189" t="s">
        <v>48</v>
      </c>
      <c r="N161" s="198"/>
      <c r="O161" s="216"/>
      <c r="P161" s="216"/>
      <c r="Q161" s="216"/>
      <c r="R161" s="216" t="s">
        <v>49</v>
      </c>
      <c r="S161" s="198"/>
      <c r="T161" s="228" t="s">
        <v>157</v>
      </c>
      <c r="U161" s="195" t="str">
        <f aca="false">Таблица310[[#This Row],[Регистратор.Номенклатура]]</f>
        <v>Фалкон</v>
      </c>
      <c r="V161" s="230" t="n">
        <f aca="false">3*Таблица310[[#This Row],[Регистратор.Вес нетто]]/61100</f>
        <v>0.64468085106383</v>
      </c>
      <c r="W161" s="216" t="s">
        <v>51</v>
      </c>
      <c r="X161" s="216" t="s">
        <v>52</v>
      </c>
      <c r="Y161" s="198" t="n">
        <v>10</v>
      </c>
      <c r="Z161" s="221" t="n">
        <v>45815</v>
      </c>
      <c r="AA161" s="198"/>
      <c r="AB161" s="198" t="s">
        <v>871</v>
      </c>
      <c r="AC161" s="198" t="s">
        <v>302</v>
      </c>
      <c r="AD161" s="198" t="s">
        <v>746</v>
      </c>
      <c r="AE161" s="198" t="n">
        <v>257</v>
      </c>
      <c r="AF161" s="200" t="n">
        <v>45815</v>
      </c>
      <c r="AG161" s="198" t="n">
        <v>76</v>
      </c>
      <c r="AH161" s="198" t="n">
        <f aca="false">VLOOKUP(Таблица310[[#This Row],[№ акта]],'Степень зрелости 2025'!$H$13:$I$583,2,FALSE())</f>
        <v>62</v>
      </c>
      <c r="AI161" s="198" t="str">
        <f aca="false">VLOOKUP(Таблица310[[#This Row],[№ акта]],$AQ$1:$AT$594,2,FALSE())</f>
        <v>А-66</v>
      </c>
      <c r="AJ161" s="198" t="str">
        <f aca="false">Таблица310[[#This Row],[Регистратор.Номенклатура]]</f>
        <v>Фалкон</v>
      </c>
      <c r="AK161" s="198" t="str">
        <f aca="false">VLOOKUP(Таблица310[[#This Row],[№ акта]],$AQ$1:$AT$594,4,FALSE())</f>
        <v>ГРК собственные семена (богара)</v>
      </c>
      <c r="AL161" s="230" t="n">
        <f aca="false">VLOOKUP(Таблица310[[#This Row],[№ акта]],$AQ$1:$AT$594,3,FALSE())</f>
        <v>3.09050253030481</v>
      </c>
      <c r="AM161" s="198" t="str">
        <f aca="false">IF(Таблица310[[#This Row],[Площадь уборки, га]]=Таблица310[[#This Row],[Площадь уборки до корр]],"нет","да")</f>
        <v>да</v>
      </c>
      <c r="AN161" s="230" t="n">
        <f aca="false">Таблица310[[#This Row],[Площадь уборки до корр]]-Таблица310[[#This Row],[Площадь уборки, га]]</f>
        <v>2.44582167924098</v>
      </c>
      <c r="AQ161" s="0" t="n">
        <v>257</v>
      </c>
      <c r="AR161" s="0" t="s">
        <v>870</v>
      </c>
      <c r="AS161" s="0" t="n">
        <v>3.09050253030481</v>
      </c>
      <c r="AT161" s="0" t="s">
        <v>324</v>
      </c>
      <c r="XEM161" s="216"/>
      <c r="XEN161" s="217"/>
      <c r="XEO161" s="243"/>
      <c r="XEP161" s="218"/>
      <c r="XEQ161" s="244"/>
      <c r="XER161" s="217"/>
    </row>
    <row r="162" customFormat="false" ht="25.5" hidden="false" customHeight="true" outlineLevel="0" collapsed="false">
      <c r="A162" s="216"/>
      <c r="B162" s="217"/>
      <c r="C162" s="241" t="n">
        <f aca="false">Таблица310[[#This Row],[Степень зрелости вспом]]</f>
        <v>62</v>
      </c>
      <c r="D162" s="218" t="n">
        <v>258</v>
      </c>
      <c r="E162" s="219" t="n">
        <v>45816</v>
      </c>
      <c r="F162" s="217" t="n">
        <v>27200</v>
      </c>
      <c r="G162" s="217" t="n">
        <v>13120</v>
      </c>
      <c r="H162" s="220" t="n">
        <v>14080</v>
      </c>
      <c r="I162" s="217" t="n">
        <v>11676.8</v>
      </c>
      <c r="J162" s="216" t="s">
        <v>422</v>
      </c>
      <c r="K162" s="216" t="s">
        <v>869</v>
      </c>
      <c r="L162" s="216" t="s">
        <v>870</v>
      </c>
      <c r="M162" s="189" t="s">
        <v>411</v>
      </c>
      <c r="N162" s="198"/>
      <c r="O162" s="216"/>
      <c r="P162" s="216"/>
      <c r="Q162" s="216"/>
      <c r="R162" s="216" t="s">
        <v>381</v>
      </c>
      <c r="S162" s="198"/>
      <c r="T162" s="228" t="s">
        <v>870</v>
      </c>
      <c r="U162" s="195" t="str">
        <f aca="false">Таблица310[[#This Row],[Регистратор.Номенклатура]]</f>
        <v>Фалкон</v>
      </c>
      <c r="V162" s="230" t="n">
        <f aca="false">20.4*Таблица310[[#This Row],[Регистратор.Вес нетто]]/23860</f>
        <v>11.21743503772</v>
      </c>
      <c r="W162" s="216" t="s">
        <v>324</v>
      </c>
      <c r="X162" s="216" t="s">
        <v>52</v>
      </c>
      <c r="Y162" s="198" t="n">
        <v>10</v>
      </c>
      <c r="Z162" s="221" t="n">
        <v>45815</v>
      </c>
      <c r="AA162" s="198"/>
      <c r="AB162" s="198" t="s">
        <v>871</v>
      </c>
      <c r="AC162" s="198" t="s">
        <v>302</v>
      </c>
      <c r="AD162" s="198" t="s">
        <v>746</v>
      </c>
      <c r="AE162" s="198" t="n">
        <v>258</v>
      </c>
      <c r="AF162" s="200" t="n">
        <v>45816</v>
      </c>
      <c r="AG162" s="198" t="n">
        <v>77</v>
      </c>
      <c r="AH162" s="198" t="n">
        <f aca="false">VLOOKUP(Таблица310[[#This Row],[№ акта]],'Степень зрелости 2025'!$H$13:$I$583,2,FALSE())</f>
        <v>62</v>
      </c>
      <c r="AI162" s="198" t="str">
        <f aca="false">VLOOKUP(Таблица310[[#This Row],[№ акта]],$AQ$1:$AT$594,2,FALSE())</f>
        <v>А-66</v>
      </c>
      <c r="AJ162" s="198" t="str">
        <f aca="false">Таблица310[[#This Row],[Регистратор.Номенклатура]]</f>
        <v>Фалкон</v>
      </c>
      <c r="AK162" s="198" t="str">
        <f aca="false">VLOOKUP(Таблица310[[#This Row],[№ акта]],$AQ$1:$AT$594,4,FALSE())</f>
        <v>ГРК собственные семена (богара)</v>
      </c>
      <c r="AL162" s="230" t="n">
        <f aca="false">VLOOKUP(Таблица310[[#This Row],[№ акта]],$AQ$1:$AT$594,3,FALSE())</f>
        <v>3.08814875838531</v>
      </c>
      <c r="AM162" s="198" t="str">
        <f aca="false">IF(Таблица310[[#This Row],[Площадь уборки, га]]=Таблица310[[#This Row],[Площадь уборки до корр]],"нет","да")</f>
        <v>да</v>
      </c>
      <c r="AN162" s="230" t="n">
        <f aca="false">Таблица310[[#This Row],[Площадь уборки до корр]]-Таблица310[[#This Row],[Площадь уборки, га]]</f>
        <v>-8.12928627933472</v>
      </c>
      <c r="AQ162" s="0" t="n">
        <v>258</v>
      </c>
      <c r="AR162" s="0" t="s">
        <v>870</v>
      </c>
      <c r="AS162" s="0" t="n">
        <v>3.08814875838531</v>
      </c>
      <c r="AT162" s="0" t="s">
        <v>324</v>
      </c>
      <c r="XEM162" s="216"/>
      <c r="XEN162" s="217"/>
      <c r="XEO162" s="243"/>
      <c r="XEP162" s="218"/>
      <c r="XEQ162" s="244"/>
      <c r="XER162" s="217"/>
    </row>
    <row r="163" customFormat="false" ht="25.5" hidden="false" customHeight="true" outlineLevel="0" collapsed="false">
      <c r="A163" s="216"/>
      <c r="B163" s="217"/>
      <c r="C163" s="241" t="n">
        <f aca="false">Таблица310[[#This Row],[Степень зрелости вспом]]</f>
        <v>67</v>
      </c>
      <c r="D163" s="218" t="n">
        <v>259</v>
      </c>
      <c r="E163" s="219" t="n">
        <v>45816</v>
      </c>
      <c r="F163" s="217" t="n">
        <v>9060</v>
      </c>
      <c r="G163" s="217" t="n">
        <v>4530</v>
      </c>
      <c r="H163" s="220" t="n">
        <v>4530</v>
      </c>
      <c r="I163" s="217" t="n">
        <v>4099.6</v>
      </c>
      <c r="J163" s="216" t="s">
        <v>422</v>
      </c>
      <c r="K163" s="216" t="s">
        <v>869</v>
      </c>
      <c r="L163" s="216" t="s">
        <v>870</v>
      </c>
      <c r="M163" s="189" t="s">
        <v>378</v>
      </c>
      <c r="N163" s="198"/>
      <c r="O163" s="216"/>
      <c r="P163" s="216"/>
      <c r="Q163" s="216"/>
      <c r="R163" s="216" t="s">
        <v>379</v>
      </c>
      <c r="S163" s="198"/>
      <c r="T163" s="228" t="s">
        <v>870</v>
      </c>
      <c r="U163" s="195" t="str">
        <f aca="false">Таблица310[[#This Row],[Регистратор.Номенклатура]]</f>
        <v>Фалкон</v>
      </c>
      <c r="V163" s="230" t="n">
        <f aca="false">20.4*Таблица310[[#This Row],[Регистратор.Вес нетто]]/23860</f>
        <v>3.87309304274937</v>
      </c>
      <c r="W163" s="216" t="s">
        <v>324</v>
      </c>
      <c r="X163" s="216" t="s">
        <v>52</v>
      </c>
      <c r="Y163" s="198" t="n">
        <v>10</v>
      </c>
      <c r="Z163" s="221" t="n">
        <v>45815</v>
      </c>
      <c r="AA163" s="198"/>
      <c r="AB163" s="198" t="s">
        <v>871</v>
      </c>
      <c r="AC163" s="198" t="s">
        <v>302</v>
      </c>
      <c r="AD163" s="198" t="s">
        <v>746</v>
      </c>
      <c r="AE163" s="198" t="n">
        <v>259</v>
      </c>
      <c r="AF163" s="200" t="n">
        <v>45816</v>
      </c>
      <c r="AG163" s="198" t="n">
        <v>78</v>
      </c>
      <c r="AH163" s="198" t="n">
        <f aca="false">VLOOKUP(Таблица310[[#This Row],[№ акта]],'Степень зрелости 2025'!$H$13:$I$583,2,FALSE())</f>
        <v>67</v>
      </c>
      <c r="AI163" s="198" t="str">
        <f aca="false">VLOOKUP(Таблица310[[#This Row],[№ акта]],$AQ$1:$AT$594,2,FALSE())</f>
        <v>А-66</v>
      </c>
      <c r="AJ163" s="198" t="str">
        <f aca="false">Таблица310[[#This Row],[Регистратор.Номенклатура]]</f>
        <v>Фалкон</v>
      </c>
      <c r="AK163" s="198" t="str">
        <f aca="false">VLOOKUP(Таблица310[[#This Row],[№ акта]],$AQ$1:$AT$594,4,FALSE())</f>
        <v>ГРК собственные семена (богара)</v>
      </c>
      <c r="AL163" s="230" t="n">
        <f aca="false">VLOOKUP(Таблица310[[#This Row],[№ акта]],$AQ$1:$AT$594,3,FALSE())</f>
        <v>1.06625867953395</v>
      </c>
      <c r="AM163" s="198" t="str">
        <f aca="false">IF(Таблица310[[#This Row],[Площадь уборки, га]]=Таблица310[[#This Row],[Площадь уборки до корр]],"нет","да")</f>
        <v>да</v>
      </c>
      <c r="AN163" s="230" t="n">
        <f aca="false">Таблица310[[#This Row],[Площадь уборки до корр]]-Таблица310[[#This Row],[Площадь уборки, га]]</f>
        <v>-2.80683436321542</v>
      </c>
      <c r="AQ163" s="0" t="n">
        <v>259</v>
      </c>
      <c r="AR163" s="0" t="s">
        <v>870</v>
      </c>
      <c r="AS163" s="0" t="n">
        <v>1.06625867953395</v>
      </c>
      <c r="AT163" s="0" t="s">
        <v>324</v>
      </c>
      <c r="XEM163" s="216"/>
      <c r="XEN163" s="217"/>
      <c r="XEO163" s="243"/>
      <c r="XEP163" s="218"/>
      <c r="XEQ163" s="244"/>
      <c r="XER163" s="217"/>
    </row>
    <row r="164" customFormat="false" ht="25.5" hidden="false" customHeight="true" outlineLevel="0" collapsed="false">
      <c r="A164" s="216"/>
      <c r="B164" s="217"/>
      <c r="C164" s="241"/>
      <c r="D164" s="218" t="n">
        <v>260</v>
      </c>
      <c r="E164" s="219" t="n">
        <v>45816</v>
      </c>
      <c r="F164" s="217"/>
      <c r="G164" s="217"/>
      <c r="H164" s="220"/>
      <c r="I164" s="217"/>
      <c r="J164" s="216" t="s">
        <v>422</v>
      </c>
      <c r="K164" s="216" t="s">
        <v>869</v>
      </c>
      <c r="L164" s="216" t="s">
        <v>870</v>
      </c>
      <c r="M164" s="189" t="s">
        <v>378</v>
      </c>
      <c r="N164" s="198"/>
      <c r="O164" s="216"/>
      <c r="P164" s="216"/>
      <c r="Q164" s="216"/>
      <c r="R164" s="216" t="s">
        <v>379</v>
      </c>
      <c r="S164" s="198"/>
      <c r="T164" s="228"/>
      <c r="U164" s="195" t="str">
        <f aca="false">Таблица310[[#This Row],[Регистратор.Номенклатура]]</f>
        <v>Фалкон</v>
      </c>
      <c r="V164" s="230"/>
      <c r="W164" s="216"/>
      <c r="X164" s="216"/>
      <c r="Y164" s="198"/>
      <c r="Z164" s="221"/>
      <c r="AA164" s="198"/>
      <c r="AB164" s="198" t="s">
        <v>807</v>
      </c>
      <c r="AC164" s="198"/>
      <c r="AD164" s="198"/>
      <c r="AE164" s="198" t="n">
        <v>260</v>
      </c>
      <c r="AF164" s="200" t="n">
        <v>45816</v>
      </c>
      <c r="AG164" s="198" t="n">
        <v>78</v>
      </c>
      <c r="AH164" s="198" t="e">
        <f aca="false">VLOOKUP(Таблица310[[#This Row],[№ акта]],'Степень зрелости 2025'!$H$13:$I$583,2,FALSE())</f>
        <v>#N/A</v>
      </c>
      <c r="AI164" s="198" t="n">
        <f aca="false">VLOOKUP(Таблица310[[#This Row],[№ акта]],$AQ$1:$AT$594,2,FALSE())</f>
        <v>0</v>
      </c>
      <c r="AJ164" s="198" t="str">
        <f aca="false">Таблица310[[#This Row],[Регистратор.Номенклатура]]</f>
        <v>Фалкон</v>
      </c>
      <c r="AK164" s="198" t="n">
        <f aca="false">VLOOKUP(Таблица310[[#This Row],[№ акта]],$AQ$1:$AT$594,4,FALSE())</f>
        <v>0</v>
      </c>
      <c r="AL164" s="230" t="n">
        <f aca="false">VLOOKUP(Таблица310[[#This Row],[№ акта]],$AQ$1:$AT$594,3,FALSE())</f>
        <v>0</v>
      </c>
      <c r="AM164" s="198" t="str">
        <f aca="false">IF(Таблица310[[#This Row],[Площадь уборки, га]]=Таблица310[[#This Row],[Площадь уборки до корр]],"нет","да")</f>
        <v>нет</v>
      </c>
      <c r="AN164" s="230" t="n">
        <f aca="false">Таблица310[[#This Row],[Площадь уборки до корр]]-Таблица310[[#This Row],[Площадь уборки, га]]</f>
        <v>0</v>
      </c>
      <c r="AQ164" s="0" t="n">
        <v>260</v>
      </c>
      <c r="XEM164" s="216"/>
      <c r="XEN164" s="217"/>
      <c r="XEO164" s="243"/>
      <c r="XEP164" s="218"/>
      <c r="XEQ164" s="244"/>
      <c r="XER164" s="217"/>
    </row>
    <row r="165" customFormat="false" ht="25.5" hidden="false" customHeight="true" outlineLevel="0" collapsed="false">
      <c r="A165" s="216"/>
      <c r="B165" s="217"/>
      <c r="C165" s="241" t="n">
        <f aca="false">Таблица310[[#This Row],[Степень зрелости вспом]]</f>
        <v>60</v>
      </c>
      <c r="D165" s="218" t="n">
        <v>261</v>
      </c>
      <c r="E165" s="219" t="n">
        <v>45816</v>
      </c>
      <c r="F165" s="217" t="n">
        <v>20660</v>
      </c>
      <c r="G165" s="217" t="n">
        <v>6210</v>
      </c>
      <c r="H165" s="220" t="n">
        <v>14450</v>
      </c>
      <c r="I165" s="217" t="n">
        <v>5495.8</v>
      </c>
      <c r="J165" s="216" t="s">
        <v>422</v>
      </c>
      <c r="K165" s="216" t="s">
        <v>869</v>
      </c>
      <c r="L165" s="216" t="s">
        <v>870</v>
      </c>
      <c r="M165" s="189" t="s">
        <v>384</v>
      </c>
      <c r="N165" s="198"/>
      <c r="O165" s="216"/>
      <c r="P165" s="216"/>
      <c r="Q165" s="216"/>
      <c r="R165" s="216" t="s">
        <v>385</v>
      </c>
      <c r="S165" s="198"/>
      <c r="T165" s="228" t="s">
        <v>870</v>
      </c>
      <c r="U165" s="195" t="str">
        <f aca="false">Таблица310[[#This Row],[Регистратор.Номенклатура]]</f>
        <v>Фалкон</v>
      </c>
      <c r="V165" s="230" t="n">
        <f aca="false">20.4*Таблица310[[#This Row],[Регистратор.Вес нетто]]/23860</f>
        <v>5.30947191953059</v>
      </c>
      <c r="W165" s="216" t="s">
        <v>324</v>
      </c>
      <c r="X165" s="216" t="s">
        <v>52</v>
      </c>
      <c r="Y165" s="198" t="n">
        <v>10</v>
      </c>
      <c r="Z165" s="221" t="n">
        <v>45815</v>
      </c>
      <c r="AA165" s="198"/>
      <c r="AB165" s="198" t="s">
        <v>871</v>
      </c>
      <c r="AC165" s="198" t="s">
        <v>302</v>
      </c>
      <c r="AD165" s="198" t="s">
        <v>746</v>
      </c>
      <c r="AE165" s="198" t="n">
        <v>261</v>
      </c>
      <c r="AF165" s="200" t="n">
        <v>45816</v>
      </c>
      <c r="AG165" s="198" t="n">
        <v>80</v>
      </c>
      <c r="AH165" s="198" t="n">
        <f aca="false">VLOOKUP(Таблица310[[#This Row],[№ акта]],'Степень зрелости 2025'!$H$13:$I$583,2,FALSE())</f>
        <v>60</v>
      </c>
      <c r="AI165" s="198" t="str">
        <f aca="false">VLOOKUP(Таблица310[[#This Row],[№ акта]],$AQ$1:$AT$594,2,FALSE())</f>
        <v>А-66</v>
      </c>
      <c r="AJ165" s="198" t="str">
        <f aca="false">Таблица310[[#This Row],[Регистратор.Номенклатура]]</f>
        <v>Фалкон</v>
      </c>
      <c r="AK165" s="198" t="str">
        <f aca="false">VLOOKUP(Таблица310[[#This Row],[№ акта]],$AQ$1:$AT$594,4,FALSE())</f>
        <v>ГРК собственные семена (богара)</v>
      </c>
      <c r="AL165" s="230" t="n">
        <f aca="false">VLOOKUP(Таблица310[[#This Row],[№ акта]],$AQ$1:$AT$594,3,FALSE())</f>
        <v>1.46169236201012</v>
      </c>
      <c r="AM165" s="198" t="str">
        <f aca="false">IF(Таблица310[[#This Row],[Площадь уборки, га]]=Таблица310[[#This Row],[Площадь уборки до корр]],"нет","да")</f>
        <v>да</v>
      </c>
      <c r="AN165" s="230" t="n">
        <f aca="false">Таблица310[[#This Row],[Площадь уборки до корр]]-Таблица310[[#This Row],[Площадь уборки, га]]</f>
        <v>-3.84777955752047</v>
      </c>
      <c r="AQ165" s="0" t="n">
        <v>261</v>
      </c>
      <c r="AR165" s="0" t="s">
        <v>870</v>
      </c>
      <c r="AS165" s="0" t="n">
        <v>1.46169236201012</v>
      </c>
      <c r="AT165" s="0" t="s">
        <v>324</v>
      </c>
      <c r="XEM165" s="216"/>
      <c r="XEN165" s="217"/>
      <c r="XEO165" s="243"/>
      <c r="XEP165" s="218"/>
      <c r="XEQ165" s="244"/>
      <c r="XER165" s="217"/>
    </row>
    <row r="166" customFormat="false" ht="25.5" hidden="false" customHeight="true" outlineLevel="0" collapsed="false">
      <c r="A166" s="216"/>
      <c r="B166" s="217"/>
      <c r="C166" s="241" t="n">
        <f aca="false">Таблица310[[#This Row],[Степень зрелости вспом]]</f>
        <v>58</v>
      </c>
      <c r="D166" s="218" t="n">
        <v>262</v>
      </c>
      <c r="E166" s="219" t="n">
        <v>45816</v>
      </c>
      <c r="F166" s="217" t="n">
        <v>27510</v>
      </c>
      <c r="G166" s="217" t="n">
        <v>6850</v>
      </c>
      <c r="H166" s="220" t="n">
        <v>20660</v>
      </c>
      <c r="I166" s="217" t="n">
        <v>5925.2</v>
      </c>
      <c r="J166" s="216" t="s">
        <v>422</v>
      </c>
      <c r="K166" s="216" t="s">
        <v>66</v>
      </c>
      <c r="L166" s="216" t="s">
        <v>730</v>
      </c>
      <c r="M166" s="189" t="s">
        <v>384</v>
      </c>
      <c r="N166" s="198"/>
      <c r="O166" s="216"/>
      <c r="P166" s="216"/>
      <c r="Q166" s="216"/>
      <c r="R166" s="216" t="s">
        <v>385</v>
      </c>
      <c r="S166" s="198"/>
      <c r="T166" s="228" t="s">
        <v>730</v>
      </c>
      <c r="U166" s="195" t="str">
        <f aca="false">Таблица310[[#This Row],[Регистратор.Номенклатура]]</f>
        <v>Тиара</v>
      </c>
      <c r="V166" s="230" t="n">
        <f aca="false">20*Таблица310[[#This Row],[Регистратор.Вес нетто]]/78380</f>
        <v>1.7478948711406</v>
      </c>
      <c r="W166" s="216" t="s">
        <v>51</v>
      </c>
      <c r="X166" s="216" t="s">
        <v>52</v>
      </c>
      <c r="Y166" s="198" t="n">
        <v>10</v>
      </c>
      <c r="Z166" s="221" t="n">
        <v>45815</v>
      </c>
      <c r="AA166" s="198"/>
      <c r="AB166" s="198"/>
      <c r="AC166" s="198" t="s">
        <v>302</v>
      </c>
      <c r="AD166" s="198" t="s">
        <v>417</v>
      </c>
      <c r="AE166" s="198" t="n">
        <v>262</v>
      </c>
      <c r="AF166" s="200" t="n">
        <v>45816</v>
      </c>
      <c r="AG166" s="198" t="n">
        <v>79</v>
      </c>
      <c r="AH166" s="198" t="n">
        <f aca="false">VLOOKUP(Таблица310[[#This Row],[№ акта]],'Степень зрелости 2025'!$H$13:$I$583,2,FALSE())</f>
        <v>58</v>
      </c>
      <c r="AI166" s="198" t="str">
        <f aca="false">VLOOKUP(Таблица310[[#This Row],[№ акта]],$AQ$1:$AT$594,2,FALSE())</f>
        <v>А-57</v>
      </c>
      <c r="AJ166" s="198" t="str">
        <f aca="false">Таблица310[[#This Row],[Регистратор.Номенклатура]]</f>
        <v>Тиара</v>
      </c>
      <c r="AK166" s="198" t="str">
        <f aca="false">VLOOKUP(Таблица310[[#This Row],[№ акта]],$AQ$1:$AT$594,4,FALSE())</f>
        <v>ГРК (богара)</v>
      </c>
      <c r="AL166" s="230" t="n">
        <f aca="false">VLOOKUP(Таблица310[[#This Row],[№ акта]],$AQ$1:$AT$594,3,FALSE())</f>
        <v>1.7478948711406</v>
      </c>
      <c r="AM166" s="198" t="str">
        <f aca="false">IF(Таблица310[[#This Row],[Площадь уборки, га]]=Таблица310[[#This Row],[Площадь уборки до корр]],"нет","да")</f>
        <v>нет</v>
      </c>
      <c r="AN166" s="230" t="n">
        <f aca="false">Таблица310[[#This Row],[Площадь уборки до корр]]-Таблица310[[#This Row],[Площадь уборки, га]]</f>
        <v>0</v>
      </c>
      <c r="AQ166" s="0" t="n">
        <v>262</v>
      </c>
      <c r="AR166" s="0" t="s">
        <v>730</v>
      </c>
      <c r="AS166" s="0" t="n">
        <v>1.7478948711406</v>
      </c>
      <c r="AT166" s="0" t="s">
        <v>51</v>
      </c>
      <c r="XEM166" s="216"/>
      <c r="XEN166" s="217"/>
      <c r="XEO166" s="243"/>
      <c r="XEP166" s="218"/>
      <c r="XEQ166" s="244"/>
      <c r="XER166" s="217"/>
    </row>
    <row r="167" customFormat="false" ht="25.5" hidden="false" customHeight="true" outlineLevel="0" collapsed="false">
      <c r="A167" s="216"/>
      <c r="B167" s="217"/>
      <c r="C167" s="241" t="n">
        <f aca="false">Таблица310[[#This Row],[Степень зрелости вспом]]</f>
        <v>57</v>
      </c>
      <c r="D167" s="218" t="n">
        <v>263</v>
      </c>
      <c r="E167" s="219" t="n">
        <v>45816</v>
      </c>
      <c r="F167" s="217" t="n">
        <v>28740</v>
      </c>
      <c r="G167" s="217" t="n">
        <v>13770</v>
      </c>
      <c r="H167" s="220" t="n">
        <v>14970</v>
      </c>
      <c r="I167" s="217" t="n">
        <v>11566.8</v>
      </c>
      <c r="J167" s="216" t="s">
        <v>422</v>
      </c>
      <c r="K167" s="216" t="s">
        <v>66</v>
      </c>
      <c r="L167" s="216" t="s">
        <v>730</v>
      </c>
      <c r="M167" s="189" t="s">
        <v>48</v>
      </c>
      <c r="N167" s="198"/>
      <c r="O167" s="216"/>
      <c r="P167" s="216"/>
      <c r="Q167" s="216"/>
      <c r="R167" s="216" t="s">
        <v>49</v>
      </c>
      <c r="S167" s="198"/>
      <c r="T167" s="228" t="s">
        <v>730</v>
      </c>
      <c r="U167" s="195" t="str">
        <f aca="false">Таблица310[[#This Row],[Регистратор.Номенклатура]]</f>
        <v>Тиара</v>
      </c>
      <c r="V167" s="230" t="n">
        <f aca="false">20*Таблица310[[#This Row],[Регистратор.Вес нетто]]/78380</f>
        <v>3.51365144169431</v>
      </c>
      <c r="W167" s="216" t="s">
        <v>51</v>
      </c>
      <c r="X167" s="216" t="s">
        <v>52</v>
      </c>
      <c r="Y167" s="198" t="n">
        <v>10</v>
      </c>
      <c r="Z167" s="221" t="n">
        <v>45815</v>
      </c>
      <c r="AA167" s="198"/>
      <c r="AB167" s="198"/>
      <c r="AC167" s="198" t="s">
        <v>302</v>
      </c>
      <c r="AD167" s="198" t="s">
        <v>417</v>
      </c>
      <c r="AE167" s="198" t="n">
        <v>263</v>
      </c>
      <c r="AF167" s="200" t="n">
        <v>45816</v>
      </c>
      <c r="AG167" s="198" t="n">
        <v>81</v>
      </c>
      <c r="AH167" s="198" t="n">
        <f aca="false">VLOOKUP(Таблица310[[#This Row],[№ акта]],'Степень зрелости 2025'!$H$13:$I$583,2,FALSE())</f>
        <v>57</v>
      </c>
      <c r="AI167" s="198" t="str">
        <f aca="false">VLOOKUP(Таблица310[[#This Row],[№ акта]],$AQ$1:$AT$594,2,FALSE())</f>
        <v>А-57</v>
      </c>
      <c r="AJ167" s="198" t="str">
        <f aca="false">Таблица310[[#This Row],[Регистратор.Номенклатура]]</f>
        <v>Тиара</v>
      </c>
      <c r="AK167" s="198" t="str">
        <f aca="false">VLOOKUP(Таблица310[[#This Row],[№ акта]],$AQ$1:$AT$594,4,FALSE())</f>
        <v>ГРК (богара)</v>
      </c>
      <c r="AL167" s="230" t="n">
        <f aca="false">VLOOKUP(Таблица310[[#This Row],[№ акта]],$AQ$1:$AT$594,3,FALSE())</f>
        <v>3.51365144169431</v>
      </c>
      <c r="AM167" s="198" t="str">
        <f aca="false">IF(Таблица310[[#This Row],[Площадь уборки, га]]=Таблица310[[#This Row],[Площадь уборки до корр]],"нет","да")</f>
        <v>нет</v>
      </c>
      <c r="AN167" s="230" t="n">
        <f aca="false">Таблица310[[#This Row],[Площадь уборки до корр]]-Таблица310[[#This Row],[Площадь уборки, га]]</f>
        <v>0</v>
      </c>
      <c r="AQ167" s="0" t="n">
        <v>263</v>
      </c>
      <c r="AR167" s="0" t="s">
        <v>730</v>
      </c>
      <c r="AS167" s="0" t="n">
        <v>3.51365144169431</v>
      </c>
      <c r="AT167" s="0" t="s">
        <v>51</v>
      </c>
      <c r="XEM167" s="216"/>
      <c r="XEN167" s="217"/>
      <c r="XEO167" s="243"/>
      <c r="XEP167" s="218"/>
      <c r="XEQ167" s="244"/>
      <c r="XER167" s="217"/>
    </row>
    <row r="168" customFormat="false" ht="25.5" hidden="false" customHeight="true" outlineLevel="0" collapsed="false">
      <c r="A168" s="216"/>
      <c r="B168" s="217"/>
      <c r="C168" s="241"/>
      <c r="D168" s="218" t="n">
        <v>264</v>
      </c>
      <c r="E168" s="219" t="n">
        <v>45815</v>
      </c>
      <c r="F168" s="217"/>
      <c r="G168" s="217"/>
      <c r="H168" s="220"/>
      <c r="I168" s="217"/>
      <c r="J168" s="216" t="s">
        <v>422</v>
      </c>
      <c r="K168" s="216" t="s">
        <v>252</v>
      </c>
      <c r="L168" s="216"/>
      <c r="M168" s="189" t="s">
        <v>411</v>
      </c>
      <c r="N168" s="198"/>
      <c r="O168" s="216"/>
      <c r="P168" s="216"/>
      <c r="Q168" s="216"/>
      <c r="R168" s="216" t="s">
        <v>381</v>
      </c>
      <c r="S168" s="198"/>
      <c r="T168" s="228"/>
      <c r="U168" s="195" t="str">
        <f aca="false">Таблица310[[#This Row],[Регистратор.Номенклатура]]</f>
        <v>Преладо</v>
      </c>
      <c r="V168" s="230"/>
      <c r="W168" s="216"/>
      <c r="X168" s="216"/>
      <c r="Y168" s="198"/>
      <c r="Z168" s="221"/>
      <c r="AA168" s="198"/>
      <c r="AB168" s="198" t="s">
        <v>807</v>
      </c>
      <c r="AC168" s="198"/>
      <c r="AD168" s="198"/>
      <c r="AE168" s="198" t="n">
        <v>264</v>
      </c>
      <c r="AF168" s="200" t="n">
        <v>45815</v>
      </c>
      <c r="AG168" s="198" t="n">
        <v>65</v>
      </c>
      <c r="AH168" s="198" t="e">
        <f aca="false">VLOOKUP(Таблица310[[#This Row],[№ акта]],'Степень зрелости 2025'!$H$13:$I$583,2,FALSE())</f>
        <v>#N/A</v>
      </c>
      <c r="AI168" s="198" t="n">
        <f aca="false">VLOOKUP(Таблица310[[#This Row],[№ акта]],$AQ$1:$AT$594,2,FALSE())</f>
        <v>0</v>
      </c>
      <c r="AJ168" s="198" t="str">
        <f aca="false">Таблица310[[#This Row],[Регистратор.Номенклатура]]</f>
        <v>Преладо</v>
      </c>
      <c r="AK168" s="198" t="n">
        <f aca="false">VLOOKUP(Таблица310[[#This Row],[№ акта]],$AQ$1:$AT$594,4,FALSE())</f>
        <v>0</v>
      </c>
      <c r="AL168" s="230" t="n">
        <f aca="false">VLOOKUP(Таблица310[[#This Row],[№ акта]],$AQ$1:$AT$594,3,FALSE())</f>
        <v>0</v>
      </c>
      <c r="AM168" s="198" t="str">
        <f aca="false">IF(Таблица310[[#This Row],[Площадь уборки, га]]=Таблица310[[#This Row],[Площадь уборки до корр]],"нет","да")</f>
        <v>нет</v>
      </c>
      <c r="AN168" s="230" t="n">
        <f aca="false">Таблица310[[#This Row],[Площадь уборки до корр]]-Таблица310[[#This Row],[Площадь уборки, га]]</f>
        <v>0</v>
      </c>
      <c r="AQ168" s="0" t="n">
        <v>264</v>
      </c>
      <c r="XEM168" s="216"/>
      <c r="XEN168" s="217"/>
      <c r="XEO168" s="243"/>
      <c r="XEP168" s="218"/>
      <c r="XEQ168" s="244"/>
      <c r="XER168" s="217"/>
    </row>
    <row r="169" customFormat="false" ht="25.5" hidden="false" customHeight="true" outlineLevel="0" collapsed="false">
      <c r="A169" s="216"/>
      <c r="B169" s="217"/>
      <c r="C169" s="241" t="n">
        <f aca="false">Таблица310[[#This Row],[Степень зрелости вспом]]</f>
        <v>55</v>
      </c>
      <c r="D169" s="218" t="n">
        <v>265</v>
      </c>
      <c r="E169" s="219" t="n">
        <v>45816</v>
      </c>
      <c r="F169" s="217" t="n">
        <v>27790</v>
      </c>
      <c r="G169" s="217" t="n">
        <v>13720</v>
      </c>
      <c r="H169" s="220" t="n">
        <v>14070</v>
      </c>
      <c r="I169" s="217" t="n">
        <v>12485.2</v>
      </c>
      <c r="J169" s="216" t="s">
        <v>422</v>
      </c>
      <c r="K169" s="216" t="s">
        <v>66</v>
      </c>
      <c r="L169" s="216" t="s">
        <v>730</v>
      </c>
      <c r="M169" s="189" t="s">
        <v>411</v>
      </c>
      <c r="N169" s="198"/>
      <c r="O169" s="216"/>
      <c r="P169" s="216"/>
      <c r="Q169" s="216"/>
      <c r="R169" s="216" t="s">
        <v>381</v>
      </c>
      <c r="S169" s="198"/>
      <c r="T169" s="228" t="s">
        <v>730</v>
      </c>
      <c r="U169" s="195" t="str">
        <f aca="false">Таблица310[[#This Row],[Регистратор.Номенклатура]]</f>
        <v>Тиара</v>
      </c>
      <c r="V169" s="230" t="n">
        <f aca="false">20*Таблица310[[#This Row],[Регистратор.Вес нетто]]/78380</f>
        <v>3.50089308497066</v>
      </c>
      <c r="W169" s="216" t="s">
        <v>51</v>
      </c>
      <c r="X169" s="216" t="s">
        <v>52</v>
      </c>
      <c r="Y169" s="198" t="n">
        <v>10</v>
      </c>
      <c r="Z169" s="221" t="n">
        <v>45815</v>
      </c>
      <c r="AA169" s="198"/>
      <c r="AB169" s="198"/>
      <c r="AC169" s="198" t="s">
        <v>302</v>
      </c>
      <c r="AD169" s="198" t="s">
        <v>417</v>
      </c>
      <c r="AE169" s="198" t="n">
        <v>265</v>
      </c>
      <c r="AF169" s="200" t="n">
        <v>45816</v>
      </c>
      <c r="AG169" s="198" t="n">
        <v>82</v>
      </c>
      <c r="AH169" s="198" t="n">
        <f aca="false">VLOOKUP(Таблица310[[#This Row],[№ акта]],'Степень зрелости 2025'!$H$13:$I$583,2,FALSE())</f>
        <v>55</v>
      </c>
      <c r="AI169" s="198" t="str">
        <f aca="false">VLOOKUP(Таблица310[[#This Row],[№ акта]],$AQ$1:$AT$594,2,FALSE())</f>
        <v>А-57</v>
      </c>
      <c r="AJ169" s="198" t="str">
        <f aca="false">Таблица310[[#This Row],[Регистратор.Номенклатура]]</f>
        <v>Тиара</v>
      </c>
      <c r="AK169" s="198" t="str">
        <f aca="false">VLOOKUP(Таблица310[[#This Row],[№ акта]],$AQ$1:$AT$594,4,FALSE())</f>
        <v>ГРК (богара)</v>
      </c>
      <c r="AL169" s="230" t="n">
        <f aca="false">VLOOKUP(Таблица310[[#This Row],[№ акта]],$AQ$1:$AT$594,3,FALSE())</f>
        <v>3.50089308497066</v>
      </c>
      <c r="AM169" s="198" t="str">
        <f aca="false">IF(Таблица310[[#This Row],[Площадь уборки, га]]=Таблица310[[#This Row],[Площадь уборки до корр]],"нет","да")</f>
        <v>нет</v>
      </c>
      <c r="AN169" s="230" t="n">
        <f aca="false">Таблица310[[#This Row],[Площадь уборки до корр]]-Таблица310[[#This Row],[Площадь уборки, га]]</f>
        <v>0</v>
      </c>
      <c r="AQ169" s="0" t="n">
        <v>265</v>
      </c>
      <c r="AR169" s="0" t="s">
        <v>730</v>
      </c>
      <c r="AS169" s="0" t="n">
        <v>3.50089308497066</v>
      </c>
      <c r="AT169" s="0" t="s">
        <v>51</v>
      </c>
      <c r="XEM169" s="216"/>
      <c r="XEN169" s="217"/>
      <c r="XEO169" s="243"/>
      <c r="XEP169" s="218"/>
      <c r="XEQ169" s="244"/>
      <c r="XER169" s="217"/>
    </row>
    <row r="170" customFormat="false" ht="25.5" hidden="false" customHeight="true" outlineLevel="0" collapsed="false">
      <c r="A170" s="216"/>
      <c r="B170" s="217"/>
      <c r="C170" s="241" t="n">
        <f aca="false">Таблица310[[#This Row],[Степень зрелости вспом]]</f>
        <v>58</v>
      </c>
      <c r="D170" s="218" t="n">
        <v>266</v>
      </c>
      <c r="E170" s="219" t="n">
        <v>45816</v>
      </c>
      <c r="F170" s="217" t="n">
        <v>9040</v>
      </c>
      <c r="G170" s="217" t="n">
        <v>4520</v>
      </c>
      <c r="H170" s="220" t="n">
        <v>4520</v>
      </c>
      <c r="I170" s="217" t="n">
        <v>4181</v>
      </c>
      <c r="J170" s="216" t="s">
        <v>422</v>
      </c>
      <c r="K170" s="216" t="s">
        <v>66</v>
      </c>
      <c r="L170" s="216" t="s">
        <v>730</v>
      </c>
      <c r="M170" s="189" t="s">
        <v>378</v>
      </c>
      <c r="N170" s="198"/>
      <c r="O170" s="216"/>
      <c r="P170" s="216"/>
      <c r="Q170" s="216"/>
      <c r="R170" s="216" t="s">
        <v>379</v>
      </c>
      <c r="S170" s="198"/>
      <c r="T170" s="228" t="s">
        <v>730</v>
      </c>
      <c r="U170" s="195" t="str">
        <f aca="false">Таблица310[[#This Row],[Регистратор.Номенклатура]]</f>
        <v>Тиара</v>
      </c>
      <c r="V170" s="230" t="n">
        <f aca="false">20*Таблица310[[#This Row],[Регистратор.Вес нетто]]/78380</f>
        <v>1.15335544781832</v>
      </c>
      <c r="W170" s="216" t="s">
        <v>51</v>
      </c>
      <c r="X170" s="216" t="s">
        <v>52</v>
      </c>
      <c r="Y170" s="198" t="n">
        <v>10</v>
      </c>
      <c r="Z170" s="221" t="n">
        <v>45815</v>
      </c>
      <c r="AA170" s="198"/>
      <c r="AB170" s="198"/>
      <c r="AC170" s="198" t="s">
        <v>302</v>
      </c>
      <c r="AD170" s="198" t="s">
        <v>417</v>
      </c>
      <c r="AE170" s="198" t="n">
        <v>266</v>
      </c>
      <c r="AF170" s="200" t="n">
        <v>45816</v>
      </c>
      <c r="AG170" s="198" t="n">
        <v>83</v>
      </c>
      <c r="AH170" s="198" t="n">
        <f aca="false">VLOOKUP(Таблица310[[#This Row],[№ акта]],'Степень зрелости 2025'!$H$13:$I$583,2,FALSE())</f>
        <v>58</v>
      </c>
      <c r="AI170" s="198" t="str">
        <f aca="false">VLOOKUP(Таблица310[[#This Row],[№ акта]],$AQ$1:$AT$594,2,FALSE())</f>
        <v>А-57</v>
      </c>
      <c r="AJ170" s="198" t="str">
        <f aca="false">Таблица310[[#This Row],[Регистратор.Номенклатура]]</f>
        <v>Тиара</v>
      </c>
      <c r="AK170" s="198" t="str">
        <f aca="false">VLOOKUP(Таблица310[[#This Row],[№ акта]],$AQ$1:$AT$594,4,FALSE())</f>
        <v>ГРК (богара)</v>
      </c>
      <c r="AL170" s="230" t="n">
        <f aca="false">VLOOKUP(Таблица310[[#This Row],[№ акта]],$AQ$1:$AT$594,3,FALSE())</f>
        <v>1.15335544781832</v>
      </c>
      <c r="AM170" s="198" t="str">
        <f aca="false">IF(Таблица310[[#This Row],[Площадь уборки, га]]=Таблица310[[#This Row],[Площадь уборки до корр]],"нет","да")</f>
        <v>нет</v>
      </c>
      <c r="AN170" s="230" t="n">
        <f aca="false">Таблица310[[#This Row],[Площадь уборки до корр]]-Таблица310[[#This Row],[Площадь уборки, га]]</f>
        <v>0</v>
      </c>
      <c r="AQ170" s="0" t="n">
        <v>266</v>
      </c>
      <c r="AR170" s="0" t="s">
        <v>730</v>
      </c>
      <c r="AS170" s="0" t="n">
        <v>1.15335544781832</v>
      </c>
      <c r="AT170" s="0" t="s">
        <v>51</v>
      </c>
      <c r="XEM170" s="216"/>
      <c r="XEN170" s="217"/>
      <c r="XEO170" s="243"/>
      <c r="XEP170" s="218"/>
      <c r="XEQ170" s="244"/>
      <c r="XER170" s="217"/>
    </row>
    <row r="171" customFormat="false" ht="25.5" hidden="false" customHeight="true" outlineLevel="0" collapsed="false">
      <c r="A171" s="216"/>
      <c r="B171" s="217"/>
      <c r="C171" s="241" t="n">
        <f aca="false">Таблица310[[#This Row],[Степень зрелости вспом]]</f>
        <v>58</v>
      </c>
      <c r="D171" s="218" t="n">
        <v>267</v>
      </c>
      <c r="E171" s="219" t="n">
        <v>45816</v>
      </c>
      <c r="F171" s="217" t="n">
        <v>27630</v>
      </c>
      <c r="G171" s="217" t="n">
        <v>13190</v>
      </c>
      <c r="H171" s="220" t="n">
        <v>14440</v>
      </c>
      <c r="I171" s="217" t="n">
        <v>11936.9</v>
      </c>
      <c r="J171" s="216" t="s">
        <v>422</v>
      </c>
      <c r="K171" s="216" t="s">
        <v>66</v>
      </c>
      <c r="L171" s="216" t="s">
        <v>730</v>
      </c>
      <c r="M171" s="189" t="s">
        <v>384</v>
      </c>
      <c r="N171" s="198"/>
      <c r="O171" s="216"/>
      <c r="P171" s="216"/>
      <c r="Q171" s="216"/>
      <c r="R171" s="216" t="s">
        <v>385</v>
      </c>
      <c r="S171" s="198"/>
      <c r="T171" s="228" t="s">
        <v>730</v>
      </c>
      <c r="U171" s="195" t="str">
        <f aca="false">Таблица310[[#This Row],[Регистратор.Номенклатура]]</f>
        <v>Тиара</v>
      </c>
      <c r="V171" s="230" t="n">
        <f aca="false">20*Таблица310[[#This Row],[Регистратор.Вес нетто]]/78380</f>
        <v>3.36565450369992</v>
      </c>
      <c r="W171" s="216" t="s">
        <v>51</v>
      </c>
      <c r="X171" s="216" t="s">
        <v>52</v>
      </c>
      <c r="Y171" s="198" t="n">
        <v>10</v>
      </c>
      <c r="Z171" s="221" t="n">
        <v>45815</v>
      </c>
      <c r="AA171" s="198"/>
      <c r="AB171" s="198"/>
      <c r="AC171" s="198" t="s">
        <v>302</v>
      </c>
      <c r="AD171" s="198" t="s">
        <v>417</v>
      </c>
      <c r="AE171" s="198" t="n">
        <v>267</v>
      </c>
      <c r="AF171" s="200" t="n">
        <v>45816</v>
      </c>
      <c r="AG171" s="198" t="n">
        <v>84</v>
      </c>
      <c r="AH171" s="198" t="n">
        <f aca="false">VLOOKUP(Таблица310[[#This Row],[№ акта]],'Степень зрелости 2025'!$H$13:$I$583,2,FALSE())</f>
        <v>58</v>
      </c>
      <c r="AI171" s="198" t="str">
        <f aca="false">VLOOKUP(Таблица310[[#This Row],[№ акта]],$AQ$1:$AT$594,2,FALSE())</f>
        <v>А-57</v>
      </c>
      <c r="AJ171" s="198" t="str">
        <f aca="false">Таблица310[[#This Row],[Регистратор.Номенклатура]]</f>
        <v>Тиара</v>
      </c>
      <c r="AK171" s="198" t="str">
        <f aca="false">VLOOKUP(Таблица310[[#This Row],[№ акта]],$AQ$1:$AT$594,4,FALSE())</f>
        <v>ГРК (богара)</v>
      </c>
      <c r="AL171" s="230" t="n">
        <f aca="false">VLOOKUP(Таблица310[[#This Row],[№ акта]],$AQ$1:$AT$594,3,FALSE())</f>
        <v>3.36565450369992</v>
      </c>
      <c r="AM171" s="198" t="str">
        <f aca="false">IF(Таблица310[[#This Row],[Площадь уборки, га]]=Таблица310[[#This Row],[Площадь уборки до корр]],"нет","да")</f>
        <v>нет</v>
      </c>
      <c r="AN171" s="230" t="n">
        <f aca="false">Таблица310[[#This Row],[Площадь уборки до корр]]-Таблица310[[#This Row],[Площадь уборки, га]]</f>
        <v>0</v>
      </c>
      <c r="AQ171" s="0" t="n">
        <v>267</v>
      </c>
      <c r="AR171" s="0" t="s">
        <v>730</v>
      </c>
      <c r="AS171" s="0" t="n">
        <v>3.36565450369992</v>
      </c>
      <c r="AT171" s="0" t="s">
        <v>51</v>
      </c>
      <c r="XEM171" s="216"/>
      <c r="XEN171" s="217"/>
      <c r="XEO171" s="243"/>
      <c r="XEP171" s="218"/>
      <c r="XEQ171" s="244"/>
      <c r="XER171" s="217"/>
    </row>
    <row r="172" customFormat="false" ht="25.5" hidden="false" customHeight="true" outlineLevel="0" collapsed="false">
      <c r="A172" s="216"/>
      <c r="B172" s="217"/>
      <c r="C172" s="241" t="n">
        <f aca="false">Таблица310[[#This Row],[Степень зрелости вспом]]</f>
        <v>58</v>
      </c>
      <c r="D172" s="218" t="n">
        <v>268</v>
      </c>
      <c r="E172" s="219" t="n">
        <v>45816</v>
      </c>
      <c r="F172" s="217" t="n">
        <v>28590</v>
      </c>
      <c r="G172" s="217" t="n">
        <v>13640</v>
      </c>
      <c r="H172" s="220" t="n">
        <v>14950</v>
      </c>
      <c r="I172" s="217" t="n">
        <v>12344.2</v>
      </c>
      <c r="J172" s="216" t="s">
        <v>422</v>
      </c>
      <c r="K172" s="216" t="s">
        <v>66</v>
      </c>
      <c r="L172" s="216" t="s">
        <v>730</v>
      </c>
      <c r="M172" s="189" t="s">
        <v>48</v>
      </c>
      <c r="N172" s="198"/>
      <c r="O172" s="216"/>
      <c r="P172" s="216"/>
      <c r="Q172" s="216"/>
      <c r="R172" s="216" t="s">
        <v>49</v>
      </c>
      <c r="S172" s="198"/>
      <c r="T172" s="228" t="s">
        <v>730</v>
      </c>
      <c r="U172" s="195" t="str">
        <f aca="false">Таблица310[[#This Row],[Регистратор.Номенклатура]]</f>
        <v>Тиара</v>
      </c>
      <c r="V172" s="230" t="n">
        <f aca="false">20*Таблица310[[#This Row],[Регистратор.Вес нетто]]/78380</f>
        <v>3.48047971421281</v>
      </c>
      <c r="W172" s="216" t="s">
        <v>51</v>
      </c>
      <c r="X172" s="216" t="s">
        <v>52</v>
      </c>
      <c r="Y172" s="198" t="n">
        <v>10</v>
      </c>
      <c r="Z172" s="221" t="n">
        <v>45815</v>
      </c>
      <c r="AA172" s="198"/>
      <c r="AB172" s="198"/>
      <c r="AC172" s="198" t="s">
        <v>302</v>
      </c>
      <c r="AD172" s="198" t="s">
        <v>417</v>
      </c>
      <c r="AE172" s="198" t="n">
        <v>268</v>
      </c>
      <c r="AF172" s="200" t="n">
        <v>45816</v>
      </c>
      <c r="AG172" s="198" t="n">
        <v>85</v>
      </c>
      <c r="AH172" s="198" t="n">
        <f aca="false">VLOOKUP(Таблица310[[#This Row],[№ акта]],'Степень зрелости 2025'!$H$13:$I$583,2,FALSE())</f>
        <v>58</v>
      </c>
      <c r="AI172" s="198" t="str">
        <f aca="false">VLOOKUP(Таблица310[[#This Row],[№ акта]],$AQ$1:$AT$594,2,FALSE())</f>
        <v>А-57</v>
      </c>
      <c r="AJ172" s="198" t="str">
        <f aca="false">Таблица310[[#This Row],[Регистратор.Номенклатура]]</f>
        <v>Тиара</v>
      </c>
      <c r="AK172" s="198" t="str">
        <f aca="false">VLOOKUP(Таблица310[[#This Row],[№ акта]],$AQ$1:$AT$594,4,FALSE())</f>
        <v>ГРК (богара)</v>
      </c>
      <c r="AL172" s="230" t="n">
        <f aca="false">VLOOKUP(Таблица310[[#This Row],[№ акта]],$AQ$1:$AT$594,3,FALSE())</f>
        <v>3.48047971421281</v>
      </c>
      <c r="AM172" s="198" t="str">
        <f aca="false">IF(Таблица310[[#This Row],[Площадь уборки, га]]=Таблица310[[#This Row],[Площадь уборки до корр]],"нет","да")</f>
        <v>нет</v>
      </c>
      <c r="AN172" s="230" t="n">
        <f aca="false">Таблица310[[#This Row],[Площадь уборки до корр]]-Таблица310[[#This Row],[Площадь уборки, га]]</f>
        <v>0</v>
      </c>
      <c r="AQ172" s="0" t="n">
        <v>268</v>
      </c>
      <c r="AR172" s="0" t="s">
        <v>730</v>
      </c>
      <c r="AS172" s="0" t="n">
        <v>3.48047971421281</v>
      </c>
      <c r="AT172" s="0" t="s">
        <v>51</v>
      </c>
      <c r="XEM172" s="216"/>
      <c r="XEN172" s="217"/>
      <c r="XEO172" s="243"/>
      <c r="XEP172" s="218"/>
      <c r="XEQ172" s="244"/>
      <c r="XER172" s="217"/>
    </row>
    <row r="173" customFormat="false" ht="25.5" hidden="false" customHeight="true" outlineLevel="0" collapsed="false">
      <c r="A173" s="216"/>
      <c r="B173" s="217"/>
      <c r="C173" s="241" t="n">
        <f aca="false">Таблица310[[#This Row],[Степень зрелости вспом]]</f>
        <v>62</v>
      </c>
      <c r="D173" s="218" t="n">
        <v>269</v>
      </c>
      <c r="E173" s="219" t="n">
        <v>45816</v>
      </c>
      <c r="F173" s="217" t="n">
        <v>27300</v>
      </c>
      <c r="G173" s="217" t="n">
        <v>12690</v>
      </c>
      <c r="H173" s="220" t="n">
        <v>14610</v>
      </c>
      <c r="I173" s="217" t="n">
        <v>11357.5</v>
      </c>
      <c r="J173" s="216" t="s">
        <v>422</v>
      </c>
      <c r="K173" s="216" t="s">
        <v>66</v>
      </c>
      <c r="L173" s="216" t="s">
        <v>730</v>
      </c>
      <c r="M173" s="189" t="s">
        <v>872</v>
      </c>
      <c r="N173" s="198"/>
      <c r="O173" s="216"/>
      <c r="P173" s="216"/>
      <c r="Q173" s="216"/>
      <c r="R173" s="216" t="s">
        <v>364</v>
      </c>
      <c r="S173" s="198"/>
      <c r="T173" s="228" t="s">
        <v>730</v>
      </c>
      <c r="U173" s="195" t="str">
        <f aca="false">Таблица310[[#This Row],[Регистратор.Номенклатура]]</f>
        <v>Тиара</v>
      </c>
      <c r="V173" s="230" t="n">
        <f aca="false">20*Таблица310[[#This Row],[Регистратор.Вес нетто]]/78380</f>
        <v>3.23807093646338</v>
      </c>
      <c r="W173" s="216" t="s">
        <v>51</v>
      </c>
      <c r="X173" s="216" t="s">
        <v>52</v>
      </c>
      <c r="Y173" s="198" t="n">
        <v>10</v>
      </c>
      <c r="Z173" s="221" t="n">
        <v>45815</v>
      </c>
      <c r="AA173" s="198"/>
      <c r="AB173" s="198"/>
      <c r="AC173" s="198" t="s">
        <v>302</v>
      </c>
      <c r="AD173" s="198" t="s">
        <v>417</v>
      </c>
      <c r="AE173" s="198" t="n">
        <v>269</v>
      </c>
      <c r="AF173" s="200" t="n">
        <v>45816</v>
      </c>
      <c r="AG173" s="198" t="n">
        <v>86</v>
      </c>
      <c r="AH173" s="198" t="n">
        <f aca="false">VLOOKUP(Таблица310[[#This Row],[№ акта]],'Степень зрелости 2025'!$H$13:$I$583,2,FALSE())</f>
        <v>62</v>
      </c>
      <c r="AI173" s="198" t="str">
        <f aca="false">VLOOKUP(Таблица310[[#This Row],[№ акта]],$AQ$1:$AT$594,2,FALSE())</f>
        <v>А-57</v>
      </c>
      <c r="AJ173" s="198" t="str">
        <f aca="false">Таблица310[[#This Row],[Регистратор.Номенклатура]]</f>
        <v>Тиара</v>
      </c>
      <c r="AK173" s="198" t="str">
        <f aca="false">VLOOKUP(Таблица310[[#This Row],[№ акта]],$AQ$1:$AT$594,4,FALSE())</f>
        <v>ГРК (богара)</v>
      </c>
      <c r="AL173" s="230" t="n">
        <f aca="false">VLOOKUP(Таблица310[[#This Row],[№ акта]],$AQ$1:$AT$594,3,FALSE())</f>
        <v>3.23807093646338</v>
      </c>
      <c r="AM173" s="198" t="str">
        <f aca="false">IF(Таблица310[[#This Row],[Площадь уборки, га]]=Таблица310[[#This Row],[Площадь уборки до корр]],"нет","да")</f>
        <v>нет</v>
      </c>
      <c r="AN173" s="230" t="n">
        <f aca="false">Таблица310[[#This Row],[Площадь уборки до корр]]-Таблица310[[#This Row],[Площадь уборки, га]]</f>
        <v>0</v>
      </c>
      <c r="AQ173" s="0" t="n">
        <v>269</v>
      </c>
      <c r="AR173" s="0" t="s">
        <v>730</v>
      </c>
      <c r="AS173" s="0" t="n">
        <v>3.23807093646338</v>
      </c>
      <c r="AT173" s="0" t="s">
        <v>51</v>
      </c>
      <c r="XEM173" s="216"/>
      <c r="XEN173" s="217"/>
      <c r="XEO173" s="243"/>
      <c r="XEP173" s="218"/>
      <c r="XEQ173" s="244"/>
      <c r="XER173" s="217"/>
    </row>
    <row r="174" customFormat="false" ht="25.5" hidden="false" customHeight="true" outlineLevel="0" collapsed="false">
      <c r="A174" s="216"/>
      <c r="B174" s="217"/>
      <c r="C174" s="241" t="n">
        <f aca="false">Таблица310[[#This Row],[Степень зрелости вспом]]</f>
        <v>61</v>
      </c>
      <c r="D174" s="218" t="n">
        <v>270</v>
      </c>
      <c r="E174" s="219" t="n">
        <v>45816</v>
      </c>
      <c r="F174" s="217" t="n">
        <v>9060</v>
      </c>
      <c r="G174" s="217" t="n">
        <v>4490</v>
      </c>
      <c r="H174" s="220" t="n">
        <v>4570</v>
      </c>
      <c r="I174" s="217" t="n">
        <v>3861.4</v>
      </c>
      <c r="J174" s="216" t="s">
        <v>867</v>
      </c>
      <c r="K174" s="216" t="s">
        <v>66</v>
      </c>
      <c r="L174" s="216" t="s">
        <v>730</v>
      </c>
      <c r="M174" s="189" t="s">
        <v>374</v>
      </c>
      <c r="N174" s="198"/>
      <c r="O174" s="216"/>
      <c r="P174" s="216"/>
      <c r="Q174" s="216"/>
      <c r="R174" s="216" t="s">
        <v>375</v>
      </c>
      <c r="S174" s="198"/>
      <c r="T174" s="228" t="s">
        <v>730</v>
      </c>
      <c r="U174" s="195" t="str">
        <f aca="false">Таблица310[[#This Row],[Регистратор.Номенклатура]]</f>
        <v>Тиара</v>
      </c>
      <c r="V174" s="230" t="n">
        <f aca="false">27*Таблица310[[#This Row],[Регистратор.Вес нетто]]/92760</f>
        <v>1.30692108667529</v>
      </c>
      <c r="W174" s="216" t="s">
        <v>51</v>
      </c>
      <c r="X174" s="216" t="s">
        <v>52</v>
      </c>
      <c r="Y174" s="198" t="n">
        <v>11</v>
      </c>
      <c r="Z174" s="221" t="n">
        <v>45816</v>
      </c>
      <c r="AA174" s="198"/>
      <c r="AB174" s="198"/>
      <c r="AC174" s="198" t="s">
        <v>302</v>
      </c>
      <c r="AD174" s="198" t="s">
        <v>417</v>
      </c>
      <c r="AE174" s="198" t="n">
        <v>270</v>
      </c>
      <c r="AF174" s="200" t="n">
        <v>45816</v>
      </c>
      <c r="AG174" s="198" t="n">
        <v>87</v>
      </c>
      <c r="AH174" s="198" t="n">
        <f aca="false">VLOOKUP(Таблица310[[#This Row],[№ акта]],'Степень зрелости 2025'!$H$13:$I$583,2,FALSE())</f>
        <v>61</v>
      </c>
      <c r="AI174" s="198" t="str">
        <f aca="false">VLOOKUP(Таблица310[[#This Row],[№ акта]],$AQ$1:$AT$594,2,FALSE())</f>
        <v>А-57</v>
      </c>
      <c r="AJ174" s="198" t="str">
        <f aca="false">Таблица310[[#This Row],[Регистратор.Номенклатура]]</f>
        <v>Тиара</v>
      </c>
      <c r="AK174" s="198" t="str">
        <f aca="false">VLOOKUP(Таблица310[[#This Row],[№ акта]],$AQ$1:$AT$594,4,FALSE())</f>
        <v>ГРК (богара)</v>
      </c>
      <c r="AL174" s="230" t="n">
        <f aca="false">VLOOKUP(Таблица310[[#This Row],[№ акта]],$AQ$1:$AT$594,3,FALSE())</f>
        <v>1.30692108667529</v>
      </c>
      <c r="AM174" s="198" t="str">
        <f aca="false">IF(Таблица310[[#This Row],[Площадь уборки, га]]=Таблица310[[#This Row],[Площадь уборки до корр]],"нет","да")</f>
        <v>нет</v>
      </c>
      <c r="AN174" s="230" t="n">
        <f aca="false">Таблица310[[#This Row],[Площадь уборки до корр]]-Таблица310[[#This Row],[Площадь уборки, га]]</f>
        <v>0</v>
      </c>
      <c r="AQ174" s="0" t="n">
        <v>270</v>
      </c>
      <c r="AR174" s="0" t="s">
        <v>730</v>
      </c>
      <c r="AS174" s="0" t="n">
        <v>1.30692108667529</v>
      </c>
      <c r="AT174" s="0" t="s">
        <v>51</v>
      </c>
      <c r="XEM174" s="216"/>
      <c r="XEN174" s="217"/>
      <c r="XEO174" s="243"/>
      <c r="XEP174" s="218"/>
      <c r="XEQ174" s="244"/>
      <c r="XER174" s="217"/>
    </row>
    <row r="175" customFormat="false" ht="25.5" hidden="false" customHeight="true" outlineLevel="0" collapsed="false">
      <c r="A175" s="216"/>
      <c r="B175" s="217"/>
      <c r="C175" s="241" t="n">
        <f aca="false">Таблица310[[#This Row],[Степень зрелости вспом]]</f>
        <v>61</v>
      </c>
      <c r="D175" s="218" t="n">
        <v>271</v>
      </c>
      <c r="E175" s="219" t="n">
        <v>45816</v>
      </c>
      <c r="F175" s="217" t="n">
        <v>28280</v>
      </c>
      <c r="G175" s="217" t="n">
        <v>13960</v>
      </c>
      <c r="H175" s="220" t="n">
        <v>14320</v>
      </c>
      <c r="I175" s="217" t="n">
        <v>12215</v>
      </c>
      <c r="J175" s="216" t="s">
        <v>422</v>
      </c>
      <c r="K175" s="216" t="s">
        <v>66</v>
      </c>
      <c r="L175" s="216" t="s">
        <v>730</v>
      </c>
      <c r="M175" s="189" t="s">
        <v>376</v>
      </c>
      <c r="N175" s="198"/>
      <c r="O175" s="216"/>
      <c r="P175" s="216"/>
      <c r="Q175" s="216"/>
      <c r="R175" s="216" t="s">
        <v>377</v>
      </c>
      <c r="S175" s="198"/>
      <c r="T175" s="228" t="s">
        <v>730</v>
      </c>
      <c r="U175" s="195" t="str">
        <f aca="false">Таблица310[[#This Row],[Регистратор.Номенклатура]]</f>
        <v>Тиара</v>
      </c>
      <c r="V175" s="230" t="n">
        <f aca="false">27*Таблица310[[#This Row],[Регистратор.Вес нетто]]/92760</f>
        <v>4.0633893919793</v>
      </c>
      <c r="W175" s="216" t="s">
        <v>51</v>
      </c>
      <c r="X175" s="216" t="s">
        <v>52</v>
      </c>
      <c r="Y175" s="198" t="n">
        <v>11</v>
      </c>
      <c r="Z175" s="221" t="n">
        <v>45816</v>
      </c>
      <c r="AA175" s="198"/>
      <c r="AB175" s="198"/>
      <c r="AC175" s="198" t="s">
        <v>302</v>
      </c>
      <c r="AD175" s="198" t="s">
        <v>417</v>
      </c>
      <c r="AE175" s="198" t="n">
        <v>271</v>
      </c>
      <c r="AF175" s="200" t="n">
        <v>45816</v>
      </c>
      <c r="AG175" s="198" t="n">
        <v>88</v>
      </c>
      <c r="AH175" s="198" t="n">
        <f aca="false">VLOOKUP(Таблица310[[#This Row],[№ акта]],'Степень зрелости 2025'!$H$13:$I$583,2,FALSE())</f>
        <v>61</v>
      </c>
      <c r="AI175" s="198" t="str">
        <f aca="false">VLOOKUP(Таблица310[[#This Row],[№ акта]],$AQ$1:$AT$594,2,FALSE())</f>
        <v>А-57</v>
      </c>
      <c r="AJ175" s="198" t="str">
        <f aca="false">Таблица310[[#This Row],[Регистратор.Номенклатура]]</f>
        <v>Тиара</v>
      </c>
      <c r="AK175" s="198" t="str">
        <f aca="false">VLOOKUP(Таблица310[[#This Row],[№ акта]],$AQ$1:$AT$594,4,FALSE())</f>
        <v>ГРК (богара)</v>
      </c>
      <c r="AL175" s="230" t="n">
        <f aca="false">VLOOKUP(Таблица310[[#This Row],[№ акта]],$AQ$1:$AT$594,3,FALSE())</f>
        <v>4.0633893919793</v>
      </c>
      <c r="AM175" s="198" t="str">
        <f aca="false">IF(Таблица310[[#This Row],[Площадь уборки, га]]=Таблица310[[#This Row],[Площадь уборки до корр]],"нет","да")</f>
        <v>нет</v>
      </c>
      <c r="AN175" s="230" t="n">
        <f aca="false">Таблица310[[#This Row],[Площадь уборки до корр]]-Таблица310[[#This Row],[Площадь уборки, га]]</f>
        <v>0</v>
      </c>
      <c r="AQ175" s="0" t="n">
        <v>271</v>
      </c>
      <c r="AR175" s="0" t="s">
        <v>730</v>
      </c>
      <c r="AS175" s="0" t="n">
        <v>4.0633893919793</v>
      </c>
      <c r="AT175" s="0" t="s">
        <v>51</v>
      </c>
      <c r="XEM175" s="216"/>
      <c r="XEN175" s="217"/>
      <c r="XEO175" s="243"/>
      <c r="XEP175" s="218"/>
      <c r="XEQ175" s="244"/>
      <c r="XER175" s="217"/>
    </row>
    <row r="176" customFormat="false" ht="25.5" hidden="false" customHeight="true" outlineLevel="0" collapsed="false">
      <c r="A176" s="216"/>
      <c r="B176" s="217"/>
      <c r="C176" s="241" t="n">
        <f aca="false">Таблица310[[#This Row],[Степень зрелости вспом]]</f>
        <v>67</v>
      </c>
      <c r="D176" s="218" t="n">
        <v>272</v>
      </c>
      <c r="E176" s="219" t="n">
        <v>45816</v>
      </c>
      <c r="F176" s="217" t="n">
        <v>28870</v>
      </c>
      <c r="G176" s="217" t="n">
        <v>13940</v>
      </c>
      <c r="H176" s="220" t="n">
        <v>14930</v>
      </c>
      <c r="I176" s="217" t="n">
        <v>12406.6</v>
      </c>
      <c r="J176" s="216" t="s">
        <v>422</v>
      </c>
      <c r="K176" s="216" t="s">
        <v>66</v>
      </c>
      <c r="L176" s="216" t="s">
        <v>730</v>
      </c>
      <c r="M176" s="189" t="s">
        <v>371</v>
      </c>
      <c r="N176" s="198"/>
      <c r="O176" s="216"/>
      <c r="P176" s="216"/>
      <c r="Q176" s="216"/>
      <c r="R176" s="216" t="s">
        <v>372</v>
      </c>
      <c r="S176" s="198"/>
      <c r="T176" s="228" t="s">
        <v>730</v>
      </c>
      <c r="U176" s="195" t="str">
        <f aca="false">Таблица310[[#This Row],[Регистратор.Номенклатура]]</f>
        <v>Тиара</v>
      </c>
      <c r="V176" s="230" t="n">
        <f aca="false">27*Таблица310[[#This Row],[Регистратор.Вес нетто]]/92760</f>
        <v>4.05756791720569</v>
      </c>
      <c r="W176" s="216" t="s">
        <v>51</v>
      </c>
      <c r="X176" s="216" t="s">
        <v>52</v>
      </c>
      <c r="Y176" s="198" t="n">
        <v>11</v>
      </c>
      <c r="Z176" s="221" t="n">
        <v>45816</v>
      </c>
      <c r="AA176" s="198"/>
      <c r="AB176" s="198"/>
      <c r="AC176" s="198" t="s">
        <v>305</v>
      </c>
      <c r="AD176" s="198" t="s">
        <v>746</v>
      </c>
      <c r="AE176" s="198" t="n">
        <v>272</v>
      </c>
      <c r="AF176" s="200" t="n">
        <v>45816</v>
      </c>
      <c r="AG176" s="198" t="n">
        <v>89</v>
      </c>
      <c r="AH176" s="198" t="n">
        <f aca="false">VLOOKUP(Таблица310[[#This Row],[№ акта]],'Степень зрелости 2025'!$H$13:$I$583,2,FALSE())</f>
        <v>67</v>
      </c>
      <c r="AI176" s="198" t="str">
        <f aca="false">VLOOKUP(Таблица310[[#This Row],[№ акта]],$AQ$1:$AT$594,2,FALSE())</f>
        <v>А-57</v>
      </c>
      <c r="AJ176" s="198" t="str">
        <f aca="false">Таблица310[[#This Row],[Регистратор.Номенклатура]]</f>
        <v>Тиара</v>
      </c>
      <c r="AK176" s="198" t="str">
        <f aca="false">VLOOKUP(Таблица310[[#This Row],[№ акта]],$AQ$1:$AT$594,4,FALSE())</f>
        <v>ГРК (богара)</v>
      </c>
      <c r="AL176" s="230" t="n">
        <f aca="false">VLOOKUP(Таблица310[[#This Row],[№ акта]],$AQ$1:$AT$594,3,FALSE())</f>
        <v>4.05756791720569</v>
      </c>
      <c r="AM176" s="198" t="str">
        <f aca="false">IF(Таблица310[[#This Row],[Площадь уборки, га]]=Таблица310[[#This Row],[Площадь уборки до корр]],"нет","да")</f>
        <v>нет</v>
      </c>
      <c r="AN176" s="230" t="n">
        <f aca="false">Таблица310[[#This Row],[Площадь уборки до корр]]-Таблица310[[#This Row],[Площадь уборки, га]]</f>
        <v>0</v>
      </c>
      <c r="AQ176" s="0" t="n">
        <v>272</v>
      </c>
      <c r="AR176" s="0" t="s">
        <v>730</v>
      </c>
      <c r="AS176" s="0" t="n">
        <v>4.05756791720569</v>
      </c>
      <c r="AT176" s="0" t="s">
        <v>51</v>
      </c>
      <c r="XEM176" s="216"/>
      <c r="XEN176" s="217"/>
      <c r="XEO176" s="243"/>
      <c r="XEP176" s="218"/>
      <c r="XEQ176" s="244"/>
      <c r="XER176" s="217"/>
    </row>
    <row r="177" customFormat="false" ht="25.5" hidden="false" customHeight="true" outlineLevel="0" collapsed="false">
      <c r="A177" s="216"/>
      <c r="B177" s="217"/>
      <c r="C177" s="241" t="n">
        <f aca="false">Таблица310[[#This Row],[Степень зрелости вспом]]</f>
        <v>65</v>
      </c>
      <c r="D177" s="218" t="n">
        <v>273</v>
      </c>
      <c r="E177" s="219" t="n">
        <v>45816</v>
      </c>
      <c r="F177" s="217" t="n">
        <v>29020</v>
      </c>
      <c r="G177" s="217" t="n">
        <v>14040</v>
      </c>
      <c r="H177" s="220" t="n">
        <v>14980</v>
      </c>
      <c r="I177" s="217" t="n">
        <v>12074.4</v>
      </c>
      <c r="J177" s="216" t="s">
        <v>422</v>
      </c>
      <c r="K177" s="216" t="s">
        <v>66</v>
      </c>
      <c r="L177" s="216" t="s">
        <v>730</v>
      </c>
      <c r="M177" s="189" t="s">
        <v>457</v>
      </c>
      <c r="N177" s="198"/>
      <c r="O177" s="216"/>
      <c r="P177" s="216"/>
      <c r="Q177" s="216"/>
      <c r="R177" s="216" t="s">
        <v>366</v>
      </c>
      <c r="S177" s="198"/>
      <c r="T177" s="228" t="s">
        <v>730</v>
      </c>
      <c r="U177" s="195" t="str">
        <f aca="false">Таблица310[[#This Row],[Регистратор.Номенклатура]]</f>
        <v>Тиара</v>
      </c>
      <c r="V177" s="230" t="n">
        <f aca="false">27*Таблица310[[#This Row],[Регистратор.Вес нетто]]/92760</f>
        <v>4.08667529107374</v>
      </c>
      <c r="W177" s="216" t="s">
        <v>51</v>
      </c>
      <c r="X177" s="216" t="s">
        <v>52</v>
      </c>
      <c r="Y177" s="198" t="n">
        <v>11</v>
      </c>
      <c r="Z177" s="221" t="n">
        <v>45816</v>
      </c>
      <c r="AA177" s="198"/>
      <c r="AB177" s="198"/>
      <c r="AC177" s="198" t="s">
        <v>304</v>
      </c>
      <c r="AD177" s="198" t="s">
        <v>746</v>
      </c>
      <c r="AE177" s="198" t="n">
        <v>273</v>
      </c>
      <c r="AF177" s="200" t="n">
        <v>45816</v>
      </c>
      <c r="AG177" s="198" t="n">
        <v>90</v>
      </c>
      <c r="AH177" s="198" t="n">
        <f aca="false">VLOOKUP(Таблица310[[#This Row],[№ акта]],'Степень зрелости 2025'!$H$13:$I$583,2,FALSE())</f>
        <v>65</v>
      </c>
      <c r="AI177" s="198" t="str">
        <f aca="false">VLOOKUP(Таблица310[[#This Row],[№ акта]],$AQ$1:$AT$594,2,FALSE())</f>
        <v>А-57</v>
      </c>
      <c r="AJ177" s="198" t="str">
        <f aca="false">Таблица310[[#This Row],[Регистратор.Номенклатура]]</f>
        <v>Тиара</v>
      </c>
      <c r="AK177" s="198" t="str">
        <f aca="false">VLOOKUP(Таблица310[[#This Row],[№ акта]],$AQ$1:$AT$594,4,FALSE())</f>
        <v>ГРК (богара)</v>
      </c>
      <c r="AL177" s="230" t="n">
        <f aca="false">VLOOKUP(Таблица310[[#This Row],[№ акта]],$AQ$1:$AT$594,3,FALSE())</f>
        <v>4.08667529107374</v>
      </c>
      <c r="AM177" s="198" t="str">
        <f aca="false">IF(Таблица310[[#This Row],[Площадь уборки, га]]=Таблица310[[#This Row],[Площадь уборки до корр]],"нет","да")</f>
        <v>нет</v>
      </c>
      <c r="AN177" s="230" t="n">
        <f aca="false">Таблица310[[#This Row],[Площадь уборки до корр]]-Таблица310[[#This Row],[Площадь уборки, га]]</f>
        <v>0</v>
      </c>
      <c r="AQ177" s="0" t="n">
        <v>273</v>
      </c>
      <c r="AR177" s="0" t="s">
        <v>730</v>
      </c>
      <c r="AS177" s="0" t="n">
        <v>4.08667529107374</v>
      </c>
      <c r="AT177" s="0" t="s">
        <v>51</v>
      </c>
      <c r="XEM177" s="216"/>
      <c r="XEN177" s="217"/>
      <c r="XEO177" s="243"/>
      <c r="XEP177" s="218"/>
      <c r="XEQ177" s="244"/>
      <c r="XER177" s="217"/>
    </row>
    <row r="178" customFormat="false" ht="25.5" hidden="false" customHeight="true" outlineLevel="0" collapsed="false">
      <c r="A178" s="216"/>
      <c r="B178" s="217"/>
      <c r="C178" s="241" t="n">
        <f aca="false">Таблица310[[#This Row],[Степень зрелости вспом]]</f>
        <v>49</v>
      </c>
      <c r="D178" s="218" t="n">
        <v>274</v>
      </c>
      <c r="E178" s="219" t="n">
        <v>45816</v>
      </c>
      <c r="F178" s="217" t="n">
        <v>9360</v>
      </c>
      <c r="G178" s="217" t="n">
        <v>4770</v>
      </c>
      <c r="H178" s="220" t="n">
        <v>4590</v>
      </c>
      <c r="I178" s="217" t="n">
        <v>3720.6</v>
      </c>
      <c r="J178" s="216" t="s">
        <v>867</v>
      </c>
      <c r="K178" s="216" t="s">
        <v>66</v>
      </c>
      <c r="L178" s="216" t="s">
        <v>873</v>
      </c>
      <c r="M178" s="189" t="s">
        <v>374</v>
      </c>
      <c r="N178" s="198"/>
      <c r="O178" s="216"/>
      <c r="P178" s="216"/>
      <c r="Q178" s="216"/>
      <c r="R178" s="216" t="s">
        <v>375</v>
      </c>
      <c r="S178" s="198"/>
      <c r="T178" s="228" t="s">
        <v>874</v>
      </c>
      <c r="U178" s="195" t="str">
        <f aca="false">Таблица310[[#This Row],[Регистратор.Номенклатура]]</f>
        <v>Тиара</v>
      </c>
      <c r="V178" s="230" t="n">
        <f aca="false">3*Таблица310[[#This Row],[Регистратор.Вес нетто]]/17620</f>
        <v>0.812145289443814</v>
      </c>
      <c r="W178" s="216" t="s">
        <v>325</v>
      </c>
      <c r="X178" s="216" t="s">
        <v>52</v>
      </c>
      <c r="Y178" s="198" t="n">
        <v>11</v>
      </c>
      <c r="Z178" s="221" t="n">
        <v>45816</v>
      </c>
      <c r="AA178" s="198"/>
      <c r="AB178" s="198"/>
      <c r="AC178" s="198" t="s">
        <v>53</v>
      </c>
      <c r="AD178" s="198" t="s">
        <v>417</v>
      </c>
      <c r="AE178" s="198" t="n">
        <v>274</v>
      </c>
      <c r="AF178" s="200" t="n">
        <v>45816</v>
      </c>
      <c r="AG178" s="198" t="n">
        <v>91</v>
      </c>
      <c r="AH178" s="198" t="n">
        <f aca="false">VLOOKUP(Таблица310[[#This Row],[№ акта]],'Степень зрелости 2025'!$H$13:$I$583,2,FALSE())</f>
        <v>49</v>
      </c>
      <c r="AI178" s="198" t="str">
        <f aca="false">VLOOKUP(Таблица310[[#This Row],[№ акта]],$AQ$1:$AT$594,2,FALSE())</f>
        <v>А-51</v>
      </c>
      <c r="AJ178" s="198" t="str">
        <f aca="false">Таблица310[[#This Row],[Регистратор.Номенклатура]]</f>
        <v>Тиара</v>
      </c>
      <c r="AK178" s="198" t="str">
        <f aca="false">VLOOKUP(Таблица310[[#This Row],[№ акта]],$AQ$1:$AT$594,4,FALSE())</f>
        <v>ГРК демо (богара)</v>
      </c>
      <c r="AL178" s="230" t="n">
        <f aca="false">VLOOKUP(Таблица310[[#This Row],[№ акта]],$AQ$1:$AT$594,3,FALSE())</f>
        <v>0.812145289443814</v>
      </c>
      <c r="AM178" s="198" t="str">
        <f aca="false">IF(Таблица310[[#This Row],[Площадь уборки, га]]=Таблица310[[#This Row],[Площадь уборки до корр]],"нет","да")</f>
        <v>нет</v>
      </c>
      <c r="AN178" s="230" t="n">
        <f aca="false">Таблица310[[#This Row],[Площадь уборки до корр]]-Таблица310[[#This Row],[Площадь уборки, га]]</f>
        <v>0</v>
      </c>
      <c r="AQ178" s="0" t="n">
        <v>274</v>
      </c>
      <c r="AR178" s="0" t="s">
        <v>874</v>
      </c>
      <c r="AS178" s="0" t="n">
        <v>0.812145289443814</v>
      </c>
      <c r="AT178" s="0" t="s">
        <v>325</v>
      </c>
      <c r="XEM178" s="216"/>
      <c r="XEN178" s="217"/>
      <c r="XEO178" s="243"/>
      <c r="XEP178" s="218"/>
      <c r="XEQ178" s="244"/>
      <c r="XER178" s="217"/>
    </row>
    <row r="179" customFormat="false" ht="25.5" hidden="false" customHeight="true" outlineLevel="0" collapsed="false">
      <c r="A179" s="216"/>
      <c r="B179" s="217"/>
      <c r="C179" s="241" t="n">
        <f aca="false">Таблица310[[#This Row],[Степень зрелости вспом]]</f>
        <v>64</v>
      </c>
      <c r="D179" s="218" t="n">
        <v>275</v>
      </c>
      <c r="E179" s="219" t="n">
        <v>45816</v>
      </c>
      <c r="F179" s="217" t="n">
        <v>28500</v>
      </c>
      <c r="G179" s="217" t="n">
        <v>13910</v>
      </c>
      <c r="H179" s="220" t="n">
        <v>14590</v>
      </c>
      <c r="I179" s="217" t="n">
        <v>10710.7</v>
      </c>
      <c r="J179" s="216" t="s">
        <v>422</v>
      </c>
      <c r="K179" s="216" t="s">
        <v>66</v>
      </c>
      <c r="L179" s="216" t="s">
        <v>730</v>
      </c>
      <c r="M179" s="189" t="s">
        <v>363</v>
      </c>
      <c r="N179" s="198"/>
      <c r="O179" s="216"/>
      <c r="P179" s="216"/>
      <c r="Q179" s="216"/>
      <c r="R179" s="216" t="s">
        <v>364</v>
      </c>
      <c r="S179" s="198"/>
      <c r="T179" s="228" t="s">
        <v>730</v>
      </c>
      <c r="U179" s="195" t="str">
        <f aca="false">Таблица310[[#This Row],[Регистратор.Номенклатура]]</f>
        <v>Тиара</v>
      </c>
      <c r="V179" s="230" t="n">
        <f aca="false">27*Таблица310[[#This Row],[Регистратор.Вес нетто]]/92760</f>
        <v>4.04883570504528</v>
      </c>
      <c r="W179" s="216" t="s">
        <v>51</v>
      </c>
      <c r="X179" s="216" t="s">
        <v>52</v>
      </c>
      <c r="Y179" s="198" t="n">
        <v>11</v>
      </c>
      <c r="Z179" s="221" t="n">
        <v>45816</v>
      </c>
      <c r="AA179" s="198"/>
      <c r="AB179" s="198"/>
      <c r="AC179" s="198" t="s">
        <v>304</v>
      </c>
      <c r="AD179" s="198" t="s">
        <v>746</v>
      </c>
      <c r="AE179" s="198" t="n">
        <v>275</v>
      </c>
      <c r="AF179" s="200" t="n">
        <v>45816</v>
      </c>
      <c r="AG179" s="198" t="n">
        <v>92</v>
      </c>
      <c r="AH179" s="198" t="n">
        <f aca="false">VLOOKUP(Таблица310[[#This Row],[№ акта]],'Степень зрелости 2025'!$H$13:$I$583,2,FALSE())</f>
        <v>64</v>
      </c>
      <c r="AI179" s="198" t="str">
        <f aca="false">VLOOKUP(Таблица310[[#This Row],[№ акта]],$AQ$1:$AT$594,2,FALSE())</f>
        <v>А-57</v>
      </c>
      <c r="AJ179" s="198" t="str">
        <f aca="false">Таблица310[[#This Row],[Регистратор.Номенклатура]]</f>
        <v>Тиара</v>
      </c>
      <c r="AK179" s="198" t="str">
        <f aca="false">VLOOKUP(Таблица310[[#This Row],[№ акта]],$AQ$1:$AT$594,4,FALSE())</f>
        <v>ГРК (богара)</v>
      </c>
      <c r="AL179" s="230" t="n">
        <f aca="false">VLOOKUP(Таблица310[[#This Row],[№ акта]],$AQ$1:$AT$594,3,FALSE())</f>
        <v>4.04883570504528</v>
      </c>
      <c r="AM179" s="198" t="str">
        <f aca="false">IF(Таблица310[[#This Row],[Площадь уборки, га]]=Таблица310[[#This Row],[Площадь уборки до корр]],"нет","да")</f>
        <v>нет</v>
      </c>
      <c r="AN179" s="230" t="n">
        <f aca="false">Таблица310[[#This Row],[Площадь уборки до корр]]-Таблица310[[#This Row],[Площадь уборки, га]]</f>
        <v>0</v>
      </c>
      <c r="AQ179" s="0" t="n">
        <v>275</v>
      </c>
      <c r="AR179" s="0" t="s">
        <v>730</v>
      </c>
      <c r="AS179" s="0" t="n">
        <v>4.04883570504528</v>
      </c>
      <c r="AT179" s="0" t="s">
        <v>51</v>
      </c>
      <c r="XEM179" s="216"/>
      <c r="XEN179" s="217"/>
      <c r="XEO179" s="243"/>
      <c r="XEP179" s="218"/>
      <c r="XEQ179" s="244"/>
      <c r="XER179" s="217"/>
    </row>
    <row r="180" customFormat="false" ht="25.5" hidden="false" customHeight="true" outlineLevel="0" collapsed="false">
      <c r="A180" s="216"/>
      <c r="B180" s="217"/>
      <c r="C180" s="241" t="n">
        <f aca="false">Таблица310[[#This Row],[Степень зрелости вспом]]</f>
        <v>68</v>
      </c>
      <c r="D180" s="218" t="n">
        <v>276</v>
      </c>
      <c r="E180" s="219" t="n">
        <v>45816</v>
      </c>
      <c r="F180" s="217" t="n">
        <v>25680</v>
      </c>
      <c r="G180" s="217" t="n">
        <v>11370</v>
      </c>
      <c r="H180" s="220" t="n">
        <v>14310</v>
      </c>
      <c r="I180" s="217" t="n">
        <v>9778.2</v>
      </c>
      <c r="J180" s="216" t="s">
        <v>422</v>
      </c>
      <c r="K180" s="216" t="s">
        <v>66</v>
      </c>
      <c r="L180" s="216" t="s">
        <v>730</v>
      </c>
      <c r="M180" s="189" t="s">
        <v>376</v>
      </c>
      <c r="N180" s="198"/>
      <c r="O180" s="216"/>
      <c r="P180" s="216"/>
      <c r="Q180" s="216"/>
      <c r="R180" s="216" t="s">
        <v>875</v>
      </c>
      <c r="S180" s="198"/>
      <c r="T180" s="228" t="s">
        <v>730</v>
      </c>
      <c r="U180" s="195" t="str">
        <f aca="false">Таблица310[[#This Row],[Регистратор.Номенклатура]]</f>
        <v>Тиара</v>
      </c>
      <c r="V180" s="230" t="n">
        <f aca="false">27*Таблица310[[#This Row],[Регистратор.Вес нетто]]/92760</f>
        <v>3.3095084087969</v>
      </c>
      <c r="W180" s="216" t="s">
        <v>51</v>
      </c>
      <c r="X180" s="216" t="s">
        <v>52</v>
      </c>
      <c r="Y180" s="198" t="n">
        <v>11</v>
      </c>
      <c r="Z180" s="221" t="n">
        <v>45816</v>
      </c>
      <c r="AA180" s="198"/>
      <c r="AB180" s="198"/>
      <c r="AC180" s="198" t="s">
        <v>305</v>
      </c>
      <c r="AD180" s="198" t="s">
        <v>746</v>
      </c>
      <c r="AE180" s="198" t="n">
        <v>276</v>
      </c>
      <c r="AF180" s="200" t="n">
        <v>45816</v>
      </c>
      <c r="AG180" s="198" t="n">
        <v>93</v>
      </c>
      <c r="AH180" s="198" t="n">
        <f aca="false">VLOOKUP(Таблица310[[#This Row],[№ акта]],'Степень зрелости 2025'!$H$13:$I$583,2,FALSE())</f>
        <v>68</v>
      </c>
      <c r="AI180" s="198" t="str">
        <f aca="false">VLOOKUP(Таблица310[[#This Row],[№ акта]],$AQ$1:$AT$594,2,FALSE())</f>
        <v>А-57</v>
      </c>
      <c r="AJ180" s="198" t="str">
        <f aca="false">Таблица310[[#This Row],[Регистратор.Номенклатура]]</f>
        <v>Тиара</v>
      </c>
      <c r="AK180" s="198" t="str">
        <f aca="false">VLOOKUP(Таблица310[[#This Row],[№ акта]],$AQ$1:$AT$594,4,FALSE())</f>
        <v>ГРК (богара)</v>
      </c>
      <c r="AL180" s="230" t="n">
        <f aca="false">VLOOKUP(Таблица310[[#This Row],[№ акта]],$AQ$1:$AT$594,3,FALSE())</f>
        <v>3.3095084087969</v>
      </c>
      <c r="AM180" s="198" t="str">
        <f aca="false">IF(Таблица310[[#This Row],[Площадь уборки, га]]=Таблица310[[#This Row],[Площадь уборки до корр]],"нет","да")</f>
        <v>нет</v>
      </c>
      <c r="AN180" s="230" t="n">
        <f aca="false">Таблица310[[#This Row],[Площадь уборки до корр]]-Таблица310[[#This Row],[Площадь уборки, га]]</f>
        <v>0</v>
      </c>
      <c r="AQ180" s="0" t="n">
        <v>276</v>
      </c>
      <c r="AR180" s="0" t="s">
        <v>730</v>
      </c>
      <c r="AS180" s="0" t="n">
        <v>3.3095084087969</v>
      </c>
      <c r="AT180" s="0" t="s">
        <v>51</v>
      </c>
      <c r="XEM180" s="216"/>
      <c r="XEN180" s="217"/>
      <c r="XEO180" s="243"/>
      <c r="XEP180" s="218"/>
      <c r="XEQ180" s="244"/>
      <c r="XER180" s="217"/>
    </row>
    <row r="181" customFormat="false" ht="25.5" hidden="false" customHeight="true" outlineLevel="0" collapsed="false">
      <c r="A181" s="216"/>
      <c r="B181" s="217"/>
      <c r="C181" s="241" t="n">
        <f aca="false">Таблица310[[#This Row],[Степень зрелости вспом]]</f>
        <v>51</v>
      </c>
      <c r="D181" s="218" t="n">
        <v>277</v>
      </c>
      <c r="E181" s="219" t="n">
        <v>45816</v>
      </c>
      <c r="F181" s="217" t="n">
        <v>9380</v>
      </c>
      <c r="G181" s="217" t="n">
        <v>4790</v>
      </c>
      <c r="H181" s="220" t="n">
        <v>4590</v>
      </c>
      <c r="I181" s="217" t="n">
        <v>3951.7</v>
      </c>
      <c r="J181" s="216" t="s">
        <v>422</v>
      </c>
      <c r="K181" s="216" t="s">
        <v>66</v>
      </c>
      <c r="L181" s="216" t="s">
        <v>873</v>
      </c>
      <c r="M181" s="189" t="s">
        <v>374</v>
      </c>
      <c r="N181" s="198"/>
      <c r="O181" s="216"/>
      <c r="P181" s="216"/>
      <c r="Q181" s="216"/>
      <c r="R181" s="216" t="s">
        <v>375</v>
      </c>
      <c r="S181" s="198"/>
      <c r="T181" s="228" t="s">
        <v>874</v>
      </c>
      <c r="U181" s="195" t="str">
        <f aca="false">Таблица310[[#This Row],[Регистратор.Номенклатура]]</f>
        <v>Тиара</v>
      </c>
      <c r="V181" s="230" t="n">
        <f aca="false">3*Таблица310[[#This Row],[Регистратор.Вес нетто]]/17620</f>
        <v>0.815550510783201</v>
      </c>
      <c r="W181" s="216" t="s">
        <v>325</v>
      </c>
      <c r="X181" s="216" t="s">
        <v>52</v>
      </c>
      <c r="Y181" s="198" t="n">
        <v>11</v>
      </c>
      <c r="Z181" s="221" t="n">
        <v>45816</v>
      </c>
      <c r="AA181" s="198"/>
      <c r="AB181" s="198"/>
      <c r="AC181" s="198" t="s">
        <v>53</v>
      </c>
      <c r="AD181" s="198" t="s">
        <v>417</v>
      </c>
      <c r="AE181" s="198" t="n">
        <v>277</v>
      </c>
      <c r="AF181" s="200" t="n">
        <v>45816</v>
      </c>
      <c r="AG181" s="198" t="n">
        <v>94</v>
      </c>
      <c r="AH181" s="198" t="n">
        <f aca="false">VLOOKUP(Таблица310[[#This Row],[№ акта]],'Степень зрелости 2025'!$H$13:$I$583,2,FALSE())</f>
        <v>51</v>
      </c>
      <c r="AI181" s="198" t="str">
        <f aca="false">VLOOKUP(Таблица310[[#This Row],[№ акта]],$AQ$1:$AT$594,2,FALSE())</f>
        <v>А-51</v>
      </c>
      <c r="AJ181" s="198" t="str">
        <f aca="false">Таблица310[[#This Row],[Регистратор.Номенклатура]]</f>
        <v>Тиара</v>
      </c>
      <c r="AK181" s="198" t="str">
        <f aca="false">VLOOKUP(Таблица310[[#This Row],[№ акта]],$AQ$1:$AT$594,4,FALSE())</f>
        <v>ГРК демо (богара)</v>
      </c>
      <c r="AL181" s="230" t="n">
        <f aca="false">VLOOKUP(Таблица310[[#This Row],[№ акта]],$AQ$1:$AT$594,3,FALSE())</f>
        <v>0.815550510783201</v>
      </c>
      <c r="AM181" s="198" t="str">
        <f aca="false">IF(Таблица310[[#This Row],[Площадь уборки, га]]=Таблица310[[#This Row],[Площадь уборки до корр]],"нет","да")</f>
        <v>нет</v>
      </c>
      <c r="AN181" s="230" t="n">
        <f aca="false">Таблица310[[#This Row],[Площадь уборки до корр]]-Таблица310[[#This Row],[Площадь уборки, га]]</f>
        <v>0</v>
      </c>
      <c r="AQ181" s="0" t="n">
        <v>277</v>
      </c>
      <c r="AR181" s="0" t="s">
        <v>874</v>
      </c>
      <c r="AS181" s="0" t="n">
        <v>0.815550510783201</v>
      </c>
      <c r="AT181" s="0" t="s">
        <v>325</v>
      </c>
      <c r="XEM181" s="216"/>
      <c r="XEN181" s="217"/>
      <c r="XEO181" s="243"/>
      <c r="XEP181" s="218"/>
      <c r="XEQ181" s="244"/>
      <c r="XER181" s="217"/>
    </row>
    <row r="182" customFormat="false" ht="25.5" hidden="false" customHeight="true" outlineLevel="0" collapsed="false">
      <c r="A182" s="216"/>
      <c r="B182" s="217"/>
      <c r="C182" s="241" t="n">
        <f aca="false">Таблица310[[#This Row],[Степень зрелости вспом]]</f>
        <v>72</v>
      </c>
      <c r="D182" s="218" t="n">
        <v>278</v>
      </c>
      <c r="E182" s="219" t="n">
        <v>45816</v>
      </c>
      <c r="F182" s="217" t="n">
        <v>28720</v>
      </c>
      <c r="G182" s="217" t="n">
        <v>13790</v>
      </c>
      <c r="H182" s="220" t="n">
        <v>14930</v>
      </c>
      <c r="I182" s="217" t="n">
        <v>12617.8</v>
      </c>
      <c r="J182" s="216" t="s">
        <v>422</v>
      </c>
      <c r="K182" s="216" t="s">
        <v>66</v>
      </c>
      <c r="L182" s="216" t="s">
        <v>730</v>
      </c>
      <c r="M182" s="189" t="s">
        <v>371</v>
      </c>
      <c r="N182" s="198"/>
      <c r="O182" s="216"/>
      <c r="P182" s="216"/>
      <c r="Q182" s="216"/>
      <c r="R182" s="216" t="s">
        <v>372</v>
      </c>
      <c r="S182" s="198"/>
      <c r="T182" s="228" t="s">
        <v>730</v>
      </c>
      <c r="U182" s="195" t="str">
        <f aca="false">Таблица310[[#This Row],[Регистратор.Номенклатура]]</f>
        <v>Тиара</v>
      </c>
      <c r="V182" s="230" t="n">
        <f aca="false">27*Таблица310[[#This Row],[Регистратор.Вес нетто]]/92760</f>
        <v>4.01390685640362</v>
      </c>
      <c r="W182" s="216" t="s">
        <v>51</v>
      </c>
      <c r="X182" s="216" t="s">
        <v>52</v>
      </c>
      <c r="Y182" s="198" t="n">
        <v>11</v>
      </c>
      <c r="Z182" s="221" t="n">
        <v>45816</v>
      </c>
      <c r="AA182" s="198"/>
      <c r="AB182" s="198"/>
      <c r="AC182" s="198" t="s">
        <v>305</v>
      </c>
      <c r="AD182" s="198" t="s">
        <v>746</v>
      </c>
      <c r="AE182" s="198" t="n">
        <v>278</v>
      </c>
      <c r="AF182" s="200" t="n">
        <v>45816</v>
      </c>
      <c r="AG182" s="198" t="n">
        <v>95</v>
      </c>
      <c r="AH182" s="198" t="n">
        <f aca="false">VLOOKUP(Таблица310[[#This Row],[№ акта]],'Степень зрелости 2025'!$H$13:$I$583,2,FALSE())</f>
        <v>72</v>
      </c>
      <c r="AI182" s="198" t="str">
        <f aca="false">VLOOKUP(Таблица310[[#This Row],[№ акта]],$AQ$1:$AT$594,2,FALSE())</f>
        <v>А-57</v>
      </c>
      <c r="AJ182" s="198" t="str">
        <f aca="false">Таблица310[[#This Row],[Регистратор.Номенклатура]]</f>
        <v>Тиара</v>
      </c>
      <c r="AK182" s="198" t="str">
        <f aca="false">VLOOKUP(Таблица310[[#This Row],[№ акта]],$AQ$1:$AT$594,4,FALSE())</f>
        <v>ГРК (богара)</v>
      </c>
      <c r="AL182" s="230" t="n">
        <f aca="false">VLOOKUP(Таблица310[[#This Row],[№ акта]],$AQ$1:$AT$594,3,FALSE())</f>
        <v>4.01390685640362</v>
      </c>
      <c r="AM182" s="198" t="str">
        <f aca="false">IF(Таблица310[[#This Row],[Площадь уборки, га]]=Таблица310[[#This Row],[Площадь уборки до корр]],"нет","да")</f>
        <v>нет</v>
      </c>
      <c r="AN182" s="230" t="n">
        <f aca="false">Таблица310[[#This Row],[Площадь уборки до корр]]-Таблица310[[#This Row],[Площадь уборки, га]]</f>
        <v>0</v>
      </c>
      <c r="AQ182" s="0" t="n">
        <v>278</v>
      </c>
      <c r="AR182" s="0" t="s">
        <v>730</v>
      </c>
      <c r="AS182" s="0" t="n">
        <v>4.01390685640362</v>
      </c>
      <c r="AT182" s="0" t="s">
        <v>51</v>
      </c>
      <c r="XEM182" s="216"/>
      <c r="XEN182" s="217"/>
      <c r="XEO182" s="243"/>
      <c r="XEP182" s="218"/>
      <c r="XEQ182" s="244"/>
      <c r="XER182" s="217"/>
    </row>
    <row r="183" customFormat="false" ht="25.5" hidden="false" customHeight="true" outlineLevel="0" collapsed="false">
      <c r="A183" s="216"/>
      <c r="B183" s="217"/>
      <c r="C183" s="241" t="n">
        <f aca="false">Таблица310[[#This Row],[Степень зрелости вспом]]</f>
        <v>69</v>
      </c>
      <c r="D183" s="218" t="n">
        <v>279</v>
      </c>
      <c r="E183" s="219" t="n">
        <v>45816</v>
      </c>
      <c r="F183" s="217" t="n">
        <v>29060</v>
      </c>
      <c r="G183" s="217" t="n">
        <v>6840</v>
      </c>
      <c r="H183" s="220" t="n">
        <v>22220</v>
      </c>
      <c r="I183" s="217" t="n">
        <v>6258.6</v>
      </c>
      <c r="J183" s="216" t="s">
        <v>422</v>
      </c>
      <c r="K183" s="216" t="s">
        <v>252</v>
      </c>
      <c r="L183" s="216" t="s">
        <v>865</v>
      </c>
      <c r="M183" s="189" t="s">
        <v>457</v>
      </c>
      <c r="N183" s="198"/>
      <c r="O183" s="216"/>
      <c r="P183" s="216"/>
      <c r="Q183" s="216"/>
      <c r="R183" s="216" t="s">
        <v>366</v>
      </c>
      <c r="S183" s="198"/>
      <c r="T183" s="228" t="s">
        <v>865</v>
      </c>
      <c r="U183" s="195" t="str">
        <f aca="false">Таблица310[[#This Row],[Регистратор.Номенклатура]]</f>
        <v>Преладо</v>
      </c>
      <c r="V183" s="230" t="n">
        <f aca="false">35*Таблица310[[#This Row],[Регистратор.Вес нетто]]/105660</f>
        <v>2.26575809199319</v>
      </c>
      <c r="W183" s="216" t="s">
        <v>51</v>
      </c>
      <c r="X183" s="216" t="s">
        <v>52</v>
      </c>
      <c r="Y183" s="198" t="n">
        <v>11</v>
      </c>
      <c r="Z183" s="221" t="n">
        <v>45816</v>
      </c>
      <c r="AA183" s="198"/>
      <c r="AB183" s="198"/>
      <c r="AC183" s="198" t="s">
        <v>305</v>
      </c>
      <c r="AD183" s="198" t="s">
        <v>746</v>
      </c>
      <c r="AE183" s="198" t="n">
        <v>279</v>
      </c>
      <c r="AF183" s="200" t="n">
        <v>45816</v>
      </c>
      <c r="AG183" s="198" t="n">
        <v>97</v>
      </c>
      <c r="AH183" s="198" t="n">
        <f aca="false">VLOOKUP(Таблица310[[#This Row],[№ акта]],'Степень зрелости 2025'!$H$13:$I$583,2,FALSE())</f>
        <v>69</v>
      </c>
      <c r="AI183" s="198" t="str">
        <f aca="false">VLOOKUP(Таблица310[[#This Row],[№ акта]],$AQ$1:$AT$594,2,FALSE())</f>
        <v>А-67</v>
      </c>
      <c r="AJ183" s="198" t="str">
        <f aca="false">Таблица310[[#This Row],[Регистратор.Номенклатура]]</f>
        <v>Преладо</v>
      </c>
      <c r="AK183" s="198" t="str">
        <f aca="false">VLOOKUP(Таблица310[[#This Row],[№ акта]],$AQ$1:$AT$594,4,FALSE())</f>
        <v>ГРК (богара)</v>
      </c>
      <c r="AL183" s="230" t="n">
        <f aca="false">VLOOKUP(Таблица310[[#This Row],[№ акта]],$AQ$1:$AT$594,3,FALSE())</f>
        <v>2.26575809199319</v>
      </c>
      <c r="AM183" s="198" t="str">
        <f aca="false">IF(Таблица310[[#This Row],[Площадь уборки, га]]=Таблица310[[#This Row],[Площадь уборки до корр]],"нет","да")</f>
        <v>нет</v>
      </c>
      <c r="AN183" s="230" t="n">
        <f aca="false">Таблица310[[#This Row],[Площадь уборки до корр]]-Таблица310[[#This Row],[Площадь уборки, га]]</f>
        <v>0</v>
      </c>
      <c r="AQ183" s="0" t="n">
        <v>279</v>
      </c>
      <c r="AR183" s="0" t="s">
        <v>865</v>
      </c>
      <c r="AS183" s="0" t="n">
        <v>2.26575809199319</v>
      </c>
      <c r="AT183" s="0" t="s">
        <v>51</v>
      </c>
      <c r="XEM183" s="216"/>
      <c r="XEN183" s="217"/>
      <c r="XEO183" s="243"/>
      <c r="XEP183" s="218"/>
      <c r="XEQ183" s="244"/>
      <c r="XER183" s="217"/>
    </row>
    <row r="184" customFormat="false" ht="25.5" hidden="false" customHeight="true" outlineLevel="0" collapsed="false">
      <c r="A184" s="216"/>
      <c r="B184" s="217"/>
      <c r="C184" s="241" t="n">
        <f aca="false">Таблица310[[#This Row],[Степень зрелости вспом]]</f>
        <v>63</v>
      </c>
      <c r="D184" s="218" t="n">
        <v>280</v>
      </c>
      <c r="E184" s="219" t="n">
        <v>45816</v>
      </c>
      <c r="F184" s="217" t="n">
        <v>22220</v>
      </c>
      <c r="G184" s="217" t="n">
        <v>7260</v>
      </c>
      <c r="H184" s="220" t="n">
        <v>14960</v>
      </c>
      <c r="I184" s="217" t="n">
        <v>6534</v>
      </c>
      <c r="J184" s="216" t="s">
        <v>422</v>
      </c>
      <c r="K184" s="216" t="s">
        <v>66</v>
      </c>
      <c r="L184" s="216" t="s">
        <v>730</v>
      </c>
      <c r="M184" s="189" t="s">
        <v>457</v>
      </c>
      <c r="N184" s="198"/>
      <c r="O184" s="216"/>
      <c r="P184" s="216"/>
      <c r="Q184" s="216"/>
      <c r="R184" s="216" t="s">
        <v>366</v>
      </c>
      <c r="S184" s="198"/>
      <c r="T184" s="228" t="s">
        <v>730</v>
      </c>
      <c r="U184" s="195" t="str">
        <f aca="false">Таблица310[[#This Row],[Регистратор.Номенклатура]]</f>
        <v>Тиара</v>
      </c>
      <c r="V184" s="230" t="n">
        <f aca="false">27*Таблица310[[#This Row],[Регистратор.Вес нетто]]/92760</f>
        <v>2.11319534282018</v>
      </c>
      <c r="W184" s="216" t="s">
        <v>51</v>
      </c>
      <c r="X184" s="216" t="s">
        <v>52</v>
      </c>
      <c r="Y184" s="198" t="n">
        <v>11</v>
      </c>
      <c r="Z184" s="221" t="n">
        <v>45816</v>
      </c>
      <c r="AA184" s="198"/>
      <c r="AB184" s="198"/>
      <c r="AC184" s="198" t="s">
        <v>302</v>
      </c>
      <c r="AD184" s="198" t="s">
        <v>746</v>
      </c>
      <c r="AE184" s="198" t="n">
        <v>280</v>
      </c>
      <c r="AF184" s="200" t="n">
        <v>45816</v>
      </c>
      <c r="AG184" s="198" t="n">
        <v>97</v>
      </c>
      <c r="AH184" s="198" t="n">
        <f aca="false">VLOOKUP(Таблица310[[#This Row],[№ акта]],'Степень зрелости 2025'!$H$13:$I$583,2,FALSE())</f>
        <v>63</v>
      </c>
      <c r="AI184" s="198" t="str">
        <f aca="false">VLOOKUP(Таблица310[[#This Row],[№ акта]],$AQ$1:$AT$594,2,FALSE())</f>
        <v>А-57</v>
      </c>
      <c r="AJ184" s="198" t="str">
        <f aca="false">Таблица310[[#This Row],[Регистратор.Номенклатура]]</f>
        <v>Тиара</v>
      </c>
      <c r="AK184" s="198" t="str">
        <f aca="false">VLOOKUP(Таблица310[[#This Row],[№ акта]],$AQ$1:$AT$594,4,FALSE())</f>
        <v>ГРК (богара)</v>
      </c>
      <c r="AL184" s="230" t="n">
        <f aca="false">VLOOKUP(Таблица310[[#This Row],[№ акта]],$AQ$1:$AT$594,3,FALSE())</f>
        <v>2.11319534282018</v>
      </c>
      <c r="AM184" s="198" t="str">
        <f aca="false">IF(Таблица310[[#This Row],[Площадь уборки, га]]=Таблица310[[#This Row],[Площадь уборки до корр]],"нет","да")</f>
        <v>нет</v>
      </c>
      <c r="AN184" s="230" t="n">
        <f aca="false">Таблица310[[#This Row],[Площадь уборки до корр]]-Таблица310[[#This Row],[Площадь уборки, га]]</f>
        <v>0</v>
      </c>
      <c r="AQ184" s="0" t="n">
        <v>280</v>
      </c>
      <c r="AR184" s="0" t="s">
        <v>730</v>
      </c>
      <c r="AS184" s="0" t="n">
        <v>2.11319534282018</v>
      </c>
      <c r="AT184" s="0" t="s">
        <v>51</v>
      </c>
      <c r="XEM184" s="216"/>
      <c r="XEN184" s="217"/>
      <c r="XEO184" s="243"/>
      <c r="XEP184" s="218"/>
      <c r="XEQ184" s="244"/>
      <c r="XER184" s="217"/>
    </row>
    <row r="185" customFormat="false" ht="25.5" hidden="false" customHeight="true" outlineLevel="0" collapsed="false">
      <c r="A185" s="216"/>
      <c r="B185" s="217"/>
      <c r="C185" s="241" t="n">
        <f aca="false">Таблица310[[#This Row],[Степень зрелости вспом]]</f>
        <v>57</v>
      </c>
      <c r="D185" s="218" t="n">
        <v>281</v>
      </c>
      <c r="E185" s="219" t="n">
        <v>45816</v>
      </c>
      <c r="F185" s="217" t="n">
        <v>29740</v>
      </c>
      <c r="G185" s="217" t="n">
        <v>7100</v>
      </c>
      <c r="H185" s="220" t="n">
        <v>22640</v>
      </c>
      <c r="I185" s="217" t="n">
        <v>6070.5</v>
      </c>
      <c r="J185" s="216" t="s">
        <v>422</v>
      </c>
      <c r="K185" s="216" t="s">
        <v>876</v>
      </c>
      <c r="L185" s="216" t="s">
        <v>873</v>
      </c>
      <c r="M185" s="189" t="s">
        <v>363</v>
      </c>
      <c r="N185" s="198"/>
      <c r="O185" s="216"/>
      <c r="P185" s="216"/>
      <c r="Q185" s="216"/>
      <c r="R185" s="216" t="s">
        <v>364</v>
      </c>
      <c r="S185" s="198"/>
      <c r="T185" s="228" t="s">
        <v>874</v>
      </c>
      <c r="U185" s="195" t="str">
        <f aca="false">Таблица310[[#This Row],[Регистратор.Номенклатура]]</f>
        <v>Прима</v>
      </c>
      <c r="V185" s="230" t="n">
        <f aca="false">4*Таблица310[[#This Row],[Регистратор.Вес нетто]]/17220</f>
        <v>1.64924506387921</v>
      </c>
      <c r="W185" s="216" t="s">
        <v>325</v>
      </c>
      <c r="X185" s="216" t="s">
        <v>52</v>
      </c>
      <c r="Y185" s="198" t="n">
        <v>11</v>
      </c>
      <c r="Z185" s="221" t="n">
        <v>45816</v>
      </c>
      <c r="AA185" s="198"/>
      <c r="AB185" s="198"/>
      <c r="AC185" s="198" t="s">
        <v>302</v>
      </c>
      <c r="AD185" s="198" t="s">
        <v>417</v>
      </c>
      <c r="AE185" s="198" t="n">
        <v>281</v>
      </c>
      <c r="AF185" s="200" t="n">
        <v>45816</v>
      </c>
      <c r="AG185" s="198" t="n">
        <v>96</v>
      </c>
      <c r="AH185" s="198" t="n">
        <f aca="false">VLOOKUP(Таблица310[[#This Row],[№ акта]],'Степень зрелости 2025'!$H$13:$I$583,2,FALSE())</f>
        <v>57</v>
      </c>
      <c r="AI185" s="198" t="str">
        <f aca="false">VLOOKUP(Таблица310[[#This Row],[№ акта]],$AQ$1:$AT$594,2,FALSE())</f>
        <v>А-51</v>
      </c>
      <c r="AJ185" s="198" t="str">
        <f aca="false">Таблица310[[#This Row],[Регистратор.Номенклатура]]</f>
        <v>Прима</v>
      </c>
      <c r="AK185" s="198" t="str">
        <f aca="false">VLOOKUP(Таблица310[[#This Row],[№ акта]],$AQ$1:$AT$594,4,FALSE())</f>
        <v>ГРК демо (богара)</v>
      </c>
      <c r="AL185" s="230" t="n">
        <f aca="false">VLOOKUP(Таблица310[[#This Row],[№ акта]],$AQ$1:$AT$594,3,FALSE())</f>
        <v>1.64924506387921</v>
      </c>
      <c r="AM185" s="198" t="str">
        <f aca="false">IF(Таблица310[[#This Row],[Площадь уборки, га]]=Таблица310[[#This Row],[Площадь уборки до корр]],"нет","да")</f>
        <v>нет</v>
      </c>
      <c r="AN185" s="230" t="n">
        <f aca="false">Таблица310[[#This Row],[Площадь уборки до корр]]-Таблица310[[#This Row],[Площадь уборки, га]]</f>
        <v>0</v>
      </c>
      <c r="AQ185" s="0" t="n">
        <v>281</v>
      </c>
      <c r="AR185" s="0" t="s">
        <v>874</v>
      </c>
      <c r="AS185" s="0" t="n">
        <v>1.64924506387921</v>
      </c>
      <c r="AT185" s="0" t="s">
        <v>325</v>
      </c>
      <c r="XEM185" s="216"/>
      <c r="XEN185" s="217"/>
      <c r="XEO185" s="243"/>
      <c r="XEP185" s="218"/>
      <c r="XEQ185" s="244"/>
      <c r="XER185" s="217"/>
    </row>
    <row r="186" customFormat="false" ht="25.5" hidden="false" customHeight="true" outlineLevel="0" collapsed="false">
      <c r="A186" s="216"/>
      <c r="B186" s="217"/>
      <c r="C186" s="241" t="n">
        <f aca="false">Таблица310[[#This Row],[Степень зрелости вспом]]</f>
        <v>54</v>
      </c>
      <c r="D186" s="218" t="n">
        <v>282</v>
      </c>
      <c r="E186" s="219" t="n">
        <v>45816</v>
      </c>
      <c r="F186" s="217" t="n">
        <v>22640</v>
      </c>
      <c r="G186" s="217" t="n">
        <v>8060</v>
      </c>
      <c r="H186" s="220" t="n">
        <v>14580</v>
      </c>
      <c r="I186" s="217" t="n">
        <v>6891.3</v>
      </c>
      <c r="J186" s="216" t="s">
        <v>422</v>
      </c>
      <c r="K186" s="216" t="s">
        <v>66</v>
      </c>
      <c r="L186" s="216" t="s">
        <v>873</v>
      </c>
      <c r="M186" s="189" t="s">
        <v>363</v>
      </c>
      <c r="N186" s="198"/>
      <c r="O186" s="216"/>
      <c r="P186" s="216"/>
      <c r="Q186" s="216"/>
      <c r="R186" s="216" t="s">
        <v>364</v>
      </c>
      <c r="S186" s="198"/>
      <c r="T186" s="228" t="s">
        <v>874</v>
      </c>
      <c r="U186" s="195" t="str">
        <f aca="false">Таблица310[[#This Row],[Регистратор.Номенклатура]]</f>
        <v>Тиара</v>
      </c>
      <c r="V186" s="230" t="n">
        <f aca="false">3*Таблица310[[#This Row],[Регистратор.Вес нетто]]/17620</f>
        <v>1.37230419977299</v>
      </c>
      <c r="W186" s="216" t="s">
        <v>325</v>
      </c>
      <c r="X186" s="216" t="s">
        <v>52</v>
      </c>
      <c r="Y186" s="198" t="n">
        <v>11</v>
      </c>
      <c r="Z186" s="221" t="n">
        <v>45816</v>
      </c>
      <c r="AA186" s="198"/>
      <c r="AB186" s="198"/>
      <c r="AC186" s="198" t="s">
        <v>302</v>
      </c>
      <c r="AD186" s="198" t="s">
        <v>417</v>
      </c>
      <c r="AE186" s="198" t="n">
        <v>282</v>
      </c>
      <c r="AF186" s="200" t="n">
        <v>45816</v>
      </c>
      <c r="AG186" s="198" t="n">
        <v>96</v>
      </c>
      <c r="AH186" s="198" t="n">
        <f aca="false">VLOOKUP(Таблица310[[#This Row],[№ акта]],'Степень зрелости 2025'!$H$13:$I$583,2,FALSE())</f>
        <v>54</v>
      </c>
      <c r="AI186" s="198" t="str">
        <f aca="false">VLOOKUP(Таблица310[[#This Row],[№ акта]],$AQ$1:$AT$594,2,FALSE())</f>
        <v>А-51</v>
      </c>
      <c r="AJ186" s="198" t="str">
        <f aca="false">Таблица310[[#This Row],[Регистратор.Номенклатура]]</f>
        <v>Тиара</v>
      </c>
      <c r="AK186" s="198" t="str">
        <f aca="false">VLOOKUP(Таблица310[[#This Row],[№ акта]],$AQ$1:$AT$594,4,FALSE())</f>
        <v>ГРК демо (богара)</v>
      </c>
      <c r="AL186" s="230" t="n">
        <f aca="false">VLOOKUP(Таблица310[[#This Row],[№ акта]],$AQ$1:$AT$594,3,FALSE())</f>
        <v>1.37230419977299</v>
      </c>
      <c r="AM186" s="198" t="str">
        <f aca="false">IF(Таблица310[[#This Row],[Площадь уборки, га]]=Таблица310[[#This Row],[Площадь уборки до корр]],"нет","да")</f>
        <v>нет</v>
      </c>
      <c r="AN186" s="230" t="n">
        <f aca="false">Таблица310[[#This Row],[Площадь уборки до корр]]-Таблица310[[#This Row],[Площадь уборки, га]]</f>
        <v>0</v>
      </c>
      <c r="AQ186" s="0" t="n">
        <v>282</v>
      </c>
      <c r="AR186" s="0" t="s">
        <v>874</v>
      </c>
      <c r="AS186" s="0" t="n">
        <v>1.37230419977299</v>
      </c>
      <c r="AT186" s="0" t="s">
        <v>325</v>
      </c>
      <c r="XEM186" s="216"/>
      <c r="XEN186" s="217"/>
      <c r="XEO186" s="243"/>
      <c r="XEP186" s="218"/>
      <c r="XEQ186" s="244"/>
      <c r="XER186" s="217"/>
    </row>
    <row r="187" customFormat="false" ht="25.5" hidden="false" customHeight="true" outlineLevel="0" collapsed="false">
      <c r="A187" s="216"/>
      <c r="B187" s="217"/>
      <c r="C187" s="241" t="n">
        <f aca="false">Таблица310[[#This Row],[Степень зрелости вспом]]</f>
        <v>59</v>
      </c>
      <c r="D187" s="218" t="n">
        <v>283</v>
      </c>
      <c r="E187" s="219" t="n">
        <v>45816</v>
      </c>
      <c r="F187" s="217" t="n">
        <v>9220</v>
      </c>
      <c r="G187" s="217" t="n">
        <v>4640</v>
      </c>
      <c r="H187" s="220" t="n">
        <v>4580</v>
      </c>
      <c r="I187" s="217" t="n">
        <v>3967.2</v>
      </c>
      <c r="J187" s="216" t="s">
        <v>422</v>
      </c>
      <c r="K187" s="216" t="s">
        <v>876</v>
      </c>
      <c r="L187" s="216" t="s">
        <v>873</v>
      </c>
      <c r="M187" s="189" t="s">
        <v>374</v>
      </c>
      <c r="N187" s="198"/>
      <c r="O187" s="216"/>
      <c r="P187" s="216"/>
      <c r="Q187" s="216"/>
      <c r="R187" s="216" t="s">
        <v>375</v>
      </c>
      <c r="S187" s="198"/>
      <c r="T187" s="228" t="s">
        <v>874</v>
      </c>
      <c r="U187" s="195" t="str">
        <f aca="false">Таблица310[[#This Row],[Регистратор.Номенклатура]]</f>
        <v>Прима</v>
      </c>
      <c r="V187" s="230" t="n">
        <f aca="false">4*Таблица310[[#This Row],[Регистратор.Вес нетто]]/17220</f>
        <v>1.07781649245064</v>
      </c>
      <c r="W187" s="216" t="s">
        <v>325</v>
      </c>
      <c r="X187" s="216" t="s">
        <v>52</v>
      </c>
      <c r="Y187" s="198" t="n">
        <v>11</v>
      </c>
      <c r="Z187" s="221" t="n">
        <v>45816</v>
      </c>
      <c r="AA187" s="198"/>
      <c r="AB187" s="198"/>
      <c r="AC187" s="198" t="s">
        <v>302</v>
      </c>
      <c r="AD187" s="198" t="s">
        <v>417</v>
      </c>
      <c r="AE187" s="198" t="n">
        <v>283</v>
      </c>
      <c r="AF187" s="200" t="n">
        <v>45816</v>
      </c>
      <c r="AG187" s="198" t="n">
        <v>98</v>
      </c>
      <c r="AH187" s="198" t="n">
        <f aca="false">VLOOKUP(Таблица310[[#This Row],[№ акта]],'Степень зрелости 2025'!$H$13:$I$583,2,FALSE())</f>
        <v>59</v>
      </c>
      <c r="AI187" s="198" t="str">
        <f aca="false">VLOOKUP(Таблица310[[#This Row],[№ акта]],$AQ$1:$AT$594,2,FALSE())</f>
        <v>А-51</v>
      </c>
      <c r="AJ187" s="198" t="str">
        <f aca="false">Таблица310[[#This Row],[Регистратор.Номенклатура]]</f>
        <v>Прима</v>
      </c>
      <c r="AK187" s="198" t="str">
        <f aca="false">VLOOKUP(Таблица310[[#This Row],[№ акта]],$AQ$1:$AT$594,4,FALSE())</f>
        <v>ГРК демо (богара)</v>
      </c>
      <c r="AL187" s="230" t="n">
        <f aca="false">VLOOKUP(Таблица310[[#This Row],[№ акта]],$AQ$1:$AT$594,3,FALSE())</f>
        <v>1.07781649245064</v>
      </c>
      <c r="AM187" s="198" t="str">
        <f aca="false">IF(Таблица310[[#This Row],[Площадь уборки, га]]=Таблица310[[#This Row],[Площадь уборки до корр]],"нет","да")</f>
        <v>нет</v>
      </c>
      <c r="AN187" s="230" t="n">
        <f aca="false">Таблица310[[#This Row],[Площадь уборки до корр]]-Таблица310[[#This Row],[Площадь уборки, га]]</f>
        <v>0</v>
      </c>
      <c r="AQ187" s="0" t="n">
        <v>283</v>
      </c>
      <c r="AR187" s="0" t="s">
        <v>874</v>
      </c>
      <c r="AS187" s="0" t="n">
        <v>1.07781649245064</v>
      </c>
      <c r="AT187" s="0" t="s">
        <v>325</v>
      </c>
      <c r="XEM187" s="216"/>
      <c r="XEN187" s="217"/>
      <c r="XEO187" s="243"/>
      <c r="XEP187" s="218"/>
      <c r="XEQ187" s="244"/>
      <c r="XER187" s="217"/>
    </row>
    <row r="188" customFormat="false" ht="25.5" hidden="false" customHeight="true" outlineLevel="0" collapsed="false">
      <c r="A188" s="216"/>
      <c r="B188" s="217"/>
      <c r="C188" s="241" t="n">
        <f aca="false">Таблица310[[#This Row],[Степень зрелости вспом]]</f>
        <v>68</v>
      </c>
      <c r="D188" s="218" t="n">
        <v>284</v>
      </c>
      <c r="E188" s="219" t="n">
        <v>45816</v>
      </c>
      <c r="F188" s="217" t="n">
        <v>27940</v>
      </c>
      <c r="G188" s="217" t="n">
        <v>13640</v>
      </c>
      <c r="H188" s="220" t="n">
        <v>14300</v>
      </c>
      <c r="I188" s="217" t="n">
        <v>12071.4</v>
      </c>
      <c r="J188" s="216" t="s">
        <v>422</v>
      </c>
      <c r="K188" s="216" t="s">
        <v>252</v>
      </c>
      <c r="L188" s="216" t="s">
        <v>865</v>
      </c>
      <c r="M188" s="189" t="s">
        <v>376</v>
      </c>
      <c r="N188" s="198"/>
      <c r="O188" s="216"/>
      <c r="P188" s="216"/>
      <c r="Q188" s="216"/>
      <c r="R188" s="216" t="s">
        <v>377</v>
      </c>
      <c r="S188" s="198"/>
      <c r="T188" s="228" t="s">
        <v>865</v>
      </c>
      <c r="U188" s="195" t="str">
        <f aca="false">Таблица310[[#This Row],[Регистратор.Номенклатура]]</f>
        <v>Преладо</v>
      </c>
      <c r="V188" s="230" t="n">
        <f aca="false">35*Таблица310[[#This Row],[Регистратор.Вес нетто]]/105660</f>
        <v>4.51826613666477</v>
      </c>
      <c r="W188" s="216" t="s">
        <v>51</v>
      </c>
      <c r="X188" s="216" t="s">
        <v>52</v>
      </c>
      <c r="Y188" s="198" t="n">
        <v>11</v>
      </c>
      <c r="Z188" s="221" t="n">
        <v>45816</v>
      </c>
      <c r="AA188" s="198"/>
      <c r="AB188" s="198"/>
      <c r="AC188" s="198" t="s">
        <v>305</v>
      </c>
      <c r="AD188" s="198" t="s">
        <v>746</v>
      </c>
      <c r="AE188" s="198" t="n">
        <v>284</v>
      </c>
      <c r="AF188" s="200" t="n">
        <v>45816</v>
      </c>
      <c r="AG188" s="198" t="n">
        <v>99</v>
      </c>
      <c r="AH188" s="198" t="n">
        <f aca="false">VLOOKUP(Таблица310[[#This Row],[№ акта]],'Степень зрелости 2025'!$H$13:$I$583,2,FALSE())</f>
        <v>68</v>
      </c>
      <c r="AI188" s="198" t="str">
        <f aca="false">VLOOKUP(Таблица310[[#This Row],[№ акта]],$AQ$1:$AT$594,2,FALSE())</f>
        <v>А-67</v>
      </c>
      <c r="AJ188" s="198" t="str">
        <f aca="false">Таблица310[[#This Row],[Регистратор.Номенклатура]]</f>
        <v>Преладо</v>
      </c>
      <c r="AK188" s="198" t="str">
        <f aca="false">VLOOKUP(Таблица310[[#This Row],[№ акта]],$AQ$1:$AT$594,4,FALSE())</f>
        <v>ГРК (богара)</v>
      </c>
      <c r="AL188" s="230" t="n">
        <f aca="false">VLOOKUP(Таблица310[[#This Row],[№ акта]],$AQ$1:$AT$594,3,FALSE())</f>
        <v>4.51826613666477</v>
      </c>
      <c r="AM188" s="198" t="str">
        <f aca="false">IF(Таблица310[[#This Row],[Площадь уборки, га]]=Таблица310[[#This Row],[Площадь уборки до корр]],"нет","да")</f>
        <v>нет</v>
      </c>
      <c r="AN188" s="230" t="n">
        <f aca="false">Таблица310[[#This Row],[Площадь уборки до корр]]-Таблица310[[#This Row],[Площадь уборки, га]]</f>
        <v>0</v>
      </c>
      <c r="AQ188" s="0" t="n">
        <v>284</v>
      </c>
      <c r="AR188" s="0" t="s">
        <v>865</v>
      </c>
      <c r="AS188" s="0" t="n">
        <v>4.51826613666477</v>
      </c>
      <c r="AT188" s="0" t="s">
        <v>51</v>
      </c>
      <c r="XEM188" s="216"/>
      <c r="XEN188" s="217"/>
      <c r="XEO188" s="243"/>
      <c r="XEP188" s="218"/>
      <c r="XEQ188" s="244"/>
      <c r="XER188" s="217"/>
    </row>
    <row r="189" customFormat="false" ht="25.5" hidden="false" customHeight="true" outlineLevel="0" collapsed="false">
      <c r="A189" s="216"/>
      <c r="B189" s="217"/>
      <c r="C189" s="241" t="n">
        <f aca="false">Таблица310[[#This Row],[Степень зрелости вспом]]</f>
        <v>68</v>
      </c>
      <c r="D189" s="218" t="n">
        <v>285</v>
      </c>
      <c r="E189" s="219" t="n">
        <v>45817</v>
      </c>
      <c r="F189" s="217" t="n">
        <v>28390</v>
      </c>
      <c r="G189" s="217" t="n">
        <v>13470</v>
      </c>
      <c r="H189" s="220" t="n">
        <v>14920</v>
      </c>
      <c r="I189" s="217" t="n">
        <v>11516.8</v>
      </c>
      <c r="J189" s="216" t="s">
        <v>422</v>
      </c>
      <c r="K189" s="216" t="s">
        <v>252</v>
      </c>
      <c r="L189" s="216" t="s">
        <v>865</v>
      </c>
      <c r="M189" s="189" t="s">
        <v>371</v>
      </c>
      <c r="N189" s="198"/>
      <c r="O189" s="216"/>
      <c r="P189" s="216"/>
      <c r="Q189" s="216"/>
      <c r="R189" s="216" t="s">
        <v>372</v>
      </c>
      <c r="S189" s="198"/>
      <c r="T189" s="228" t="s">
        <v>865</v>
      </c>
      <c r="U189" s="195" t="str">
        <f aca="false">Таблица310[[#This Row],[Регистратор.Номенклатура]]</f>
        <v>Преладо</v>
      </c>
      <c r="V189" s="230" t="n">
        <f aca="false">79*Таблица310[[#This Row],[Регистратор.Вес нетто]]/100170</f>
        <v>10.623240491165</v>
      </c>
      <c r="W189" s="216" t="s">
        <v>51</v>
      </c>
      <c r="X189" s="216" t="s">
        <v>52</v>
      </c>
      <c r="Y189" s="198" t="n">
        <v>11</v>
      </c>
      <c r="Z189" s="221" t="n">
        <v>45816</v>
      </c>
      <c r="AA189" s="198"/>
      <c r="AB189" s="198" t="s">
        <v>877</v>
      </c>
      <c r="AC189" s="198" t="s">
        <v>305</v>
      </c>
      <c r="AD189" s="198" t="s">
        <v>746</v>
      </c>
      <c r="AE189" s="198" t="n">
        <v>285</v>
      </c>
      <c r="AF189" s="200" t="n">
        <v>45817</v>
      </c>
      <c r="AG189" s="198" t="n">
        <v>100</v>
      </c>
      <c r="AH189" s="198" t="n">
        <f aca="false">VLOOKUP(Таблица310[[#This Row],[№ акта]],'Степень зрелости 2025'!$H$13:$I$583,2,FALSE())</f>
        <v>68</v>
      </c>
      <c r="AI189" s="198" t="str">
        <f aca="false">VLOOKUP(Таблица310[[#This Row],[№ акта]],$AQ$1:$AT$594,2,FALSE())</f>
        <v>А-67</v>
      </c>
      <c r="AJ189" s="198" t="str">
        <f aca="false">Таблица310[[#This Row],[Регистратор.Номенклатура]]</f>
        <v>Преладо</v>
      </c>
      <c r="AK189" s="198" t="str">
        <f aca="false">VLOOKUP(Таблица310[[#This Row],[№ акта]],$AQ$1:$AT$594,4,FALSE())</f>
        <v>ГРК (богара)</v>
      </c>
      <c r="AL189" s="230" t="n">
        <f aca="false">VLOOKUP(Таблица310[[#This Row],[№ акта]],$AQ$1:$AT$594,3,FALSE())</f>
        <v>4.46195343554798</v>
      </c>
      <c r="AM189" s="198" t="str">
        <f aca="false">IF(Таблица310[[#This Row],[Площадь уборки, га]]=Таблица310[[#This Row],[Площадь уборки до корр]],"нет","да")</f>
        <v>да</v>
      </c>
      <c r="AN189" s="230" t="n">
        <f aca="false">Таблица310[[#This Row],[Площадь уборки до корр]]-Таблица310[[#This Row],[Площадь уборки, га]]</f>
        <v>-6.16128705561704</v>
      </c>
      <c r="AQ189" s="0" t="n">
        <v>285</v>
      </c>
      <c r="AR189" s="0" t="s">
        <v>865</v>
      </c>
      <c r="AS189" s="0" t="n">
        <v>4.46195343554798</v>
      </c>
      <c r="AT189" s="0" t="s">
        <v>51</v>
      </c>
      <c r="XEM189" s="216"/>
      <c r="XEN189" s="217"/>
      <c r="XEO189" s="243"/>
      <c r="XEP189" s="218"/>
      <c r="XEQ189" s="244"/>
      <c r="XER189" s="217"/>
    </row>
    <row r="190" customFormat="false" ht="25.5" hidden="false" customHeight="true" outlineLevel="0" collapsed="false">
      <c r="A190" s="216"/>
      <c r="B190" s="217"/>
      <c r="C190" s="241" t="n">
        <f aca="false">Таблица310[[#This Row],[Степень зрелости вспом]]</f>
        <v>60</v>
      </c>
      <c r="D190" s="218" t="n">
        <v>286</v>
      </c>
      <c r="E190" s="219" t="n">
        <v>45817</v>
      </c>
      <c r="F190" s="217" t="n">
        <v>28980</v>
      </c>
      <c r="G190" s="217" t="n">
        <v>8940</v>
      </c>
      <c r="H190" s="220" t="n">
        <v>20040</v>
      </c>
      <c r="I190" s="217" t="n">
        <v>6570.9</v>
      </c>
      <c r="J190" s="216" t="s">
        <v>422</v>
      </c>
      <c r="K190" s="216" t="s">
        <v>252</v>
      </c>
      <c r="L190" s="216" t="s">
        <v>865</v>
      </c>
      <c r="M190" s="189" t="s">
        <v>363</v>
      </c>
      <c r="N190" s="198"/>
      <c r="O190" s="216"/>
      <c r="P190" s="216"/>
      <c r="Q190" s="216"/>
      <c r="R190" s="216" t="s">
        <v>364</v>
      </c>
      <c r="S190" s="198"/>
      <c r="T190" s="228" t="s">
        <v>865</v>
      </c>
      <c r="U190" s="195" t="str">
        <f aca="false">Таблица310[[#This Row],[Регистратор.Номенклатура]]</f>
        <v>Преладо</v>
      </c>
      <c r="V190" s="230" t="n">
        <f aca="false">79*Таблица310[[#This Row],[Регистратор.Вес нетто]]/100170</f>
        <v>7.05061395627433</v>
      </c>
      <c r="W190" s="216" t="s">
        <v>51</v>
      </c>
      <c r="X190" s="216" t="s">
        <v>52</v>
      </c>
      <c r="Y190" s="198" t="n">
        <v>11</v>
      </c>
      <c r="Z190" s="221" t="n">
        <v>45816</v>
      </c>
      <c r="AA190" s="198"/>
      <c r="AB190" s="198" t="s">
        <v>877</v>
      </c>
      <c r="AC190" s="198" t="s">
        <v>302</v>
      </c>
      <c r="AD190" s="198" t="s">
        <v>417</v>
      </c>
      <c r="AE190" s="198" t="n">
        <v>286</v>
      </c>
      <c r="AF190" s="200" t="n">
        <v>45817</v>
      </c>
      <c r="AG190" s="198" t="n">
        <v>101</v>
      </c>
      <c r="AH190" s="198" t="n">
        <f aca="false">VLOOKUP(Таблица310[[#This Row],[№ акта]],'Степень зрелости 2025'!$H$13:$I$583,2,FALSE())</f>
        <v>60</v>
      </c>
      <c r="AI190" s="198" t="str">
        <f aca="false">VLOOKUP(Таблица310[[#This Row],[№ акта]],$AQ$1:$AT$594,2,FALSE())</f>
        <v>А-67</v>
      </c>
      <c r="AJ190" s="198" t="str">
        <f aca="false">Таблица310[[#This Row],[Регистратор.Номенклатура]]</f>
        <v>Преладо</v>
      </c>
      <c r="AK190" s="198" t="str">
        <f aca="false">VLOOKUP(Таблица310[[#This Row],[№ акта]],$AQ$1:$AT$594,4,FALSE())</f>
        <v>ГРК (богара)</v>
      </c>
      <c r="AL190" s="230" t="n">
        <f aca="false">VLOOKUP(Таблица310[[#This Row],[№ акта]],$AQ$1:$AT$594,3,FALSE())</f>
        <v>2.96138557637706</v>
      </c>
      <c r="AM190" s="198" t="str">
        <f aca="false">IF(Таблица310[[#This Row],[Площадь уборки, га]]=Таблица310[[#This Row],[Площадь уборки до корр]],"нет","да")</f>
        <v>да</v>
      </c>
      <c r="AN190" s="230" t="n">
        <f aca="false">Таблица310[[#This Row],[Площадь уборки до корр]]-Таблица310[[#This Row],[Площадь уборки, га]]</f>
        <v>-4.08922837989728</v>
      </c>
      <c r="AQ190" s="0" t="n">
        <v>286</v>
      </c>
      <c r="AR190" s="0" t="s">
        <v>865</v>
      </c>
      <c r="AS190" s="0" t="n">
        <v>2.96138557637706</v>
      </c>
      <c r="AT190" s="0" t="s">
        <v>51</v>
      </c>
      <c r="XEM190" s="216"/>
      <c r="XEN190" s="217"/>
      <c r="XEO190" s="243"/>
      <c r="XEP190" s="218"/>
      <c r="XEQ190" s="244"/>
      <c r="XER190" s="217"/>
    </row>
    <row r="191" customFormat="false" ht="25.5" hidden="false" customHeight="true" outlineLevel="0" collapsed="false">
      <c r="A191" s="216"/>
      <c r="B191" s="217"/>
      <c r="C191" s="241" t="n">
        <f aca="false">Таблица310[[#This Row],[Степень зрелости вспом]]</f>
        <v>59</v>
      </c>
      <c r="D191" s="218" t="n">
        <v>287</v>
      </c>
      <c r="E191" s="219" t="n">
        <v>45817</v>
      </c>
      <c r="F191" s="217" t="n">
        <v>20040</v>
      </c>
      <c r="G191" s="217" t="n">
        <v>5480</v>
      </c>
      <c r="H191" s="220" t="n">
        <v>14560</v>
      </c>
      <c r="I191" s="217" t="n">
        <v>4630.6</v>
      </c>
      <c r="J191" s="216" t="s">
        <v>422</v>
      </c>
      <c r="K191" s="216" t="s">
        <v>876</v>
      </c>
      <c r="L191" s="216" t="s">
        <v>873</v>
      </c>
      <c r="M191" s="189" t="s">
        <v>363</v>
      </c>
      <c r="N191" s="198"/>
      <c r="O191" s="216"/>
      <c r="P191" s="216"/>
      <c r="Q191" s="216"/>
      <c r="R191" s="216" t="s">
        <v>364</v>
      </c>
      <c r="S191" s="198"/>
      <c r="T191" s="228" t="s">
        <v>874</v>
      </c>
      <c r="U191" s="195" t="str">
        <f aca="false">Таблица310[[#This Row],[Регистратор.Номенклатура]]</f>
        <v>Прима</v>
      </c>
      <c r="V191" s="230" t="n">
        <f aca="false">4*Таблица310[[#This Row],[Регистратор.Вес нетто]]/17220</f>
        <v>1.27293844367015</v>
      </c>
      <c r="W191" s="216" t="s">
        <v>325</v>
      </c>
      <c r="X191" s="216" t="s">
        <v>52</v>
      </c>
      <c r="Y191" s="198" t="n">
        <v>11</v>
      </c>
      <c r="Z191" s="221" t="n">
        <v>45816</v>
      </c>
      <c r="AA191" s="198"/>
      <c r="AB191" s="198"/>
      <c r="AC191" s="198" t="s">
        <v>302</v>
      </c>
      <c r="AD191" s="198" t="s">
        <v>417</v>
      </c>
      <c r="AE191" s="198" t="n">
        <v>287</v>
      </c>
      <c r="AF191" s="200" t="n">
        <v>45817</v>
      </c>
      <c r="AG191" s="198" t="n">
        <v>101</v>
      </c>
      <c r="AH191" s="198" t="n">
        <f aca="false">VLOOKUP(Таблица310[[#This Row],[№ акта]],'Степень зрелости 2025'!$H$13:$I$583,2,FALSE())</f>
        <v>59</v>
      </c>
      <c r="AI191" s="198" t="str">
        <f aca="false">VLOOKUP(Таблица310[[#This Row],[№ акта]],$AQ$1:$AT$594,2,FALSE())</f>
        <v>А-51</v>
      </c>
      <c r="AJ191" s="198" t="str">
        <f aca="false">Таблица310[[#This Row],[Регистратор.Номенклатура]]</f>
        <v>Прима</v>
      </c>
      <c r="AK191" s="198" t="str">
        <f aca="false">VLOOKUP(Таблица310[[#This Row],[№ акта]],$AQ$1:$AT$594,4,FALSE())</f>
        <v>ГРК демо (богара)</v>
      </c>
      <c r="AL191" s="230" t="n">
        <f aca="false">VLOOKUP(Таблица310[[#This Row],[№ акта]],$AQ$1:$AT$594,3,FALSE())</f>
        <v>1.27293844367015</v>
      </c>
      <c r="AM191" s="198" t="str">
        <f aca="false">IF(Таблица310[[#This Row],[Площадь уборки, га]]=Таблица310[[#This Row],[Площадь уборки до корр]],"нет","да")</f>
        <v>нет</v>
      </c>
      <c r="AN191" s="230" t="n">
        <f aca="false">Таблица310[[#This Row],[Площадь уборки до корр]]-Таблица310[[#This Row],[Площадь уборки, га]]</f>
        <v>0</v>
      </c>
      <c r="AQ191" s="0" t="n">
        <v>287</v>
      </c>
      <c r="AR191" s="0" t="s">
        <v>874</v>
      </c>
      <c r="AS191" s="0" t="n">
        <v>1.27293844367015</v>
      </c>
      <c r="AT191" s="0" t="s">
        <v>325</v>
      </c>
      <c r="XEM191" s="216"/>
      <c r="XEN191" s="217"/>
      <c r="XEO191" s="243"/>
      <c r="XEP191" s="218"/>
      <c r="XEQ191" s="244"/>
      <c r="XER191" s="217"/>
    </row>
    <row r="192" customFormat="false" ht="25.5" hidden="false" customHeight="true" outlineLevel="0" collapsed="false">
      <c r="A192" s="216"/>
      <c r="B192" s="217"/>
      <c r="C192" s="241" t="n">
        <f aca="false">Таблица310[[#This Row],[Степень зрелости вспом]]</f>
        <v>62</v>
      </c>
      <c r="D192" s="218" t="n">
        <v>288</v>
      </c>
      <c r="E192" s="219" t="n">
        <v>45817</v>
      </c>
      <c r="F192" s="217" t="n">
        <v>29040</v>
      </c>
      <c r="G192" s="217" t="n">
        <v>14080</v>
      </c>
      <c r="H192" s="220" t="n">
        <v>14960</v>
      </c>
      <c r="I192" s="217" t="n">
        <v>10278.4</v>
      </c>
      <c r="J192" s="216" t="s">
        <v>422</v>
      </c>
      <c r="K192" s="216" t="s">
        <v>252</v>
      </c>
      <c r="L192" s="216" t="s">
        <v>865</v>
      </c>
      <c r="M192" s="189" t="s">
        <v>457</v>
      </c>
      <c r="N192" s="198"/>
      <c r="O192" s="216"/>
      <c r="P192" s="216"/>
      <c r="Q192" s="216"/>
      <c r="R192" s="216" t="s">
        <v>366</v>
      </c>
      <c r="S192" s="198"/>
      <c r="T192" s="228" t="s">
        <v>865</v>
      </c>
      <c r="U192" s="195" t="str">
        <f aca="false">Таблица310[[#This Row],[Регистратор.Номенклатура]]</f>
        <v>Преладо</v>
      </c>
      <c r="V192" s="230" t="n">
        <f aca="false">79*Таблица310[[#This Row],[Регистратор.Вес нетто]]/100170</f>
        <v>11.1043226514925</v>
      </c>
      <c r="W192" s="216" t="s">
        <v>51</v>
      </c>
      <c r="X192" s="216" t="s">
        <v>52</v>
      </c>
      <c r="Y192" s="198" t="n">
        <v>11</v>
      </c>
      <c r="Z192" s="221" t="n">
        <v>45816</v>
      </c>
      <c r="AA192" s="198"/>
      <c r="AB192" s="198" t="s">
        <v>877</v>
      </c>
      <c r="AC192" s="198" t="s">
        <v>302</v>
      </c>
      <c r="AD192" s="198" t="s">
        <v>417</v>
      </c>
      <c r="AE192" s="198" t="n">
        <v>288</v>
      </c>
      <c r="AF192" s="200" t="n">
        <v>45817</v>
      </c>
      <c r="AG192" s="198" t="n">
        <v>102</v>
      </c>
      <c r="AH192" s="198" t="n">
        <f aca="false">VLOOKUP(Таблица310[[#This Row],[№ акта]],'Степень зрелости 2025'!$H$13:$I$583,2,FALSE())</f>
        <v>62</v>
      </c>
      <c r="AI192" s="198" t="str">
        <f aca="false">VLOOKUP(Таблица310[[#This Row],[№ акта]],$AQ$1:$AT$594,2,FALSE())</f>
        <v>А-67</v>
      </c>
      <c r="AJ192" s="198" t="str">
        <f aca="false">Таблица310[[#This Row],[Регистратор.Номенклатура]]</f>
        <v>Преладо</v>
      </c>
      <c r="AK192" s="198" t="str">
        <f aca="false">VLOOKUP(Таблица310[[#This Row],[№ акта]],$AQ$1:$AT$594,4,FALSE())</f>
        <v>ГРК (богара)</v>
      </c>
      <c r="AL192" s="230" t="n">
        <f aca="false">VLOOKUP(Таблица310[[#This Row],[№ акта]],$AQ$1:$AT$594,3,FALSE())</f>
        <v>4.66401665720235</v>
      </c>
      <c r="AM192" s="198" t="str">
        <f aca="false">IF(Таблица310[[#This Row],[Площадь уборки, га]]=Таблица310[[#This Row],[Площадь уборки до корр]],"нет","да")</f>
        <v>да</v>
      </c>
      <c r="AN192" s="230" t="n">
        <f aca="false">Таблица310[[#This Row],[Площадь уборки до корр]]-Таблица310[[#This Row],[Площадь уборки, га]]</f>
        <v>-6.44030599429012</v>
      </c>
      <c r="AQ192" s="0" t="n">
        <v>288</v>
      </c>
      <c r="AR192" s="0" t="s">
        <v>865</v>
      </c>
      <c r="AS192" s="0" t="n">
        <v>4.66401665720235</v>
      </c>
      <c r="AT192" s="0" t="s">
        <v>51</v>
      </c>
      <c r="XEM192" s="216"/>
      <c r="XEN192" s="217"/>
      <c r="XEO192" s="243"/>
      <c r="XEP192" s="218"/>
      <c r="XEQ192" s="244"/>
      <c r="XER192" s="217"/>
    </row>
    <row r="193" customFormat="false" ht="25.5" hidden="false" customHeight="true" outlineLevel="0" collapsed="false">
      <c r="A193" s="216"/>
      <c r="B193" s="217"/>
      <c r="C193" s="241" t="n">
        <f aca="false">Таблица310[[#This Row],[Степень зрелости вспом]]</f>
        <v>62</v>
      </c>
      <c r="D193" s="218" t="n">
        <v>289</v>
      </c>
      <c r="E193" s="219" t="n">
        <v>45817</v>
      </c>
      <c r="F193" s="217" t="n">
        <v>7930</v>
      </c>
      <c r="G193" s="217" t="n">
        <v>3360</v>
      </c>
      <c r="H193" s="220" t="n">
        <v>4570</v>
      </c>
      <c r="I193" s="217" t="n">
        <v>2973.6</v>
      </c>
      <c r="J193" s="216" t="s">
        <v>422</v>
      </c>
      <c r="K193" s="216" t="s">
        <v>252</v>
      </c>
      <c r="L193" s="216" t="s">
        <v>865</v>
      </c>
      <c r="M193" s="189" t="s">
        <v>374</v>
      </c>
      <c r="N193" s="198"/>
      <c r="O193" s="216"/>
      <c r="P193" s="216"/>
      <c r="Q193" s="216"/>
      <c r="R193" s="216" t="s">
        <v>375</v>
      </c>
      <c r="S193" s="198"/>
      <c r="T193" s="228" t="s">
        <v>865</v>
      </c>
      <c r="U193" s="195" t="str">
        <f aca="false">Таблица310[[#This Row],[Регистратор.Номенклатура]]</f>
        <v>Преладо</v>
      </c>
      <c r="V193" s="230" t="n">
        <f aca="false">79*Таблица310[[#This Row],[Регистратор.Вес нетто]]/100170</f>
        <v>2.64989517819707</v>
      </c>
      <c r="W193" s="216" t="s">
        <v>51</v>
      </c>
      <c r="X193" s="216" t="s">
        <v>52</v>
      </c>
      <c r="Y193" s="198" t="n">
        <v>11</v>
      </c>
      <c r="Z193" s="221" t="n">
        <v>45816</v>
      </c>
      <c r="AA193" s="198"/>
      <c r="AB193" s="198" t="s">
        <v>877</v>
      </c>
      <c r="AC193" s="198" t="s">
        <v>302</v>
      </c>
      <c r="AD193" s="198" t="s">
        <v>417</v>
      </c>
      <c r="AE193" s="198" t="n">
        <v>289</v>
      </c>
      <c r="AF193" s="200" t="n">
        <v>45817</v>
      </c>
      <c r="AG193" s="198" t="n">
        <v>103</v>
      </c>
      <c r="AH193" s="198" t="n">
        <f aca="false">VLOOKUP(Таблица310[[#This Row],[№ акта]],'Степень зрелости 2025'!$H$13:$I$583,2,FALSE())</f>
        <v>62</v>
      </c>
      <c r="AI193" s="198" t="str">
        <f aca="false">VLOOKUP(Таблица310[[#This Row],[№ акта]],$AQ$1:$AT$594,2,FALSE())</f>
        <v>А-67</v>
      </c>
      <c r="AJ193" s="198" t="str">
        <f aca="false">Таблица310[[#This Row],[Регистратор.Номенклатура]]</f>
        <v>Преладо</v>
      </c>
      <c r="AK193" s="198" t="str">
        <f aca="false">VLOOKUP(Таблица310[[#This Row],[№ акта]],$AQ$1:$AT$594,4,FALSE())</f>
        <v>ГРК (богара)</v>
      </c>
      <c r="AL193" s="230" t="n">
        <f aca="false">VLOOKUP(Таблица310[[#This Row],[№ акта]],$AQ$1:$AT$594,3,FALSE())</f>
        <v>1.1130039750142</v>
      </c>
      <c r="AM193" s="198" t="str">
        <f aca="false">IF(Таблица310[[#This Row],[Площадь уборки, га]]=Таблица310[[#This Row],[Площадь уборки до корр]],"нет","да")</f>
        <v>да</v>
      </c>
      <c r="AN193" s="230" t="n">
        <f aca="false">Таблица310[[#This Row],[Площадь уборки до корр]]-Таблица310[[#This Row],[Площадь уборки, га]]</f>
        <v>-1.53689120318287</v>
      </c>
      <c r="AQ193" s="0" t="n">
        <v>289</v>
      </c>
      <c r="AR193" s="0" t="s">
        <v>865</v>
      </c>
      <c r="AS193" s="0" t="n">
        <v>1.1130039750142</v>
      </c>
      <c r="AT193" s="0" t="s">
        <v>51</v>
      </c>
      <c r="XEM193" s="216"/>
      <c r="XEN193" s="217"/>
      <c r="XEO193" s="243"/>
      <c r="XEP193" s="218"/>
      <c r="XEQ193" s="244"/>
      <c r="XER193" s="217"/>
    </row>
    <row r="194" customFormat="false" ht="25.5" hidden="false" customHeight="true" outlineLevel="0" collapsed="false">
      <c r="A194" s="216"/>
      <c r="B194" s="217"/>
      <c r="C194" s="241" t="n">
        <f aca="false">Таблица310[[#This Row],[Степень зрелости вспом]]</f>
        <v>64</v>
      </c>
      <c r="D194" s="218" t="n">
        <v>290</v>
      </c>
      <c r="E194" s="219" t="n">
        <v>45817</v>
      </c>
      <c r="F194" s="217" t="n">
        <v>29700</v>
      </c>
      <c r="G194" s="217" t="n">
        <v>15410</v>
      </c>
      <c r="H194" s="220" t="n">
        <v>14290</v>
      </c>
      <c r="I194" s="217" t="n">
        <v>13406.7</v>
      </c>
      <c r="J194" s="216" t="s">
        <v>422</v>
      </c>
      <c r="K194" s="216" t="s">
        <v>252</v>
      </c>
      <c r="L194" s="216" t="s">
        <v>865</v>
      </c>
      <c r="M194" s="189" t="s">
        <v>376</v>
      </c>
      <c r="N194" s="198"/>
      <c r="O194" s="216"/>
      <c r="P194" s="216"/>
      <c r="Q194" s="216"/>
      <c r="R194" s="216" t="s">
        <v>377</v>
      </c>
      <c r="S194" s="198"/>
      <c r="T194" s="228" t="s">
        <v>865</v>
      </c>
      <c r="U194" s="195" t="str">
        <f aca="false">Таблица310[[#This Row],[Регистратор.Номенклатура]]</f>
        <v>Преладо</v>
      </c>
      <c r="V194" s="230" t="n">
        <f aca="false">79*Таблица310[[#This Row],[Регистратор.Вес нетто]]/100170</f>
        <v>12.1532394928621</v>
      </c>
      <c r="W194" s="216" t="s">
        <v>51</v>
      </c>
      <c r="X194" s="216" t="s">
        <v>52</v>
      </c>
      <c r="Y194" s="198" t="n">
        <v>11</v>
      </c>
      <c r="Z194" s="221" t="n">
        <v>45816</v>
      </c>
      <c r="AA194" s="198"/>
      <c r="AB194" s="198" t="s">
        <v>877</v>
      </c>
      <c r="AC194" s="198" t="s">
        <v>304</v>
      </c>
      <c r="AD194" s="198" t="s">
        <v>746</v>
      </c>
      <c r="AE194" s="198" t="n">
        <v>290</v>
      </c>
      <c r="AF194" s="200" t="n">
        <v>45817</v>
      </c>
      <c r="AG194" s="198" t="n">
        <v>104</v>
      </c>
      <c r="AH194" s="198" t="n">
        <f aca="false">VLOOKUP(Таблица310[[#This Row],[№ акта]],'Степень зрелости 2025'!$H$13:$I$583,2,FALSE())</f>
        <v>64</v>
      </c>
      <c r="AI194" s="198" t="str">
        <f aca="false">VLOOKUP(Таблица310[[#This Row],[№ акта]],$AQ$1:$AT$594,2,FALSE())</f>
        <v>А-67</v>
      </c>
      <c r="AJ194" s="198" t="str">
        <f aca="false">Таблица310[[#This Row],[Регистратор.Номенклатура]]</f>
        <v>Преладо</v>
      </c>
      <c r="AK194" s="198" t="str">
        <f aca="false">VLOOKUP(Таблица310[[#This Row],[№ акта]],$AQ$1:$AT$594,4,FALSE())</f>
        <v>ГРК (богара)</v>
      </c>
      <c r="AL194" s="230" t="n">
        <f aca="false">VLOOKUP(Таблица310[[#This Row],[№ акта]],$AQ$1:$AT$594,3,FALSE())</f>
        <v>5.10458073064547</v>
      </c>
      <c r="AM194" s="198" t="str">
        <f aca="false">IF(Таблица310[[#This Row],[Площадь уборки, га]]=Таблица310[[#This Row],[Площадь уборки до корр]],"нет","да")</f>
        <v>да</v>
      </c>
      <c r="AN194" s="230" t="n">
        <f aca="false">Таблица310[[#This Row],[Площадь уборки до корр]]-Таблица310[[#This Row],[Площадь уборки, га]]</f>
        <v>-7.04865876221667</v>
      </c>
      <c r="AQ194" s="0" t="n">
        <v>290</v>
      </c>
      <c r="AR194" s="0" t="s">
        <v>865</v>
      </c>
      <c r="AS194" s="0" t="n">
        <v>5.10458073064547</v>
      </c>
      <c r="AT194" s="0" t="s">
        <v>51</v>
      </c>
      <c r="XEM194" s="216"/>
      <c r="XEN194" s="217"/>
      <c r="XEO194" s="243"/>
      <c r="XEP194" s="218"/>
      <c r="XEQ194" s="244"/>
      <c r="XER194" s="217"/>
    </row>
    <row r="195" customFormat="false" ht="25.5" hidden="false" customHeight="true" outlineLevel="0" collapsed="false">
      <c r="A195" s="216"/>
      <c r="B195" s="217"/>
      <c r="C195" s="241" t="n">
        <v>52</v>
      </c>
      <c r="D195" s="218" t="n">
        <v>291</v>
      </c>
      <c r="E195" s="219" t="n">
        <v>45814</v>
      </c>
      <c r="F195" s="217" t="n">
        <v>31330</v>
      </c>
      <c r="G195" s="217" t="n">
        <v>13470</v>
      </c>
      <c r="H195" s="220" t="n">
        <v>17860</v>
      </c>
      <c r="I195" s="217" t="n">
        <v>11105.4</v>
      </c>
      <c r="J195" s="216" t="s">
        <v>422</v>
      </c>
      <c r="K195" s="216" t="s">
        <v>47</v>
      </c>
      <c r="L195" s="216" t="s">
        <v>730</v>
      </c>
      <c r="M195" s="189" t="s">
        <v>602</v>
      </c>
      <c r="N195" s="198"/>
      <c r="O195" s="216"/>
      <c r="P195" s="216"/>
      <c r="Q195" s="216"/>
      <c r="R195" s="216" t="s">
        <v>606</v>
      </c>
      <c r="S195" s="198"/>
      <c r="T195" s="228" t="s">
        <v>730</v>
      </c>
      <c r="U195" s="195" t="str">
        <f aca="false">Таблица310[[#This Row],[Регистратор.Номенклатура]]</f>
        <v>Авола</v>
      </c>
      <c r="V195" s="230" t="n">
        <f aca="false">14*Таблица310[[#This Row],[Регистратор.Вес нетто]]/64630</f>
        <v>2.91784001237815</v>
      </c>
      <c r="W195" s="216" t="s">
        <v>51</v>
      </c>
      <c r="X195" s="216" t="s">
        <v>52</v>
      </c>
      <c r="Y195" s="198" t="n">
        <v>9</v>
      </c>
      <c r="Z195" s="221" t="n">
        <v>45814</v>
      </c>
      <c r="AA195" s="231" t="n">
        <f aca="false">Таблица310[[#This Row],[Регистратор.Вес нетто]]</f>
        <v>13470</v>
      </c>
      <c r="AB195" s="198" t="s">
        <v>608</v>
      </c>
      <c r="AC195" s="198" t="s">
        <v>53</v>
      </c>
      <c r="AD195" s="198" t="s">
        <v>417</v>
      </c>
      <c r="AE195" s="198" t="n">
        <v>291</v>
      </c>
      <c r="AF195" s="200" t="n">
        <v>45814</v>
      </c>
      <c r="AG195" s="198" t="s">
        <v>878</v>
      </c>
      <c r="AH195" s="198" t="n">
        <f aca="false">VLOOKUP(Таблица310[[#This Row],[№ акта]],'Степень зрелости 2025'!$H$13:$I$583,2,FALSE())</f>
        <v>0</v>
      </c>
      <c r="AI195" s="198" t="str">
        <f aca="false">VLOOKUP(Таблица310[[#This Row],[№ акта]],$AQ$1:$AT$594,2,FALSE())</f>
        <v>А-57</v>
      </c>
      <c r="AJ195" s="198" t="str">
        <f aca="false">Таблица310[[#This Row],[Регистратор.Номенклатура]]</f>
        <v>Авола</v>
      </c>
      <c r="AK195" s="198" t="str">
        <f aca="false">VLOOKUP(Таблица310[[#This Row],[№ акта]],$AQ$1:$AT$594,4,FALSE())</f>
        <v>ГРК (богара)</v>
      </c>
      <c r="AL195" s="230" t="n">
        <f aca="false">VLOOKUP(Таблица310[[#This Row],[№ акта]],$AQ$1:$AT$594,3,FALSE())</f>
        <v>2.91784001237815</v>
      </c>
      <c r="AM195" s="198" t="str">
        <f aca="false">IF(Таблица310[[#This Row],[Площадь уборки, га]]=Таблица310[[#This Row],[Площадь уборки до корр]],"нет","да")</f>
        <v>нет</v>
      </c>
      <c r="AN195" s="230" t="n">
        <f aca="false">Таблица310[[#This Row],[Площадь уборки до корр]]-Таблица310[[#This Row],[Площадь уборки, га]]</f>
        <v>0</v>
      </c>
      <c r="AQ195" s="0" t="n">
        <v>291</v>
      </c>
      <c r="AR195" s="0" t="s">
        <v>730</v>
      </c>
      <c r="AS195" s="0" t="n">
        <v>2.91784001237815</v>
      </c>
      <c r="AT195" s="0" t="s">
        <v>51</v>
      </c>
      <c r="XEM195" s="216"/>
      <c r="XEN195" s="217"/>
      <c r="XEO195" s="243"/>
      <c r="XEP195" s="218"/>
      <c r="XEQ195" s="244"/>
      <c r="XER195" s="217"/>
    </row>
    <row r="196" customFormat="false" ht="25.5" hidden="false" customHeight="true" outlineLevel="0" collapsed="false">
      <c r="A196" s="216"/>
      <c r="B196" s="217"/>
      <c r="C196" s="241" t="n">
        <v>56</v>
      </c>
      <c r="D196" s="218" t="n">
        <v>292</v>
      </c>
      <c r="E196" s="219" t="n">
        <v>45814</v>
      </c>
      <c r="F196" s="217" t="n">
        <v>30930</v>
      </c>
      <c r="G196" s="217" t="n">
        <v>13980</v>
      </c>
      <c r="H196" s="220" t="n">
        <v>16950</v>
      </c>
      <c r="I196" s="217" t="n">
        <v>11587</v>
      </c>
      <c r="J196" s="216" t="s">
        <v>761</v>
      </c>
      <c r="K196" s="216" t="s">
        <v>47</v>
      </c>
      <c r="L196" s="216" t="s">
        <v>730</v>
      </c>
      <c r="M196" s="189" t="s">
        <v>610</v>
      </c>
      <c r="N196" s="198"/>
      <c r="O196" s="216"/>
      <c r="P196" s="216"/>
      <c r="Q196" s="216"/>
      <c r="R196" s="216" t="s">
        <v>614</v>
      </c>
      <c r="S196" s="198"/>
      <c r="T196" s="228" t="s">
        <v>730</v>
      </c>
      <c r="U196" s="195" t="str">
        <f aca="false">Таблица310[[#This Row],[Регистратор.Номенклатура]]</f>
        <v>Авола</v>
      </c>
      <c r="V196" s="230" t="n">
        <f aca="false">14*Таблица310[[#This Row],[Регистратор.Вес нетто]]/64630</f>
        <v>3.02831502398267</v>
      </c>
      <c r="W196" s="216" t="s">
        <v>51</v>
      </c>
      <c r="X196" s="216" t="s">
        <v>52</v>
      </c>
      <c r="Y196" s="198" t="n">
        <v>9</v>
      </c>
      <c r="Z196" s="221" t="n">
        <v>45814</v>
      </c>
      <c r="AA196" s="231" t="n">
        <f aca="false">Таблица310[[#This Row],[Регистратор.Вес нетто]]</f>
        <v>13980</v>
      </c>
      <c r="AB196" s="198" t="s">
        <v>608</v>
      </c>
      <c r="AC196" s="198" t="s">
        <v>302</v>
      </c>
      <c r="AD196" s="198" t="s">
        <v>417</v>
      </c>
      <c r="AE196" s="198" t="n">
        <v>292</v>
      </c>
      <c r="AF196" s="200" t="n">
        <v>45814</v>
      </c>
      <c r="AG196" s="198" t="s">
        <v>879</v>
      </c>
      <c r="AH196" s="198" t="n">
        <f aca="false">VLOOKUP(Таблица310[[#This Row],[№ акта]],'Степень зрелости 2025'!$H$13:$I$583,2,FALSE())</f>
        <v>0</v>
      </c>
      <c r="AI196" s="198" t="str">
        <f aca="false">VLOOKUP(Таблица310[[#This Row],[№ акта]],$AQ$1:$AT$594,2,FALSE())</f>
        <v>А-57</v>
      </c>
      <c r="AJ196" s="198" t="str">
        <f aca="false">Таблица310[[#This Row],[Регистратор.Номенклатура]]</f>
        <v>Авола</v>
      </c>
      <c r="AK196" s="198" t="str">
        <f aca="false">VLOOKUP(Таблица310[[#This Row],[№ акта]],$AQ$1:$AT$594,4,FALSE())</f>
        <v>ГРК (богара)</v>
      </c>
      <c r="AL196" s="230" t="n">
        <f aca="false">VLOOKUP(Таблица310[[#This Row],[№ акта]],$AQ$1:$AT$594,3,FALSE())</f>
        <v>3.02831502398267</v>
      </c>
      <c r="AM196" s="198" t="str">
        <f aca="false">IF(Таблица310[[#This Row],[Площадь уборки, га]]=Таблица310[[#This Row],[Площадь уборки до корр]],"нет","да")</f>
        <v>нет</v>
      </c>
      <c r="AN196" s="230" t="n">
        <f aca="false">Таблица310[[#This Row],[Площадь уборки до корр]]-Таблица310[[#This Row],[Площадь уборки, га]]</f>
        <v>0</v>
      </c>
      <c r="AQ196" s="0" t="n">
        <v>292</v>
      </c>
      <c r="AR196" s="0" t="s">
        <v>730</v>
      </c>
      <c r="AS196" s="0" t="n">
        <v>3.02831502398267</v>
      </c>
      <c r="AT196" s="0" t="s">
        <v>51</v>
      </c>
      <c r="XEM196" s="216"/>
      <c r="XEN196" s="217"/>
      <c r="XEO196" s="243"/>
      <c r="XEP196" s="218"/>
      <c r="XEQ196" s="244"/>
      <c r="XER196" s="217"/>
    </row>
    <row r="197" customFormat="false" ht="25.5" hidden="false" customHeight="true" outlineLevel="0" collapsed="false">
      <c r="A197" s="216"/>
      <c r="B197" s="217"/>
      <c r="C197" s="241" t="n">
        <v>57</v>
      </c>
      <c r="D197" s="218" t="n">
        <v>293</v>
      </c>
      <c r="E197" s="219" t="n">
        <v>45814</v>
      </c>
      <c r="F197" s="217" t="n">
        <v>32070</v>
      </c>
      <c r="G197" s="217" t="n">
        <v>15360</v>
      </c>
      <c r="H197" s="220" t="n">
        <v>16710</v>
      </c>
      <c r="I197" s="217" t="n">
        <v>12544.9</v>
      </c>
      <c r="J197" s="216" t="s">
        <v>422</v>
      </c>
      <c r="K197" s="216" t="s">
        <v>47</v>
      </c>
      <c r="L197" s="216" t="s">
        <v>730</v>
      </c>
      <c r="M197" s="189" t="s">
        <v>677</v>
      </c>
      <c r="N197" s="198"/>
      <c r="O197" s="216"/>
      <c r="P197" s="216"/>
      <c r="Q197" s="216"/>
      <c r="R197" s="216" t="s">
        <v>681</v>
      </c>
      <c r="S197" s="198"/>
      <c r="T197" s="228" t="s">
        <v>730</v>
      </c>
      <c r="U197" s="195" t="str">
        <f aca="false">Таблица310[[#This Row],[Регистратор.Номенклатура]]</f>
        <v>Авола</v>
      </c>
      <c r="V197" s="230" t="n">
        <f aca="false">14*Таблица310[[#This Row],[Регистратор.Вес нетто]]/64630</f>
        <v>3.32724740832431</v>
      </c>
      <c r="W197" s="216" t="s">
        <v>51</v>
      </c>
      <c r="X197" s="216" t="s">
        <v>52</v>
      </c>
      <c r="Y197" s="198" t="n">
        <v>9</v>
      </c>
      <c r="Z197" s="221" t="n">
        <v>45814</v>
      </c>
      <c r="AA197" s="231" t="n">
        <f aca="false">Таблица310[[#This Row],[Регистратор.Вес нетто]]</f>
        <v>15360</v>
      </c>
      <c r="AB197" s="198" t="s">
        <v>608</v>
      </c>
      <c r="AC197" s="198" t="s">
        <v>302</v>
      </c>
      <c r="AD197" s="198" t="s">
        <v>417</v>
      </c>
      <c r="AE197" s="198" t="n">
        <v>293</v>
      </c>
      <c r="AF197" s="200" t="n">
        <v>45814</v>
      </c>
      <c r="AG197" s="198" t="s">
        <v>880</v>
      </c>
      <c r="AH197" s="198" t="n">
        <f aca="false">VLOOKUP(Таблица310[[#This Row],[№ акта]],'Степень зрелости 2025'!$H$13:$I$583,2,FALSE())</f>
        <v>0</v>
      </c>
      <c r="AI197" s="198" t="str">
        <f aca="false">VLOOKUP(Таблица310[[#This Row],[№ акта]],$AQ$1:$AT$594,2,FALSE())</f>
        <v>А-57</v>
      </c>
      <c r="AJ197" s="198" t="str">
        <f aca="false">Таблица310[[#This Row],[Регистратор.Номенклатура]]</f>
        <v>Авола</v>
      </c>
      <c r="AK197" s="198" t="str">
        <f aca="false">VLOOKUP(Таблица310[[#This Row],[№ акта]],$AQ$1:$AT$594,4,FALSE())</f>
        <v>ГРК (богара)</v>
      </c>
      <c r="AL197" s="230" t="n">
        <f aca="false">VLOOKUP(Таблица310[[#This Row],[№ акта]],$AQ$1:$AT$594,3,FALSE())</f>
        <v>3.32724740832431</v>
      </c>
      <c r="AM197" s="198" t="str">
        <f aca="false">IF(Таблица310[[#This Row],[Площадь уборки, га]]=Таблица310[[#This Row],[Площадь уборки до корр]],"нет","да")</f>
        <v>нет</v>
      </c>
      <c r="AN197" s="230" t="n">
        <f aca="false">Таблица310[[#This Row],[Площадь уборки до корр]]-Таблица310[[#This Row],[Площадь уборки, га]]</f>
        <v>0</v>
      </c>
      <c r="AQ197" s="0" t="n">
        <v>293</v>
      </c>
      <c r="AR197" s="0" t="s">
        <v>730</v>
      </c>
      <c r="AS197" s="0" t="n">
        <v>3.32724740832431</v>
      </c>
      <c r="AT197" s="0" t="s">
        <v>51</v>
      </c>
      <c r="XEM197" s="216"/>
      <c r="XEN197" s="217"/>
      <c r="XEO197" s="243"/>
      <c r="XEP197" s="218"/>
      <c r="XEQ197" s="244"/>
      <c r="XER197" s="217"/>
    </row>
    <row r="198" customFormat="false" ht="25.5" hidden="false" customHeight="true" outlineLevel="0" collapsed="false">
      <c r="A198" s="216"/>
      <c r="B198" s="217"/>
      <c r="C198" s="241" t="n">
        <v>59</v>
      </c>
      <c r="D198" s="218" t="n">
        <v>294</v>
      </c>
      <c r="E198" s="219" t="n">
        <v>45814</v>
      </c>
      <c r="F198" s="217" t="n">
        <v>30510</v>
      </c>
      <c r="G198" s="217" t="n">
        <v>12840</v>
      </c>
      <c r="H198" s="220" t="n">
        <v>17670</v>
      </c>
      <c r="I198" s="217" t="n">
        <v>10697.5</v>
      </c>
      <c r="J198" s="216" t="s">
        <v>761</v>
      </c>
      <c r="K198" s="216" t="s">
        <v>252</v>
      </c>
      <c r="L198" s="216" t="s">
        <v>730</v>
      </c>
      <c r="M198" s="189" t="s">
        <v>617</v>
      </c>
      <c r="N198" s="198"/>
      <c r="O198" s="216"/>
      <c r="P198" s="216"/>
      <c r="Q198" s="216"/>
      <c r="R198" s="216" t="s">
        <v>621</v>
      </c>
      <c r="S198" s="198"/>
      <c r="T198" s="228" t="s">
        <v>730</v>
      </c>
      <c r="U198" s="195" t="str">
        <f aca="false">Таблица310[[#This Row],[Регистратор.Номенклатура]]</f>
        <v>Преладо</v>
      </c>
      <c r="V198" s="230" t="n">
        <f aca="false">14*Таблица310[[#This Row],[Регистратор.Вес нетто]]/64630</f>
        <v>2.7813708803961</v>
      </c>
      <c r="W198" s="216" t="s">
        <v>51</v>
      </c>
      <c r="X198" s="216" t="s">
        <v>52</v>
      </c>
      <c r="Y198" s="198" t="n">
        <v>9</v>
      </c>
      <c r="Z198" s="221" t="n">
        <v>45814</v>
      </c>
      <c r="AA198" s="231" t="n">
        <f aca="false">Таблица310[[#This Row],[Регистратор.Вес нетто]]</f>
        <v>12840</v>
      </c>
      <c r="AB198" s="198" t="s">
        <v>608</v>
      </c>
      <c r="AC198" s="198" t="s">
        <v>302</v>
      </c>
      <c r="AD198" s="198" t="s">
        <v>417</v>
      </c>
      <c r="AE198" s="198" t="n">
        <v>294</v>
      </c>
      <c r="AF198" s="200" t="n">
        <v>45814</v>
      </c>
      <c r="AG198" s="198" t="s">
        <v>881</v>
      </c>
      <c r="AH198" s="198" t="n">
        <f aca="false">VLOOKUP(Таблица310[[#This Row],[№ акта]],'Степень зрелости 2025'!$H$13:$I$583,2,FALSE())</f>
        <v>0</v>
      </c>
      <c r="AI198" s="198" t="str">
        <f aca="false">VLOOKUP(Таблица310[[#This Row],[№ акта]],$AQ$1:$AT$594,2,FALSE())</f>
        <v>А-57</v>
      </c>
      <c r="AJ198" s="198" t="str">
        <f aca="false">Таблица310[[#This Row],[Регистратор.Номенклатура]]</f>
        <v>Преладо</v>
      </c>
      <c r="AK198" s="198" t="str">
        <f aca="false">VLOOKUP(Таблица310[[#This Row],[№ акта]],$AQ$1:$AT$594,4,FALSE())</f>
        <v>ГРК (богара)</v>
      </c>
      <c r="AL198" s="230" t="n">
        <f aca="false">VLOOKUP(Таблица310[[#This Row],[№ акта]],$AQ$1:$AT$594,3,FALSE())</f>
        <v>2.7813708803961</v>
      </c>
      <c r="AM198" s="198" t="str">
        <f aca="false">IF(Таблица310[[#This Row],[Площадь уборки, га]]=Таблица310[[#This Row],[Площадь уборки до корр]],"нет","да")</f>
        <v>нет</v>
      </c>
      <c r="AN198" s="230" t="n">
        <f aca="false">Таблица310[[#This Row],[Площадь уборки до корр]]-Таблица310[[#This Row],[Площадь уборки, га]]</f>
        <v>0</v>
      </c>
      <c r="AQ198" s="0" t="n">
        <v>294</v>
      </c>
      <c r="AR198" s="0" t="s">
        <v>730</v>
      </c>
      <c r="AS198" s="0" t="n">
        <v>2.7813708803961</v>
      </c>
      <c r="AT198" s="0" t="s">
        <v>51</v>
      </c>
      <c r="XEM198" s="216"/>
      <c r="XEN198" s="217"/>
      <c r="XEO198" s="243"/>
      <c r="XEP198" s="218"/>
      <c r="XEQ198" s="244"/>
      <c r="XER198" s="217"/>
    </row>
    <row r="199" customFormat="false" ht="25.5" hidden="false" customHeight="true" outlineLevel="0" collapsed="false">
      <c r="A199" s="216"/>
      <c r="B199" s="217"/>
      <c r="C199" s="241" t="n">
        <v>56</v>
      </c>
      <c r="D199" s="218" t="n">
        <v>295</v>
      </c>
      <c r="E199" s="219" t="n">
        <v>45814</v>
      </c>
      <c r="F199" s="217" t="n">
        <v>35150</v>
      </c>
      <c r="G199" s="217" t="n">
        <v>16340</v>
      </c>
      <c r="H199" s="220" t="n">
        <v>18810</v>
      </c>
      <c r="I199" s="217" t="n">
        <v>14133.1</v>
      </c>
      <c r="J199" s="216" t="s">
        <v>422</v>
      </c>
      <c r="K199" s="216" t="s">
        <v>252</v>
      </c>
      <c r="L199" s="216" t="s">
        <v>865</v>
      </c>
      <c r="M199" s="189" t="s">
        <v>685</v>
      </c>
      <c r="N199" s="198"/>
      <c r="O199" s="216"/>
      <c r="P199" s="216"/>
      <c r="Q199" s="216"/>
      <c r="R199" s="216" t="s">
        <v>689</v>
      </c>
      <c r="S199" s="198"/>
      <c r="T199" s="228" t="s">
        <v>865</v>
      </c>
      <c r="U199" s="195" t="str">
        <f aca="false">Таблица310[[#This Row],[Регистратор.Номенклатура]]</f>
        <v>Преладо</v>
      </c>
      <c r="V199" s="230" t="n">
        <f aca="false">35*Таблица310[[#This Row],[Регистратор.Вес нетто]]/100290</f>
        <v>5.70246285771263</v>
      </c>
      <c r="W199" s="216" t="s">
        <v>51</v>
      </c>
      <c r="X199" s="216" t="s">
        <v>52</v>
      </c>
      <c r="Y199" s="198" t="n">
        <v>9</v>
      </c>
      <c r="Z199" s="221" t="n">
        <v>45814</v>
      </c>
      <c r="AA199" s="231" t="n">
        <f aca="false">Таблица310[[#This Row],[Регистратор.Вес нетто]]</f>
        <v>16340</v>
      </c>
      <c r="AB199" s="198" t="s">
        <v>608</v>
      </c>
      <c r="AC199" s="198" t="s">
        <v>302</v>
      </c>
      <c r="AD199" s="198" t="s">
        <v>417</v>
      </c>
      <c r="AE199" s="198" t="n">
        <v>295</v>
      </c>
      <c r="AF199" s="200" t="n">
        <v>45814</v>
      </c>
      <c r="AG199" s="198" t="s">
        <v>882</v>
      </c>
      <c r="AH199" s="198" t="n">
        <f aca="false">VLOOKUP(Таблица310[[#This Row],[№ акта]],'Степень зрелости 2025'!$H$13:$I$583,2,FALSE())</f>
        <v>0</v>
      </c>
      <c r="AI199" s="198" t="str">
        <f aca="false">VLOOKUP(Таблица310[[#This Row],[№ акта]],$AQ$1:$AT$594,2,FALSE())</f>
        <v>А-67</v>
      </c>
      <c r="AJ199" s="198" t="str">
        <f aca="false">Таблица310[[#This Row],[Регистратор.Номенклатура]]</f>
        <v>Преладо</v>
      </c>
      <c r="AK199" s="198" t="str">
        <f aca="false">VLOOKUP(Таблица310[[#This Row],[№ акта]],$AQ$1:$AT$594,4,FALSE())</f>
        <v>ГРК (богара)</v>
      </c>
      <c r="AL199" s="230" t="n">
        <f aca="false">VLOOKUP(Таблица310[[#This Row],[№ акта]],$AQ$1:$AT$594,3,FALSE())</f>
        <v>5.70246285771263</v>
      </c>
      <c r="AM199" s="198" t="str">
        <f aca="false">IF(Таблица310[[#This Row],[Площадь уборки, га]]=Таблица310[[#This Row],[Площадь уборки до корр]],"нет","да")</f>
        <v>нет</v>
      </c>
      <c r="AN199" s="230" t="n">
        <f aca="false">Таблица310[[#This Row],[Площадь уборки до корр]]-Таблица310[[#This Row],[Площадь уборки, га]]</f>
        <v>0</v>
      </c>
      <c r="AQ199" s="0" t="n">
        <v>295</v>
      </c>
      <c r="AR199" s="0" t="s">
        <v>865</v>
      </c>
      <c r="AS199" s="0" t="n">
        <v>5.70246285771263</v>
      </c>
      <c r="AT199" s="0" t="s">
        <v>51</v>
      </c>
      <c r="XEM199" s="216"/>
      <c r="XEN199" s="217"/>
      <c r="XEO199" s="243"/>
      <c r="XEP199" s="218"/>
      <c r="XEQ199" s="244"/>
      <c r="XER199" s="217"/>
    </row>
    <row r="200" customFormat="false" ht="25.5" hidden="false" customHeight="true" outlineLevel="0" collapsed="false">
      <c r="A200" s="216"/>
      <c r="B200" s="217"/>
      <c r="C200" s="241" t="n">
        <f aca="false">Таблица310[[#This Row],[Степень зрелости вспом]]</f>
        <v>57</v>
      </c>
      <c r="D200" s="218" t="n">
        <v>296</v>
      </c>
      <c r="E200" s="219" t="n">
        <v>45815</v>
      </c>
      <c r="F200" s="217" t="n">
        <v>23850</v>
      </c>
      <c r="G200" s="245" t="n">
        <v>8960</v>
      </c>
      <c r="H200" s="220" t="n">
        <v>14890</v>
      </c>
      <c r="I200" s="217" t="n">
        <v>7526.4</v>
      </c>
      <c r="J200" s="216" t="s">
        <v>422</v>
      </c>
      <c r="K200" s="216" t="s">
        <v>252</v>
      </c>
      <c r="L200" s="216" t="s">
        <v>865</v>
      </c>
      <c r="M200" s="189" t="s">
        <v>48</v>
      </c>
      <c r="N200" s="198"/>
      <c r="O200" s="216"/>
      <c r="P200" s="216"/>
      <c r="Q200" s="216"/>
      <c r="R200" s="216" t="s">
        <v>49</v>
      </c>
      <c r="S200" s="198"/>
      <c r="T200" s="228" t="s">
        <v>865</v>
      </c>
      <c r="U200" s="195" t="str">
        <f aca="false">Таблица310[[#This Row],[Регистратор.Номенклатура]]</f>
        <v>Преладо</v>
      </c>
      <c r="V200" s="230" t="n">
        <f aca="false">6.1*Таблица310[[#This Row],[Регистратор.Вес нетто]]/92910</f>
        <v>0.588268216553654</v>
      </c>
      <c r="W200" s="216" t="s">
        <v>51</v>
      </c>
      <c r="X200" s="216" t="s">
        <v>52</v>
      </c>
      <c r="Y200" s="198" t="n">
        <v>12</v>
      </c>
      <c r="Z200" s="221" t="n">
        <v>45817</v>
      </c>
      <c r="AA200" s="231"/>
      <c r="AB200" s="198" t="s">
        <v>866</v>
      </c>
      <c r="AC200" s="198" t="s">
        <v>302</v>
      </c>
      <c r="AD200" s="198" t="s">
        <v>417</v>
      </c>
      <c r="AE200" s="198" t="n">
        <v>296</v>
      </c>
      <c r="AF200" s="200" t="n">
        <v>45815</v>
      </c>
      <c r="AG200" s="198" t="n">
        <v>64</v>
      </c>
      <c r="AH200" s="198" t="n">
        <f aca="false">VLOOKUP(Таблица310[[#This Row],[№ акта]],'Степень зрелости 2025'!$H$13:$I$583,2,FALSE())</f>
        <v>57</v>
      </c>
      <c r="AI200" s="198" t="str">
        <f aca="false">VLOOKUP(Таблица310[[#This Row],[№ акта]],$AQ$1:$AT$594,2,FALSE())</f>
        <v>А-67</v>
      </c>
      <c r="AJ200" s="198" t="str">
        <f aca="false">Таблица310[[#This Row],[Регистратор.Номенклатура]]</f>
        <v>Преладо</v>
      </c>
      <c r="AK200" s="198" t="str">
        <f aca="false">VLOOKUP(Таблица310[[#This Row],[№ акта]],$AQ$1:$AT$594,4,FALSE())</f>
        <v>ГРК (богара)</v>
      </c>
      <c r="AL200" s="230" t="n">
        <f aca="false">VLOOKUP(Таблица310[[#This Row],[№ акта]],$AQ$1:$AT$594,3,FALSE())</f>
        <v>5.2226471134212</v>
      </c>
      <c r="AM200" s="198" t="str">
        <f aca="false">IF(Таблица310[[#This Row],[Площадь уборки, га]]=Таблица310[[#This Row],[Площадь уборки до корр]],"нет","да")</f>
        <v>да</v>
      </c>
      <c r="AN200" s="230" t="n">
        <f aca="false">Таблица310[[#This Row],[Площадь уборки до корр]]-Таблица310[[#This Row],[Площадь уборки, га]]</f>
        <v>4.63437889686755</v>
      </c>
      <c r="AQ200" s="0" t="n">
        <v>296</v>
      </c>
      <c r="AR200" s="0" t="s">
        <v>865</v>
      </c>
      <c r="AS200" s="0" t="n">
        <v>5.2226471134212</v>
      </c>
      <c r="AT200" s="0" t="s">
        <v>51</v>
      </c>
      <c r="XEM200" s="216"/>
      <c r="XEN200" s="217"/>
      <c r="XEO200" s="243"/>
      <c r="XEP200" s="218"/>
      <c r="XEQ200" s="244"/>
      <c r="XER200" s="217"/>
    </row>
    <row r="201" customFormat="false" ht="25.5" hidden="false" customHeight="true" outlineLevel="0" collapsed="false">
      <c r="A201" s="216"/>
      <c r="B201" s="217"/>
      <c r="C201" s="241" t="n">
        <v>47</v>
      </c>
      <c r="D201" s="218" t="n">
        <v>297</v>
      </c>
      <c r="E201" s="219" t="n">
        <v>45815</v>
      </c>
      <c r="F201" s="217" t="n">
        <v>31050</v>
      </c>
      <c r="G201" s="217" t="n">
        <v>13920</v>
      </c>
      <c r="H201" s="220" t="n">
        <v>17130</v>
      </c>
      <c r="I201" s="217" t="n">
        <v>11279.6</v>
      </c>
      <c r="J201" s="216" t="s">
        <v>422</v>
      </c>
      <c r="K201" s="216" t="s">
        <v>252</v>
      </c>
      <c r="L201" s="216" t="s">
        <v>865</v>
      </c>
      <c r="M201" s="189" t="s">
        <v>792</v>
      </c>
      <c r="N201" s="198"/>
      <c r="O201" s="216"/>
      <c r="P201" s="216"/>
      <c r="Q201" s="216"/>
      <c r="R201" s="216" t="s">
        <v>793</v>
      </c>
      <c r="S201" s="198"/>
      <c r="T201" s="228" t="s">
        <v>865</v>
      </c>
      <c r="U201" s="195" t="str">
        <f aca="false">Таблица310[[#This Row],[Регистратор.Номенклатура]]</f>
        <v>Преладо</v>
      </c>
      <c r="V201" s="230" t="n">
        <f aca="false">35*Таблица310[[#This Row],[Регистратор.Вес нетто]]/105660</f>
        <v>4.61101646791596</v>
      </c>
      <c r="W201" s="216" t="s">
        <v>51</v>
      </c>
      <c r="X201" s="216" t="s">
        <v>52</v>
      </c>
      <c r="Y201" s="198" t="n">
        <v>11</v>
      </c>
      <c r="Z201" s="221" t="n">
        <v>45816</v>
      </c>
      <c r="AA201" s="231" t="n">
        <f aca="false">Таблица310[[#This Row],[Регистратор.Вес нетто]]</f>
        <v>13920</v>
      </c>
      <c r="AB201" s="198" t="s">
        <v>608</v>
      </c>
      <c r="AC201" s="198" t="s">
        <v>53</v>
      </c>
      <c r="AD201" s="198" t="s">
        <v>417</v>
      </c>
      <c r="AE201" s="198" t="n">
        <v>297</v>
      </c>
      <c r="AF201" s="200" t="n">
        <v>45815</v>
      </c>
      <c r="AG201" s="198" t="s">
        <v>883</v>
      </c>
      <c r="AH201" s="198" t="n">
        <f aca="false">VLOOKUP(Таблица310[[#This Row],[№ акта]],'Степень зрелости 2025'!$H$13:$I$583,2,FALSE())</f>
        <v>0</v>
      </c>
      <c r="AI201" s="198" t="str">
        <f aca="false">VLOOKUP(Таблица310[[#This Row],[№ акта]],$AQ$1:$AT$594,2,FALSE())</f>
        <v>А-67</v>
      </c>
      <c r="AJ201" s="198" t="str">
        <f aca="false">Таблица310[[#This Row],[Регистратор.Номенклатура]]</f>
        <v>Преладо</v>
      </c>
      <c r="AK201" s="198" t="str">
        <f aca="false">VLOOKUP(Таблица310[[#This Row],[№ акта]],$AQ$1:$AT$594,4,FALSE())</f>
        <v>ГРК (богара)</v>
      </c>
      <c r="AL201" s="230" t="n">
        <f aca="false">VLOOKUP(Таблица310[[#This Row],[№ акта]],$AQ$1:$AT$594,3,FALSE())</f>
        <v>4.61101646791596</v>
      </c>
      <c r="AM201" s="198" t="str">
        <f aca="false">IF(Таблица310[[#This Row],[Площадь уборки, га]]=Таблица310[[#This Row],[Площадь уборки до корр]],"нет","да")</f>
        <v>нет</v>
      </c>
      <c r="AN201" s="230" t="n">
        <f aca="false">Таблица310[[#This Row],[Площадь уборки до корр]]-Таблица310[[#This Row],[Площадь уборки, га]]</f>
        <v>0</v>
      </c>
      <c r="AQ201" s="0" t="n">
        <v>297</v>
      </c>
      <c r="AR201" s="0" t="s">
        <v>865</v>
      </c>
      <c r="AS201" s="0" t="n">
        <v>4.61101646791596</v>
      </c>
      <c r="AT201" s="0" t="s">
        <v>51</v>
      </c>
      <c r="XEM201" s="216"/>
      <c r="XEN201" s="217"/>
      <c r="XEO201" s="243"/>
      <c r="XEP201" s="218"/>
      <c r="XEQ201" s="244"/>
      <c r="XER201" s="217"/>
    </row>
    <row r="202" customFormat="false" ht="25.5" hidden="false" customHeight="true" outlineLevel="0" collapsed="false">
      <c r="A202" s="216"/>
      <c r="B202" s="217"/>
      <c r="C202" s="241" t="n">
        <v>50</v>
      </c>
      <c r="D202" s="218" t="n">
        <v>298</v>
      </c>
      <c r="E202" s="219" t="n">
        <v>45815</v>
      </c>
      <c r="F202" s="217" t="n">
        <v>32130</v>
      </c>
      <c r="G202" s="217" t="n">
        <v>16000</v>
      </c>
      <c r="H202" s="220" t="n">
        <v>16130</v>
      </c>
      <c r="I202" s="217" t="n">
        <v>12975.8</v>
      </c>
      <c r="J202" s="216" t="s">
        <v>422</v>
      </c>
      <c r="K202" s="216" t="s">
        <v>252</v>
      </c>
      <c r="L202" s="216" t="s">
        <v>865</v>
      </c>
      <c r="M202" s="189" t="s">
        <v>799</v>
      </c>
      <c r="N202" s="198"/>
      <c r="O202" s="216"/>
      <c r="P202" s="216"/>
      <c r="Q202" s="216"/>
      <c r="R202" s="216" t="s">
        <v>800</v>
      </c>
      <c r="S202" s="198"/>
      <c r="T202" s="228" t="s">
        <v>865</v>
      </c>
      <c r="U202" s="195" t="str">
        <f aca="false">Таблица310[[#This Row],[Регистратор.Номенклатура]]</f>
        <v>Преладо</v>
      </c>
      <c r="V202" s="230" t="n">
        <f aca="false">35*Таблица310[[#This Row],[Регистратор.Вес нетто]]/105660</f>
        <v>5.30001892863903</v>
      </c>
      <c r="W202" s="216" t="s">
        <v>51</v>
      </c>
      <c r="X202" s="216" t="s">
        <v>52</v>
      </c>
      <c r="Y202" s="198" t="n">
        <v>11</v>
      </c>
      <c r="Z202" s="221" t="n">
        <v>45816</v>
      </c>
      <c r="AA202" s="231" t="n">
        <f aca="false">Таблица310[[#This Row],[Регистратор.Вес нетто]]</f>
        <v>16000</v>
      </c>
      <c r="AB202" s="198" t="s">
        <v>608</v>
      </c>
      <c r="AC202" s="198" t="s">
        <v>53</v>
      </c>
      <c r="AD202" s="198" t="s">
        <v>417</v>
      </c>
      <c r="AE202" s="198" t="n">
        <v>298</v>
      </c>
      <c r="AF202" s="200" t="n">
        <v>45815</v>
      </c>
      <c r="AG202" s="198" t="s">
        <v>884</v>
      </c>
      <c r="AH202" s="198" t="n">
        <f aca="false">VLOOKUP(Таблица310[[#This Row],[№ акта]],'Степень зрелости 2025'!$H$13:$I$583,2,FALSE())</f>
        <v>0</v>
      </c>
      <c r="AI202" s="198" t="str">
        <f aca="false">VLOOKUP(Таблица310[[#This Row],[№ акта]],$AQ$1:$AT$594,2,FALSE())</f>
        <v>А-67</v>
      </c>
      <c r="AJ202" s="198" t="str">
        <f aca="false">Таблица310[[#This Row],[Регистратор.Номенклатура]]</f>
        <v>Преладо</v>
      </c>
      <c r="AK202" s="198" t="str">
        <f aca="false">VLOOKUP(Таблица310[[#This Row],[№ акта]],$AQ$1:$AT$594,4,FALSE())</f>
        <v>ГРК (богара)</v>
      </c>
      <c r="AL202" s="230" t="n">
        <f aca="false">VLOOKUP(Таблица310[[#This Row],[№ акта]],$AQ$1:$AT$594,3,FALSE())</f>
        <v>5.30001892863903</v>
      </c>
      <c r="AM202" s="198" t="str">
        <f aca="false">IF(Таблица310[[#This Row],[Площадь уборки, га]]=Таблица310[[#This Row],[Площадь уборки до корр]],"нет","да")</f>
        <v>нет</v>
      </c>
      <c r="AN202" s="230" t="n">
        <f aca="false">Таблица310[[#This Row],[Площадь уборки до корр]]-Таблица310[[#This Row],[Площадь уборки, га]]</f>
        <v>0</v>
      </c>
      <c r="AQ202" s="0" t="n">
        <v>298</v>
      </c>
      <c r="AR202" s="0" t="s">
        <v>865</v>
      </c>
      <c r="AS202" s="0" t="n">
        <v>5.30001892863903</v>
      </c>
      <c r="AT202" s="0" t="s">
        <v>51</v>
      </c>
      <c r="XEM202" s="216"/>
      <c r="XEN202" s="217"/>
      <c r="XEO202" s="243"/>
      <c r="XEP202" s="218"/>
      <c r="XEQ202" s="244"/>
      <c r="XER202" s="217"/>
    </row>
    <row r="203" customFormat="false" ht="25.5" hidden="false" customHeight="true" outlineLevel="0" collapsed="false">
      <c r="A203" s="216"/>
      <c r="B203" s="217"/>
      <c r="C203" s="241" t="n">
        <v>71</v>
      </c>
      <c r="D203" s="218" t="n">
        <v>299</v>
      </c>
      <c r="E203" s="219" t="n">
        <v>45817</v>
      </c>
      <c r="F203" s="217" t="n">
        <v>22920</v>
      </c>
      <c r="G203" s="217" t="n">
        <v>9000</v>
      </c>
      <c r="H203" s="220" t="n">
        <v>13920</v>
      </c>
      <c r="I203" s="217" t="n">
        <v>7920</v>
      </c>
      <c r="J203" s="216" t="s">
        <v>422</v>
      </c>
      <c r="K203" s="216" t="s">
        <v>47</v>
      </c>
      <c r="L203" s="216" t="s">
        <v>885</v>
      </c>
      <c r="M203" s="189" t="s">
        <v>359</v>
      </c>
      <c r="N203" s="198"/>
      <c r="O203" s="216"/>
      <c r="P203" s="216"/>
      <c r="Q203" s="216"/>
      <c r="R203" s="216" t="s">
        <v>426</v>
      </c>
      <c r="S203" s="198"/>
      <c r="T203" s="228" t="s">
        <v>186</v>
      </c>
      <c r="U203" s="195" t="str">
        <f aca="false">Таблица310[[#This Row],[Регистратор.Номенклатура]]</f>
        <v>Авола</v>
      </c>
      <c r="V203" s="230" t="n">
        <f aca="false">18*Таблица310[[#This Row],[Регистратор.Вес нетто]]/46860</f>
        <v>3.45710627400768</v>
      </c>
      <c r="W203" s="216" t="s">
        <v>51</v>
      </c>
      <c r="X203" s="216" t="s">
        <v>52</v>
      </c>
      <c r="Y203" s="198" t="n">
        <v>12</v>
      </c>
      <c r="Z203" s="221" t="n">
        <v>45817</v>
      </c>
      <c r="AA203" s="231"/>
      <c r="AB203" s="198"/>
      <c r="AC203" s="198" t="s">
        <v>305</v>
      </c>
      <c r="AD203" s="198" t="s">
        <v>886</v>
      </c>
      <c r="AE203" s="198" t="n">
        <v>299</v>
      </c>
      <c r="AF203" s="200" t="n">
        <v>45817</v>
      </c>
      <c r="AG203" s="198" t="n">
        <v>105</v>
      </c>
      <c r="AH203" s="198" t="n">
        <f aca="false">VLOOKUP(Таблица310[[#This Row],[№ акта]],'Степень зрелости 2025'!$H$13:$I$583,2,FALSE())</f>
        <v>71</v>
      </c>
      <c r="AI203" s="198" t="str">
        <f aca="false">VLOOKUP(Таблица310[[#This Row],[№ акта]],$AQ$1:$AT$594,2,FALSE())</f>
        <v>А-54</v>
      </c>
      <c r="AJ203" s="198" t="str">
        <f aca="false">Таблица310[[#This Row],[Регистратор.Номенклатура]]</f>
        <v>Авола</v>
      </c>
      <c r="AK203" s="198" t="str">
        <f aca="false">VLOOKUP(Таблица310[[#This Row],[№ акта]],$AQ$1:$AT$594,4,FALSE())</f>
        <v>ГРК (богара)</v>
      </c>
      <c r="AL203" s="230" t="n">
        <f aca="false">VLOOKUP(Таблица310[[#This Row],[№ акта]],$AQ$1:$AT$594,3,FALSE())</f>
        <v>3.45710627400768</v>
      </c>
      <c r="AM203" s="198" t="str">
        <f aca="false">IF(Таблица310[[#This Row],[Площадь уборки, га]]=Таблица310[[#This Row],[Площадь уборки до корр]],"нет","да")</f>
        <v>нет</v>
      </c>
      <c r="AN203" s="230" t="n">
        <f aca="false">Таблица310[[#This Row],[Площадь уборки до корр]]-Таблица310[[#This Row],[Площадь уборки, га]]</f>
        <v>0</v>
      </c>
      <c r="AQ203" s="0" t="n">
        <v>299</v>
      </c>
      <c r="AR203" s="0" t="s">
        <v>186</v>
      </c>
      <c r="AS203" s="0" t="n">
        <v>3.45710627400768</v>
      </c>
      <c r="AT203" s="0" t="s">
        <v>51</v>
      </c>
      <c r="XEM203" s="216"/>
      <c r="XEN203" s="217"/>
      <c r="XEO203" s="243"/>
      <c r="XEP203" s="218"/>
      <c r="XEQ203" s="244"/>
      <c r="XER203" s="217"/>
    </row>
    <row r="204" customFormat="false" ht="25.5" hidden="false" customHeight="true" outlineLevel="0" collapsed="false">
      <c r="A204" s="216"/>
      <c r="B204" s="217"/>
      <c r="C204" s="241" t="n">
        <f aca="false">Таблица310[[#This Row],[Степень зрелости вспом]]</f>
        <v>65</v>
      </c>
      <c r="D204" s="218" t="n">
        <v>300</v>
      </c>
      <c r="E204" s="219" t="n">
        <v>45817</v>
      </c>
      <c r="F204" s="217" t="n">
        <v>27980</v>
      </c>
      <c r="G204" s="217" t="n">
        <v>13230</v>
      </c>
      <c r="H204" s="220" t="n">
        <v>14750</v>
      </c>
      <c r="I204" s="217" t="n">
        <v>11113.2</v>
      </c>
      <c r="J204" s="216" t="s">
        <v>422</v>
      </c>
      <c r="K204" s="216" t="s">
        <v>252</v>
      </c>
      <c r="L204" s="216" t="s">
        <v>865</v>
      </c>
      <c r="M204" s="189" t="s">
        <v>55</v>
      </c>
      <c r="N204" s="198"/>
      <c r="O204" s="216"/>
      <c r="P204" s="216"/>
      <c r="Q204" s="216"/>
      <c r="R204" s="216" t="s">
        <v>56</v>
      </c>
      <c r="S204" s="198"/>
      <c r="T204" s="228" t="s">
        <v>865</v>
      </c>
      <c r="U204" s="195" t="str">
        <f aca="false">Таблица310[[#This Row],[Регистратор.Номенклатура]]</f>
        <v>Преладо</v>
      </c>
      <c r="V204" s="230" t="n">
        <f aca="false">79*Таблица310[[#This Row],[Регистратор.Вес нетто]]/100170</f>
        <v>10.4339622641509</v>
      </c>
      <c r="W204" s="216" t="s">
        <v>51</v>
      </c>
      <c r="X204" s="216" t="s">
        <v>52</v>
      </c>
      <c r="Y204" s="198" t="n">
        <v>12</v>
      </c>
      <c r="Z204" s="221" t="n">
        <v>45817</v>
      </c>
      <c r="AA204" s="231"/>
      <c r="AB204" s="198" t="s">
        <v>877</v>
      </c>
      <c r="AC204" s="198" t="s">
        <v>304</v>
      </c>
      <c r="AD204" s="198" t="s">
        <v>746</v>
      </c>
      <c r="AE204" s="198" t="n">
        <v>300</v>
      </c>
      <c r="AF204" s="200" t="n">
        <v>45817</v>
      </c>
      <c r="AG204" s="198" t="n">
        <v>106</v>
      </c>
      <c r="AH204" s="198" t="n">
        <f aca="false">VLOOKUP(Таблица310[[#This Row],[№ акта]],'Степень зрелости 2025'!$H$13:$I$583,2,FALSE())</f>
        <v>65</v>
      </c>
      <c r="AI204" s="198" t="str">
        <f aca="false">VLOOKUP(Таблица310[[#This Row],[№ акта]],$AQ$1:$AT$594,2,FALSE())</f>
        <v>А-67</v>
      </c>
      <c r="AJ204" s="198" t="str">
        <f aca="false">Таблица310[[#This Row],[Регистратор.Номенклатура]]</f>
        <v>Преладо</v>
      </c>
      <c r="AK204" s="198" t="str">
        <f aca="false">VLOOKUP(Таблица310[[#This Row],[№ акта]],$AQ$1:$AT$594,4,FALSE())</f>
        <v>ГРК (богара)</v>
      </c>
      <c r="AL204" s="230" t="n">
        <f aca="false">VLOOKUP(Таблица310[[#This Row],[№ акта]],$AQ$1:$AT$594,3,FALSE())</f>
        <v>7.71156487841099</v>
      </c>
      <c r="AM204" s="198" t="str">
        <f aca="false">IF(Таблица310[[#This Row],[Площадь уборки, га]]=Таблица310[[#This Row],[Площадь уборки до корр]],"нет","да")</f>
        <v>да</v>
      </c>
      <c r="AN204" s="230" t="n">
        <f aca="false">Таблица310[[#This Row],[Площадь уборки до корр]]-Таблица310[[#This Row],[Площадь уборки, га]]</f>
        <v>-2.72239738573995</v>
      </c>
      <c r="AQ204" s="0" t="n">
        <v>300</v>
      </c>
      <c r="AR204" s="0" t="s">
        <v>865</v>
      </c>
      <c r="AS204" s="0" t="n">
        <v>7.71156487841099</v>
      </c>
      <c r="AT204" s="0" t="s">
        <v>51</v>
      </c>
      <c r="XEM204" s="216"/>
      <c r="XEN204" s="217"/>
      <c r="XEO204" s="243"/>
      <c r="XEP204" s="218"/>
      <c r="XEQ204" s="244"/>
      <c r="XER204" s="217"/>
    </row>
    <row r="205" customFormat="false" ht="25.5" hidden="false" customHeight="true" outlineLevel="0" collapsed="false">
      <c r="A205" s="216"/>
      <c r="B205" s="217"/>
      <c r="C205" s="241" t="n">
        <f aca="false">Таблица310[[#This Row],[Степень зрелости вспом]]</f>
        <v>70</v>
      </c>
      <c r="D205" s="218" t="n">
        <v>301</v>
      </c>
      <c r="E205" s="219" t="n">
        <v>45817</v>
      </c>
      <c r="F205" s="217" t="n">
        <v>23280</v>
      </c>
      <c r="G205" s="217" t="n">
        <v>9100</v>
      </c>
      <c r="H205" s="220" t="n">
        <v>14180</v>
      </c>
      <c r="I205" s="217" t="n">
        <v>7780.5</v>
      </c>
      <c r="J205" s="216" t="s">
        <v>422</v>
      </c>
      <c r="K205" s="216" t="s">
        <v>47</v>
      </c>
      <c r="L205" s="216" t="s">
        <v>885</v>
      </c>
      <c r="M205" s="189" t="s">
        <v>411</v>
      </c>
      <c r="N205" s="198"/>
      <c r="O205" s="216"/>
      <c r="P205" s="216"/>
      <c r="Q205" s="216"/>
      <c r="R205" s="216" t="s">
        <v>887</v>
      </c>
      <c r="S205" s="198"/>
      <c r="T205" s="228" t="s">
        <v>186</v>
      </c>
      <c r="U205" s="195" t="str">
        <f aca="false">Таблица310[[#This Row],[Регистратор.Номенклатура]]</f>
        <v>Авола</v>
      </c>
      <c r="V205" s="230" t="n">
        <f aca="false">18*Таблица310[[#This Row],[Регистратор.Вес нетто]]/46860</f>
        <v>3.4955185659411</v>
      </c>
      <c r="W205" s="216" t="s">
        <v>51</v>
      </c>
      <c r="X205" s="216" t="s">
        <v>52</v>
      </c>
      <c r="Y205" s="198" t="n">
        <v>12</v>
      </c>
      <c r="Z205" s="221" t="n">
        <v>45817</v>
      </c>
      <c r="AA205" s="231"/>
      <c r="AB205" s="198"/>
      <c r="AC205" s="198" t="s">
        <v>305</v>
      </c>
      <c r="AD205" s="198" t="s">
        <v>746</v>
      </c>
      <c r="AE205" s="198" t="n">
        <v>301</v>
      </c>
      <c r="AF205" s="200" t="n">
        <v>45817</v>
      </c>
      <c r="AG205" s="198" t="n">
        <v>107</v>
      </c>
      <c r="AH205" s="198" t="n">
        <f aca="false">VLOOKUP(Таблица310[[#This Row],[№ акта]],'Степень зрелости 2025'!$H$13:$I$583,2,FALSE())</f>
        <v>70</v>
      </c>
      <c r="AI205" s="198" t="str">
        <f aca="false">VLOOKUP(Таблица310[[#This Row],[№ акта]],$AQ$1:$AT$594,2,FALSE())</f>
        <v>А-54</v>
      </c>
      <c r="AJ205" s="198" t="str">
        <f aca="false">Таблица310[[#This Row],[Регистратор.Номенклатура]]</f>
        <v>Авола</v>
      </c>
      <c r="AK205" s="198" t="str">
        <f aca="false">VLOOKUP(Таблица310[[#This Row],[№ акта]],$AQ$1:$AT$594,4,FALSE())</f>
        <v>ГРК (богара)</v>
      </c>
      <c r="AL205" s="230" t="n">
        <f aca="false">VLOOKUP(Таблица310[[#This Row],[№ акта]],$AQ$1:$AT$594,3,FALSE())</f>
        <v>3.4955185659411</v>
      </c>
      <c r="AM205" s="198" t="str">
        <f aca="false">IF(Таблица310[[#This Row],[Площадь уборки, га]]=Таблица310[[#This Row],[Площадь уборки до корр]],"нет","да")</f>
        <v>нет</v>
      </c>
      <c r="AN205" s="230" t="n">
        <f aca="false">Таблица310[[#This Row],[Площадь уборки до корр]]-Таблица310[[#This Row],[Площадь уборки, га]]</f>
        <v>0</v>
      </c>
      <c r="AQ205" s="0" t="n">
        <v>301</v>
      </c>
      <c r="AR205" s="0" t="s">
        <v>186</v>
      </c>
      <c r="AS205" s="0" t="n">
        <v>3.4955185659411</v>
      </c>
      <c r="AT205" s="0" t="s">
        <v>51</v>
      </c>
      <c r="XEM205" s="216"/>
      <c r="XEN205" s="217"/>
      <c r="XEO205" s="243"/>
      <c r="XEP205" s="218"/>
      <c r="XEQ205" s="244"/>
      <c r="XER205" s="217"/>
    </row>
    <row r="206" customFormat="false" ht="25.5" hidden="false" customHeight="true" outlineLevel="0" collapsed="false">
      <c r="A206" s="216"/>
      <c r="B206" s="217"/>
      <c r="C206" s="241" t="n">
        <f aca="false">Таблица310[[#This Row],[Степень зрелости вспом]]</f>
        <v>67</v>
      </c>
      <c r="D206" s="218" t="n">
        <v>302</v>
      </c>
      <c r="E206" s="219" t="n">
        <v>45817</v>
      </c>
      <c r="F206" s="217" t="n">
        <v>9270</v>
      </c>
      <c r="G206" s="217" t="n">
        <v>4670</v>
      </c>
      <c r="H206" s="220" t="n">
        <v>4600</v>
      </c>
      <c r="I206" s="217" t="n">
        <v>3712.6</v>
      </c>
      <c r="J206" s="216" t="s">
        <v>422</v>
      </c>
      <c r="K206" s="216" t="s">
        <v>252</v>
      </c>
      <c r="L206" s="216" t="s">
        <v>865</v>
      </c>
      <c r="M206" s="189" t="s">
        <v>378</v>
      </c>
      <c r="N206" s="198"/>
      <c r="O206" s="216"/>
      <c r="P206" s="216"/>
      <c r="Q206" s="216"/>
      <c r="R206" s="216" t="s">
        <v>379</v>
      </c>
      <c r="S206" s="198"/>
      <c r="T206" s="228" t="s">
        <v>865</v>
      </c>
      <c r="U206" s="195" t="str">
        <f aca="false">Таблица310[[#This Row],[Регистратор.Номенклатура]]</f>
        <v>Преладо</v>
      </c>
      <c r="V206" s="230" t="n">
        <f aca="false">79*Таблица310[[#This Row],[Регистратор.Вес нетто]]/100170</f>
        <v>3.68303883398223</v>
      </c>
      <c r="W206" s="216" t="s">
        <v>51</v>
      </c>
      <c r="X206" s="216" t="s">
        <v>52</v>
      </c>
      <c r="Y206" s="198" t="n">
        <v>12</v>
      </c>
      <c r="Z206" s="221" t="n">
        <v>45817</v>
      </c>
      <c r="AA206" s="231"/>
      <c r="AB206" s="198" t="s">
        <v>877</v>
      </c>
      <c r="AC206" s="198" t="s">
        <v>305</v>
      </c>
      <c r="AD206" s="198" t="s">
        <v>746</v>
      </c>
      <c r="AE206" s="198" t="n">
        <v>302</v>
      </c>
      <c r="AF206" s="200" t="n">
        <v>45817</v>
      </c>
      <c r="AG206" s="198" t="n">
        <v>108</v>
      </c>
      <c r="AH206" s="198" t="n">
        <f aca="false">VLOOKUP(Таблица310[[#This Row],[№ акта]],'Степень зрелости 2025'!$H$13:$I$583,2,FALSE())</f>
        <v>67</v>
      </c>
      <c r="AI206" s="198" t="str">
        <f aca="false">VLOOKUP(Таблица310[[#This Row],[№ акта]],$AQ$1:$AT$594,2,FALSE())</f>
        <v>А-67</v>
      </c>
      <c r="AJ206" s="198" t="str">
        <f aca="false">Таблица310[[#This Row],[Регистратор.Номенклатура]]</f>
        <v>Преладо</v>
      </c>
      <c r="AK206" s="198" t="str">
        <f aca="false">VLOOKUP(Таблица310[[#This Row],[№ акта]],$AQ$1:$AT$594,4,FALSE())</f>
        <v>ГРК (богара)</v>
      </c>
      <c r="AL206" s="230" t="n">
        <f aca="false">VLOOKUP(Таблица310[[#This Row],[№ акта]],$AQ$1:$AT$594,3,FALSE())</f>
        <v>2.72207165398181</v>
      </c>
      <c r="AM206" s="198" t="str">
        <f aca="false">IF(Таблица310[[#This Row],[Площадь уборки, га]]=Таблица310[[#This Row],[Площадь уборки до корр]],"нет","да")</f>
        <v>да</v>
      </c>
      <c r="AN206" s="230" t="n">
        <f aca="false">Таблица310[[#This Row],[Площадь уборки до корр]]-Таблица310[[#This Row],[Площадь уборки, га]]</f>
        <v>-0.960967180000422</v>
      </c>
      <c r="AQ206" s="0" t="n">
        <v>302</v>
      </c>
      <c r="AR206" s="0" t="s">
        <v>865</v>
      </c>
      <c r="AS206" s="0" t="n">
        <v>2.72207165398181</v>
      </c>
      <c r="AT206" s="0" t="s">
        <v>51</v>
      </c>
      <c r="XEM206" s="216"/>
      <c r="XEN206" s="217"/>
      <c r="XEO206" s="243"/>
      <c r="XEP206" s="218"/>
      <c r="XEQ206" s="244"/>
      <c r="XER206" s="217"/>
    </row>
    <row r="207" customFormat="false" ht="25.5" hidden="false" customHeight="true" outlineLevel="0" collapsed="false">
      <c r="A207" s="216"/>
      <c r="B207" s="217"/>
      <c r="C207" s="241" t="n">
        <v>72</v>
      </c>
      <c r="D207" s="218" t="n">
        <v>303</v>
      </c>
      <c r="E207" s="219" t="n">
        <v>45817</v>
      </c>
      <c r="F207" s="217" t="n">
        <v>22650</v>
      </c>
      <c r="G207" s="217" t="n">
        <v>8750</v>
      </c>
      <c r="H207" s="220" t="n">
        <v>13900</v>
      </c>
      <c r="I207" s="217" t="n">
        <v>7393.7</v>
      </c>
      <c r="J207" s="216" t="s">
        <v>422</v>
      </c>
      <c r="K207" s="216" t="s">
        <v>47</v>
      </c>
      <c r="L207" s="216" t="s">
        <v>885</v>
      </c>
      <c r="M207" s="189" t="s">
        <v>359</v>
      </c>
      <c r="N207" s="198"/>
      <c r="O207" s="216"/>
      <c r="P207" s="216"/>
      <c r="Q207" s="216"/>
      <c r="R207" s="216" t="s">
        <v>426</v>
      </c>
      <c r="S207" s="198"/>
      <c r="T207" s="228" t="s">
        <v>186</v>
      </c>
      <c r="U207" s="195" t="str">
        <f aca="false">Таблица310[[#This Row],[Регистратор.Номенклатура]]</f>
        <v>Авола</v>
      </c>
      <c r="V207" s="230" t="n">
        <f aca="false">18*Таблица310[[#This Row],[Регистратор.Вес нетто]]/46860</f>
        <v>3.36107554417414</v>
      </c>
      <c r="W207" s="216" t="s">
        <v>51</v>
      </c>
      <c r="X207" s="216" t="s">
        <v>52</v>
      </c>
      <c r="Y207" s="198" t="n">
        <v>12</v>
      </c>
      <c r="Z207" s="221" t="n">
        <v>45817</v>
      </c>
      <c r="AA207" s="231"/>
      <c r="AB207" s="198"/>
      <c r="AC207" s="198" t="s">
        <v>305</v>
      </c>
      <c r="AD207" s="198" t="s">
        <v>886</v>
      </c>
      <c r="AE207" s="198" t="n">
        <v>303</v>
      </c>
      <c r="AF207" s="200" t="n">
        <v>45817</v>
      </c>
      <c r="AG207" s="198" t="n">
        <v>109</v>
      </c>
      <c r="AH207" s="198" t="n">
        <f aca="false">VLOOKUP(Таблица310[[#This Row],[№ акта]],'Степень зрелости 2025'!$H$13:$I$583,2,FALSE())</f>
        <v>72</v>
      </c>
      <c r="AI207" s="198" t="str">
        <f aca="false">VLOOKUP(Таблица310[[#This Row],[№ акта]],$AQ$1:$AT$594,2,FALSE())</f>
        <v>А-54</v>
      </c>
      <c r="AJ207" s="198" t="str">
        <f aca="false">Таблица310[[#This Row],[Регистратор.Номенклатура]]</f>
        <v>Авола</v>
      </c>
      <c r="AK207" s="198" t="str">
        <f aca="false">VLOOKUP(Таблица310[[#This Row],[№ акта]],$AQ$1:$AT$594,4,FALSE())</f>
        <v>ГРК (богара)</v>
      </c>
      <c r="AL207" s="230" t="n">
        <f aca="false">VLOOKUP(Таблица310[[#This Row],[№ акта]],$AQ$1:$AT$594,3,FALSE())</f>
        <v>3.36107554417414</v>
      </c>
      <c r="AM207" s="198" t="str">
        <f aca="false">IF(Таблица310[[#This Row],[Площадь уборки, га]]=Таблица310[[#This Row],[Площадь уборки до корр]],"нет","да")</f>
        <v>нет</v>
      </c>
      <c r="AN207" s="230" t="n">
        <f aca="false">Таблица310[[#This Row],[Площадь уборки до корр]]-Таблица310[[#This Row],[Площадь уборки, га]]</f>
        <v>0</v>
      </c>
      <c r="AQ207" s="0" t="n">
        <v>303</v>
      </c>
      <c r="AR207" s="0" t="s">
        <v>186</v>
      </c>
      <c r="AS207" s="0" t="n">
        <v>3.36107554417414</v>
      </c>
      <c r="AT207" s="0" t="s">
        <v>51</v>
      </c>
      <c r="XEM207" s="216"/>
      <c r="XEN207" s="217"/>
      <c r="XEO207" s="243"/>
      <c r="XEP207" s="218"/>
      <c r="XEQ207" s="244"/>
      <c r="XER207" s="217"/>
    </row>
    <row r="208" customFormat="false" ht="25.5" hidden="false" customHeight="true" outlineLevel="0" collapsed="false">
      <c r="A208" s="216"/>
      <c r="B208" s="217"/>
      <c r="C208" s="241" t="n">
        <v>57</v>
      </c>
      <c r="D208" s="218" t="n">
        <v>304</v>
      </c>
      <c r="E208" s="219" t="n">
        <v>45814</v>
      </c>
      <c r="F208" s="217" t="n">
        <v>34840</v>
      </c>
      <c r="G208" s="217" t="n">
        <v>16340</v>
      </c>
      <c r="H208" s="220" t="n">
        <v>18500</v>
      </c>
      <c r="I208" s="217" t="n">
        <v>12845.4</v>
      </c>
      <c r="J208" s="216" t="s">
        <v>409</v>
      </c>
      <c r="K208" s="216" t="s">
        <v>252</v>
      </c>
      <c r="L208" s="216" t="s">
        <v>781</v>
      </c>
      <c r="M208" s="189" t="s">
        <v>888</v>
      </c>
      <c r="N208" s="198"/>
      <c r="O208" s="216"/>
      <c r="P208" s="216"/>
      <c r="Q208" s="216"/>
      <c r="R208" s="216" t="s">
        <v>796</v>
      </c>
      <c r="S208" s="198"/>
      <c r="T208" s="216" t="s">
        <v>781</v>
      </c>
      <c r="U208" s="195" t="str">
        <f aca="false">Таблица310[[#This Row],[Регистратор.Номенклатура]]</f>
        <v>Преладо</v>
      </c>
      <c r="V208" s="230" t="n">
        <f aca="false">30*Таблица310[[#This Row],[Регистратор.Вес нетто]]/250190</f>
        <v>1.95931092369799</v>
      </c>
      <c r="W208" s="216" t="s">
        <v>323</v>
      </c>
      <c r="X208" s="216" t="s">
        <v>52</v>
      </c>
      <c r="Y208" s="198" t="n">
        <v>8</v>
      </c>
      <c r="Z208" s="221" t="n">
        <v>45814</v>
      </c>
      <c r="AA208" s="231" t="n">
        <f aca="false">Таблица310[[#This Row],[Регистратор.Вес нетто]]</f>
        <v>16340</v>
      </c>
      <c r="AB208" s="198" t="s">
        <v>608</v>
      </c>
      <c r="AC208" s="198" t="s">
        <v>302</v>
      </c>
      <c r="AD208" s="198" t="s">
        <v>417</v>
      </c>
      <c r="AE208" s="198" t="n">
        <v>304</v>
      </c>
      <c r="AF208" s="200" t="n">
        <v>45814</v>
      </c>
      <c r="AG208" s="198" t="s">
        <v>889</v>
      </c>
      <c r="AH208" s="198" t="n">
        <f aca="false">VLOOKUP(Таблица310[[#This Row],[№ акта]],'Степень зрелости 2025'!$H$13:$I$583,2,FALSE())</f>
        <v>0</v>
      </c>
      <c r="AI208" s="198" t="str">
        <f aca="false">VLOOKUP(Таблица310[[#This Row],[№ акта]],$AQ$1:$AT$594,2,FALSE())</f>
        <v>1/8.1</v>
      </c>
      <c r="AJ208" s="198" t="str">
        <f aca="false">Таблица310[[#This Row],[Регистратор.Номенклатура]]</f>
        <v>Преладо</v>
      </c>
      <c r="AK208" s="198" t="str">
        <f aca="false">VLOOKUP(Таблица310[[#This Row],[№ акта]],$AQ$1:$AT$594,4,FALSE())</f>
        <v>Учхоз Кубань (богара)</v>
      </c>
      <c r="AL208" s="230" t="n">
        <f aca="false">VLOOKUP(Таблица310[[#This Row],[№ акта]],$AQ$1:$AT$594,3,FALSE())</f>
        <v>1.95931092369799</v>
      </c>
      <c r="AM208" s="198" t="str">
        <f aca="false">IF(Таблица310[[#This Row],[Площадь уборки, га]]=Таблица310[[#This Row],[Площадь уборки до корр]],"нет","да")</f>
        <v>нет</v>
      </c>
      <c r="AN208" s="230" t="n">
        <f aca="false">Таблица310[[#This Row],[Площадь уборки до корр]]-Таблица310[[#This Row],[Площадь уборки, га]]</f>
        <v>0</v>
      </c>
      <c r="AQ208" s="0" t="n">
        <v>304</v>
      </c>
      <c r="AR208" s="0" t="s">
        <v>781</v>
      </c>
      <c r="AS208" s="0" t="n">
        <v>1.95931092369799</v>
      </c>
      <c r="AT208" s="0" t="s">
        <v>323</v>
      </c>
      <c r="XEM208" s="216"/>
      <c r="XEN208" s="217"/>
      <c r="XEO208" s="243"/>
      <c r="XEP208" s="218"/>
      <c r="XEQ208" s="244"/>
      <c r="XER208" s="217"/>
    </row>
    <row r="209" customFormat="false" ht="25.5" hidden="false" customHeight="true" outlineLevel="0" collapsed="false">
      <c r="A209" s="216"/>
      <c r="B209" s="217"/>
      <c r="C209" s="241" t="n">
        <v>54</v>
      </c>
      <c r="D209" s="218" t="n">
        <v>305</v>
      </c>
      <c r="E209" s="219" t="n">
        <v>45814</v>
      </c>
      <c r="F209" s="217" t="n">
        <v>31840</v>
      </c>
      <c r="G209" s="217" t="n">
        <v>15840</v>
      </c>
      <c r="H209" s="220" t="n">
        <v>16000</v>
      </c>
      <c r="I209" s="217" t="n">
        <v>12823.2</v>
      </c>
      <c r="J209" s="216" t="s">
        <v>409</v>
      </c>
      <c r="K209" s="216" t="s">
        <v>252</v>
      </c>
      <c r="L209" s="216" t="s">
        <v>781</v>
      </c>
      <c r="M209" s="189" t="s">
        <v>799</v>
      </c>
      <c r="N209" s="198"/>
      <c r="O209" s="216"/>
      <c r="P209" s="216"/>
      <c r="Q209" s="216"/>
      <c r="R209" s="216" t="s">
        <v>890</v>
      </c>
      <c r="S209" s="198"/>
      <c r="T209" s="216" t="s">
        <v>781</v>
      </c>
      <c r="U209" s="195" t="str">
        <f aca="false">Таблица310[[#This Row],[Регистратор.Номенклатура]]</f>
        <v>Преладо</v>
      </c>
      <c r="V209" s="230" t="n">
        <f aca="false">30*Таблица310[[#This Row],[Регистратор.Вес нетто]]/250190</f>
        <v>1.89935648906831</v>
      </c>
      <c r="W209" s="216" t="s">
        <v>323</v>
      </c>
      <c r="X209" s="216" t="s">
        <v>52</v>
      </c>
      <c r="Y209" s="198" t="n">
        <v>8</v>
      </c>
      <c r="Z209" s="221" t="n">
        <v>45814</v>
      </c>
      <c r="AA209" s="231" t="n">
        <f aca="false">Таблица310[[#This Row],[Регистратор.Вес нетто]]</f>
        <v>15840</v>
      </c>
      <c r="AB209" s="198" t="s">
        <v>608</v>
      </c>
      <c r="AC209" s="198" t="s">
        <v>302</v>
      </c>
      <c r="AD209" s="198" t="s">
        <v>417</v>
      </c>
      <c r="AE209" s="198" t="n">
        <v>305</v>
      </c>
      <c r="AF209" s="200" t="n">
        <v>45814</v>
      </c>
      <c r="AG209" s="198" t="s">
        <v>891</v>
      </c>
      <c r="AH209" s="198" t="n">
        <f aca="false">VLOOKUP(Таблица310[[#This Row],[№ акта]],'Степень зрелости 2025'!$H$13:$I$583,2,FALSE())</f>
        <v>0</v>
      </c>
      <c r="AI209" s="198" t="str">
        <f aca="false">VLOOKUP(Таблица310[[#This Row],[№ акта]],$AQ$1:$AT$594,2,FALSE())</f>
        <v>1/8.1</v>
      </c>
      <c r="AJ209" s="198" t="str">
        <f aca="false">Таблица310[[#This Row],[Регистратор.Номенклатура]]</f>
        <v>Преладо</v>
      </c>
      <c r="AK209" s="198" t="str">
        <f aca="false">VLOOKUP(Таблица310[[#This Row],[№ акта]],$AQ$1:$AT$594,4,FALSE())</f>
        <v>Учхоз Кубань (богара)</v>
      </c>
      <c r="AL209" s="230" t="n">
        <f aca="false">VLOOKUP(Таблица310[[#This Row],[№ акта]],$AQ$1:$AT$594,3,FALSE())</f>
        <v>1.89935648906831</v>
      </c>
      <c r="AM209" s="198" t="str">
        <f aca="false">IF(Таблица310[[#This Row],[Площадь уборки, га]]=Таблица310[[#This Row],[Площадь уборки до корр]],"нет","да")</f>
        <v>нет</v>
      </c>
      <c r="AN209" s="230" t="n">
        <f aca="false">Таблица310[[#This Row],[Площадь уборки до корр]]-Таблица310[[#This Row],[Площадь уборки, га]]</f>
        <v>0</v>
      </c>
      <c r="AQ209" s="0" t="n">
        <v>305</v>
      </c>
      <c r="AR209" s="0" t="s">
        <v>781</v>
      </c>
      <c r="AS209" s="0" t="n">
        <v>1.89935648906831</v>
      </c>
      <c r="AT209" s="0" t="s">
        <v>323</v>
      </c>
      <c r="XEM209" s="216"/>
      <c r="XEN209" s="217"/>
      <c r="XEO209" s="243"/>
      <c r="XEP209" s="218"/>
      <c r="XEQ209" s="244"/>
      <c r="XER209" s="217"/>
    </row>
    <row r="210" customFormat="false" ht="25.5" hidden="false" customHeight="true" outlineLevel="0" collapsed="false">
      <c r="A210" s="216"/>
      <c r="B210" s="217"/>
      <c r="C210" s="241" t="n">
        <f aca="false">Таблица310[[#This Row],[Степень зрелости вспом]]</f>
        <v>68</v>
      </c>
      <c r="D210" s="218" t="n">
        <v>306</v>
      </c>
      <c r="E210" s="219" t="n">
        <v>45817</v>
      </c>
      <c r="F210" s="217" t="n">
        <v>28400</v>
      </c>
      <c r="G210" s="217" t="n">
        <v>13470</v>
      </c>
      <c r="H210" s="220" t="n">
        <v>14930</v>
      </c>
      <c r="I210" s="217" t="n">
        <v>11382.1</v>
      </c>
      <c r="J210" s="216" t="s">
        <v>422</v>
      </c>
      <c r="K210" s="216" t="s">
        <v>252</v>
      </c>
      <c r="L210" s="216" t="s">
        <v>865</v>
      </c>
      <c r="M210" s="189" t="s">
        <v>48</v>
      </c>
      <c r="N210" s="198"/>
      <c r="O210" s="216"/>
      <c r="P210" s="216"/>
      <c r="Q210" s="216"/>
      <c r="R210" s="216" t="s">
        <v>49</v>
      </c>
      <c r="S210" s="198"/>
      <c r="T210" s="228" t="s">
        <v>865</v>
      </c>
      <c r="U210" s="195" t="str">
        <f aca="false">Таблица310[[#This Row],[Регистратор.Номенклатура]]</f>
        <v>Преладо</v>
      </c>
      <c r="V210" s="230" t="n">
        <f aca="false">79*Таблица310[[#This Row],[Регистратор.Вес нетто]]/100170</f>
        <v>10.623240491165</v>
      </c>
      <c r="W210" s="216" t="s">
        <v>51</v>
      </c>
      <c r="X210" s="216" t="s">
        <v>52</v>
      </c>
      <c r="Y210" s="198" t="n">
        <v>12</v>
      </c>
      <c r="Z210" s="221" t="n">
        <v>45817</v>
      </c>
      <c r="AA210" s="231"/>
      <c r="AB210" s="198" t="s">
        <v>877</v>
      </c>
      <c r="AC210" s="198" t="s">
        <v>305</v>
      </c>
      <c r="AD210" s="198" t="s">
        <v>746</v>
      </c>
      <c r="AE210" s="198" t="n">
        <v>306</v>
      </c>
      <c r="AF210" s="200" t="n">
        <v>45817</v>
      </c>
      <c r="AG210" s="198" t="n">
        <v>110</v>
      </c>
      <c r="AH210" s="198" t="n">
        <f aca="false">VLOOKUP(Таблица310[[#This Row],[№ акта]],'Степень зрелости 2025'!$H$13:$I$583,2,FALSE())</f>
        <v>68</v>
      </c>
      <c r="AI210" s="198" t="str">
        <f aca="false">VLOOKUP(Таблица310[[#This Row],[№ акта]],$AQ$1:$AT$594,2,FALSE())</f>
        <v>А-67</v>
      </c>
      <c r="AJ210" s="198" t="str">
        <f aca="false">Таблица310[[#This Row],[Регистратор.Номенклатура]]</f>
        <v>Преладо</v>
      </c>
      <c r="AK210" s="198" t="str">
        <f aca="false">VLOOKUP(Таблица310[[#This Row],[№ акта]],$AQ$1:$AT$594,4,FALSE())</f>
        <v>ГРК (богара)</v>
      </c>
      <c r="AL210" s="230" t="n">
        <f aca="false">VLOOKUP(Таблица310[[#This Row],[№ акта]],$AQ$1:$AT$594,3,FALSE())</f>
        <v>7.8514572118062</v>
      </c>
      <c r="AM210" s="198" t="str">
        <f aca="false">IF(Таблица310[[#This Row],[Площадь уборки, га]]=Таблица310[[#This Row],[Площадь уборки до корр]],"нет","да")</f>
        <v>да</v>
      </c>
      <c r="AN210" s="230" t="n">
        <f aca="false">Таблица310[[#This Row],[Площадь уборки до корр]]-Таблица310[[#This Row],[Площадь уборки, га]]</f>
        <v>-2.77178327935882</v>
      </c>
      <c r="AQ210" s="0" t="n">
        <v>306</v>
      </c>
      <c r="AR210" s="0" t="s">
        <v>865</v>
      </c>
      <c r="AS210" s="0" t="n">
        <v>7.8514572118062</v>
      </c>
      <c r="AT210" s="0" t="s">
        <v>51</v>
      </c>
      <c r="XEM210" s="216"/>
      <c r="XEN210" s="217"/>
      <c r="XEO210" s="243"/>
      <c r="XEP210" s="218"/>
      <c r="XEQ210" s="244"/>
      <c r="XER210" s="217"/>
    </row>
    <row r="211" customFormat="false" ht="25.5" hidden="false" customHeight="true" outlineLevel="0" collapsed="false">
      <c r="A211" s="216"/>
      <c r="B211" s="217"/>
      <c r="C211" s="241" t="n">
        <f aca="false">Таблица310[[#This Row],[Степень зрелости вспом]]</f>
        <v>69</v>
      </c>
      <c r="D211" s="218" t="n">
        <v>307</v>
      </c>
      <c r="E211" s="219" t="n">
        <v>45817</v>
      </c>
      <c r="F211" s="217" t="n">
        <v>23630</v>
      </c>
      <c r="G211" s="217" t="n">
        <v>9470</v>
      </c>
      <c r="H211" s="220" t="n">
        <v>14160</v>
      </c>
      <c r="I211" s="217" t="n">
        <v>8096.8</v>
      </c>
      <c r="J211" s="216" t="s">
        <v>422</v>
      </c>
      <c r="K211" s="216" t="s">
        <v>47</v>
      </c>
      <c r="L211" s="216" t="s">
        <v>885</v>
      </c>
      <c r="M211" s="189" t="s">
        <v>411</v>
      </c>
      <c r="N211" s="198"/>
      <c r="O211" s="216"/>
      <c r="P211" s="216"/>
      <c r="Q211" s="216"/>
      <c r="R211" s="216" t="s">
        <v>381</v>
      </c>
      <c r="S211" s="198"/>
      <c r="T211" s="228" t="s">
        <v>186</v>
      </c>
      <c r="U211" s="195" t="str">
        <f aca="false">Таблица310[[#This Row],[Регистратор.Номенклатура]]</f>
        <v>Авола</v>
      </c>
      <c r="V211" s="230" t="n">
        <f aca="false">18*Таблица310[[#This Row],[Регистратор.Вес нетто]]/46860</f>
        <v>3.63764404609475</v>
      </c>
      <c r="W211" s="216" t="s">
        <v>51</v>
      </c>
      <c r="X211" s="216" t="s">
        <v>52</v>
      </c>
      <c r="Y211" s="198" t="n">
        <v>12</v>
      </c>
      <c r="Z211" s="221" t="n">
        <v>45817</v>
      </c>
      <c r="AA211" s="231"/>
      <c r="AB211" s="198"/>
      <c r="AC211" s="198" t="s">
        <v>305</v>
      </c>
      <c r="AD211" s="198" t="s">
        <v>746</v>
      </c>
      <c r="AE211" s="198" t="n">
        <v>307</v>
      </c>
      <c r="AF211" s="200" t="n">
        <v>45817</v>
      </c>
      <c r="AG211" s="198" t="n">
        <v>111</v>
      </c>
      <c r="AH211" s="198" t="n">
        <f aca="false">VLOOKUP(Таблица310[[#This Row],[№ акта]],'Степень зрелости 2025'!$H$13:$I$583,2,FALSE())</f>
        <v>69</v>
      </c>
      <c r="AI211" s="198" t="str">
        <f aca="false">VLOOKUP(Таблица310[[#This Row],[№ акта]],$AQ$1:$AT$594,2,FALSE())</f>
        <v>А-54</v>
      </c>
      <c r="AJ211" s="198" t="str">
        <f aca="false">Таблица310[[#This Row],[Регистратор.Номенклатура]]</f>
        <v>Авола</v>
      </c>
      <c r="AK211" s="198" t="str">
        <f aca="false">VLOOKUP(Таблица310[[#This Row],[№ акта]],$AQ$1:$AT$594,4,FALSE())</f>
        <v>ГРК (богара)</v>
      </c>
      <c r="AL211" s="230" t="n">
        <f aca="false">VLOOKUP(Таблица310[[#This Row],[№ акта]],$AQ$1:$AT$594,3,FALSE())</f>
        <v>3.63764404609475</v>
      </c>
      <c r="AM211" s="198" t="str">
        <f aca="false">IF(Таблица310[[#This Row],[Площадь уборки, га]]=Таблица310[[#This Row],[Площадь уборки до корр]],"нет","да")</f>
        <v>нет</v>
      </c>
      <c r="AN211" s="230" t="n">
        <f aca="false">Таблица310[[#This Row],[Площадь уборки до корр]]-Таблица310[[#This Row],[Площадь уборки, га]]</f>
        <v>0</v>
      </c>
      <c r="AQ211" s="0" t="n">
        <v>307</v>
      </c>
      <c r="AR211" s="0" t="s">
        <v>186</v>
      </c>
      <c r="AS211" s="0" t="n">
        <v>3.63764404609475</v>
      </c>
      <c r="AT211" s="0" t="s">
        <v>51</v>
      </c>
      <c r="XEM211" s="216"/>
      <c r="XEN211" s="217"/>
      <c r="XEO211" s="243"/>
      <c r="XEP211" s="218"/>
      <c r="XEQ211" s="244"/>
      <c r="XER211" s="217"/>
    </row>
    <row r="212" customFormat="false" ht="25.5" hidden="false" customHeight="true" outlineLevel="0" collapsed="false">
      <c r="A212" s="216"/>
      <c r="B212" s="217"/>
      <c r="C212" s="241" t="n">
        <v>74</v>
      </c>
      <c r="D212" s="218" t="n">
        <v>308</v>
      </c>
      <c r="E212" s="219" t="n">
        <v>45817</v>
      </c>
      <c r="F212" s="217" t="n">
        <v>24450</v>
      </c>
      <c r="G212" s="217" t="n">
        <v>10540</v>
      </c>
      <c r="H212" s="220" t="n">
        <v>13910</v>
      </c>
      <c r="I212" s="217" t="n">
        <v>9327.9</v>
      </c>
      <c r="J212" s="216" t="s">
        <v>422</v>
      </c>
      <c r="K212" s="216" t="s">
        <v>47</v>
      </c>
      <c r="L212" s="216" t="s">
        <v>885</v>
      </c>
      <c r="M212" s="189" t="s">
        <v>359</v>
      </c>
      <c r="N212" s="198"/>
      <c r="O212" s="216"/>
      <c r="P212" s="216"/>
      <c r="Q212" s="216"/>
      <c r="R212" s="216" t="s">
        <v>426</v>
      </c>
      <c r="S212" s="198"/>
      <c r="T212" s="228" t="s">
        <v>186</v>
      </c>
      <c r="U212" s="195" t="str">
        <f aca="false">Таблица310[[#This Row],[Регистратор.Номенклатура]]</f>
        <v>Авола</v>
      </c>
      <c r="V212" s="230" t="n">
        <f aca="false">18*Таблица310[[#This Row],[Регистратор.Вес нетто]]/46860</f>
        <v>4.04865556978233</v>
      </c>
      <c r="W212" s="216" t="s">
        <v>51</v>
      </c>
      <c r="X212" s="216" t="s">
        <v>52</v>
      </c>
      <c r="Y212" s="198" t="n">
        <v>12</v>
      </c>
      <c r="Z212" s="221" t="n">
        <v>45817</v>
      </c>
      <c r="AA212" s="231"/>
      <c r="AB212" s="198"/>
      <c r="AC212" s="198" t="s">
        <v>305</v>
      </c>
      <c r="AD212" s="198" t="s">
        <v>886</v>
      </c>
      <c r="AE212" s="198" t="n">
        <v>308</v>
      </c>
      <c r="AF212" s="200" t="n">
        <v>45817</v>
      </c>
      <c r="AG212" s="198" t="n">
        <v>112</v>
      </c>
      <c r="AH212" s="198" t="n">
        <f aca="false">VLOOKUP(Таблица310[[#This Row],[№ акта]],'Степень зрелости 2025'!$H$13:$I$583,2,FALSE())</f>
        <v>74</v>
      </c>
      <c r="AI212" s="198" t="str">
        <f aca="false">VLOOKUP(Таблица310[[#This Row],[№ акта]],$AQ$1:$AT$594,2,FALSE())</f>
        <v>А-54</v>
      </c>
      <c r="AJ212" s="198" t="str">
        <f aca="false">Таблица310[[#This Row],[Регистратор.Номенклатура]]</f>
        <v>Авола</v>
      </c>
      <c r="AK212" s="198" t="str">
        <f aca="false">VLOOKUP(Таблица310[[#This Row],[№ акта]],$AQ$1:$AT$594,4,FALSE())</f>
        <v>ГРК (богара)</v>
      </c>
      <c r="AL212" s="230" t="n">
        <f aca="false">VLOOKUP(Таблица310[[#This Row],[№ акта]],$AQ$1:$AT$594,3,FALSE())</f>
        <v>4.04865556978233</v>
      </c>
      <c r="AM212" s="198" t="str">
        <f aca="false">IF(Таблица310[[#This Row],[Площадь уборки, га]]=Таблица310[[#This Row],[Площадь уборки до корр]],"нет","да")</f>
        <v>нет</v>
      </c>
      <c r="AN212" s="230" t="n">
        <f aca="false">Таблица310[[#This Row],[Площадь уборки до корр]]-Таблица310[[#This Row],[Площадь уборки, га]]</f>
        <v>0</v>
      </c>
      <c r="AQ212" s="0" t="n">
        <v>308</v>
      </c>
      <c r="AR212" s="0" t="s">
        <v>186</v>
      </c>
      <c r="AS212" s="0" t="n">
        <v>4.04865556978233</v>
      </c>
      <c r="AT212" s="0" t="s">
        <v>51</v>
      </c>
      <c r="XEM212" s="216"/>
      <c r="XEN212" s="217"/>
      <c r="XEO212" s="243"/>
      <c r="XEP212" s="218"/>
      <c r="XEQ212" s="244"/>
      <c r="XER212" s="217"/>
    </row>
    <row r="213" customFormat="false" ht="25.5" hidden="false" customHeight="true" outlineLevel="0" collapsed="false">
      <c r="A213" s="216"/>
      <c r="B213" s="217"/>
      <c r="C213" s="241" t="n">
        <f aca="false">Таблица310[[#This Row],[Степень зрелости вспом]]</f>
        <v>68</v>
      </c>
      <c r="D213" s="218" t="n">
        <v>309</v>
      </c>
      <c r="E213" s="219" t="n">
        <v>45817</v>
      </c>
      <c r="F213" s="217" t="n">
        <v>28260</v>
      </c>
      <c r="G213" s="217" t="n">
        <v>13540</v>
      </c>
      <c r="H213" s="220" t="n">
        <v>14720</v>
      </c>
      <c r="I213" s="217" t="n">
        <v>11035.1</v>
      </c>
      <c r="J213" s="216" t="s">
        <v>422</v>
      </c>
      <c r="K213" s="216" t="s">
        <v>252</v>
      </c>
      <c r="L213" s="216" t="s">
        <v>865</v>
      </c>
      <c r="M213" s="189" t="s">
        <v>55</v>
      </c>
      <c r="N213" s="198"/>
      <c r="O213" s="216"/>
      <c r="P213" s="216"/>
      <c r="Q213" s="216"/>
      <c r="R213" s="216" t="s">
        <v>56</v>
      </c>
      <c r="S213" s="198"/>
      <c r="T213" s="228" t="s">
        <v>865</v>
      </c>
      <c r="U213" s="195" t="str">
        <f aca="false">Таблица310[[#This Row],[Регистратор.Номенклатура]]</f>
        <v>Преладо</v>
      </c>
      <c r="V213" s="230" t="n">
        <f aca="false">79*Таблица310[[#This Row],[Регистратор.Вес нетто]]/100170</f>
        <v>10.6784466407108</v>
      </c>
      <c r="W213" s="216" t="s">
        <v>51</v>
      </c>
      <c r="X213" s="216" t="s">
        <v>52</v>
      </c>
      <c r="Y213" s="198" t="n">
        <v>12</v>
      </c>
      <c r="Z213" s="221" t="n">
        <v>45817</v>
      </c>
      <c r="AA213" s="231"/>
      <c r="AB213" s="198" t="s">
        <v>877</v>
      </c>
      <c r="AC213" s="198" t="s">
        <v>305</v>
      </c>
      <c r="AD213" s="198" t="s">
        <v>746</v>
      </c>
      <c r="AE213" s="198" t="n">
        <v>309</v>
      </c>
      <c r="AF213" s="200" t="n">
        <v>45817</v>
      </c>
      <c r="AG213" s="198" t="n">
        <v>106</v>
      </c>
      <c r="AH213" s="198" t="n">
        <f aca="false">VLOOKUP(Таблица310[[#This Row],[№ акта]],'Степень зрелости 2025'!$H$13:$I$583,2,FALSE())</f>
        <v>68</v>
      </c>
      <c r="AI213" s="198" t="str">
        <f aca="false">VLOOKUP(Таблица310[[#This Row],[№ акта]],$AQ$1:$AT$594,2,FALSE())</f>
        <v>А-67</v>
      </c>
      <c r="AJ213" s="198" t="str">
        <f aca="false">Таблица310[[#This Row],[Регистратор.Номенклатура]]</f>
        <v>Преладо</v>
      </c>
      <c r="AK213" s="198" t="str">
        <f aca="false">VLOOKUP(Таблица310[[#This Row],[№ акта]],$AQ$1:$AT$594,4,FALSE())</f>
        <v>ГРК (богара)</v>
      </c>
      <c r="AL213" s="230" t="n">
        <f aca="false">VLOOKUP(Таблица310[[#This Row],[№ акта]],$AQ$1:$AT$594,3,FALSE())</f>
        <v>7.8922591423798</v>
      </c>
      <c r="AM213" s="198" t="str">
        <f aca="false">IF(Таблица310[[#This Row],[Площадь уборки, га]]=Таблица310[[#This Row],[Площадь уборки до корр]],"нет","да")</f>
        <v>да</v>
      </c>
      <c r="AN213" s="230" t="n">
        <f aca="false">Таблица310[[#This Row],[Площадь уборки до корр]]-Таблица310[[#This Row],[Площадь уборки, га]]</f>
        <v>-2.78618749833099</v>
      </c>
      <c r="AQ213" s="0" t="n">
        <v>309</v>
      </c>
      <c r="AR213" s="0" t="s">
        <v>865</v>
      </c>
      <c r="AS213" s="0" t="n">
        <v>7.8922591423798</v>
      </c>
      <c r="AT213" s="0" t="s">
        <v>51</v>
      </c>
      <c r="XEM213" s="216"/>
      <c r="XEN213" s="217"/>
      <c r="XEO213" s="243"/>
      <c r="XEP213" s="218"/>
      <c r="XEQ213" s="244"/>
      <c r="XER213" s="217"/>
    </row>
    <row r="214" customFormat="false" ht="25.5" hidden="false" customHeight="true" outlineLevel="0" collapsed="false">
      <c r="A214" s="216"/>
      <c r="B214" s="217"/>
      <c r="C214" s="241" t="n">
        <f aca="false">Таблица310[[#This Row],[Степень зрелости вспом]]</f>
        <v>68</v>
      </c>
      <c r="D214" s="218" t="n">
        <v>310</v>
      </c>
      <c r="E214" s="219" t="n">
        <v>45818</v>
      </c>
      <c r="F214" s="217" t="n">
        <v>31620</v>
      </c>
      <c r="G214" s="217" t="n">
        <v>17140</v>
      </c>
      <c r="H214" s="220" t="n">
        <v>14480</v>
      </c>
      <c r="I214" s="217" t="n">
        <v>15083.2</v>
      </c>
      <c r="J214" s="216" t="s">
        <v>422</v>
      </c>
      <c r="K214" s="216" t="s">
        <v>252</v>
      </c>
      <c r="L214" s="216" t="s">
        <v>870</v>
      </c>
      <c r="M214" s="189" t="s">
        <v>384</v>
      </c>
      <c r="N214" s="198"/>
      <c r="O214" s="216"/>
      <c r="P214" s="216"/>
      <c r="Q214" s="216"/>
      <c r="R214" s="216" t="s">
        <v>385</v>
      </c>
      <c r="S214" s="198"/>
      <c r="T214" s="228" t="s">
        <v>870</v>
      </c>
      <c r="U214" s="195" t="str">
        <f aca="false">Таблица310[[#This Row],[Регистратор.Номенклатура]]</f>
        <v>Преладо</v>
      </c>
      <c r="V214" s="230" t="n">
        <v>7.6</v>
      </c>
      <c r="W214" s="216" t="s">
        <v>51</v>
      </c>
      <c r="X214" s="216" t="s">
        <v>52</v>
      </c>
      <c r="Y214" s="198" t="n">
        <v>13</v>
      </c>
      <c r="Z214" s="221" t="n">
        <v>45818</v>
      </c>
      <c r="AA214" s="198"/>
      <c r="AB214" s="198" t="s">
        <v>892</v>
      </c>
      <c r="AC214" s="198" t="s">
        <v>305</v>
      </c>
      <c r="AD214" s="198" t="s">
        <v>746</v>
      </c>
      <c r="AE214" s="198" t="n">
        <v>310</v>
      </c>
      <c r="AF214" s="200" t="n">
        <v>45818</v>
      </c>
      <c r="AG214" s="198" t="n">
        <v>114</v>
      </c>
      <c r="AH214" s="198" t="n">
        <f aca="false">VLOOKUP(Таблица310[[#This Row],[№ акта]],'Степень зрелости 2025'!$H$13:$I$583,2,FALSE())</f>
        <v>68</v>
      </c>
      <c r="AI214" s="198" t="str">
        <f aca="false">VLOOKUP(Таблица310[[#This Row],[№ акта]],$AQ$1:$AT$594,2,FALSE())</f>
        <v>А-66</v>
      </c>
      <c r="AJ214" s="198" t="str">
        <f aca="false">Таблица310[[#This Row],[Регистратор.Номенклатура]]</f>
        <v>Преладо</v>
      </c>
      <c r="AK214" s="198" t="str">
        <f aca="false">VLOOKUP(Таблица310[[#This Row],[№ акта]],$AQ$1:$AT$594,4,FALSE())</f>
        <v>ГРК (богара)</v>
      </c>
      <c r="AL214" s="230" t="n">
        <f aca="false">VLOOKUP(Таблица310[[#This Row],[№ акта]],$AQ$1:$AT$594,3,FALSE())</f>
        <v>7.58407079646018</v>
      </c>
      <c r="AM214" s="198" t="str">
        <f aca="false">IF(Таблица310[[#This Row],[Площадь уборки, га]]=Таблица310[[#This Row],[Площадь уборки до корр]],"нет","да")</f>
        <v>да</v>
      </c>
      <c r="AN214" s="230" t="n">
        <f aca="false">Таблица310[[#This Row],[Площадь уборки до корр]]-Таблица310[[#This Row],[Площадь уборки, га]]</f>
        <v>-0.0159292035398231</v>
      </c>
      <c r="AQ214" s="0" t="n">
        <v>310</v>
      </c>
      <c r="AR214" s="0" t="s">
        <v>870</v>
      </c>
      <c r="AS214" s="0" t="n">
        <v>7.58407079646018</v>
      </c>
      <c r="AT214" s="0" t="s">
        <v>51</v>
      </c>
      <c r="XEM214" s="216"/>
      <c r="XEN214" s="217"/>
      <c r="XEO214" s="243"/>
      <c r="XEP214" s="218"/>
      <c r="XEQ214" s="244"/>
      <c r="XER214" s="217"/>
    </row>
    <row r="215" customFormat="false" ht="25.5" hidden="false" customHeight="true" outlineLevel="0" collapsed="false">
      <c r="A215" s="216"/>
      <c r="B215" s="217"/>
      <c r="C215" s="241" t="n">
        <f aca="false">Таблица310[[#This Row],[Степень зрелости вспом]]</f>
        <v>50</v>
      </c>
      <c r="D215" s="218" t="n">
        <v>311</v>
      </c>
      <c r="E215" s="219" t="n">
        <v>45818</v>
      </c>
      <c r="F215" s="217" t="n">
        <v>32670</v>
      </c>
      <c r="G215" s="217" t="n">
        <v>17970</v>
      </c>
      <c r="H215" s="220" t="n">
        <v>14700</v>
      </c>
      <c r="I215" s="217" t="n">
        <v>15094.8</v>
      </c>
      <c r="J215" s="216" t="s">
        <v>422</v>
      </c>
      <c r="K215" s="216" t="s">
        <v>893</v>
      </c>
      <c r="L215" s="216" t="s">
        <v>873</v>
      </c>
      <c r="M215" s="189" t="s">
        <v>361</v>
      </c>
      <c r="N215" s="198"/>
      <c r="O215" s="216"/>
      <c r="P215" s="216"/>
      <c r="Q215" s="216"/>
      <c r="R215" s="216" t="s">
        <v>362</v>
      </c>
      <c r="S215" s="198"/>
      <c r="T215" s="228" t="s">
        <v>874</v>
      </c>
      <c r="U215" s="195" t="str">
        <f aca="false">Таблица310[[#This Row],[Регистратор.Номенклатура]]</f>
        <v>Маяк</v>
      </c>
      <c r="V215" s="230" t="n">
        <v>4</v>
      </c>
      <c r="W215" s="216" t="s">
        <v>325</v>
      </c>
      <c r="X215" s="216" t="s">
        <v>52</v>
      </c>
      <c r="Y215" s="198" t="n">
        <v>13</v>
      </c>
      <c r="Z215" s="221" t="n">
        <v>45818</v>
      </c>
      <c r="AA215" s="198"/>
      <c r="AB215" s="198"/>
      <c r="AC215" s="198" t="s">
        <v>53</v>
      </c>
      <c r="AD215" s="198" t="s">
        <v>417</v>
      </c>
      <c r="AE215" s="198" t="n">
        <v>311</v>
      </c>
      <c r="AF215" s="200" t="n">
        <v>45818</v>
      </c>
      <c r="AG215" s="198" t="n">
        <v>115</v>
      </c>
      <c r="AH215" s="198" t="n">
        <f aca="false">VLOOKUP(Таблица310[[#This Row],[№ акта]],'Степень зрелости 2025'!$H$13:$I$583,2,FALSE())</f>
        <v>50</v>
      </c>
      <c r="AI215" s="198" t="str">
        <f aca="false">VLOOKUP(Таблица310[[#This Row],[№ акта]],$AQ$1:$AT$594,2,FALSE())</f>
        <v>А-51</v>
      </c>
      <c r="AJ215" s="198" t="str">
        <f aca="false">Таблица310[[#This Row],[Регистратор.Номенклатура]]</f>
        <v>Маяк</v>
      </c>
      <c r="AK215" s="198" t="str">
        <f aca="false">VLOOKUP(Таблица310[[#This Row],[№ акта]],$AQ$1:$AT$594,4,FALSE())</f>
        <v>ГРК демо (богара)</v>
      </c>
      <c r="AL215" s="230" t="n">
        <f aca="false">VLOOKUP(Таблица310[[#This Row],[№ акта]],$AQ$1:$AT$594,3,FALSE())</f>
        <v>4</v>
      </c>
      <c r="AM215" s="198" t="str">
        <f aca="false">IF(Таблица310[[#This Row],[Площадь уборки, га]]=Таблица310[[#This Row],[Площадь уборки до корр]],"нет","да")</f>
        <v>нет</v>
      </c>
      <c r="AN215" s="230" t="n">
        <f aca="false">Таблица310[[#This Row],[Площадь уборки до корр]]-Таблица310[[#This Row],[Площадь уборки, га]]</f>
        <v>0</v>
      </c>
      <c r="AQ215" s="0" t="n">
        <v>311</v>
      </c>
      <c r="AR215" s="0" t="s">
        <v>874</v>
      </c>
      <c r="AS215" s="0" t="n">
        <v>4</v>
      </c>
      <c r="AT215" s="0" t="s">
        <v>325</v>
      </c>
      <c r="XEM215" s="216"/>
      <c r="XEN215" s="217"/>
      <c r="XEO215" s="243"/>
      <c r="XEP215" s="218"/>
      <c r="XEQ215" s="244"/>
      <c r="XER215" s="217"/>
    </row>
    <row r="216" customFormat="false" ht="25.5" hidden="false" customHeight="true" outlineLevel="0" collapsed="false">
      <c r="A216" s="216"/>
      <c r="B216" s="217"/>
      <c r="C216" s="241" t="n">
        <f aca="false">Таблица310[[#This Row],[Степень зрелости вспом]]</f>
        <v>70</v>
      </c>
      <c r="D216" s="218" t="n">
        <v>312</v>
      </c>
      <c r="E216" s="219" t="n">
        <v>45818</v>
      </c>
      <c r="F216" s="217" t="n">
        <v>24440</v>
      </c>
      <c r="G216" s="217" t="n">
        <v>9980</v>
      </c>
      <c r="H216" s="220" t="n">
        <v>14460</v>
      </c>
      <c r="I216" s="217" t="n">
        <v>9131.7</v>
      </c>
      <c r="J216" s="216" t="s">
        <v>422</v>
      </c>
      <c r="K216" s="216" t="s">
        <v>252</v>
      </c>
      <c r="L216" s="216" t="s">
        <v>870</v>
      </c>
      <c r="M216" s="189" t="s">
        <v>384</v>
      </c>
      <c r="N216" s="198"/>
      <c r="O216" s="216"/>
      <c r="P216" s="216"/>
      <c r="Q216" s="216"/>
      <c r="R216" s="216" t="s">
        <v>385</v>
      </c>
      <c r="S216" s="198"/>
      <c r="T216" s="228" t="s">
        <v>870</v>
      </c>
      <c r="U216" s="195" t="str">
        <f aca="false">Таблица310[[#This Row],[Регистратор.Номенклатура]]</f>
        <v>Преладо</v>
      </c>
      <c r="V216" s="230" t="n">
        <v>4.4</v>
      </c>
      <c r="W216" s="216" t="s">
        <v>51</v>
      </c>
      <c r="X216" s="216" t="s">
        <v>52</v>
      </c>
      <c r="Y216" s="198" t="n">
        <v>13</v>
      </c>
      <c r="Z216" s="221" t="n">
        <v>45818</v>
      </c>
      <c r="AA216" s="198"/>
      <c r="AB216" s="198" t="s">
        <v>892</v>
      </c>
      <c r="AC216" s="198" t="s">
        <v>305</v>
      </c>
      <c r="AD216" s="198" t="s">
        <v>746</v>
      </c>
      <c r="AE216" s="198" t="n">
        <v>312</v>
      </c>
      <c r="AF216" s="200" t="n">
        <v>45818</v>
      </c>
      <c r="AG216" s="198" t="n">
        <v>116</v>
      </c>
      <c r="AH216" s="198" t="n">
        <f aca="false">VLOOKUP(Таблица310[[#This Row],[№ акта]],'Степень зрелости 2025'!$H$13:$I$583,2,FALSE())</f>
        <v>70</v>
      </c>
      <c r="AI216" s="198" t="str">
        <f aca="false">VLOOKUP(Таблица310[[#This Row],[№ акта]],$AQ$1:$AT$594,2,FALSE())</f>
        <v>А-66</v>
      </c>
      <c r="AJ216" s="198" t="str">
        <f aca="false">Таблица310[[#This Row],[Регистратор.Номенклатура]]</f>
        <v>Преладо</v>
      </c>
      <c r="AK216" s="198" t="str">
        <f aca="false">VLOOKUP(Таблица310[[#This Row],[№ акта]],$AQ$1:$AT$594,4,FALSE())</f>
        <v>ГРК (богара)</v>
      </c>
      <c r="AL216" s="230" t="n">
        <f aca="false">VLOOKUP(Таблица310[[#This Row],[№ акта]],$AQ$1:$AT$594,3,FALSE())</f>
        <v>4.41592920353982</v>
      </c>
      <c r="AM216" s="198" t="str">
        <f aca="false">IF(Таблица310[[#This Row],[Площадь уборки, га]]=Таблица310[[#This Row],[Площадь уборки до корр]],"нет","да")</f>
        <v>да</v>
      </c>
      <c r="AN216" s="230" t="n">
        <f aca="false">Таблица310[[#This Row],[Площадь уборки до корр]]-Таблица310[[#This Row],[Площадь уборки, га]]</f>
        <v>0.0159292035398231</v>
      </c>
      <c r="AQ216" s="0" t="n">
        <v>312</v>
      </c>
      <c r="AR216" s="0" t="s">
        <v>870</v>
      </c>
      <c r="AS216" s="0" t="n">
        <v>4.41592920353982</v>
      </c>
      <c r="AT216" s="0" t="s">
        <v>51</v>
      </c>
      <c r="XEM216" s="216"/>
      <c r="XEN216" s="217"/>
      <c r="XEO216" s="243"/>
      <c r="XEP216" s="218"/>
      <c r="XEQ216" s="244"/>
      <c r="XER216" s="217"/>
    </row>
    <row r="217" customFormat="false" ht="25.5" hidden="false" customHeight="true" outlineLevel="0" collapsed="false">
      <c r="A217" s="216"/>
      <c r="B217" s="217"/>
      <c r="C217" s="241" t="n">
        <f aca="false">Таблица310[[#This Row],[Степень зрелости вспом]]</f>
        <v>52</v>
      </c>
      <c r="D217" s="218" t="n">
        <v>313</v>
      </c>
      <c r="E217" s="219" t="n">
        <v>45818</v>
      </c>
      <c r="F217" s="217" t="n">
        <v>25900</v>
      </c>
      <c r="G217" s="217" t="n">
        <v>11040</v>
      </c>
      <c r="H217" s="220" t="n">
        <v>14860</v>
      </c>
      <c r="I217" s="217" t="n">
        <v>8776.8</v>
      </c>
      <c r="J217" s="216" t="s">
        <v>422</v>
      </c>
      <c r="K217" s="216" t="s">
        <v>894</v>
      </c>
      <c r="L217" s="216" t="s">
        <v>873</v>
      </c>
      <c r="M217" s="189" t="s">
        <v>382</v>
      </c>
      <c r="N217" s="198"/>
      <c r="O217" s="216"/>
      <c r="P217" s="216"/>
      <c r="Q217" s="216"/>
      <c r="R217" s="216" t="s">
        <v>383</v>
      </c>
      <c r="S217" s="198"/>
      <c r="T217" s="228" t="s">
        <v>874</v>
      </c>
      <c r="U217" s="195" t="str">
        <f aca="false">Таблица310[[#This Row],[Регистратор.Номенклатура]]</f>
        <v>Веста</v>
      </c>
      <c r="V217" s="230" t="n">
        <v>4</v>
      </c>
      <c r="W217" s="216" t="s">
        <v>325</v>
      </c>
      <c r="X217" s="216" t="s">
        <v>52</v>
      </c>
      <c r="Y217" s="198" t="n">
        <v>13</v>
      </c>
      <c r="Z217" s="221" t="n">
        <v>45818</v>
      </c>
      <c r="AA217" s="198"/>
      <c r="AB217" s="198"/>
      <c r="AC217" s="198" t="s">
        <v>53</v>
      </c>
      <c r="AD217" s="198" t="s">
        <v>417</v>
      </c>
      <c r="AE217" s="198" t="n">
        <v>313</v>
      </c>
      <c r="AF217" s="200" t="n">
        <v>45818</v>
      </c>
      <c r="AG217" s="198" t="n">
        <v>117</v>
      </c>
      <c r="AH217" s="198" t="n">
        <f aca="false">VLOOKUP(Таблица310[[#This Row],[№ акта]],'Степень зрелости 2025'!$H$13:$I$583,2,FALSE())</f>
        <v>52</v>
      </c>
      <c r="AI217" s="198" t="str">
        <f aca="false">VLOOKUP(Таблица310[[#This Row],[№ акта]],$AQ$1:$AT$594,2,FALSE())</f>
        <v>А-51</v>
      </c>
      <c r="AJ217" s="198" t="str">
        <f aca="false">Таблица310[[#This Row],[Регистратор.Номенклатура]]</f>
        <v>Веста</v>
      </c>
      <c r="AK217" s="198" t="str">
        <f aca="false">VLOOKUP(Таблица310[[#This Row],[№ акта]],$AQ$1:$AT$594,4,FALSE())</f>
        <v>ГРК демо (богара)</v>
      </c>
      <c r="AL217" s="230" t="n">
        <f aca="false">VLOOKUP(Таблица310[[#This Row],[№ акта]],$AQ$1:$AT$594,3,FALSE())</f>
        <v>4</v>
      </c>
      <c r="AM217" s="198" t="str">
        <f aca="false">IF(Таблица310[[#This Row],[Площадь уборки, га]]=Таблица310[[#This Row],[Площадь уборки до корр]],"нет","да")</f>
        <v>нет</v>
      </c>
      <c r="AN217" s="230" t="n">
        <f aca="false">Таблица310[[#This Row],[Площадь уборки до корр]]-Таблица310[[#This Row],[Площадь уборки, га]]</f>
        <v>0</v>
      </c>
      <c r="AQ217" s="0" t="n">
        <v>313</v>
      </c>
      <c r="AR217" s="0" t="s">
        <v>874</v>
      </c>
      <c r="AS217" s="0" t="n">
        <v>4</v>
      </c>
      <c r="AT217" s="0" t="s">
        <v>325</v>
      </c>
      <c r="XEM217" s="216"/>
      <c r="XEN217" s="217"/>
      <c r="XEO217" s="243"/>
      <c r="XEP217" s="218"/>
      <c r="XEQ217" s="244"/>
      <c r="XER217" s="217"/>
    </row>
    <row r="218" customFormat="false" ht="25.5" hidden="false" customHeight="true" outlineLevel="0" collapsed="false">
      <c r="A218" s="216"/>
      <c r="B218" s="217"/>
      <c r="C218" s="241" t="n">
        <f aca="false">Таблица310[[#This Row],[Степень зрелости вспом]]</f>
        <v>45</v>
      </c>
      <c r="D218" s="218" t="n">
        <v>314</v>
      </c>
      <c r="E218" s="219" t="n">
        <v>45818</v>
      </c>
      <c r="F218" s="217" t="n">
        <v>23280</v>
      </c>
      <c r="G218" s="217" t="n">
        <v>4400</v>
      </c>
      <c r="H218" s="220" t="n">
        <v>18880</v>
      </c>
      <c r="I218" s="217" t="n">
        <v>3850</v>
      </c>
      <c r="J218" s="216" t="s">
        <v>422</v>
      </c>
      <c r="K218" s="216" t="s">
        <v>895</v>
      </c>
      <c r="L218" s="216" t="s">
        <v>873</v>
      </c>
      <c r="M218" s="189" t="s">
        <v>376</v>
      </c>
      <c r="N218" s="198"/>
      <c r="O218" s="216"/>
      <c r="P218" s="216"/>
      <c r="Q218" s="216"/>
      <c r="R218" s="216" t="s">
        <v>377</v>
      </c>
      <c r="S218" s="198"/>
      <c r="T218" s="228" t="s">
        <v>874</v>
      </c>
      <c r="U218" s="195" t="str">
        <f aca="false">Таблица310[[#This Row],[Регистратор.Номенклатура]]</f>
        <v>Беркут</v>
      </c>
      <c r="V218" s="230" t="n">
        <v>2</v>
      </c>
      <c r="W218" s="216" t="s">
        <v>325</v>
      </c>
      <c r="X218" s="216" t="s">
        <v>52</v>
      </c>
      <c r="Y218" s="198" t="n">
        <v>13</v>
      </c>
      <c r="Z218" s="221" t="n">
        <v>45818</v>
      </c>
      <c r="AA218" s="198"/>
      <c r="AB218" s="198"/>
      <c r="AC218" s="198" t="s">
        <v>53</v>
      </c>
      <c r="AD218" s="198" t="s">
        <v>417</v>
      </c>
      <c r="AE218" s="198" t="n">
        <v>314</v>
      </c>
      <c r="AF218" s="200" t="n">
        <v>45818</v>
      </c>
      <c r="AG218" s="198" t="n">
        <v>118</v>
      </c>
      <c r="AH218" s="198" t="n">
        <f aca="false">VLOOKUP(Таблица310[[#This Row],[№ акта]],'Степень зрелости 2025'!$H$13:$I$583,2,FALSE())</f>
        <v>45</v>
      </c>
      <c r="AI218" s="198" t="str">
        <f aca="false">VLOOKUP(Таблица310[[#This Row],[№ акта]],$AQ$1:$AT$594,2,FALSE())</f>
        <v>А-51</v>
      </c>
      <c r="AJ218" s="198" t="str">
        <f aca="false">Таблица310[[#This Row],[Регистратор.Номенклатура]]</f>
        <v>Беркут</v>
      </c>
      <c r="AK218" s="198" t="str">
        <f aca="false">VLOOKUP(Таблица310[[#This Row],[№ акта]],$AQ$1:$AT$594,4,FALSE())</f>
        <v>ГРК демо (богара)</v>
      </c>
      <c r="AL218" s="230" t="n">
        <f aca="false">VLOOKUP(Таблица310[[#This Row],[№ акта]],$AQ$1:$AT$594,3,FALSE())</f>
        <v>2</v>
      </c>
      <c r="AM218" s="198" t="str">
        <f aca="false">IF(Таблица310[[#This Row],[Площадь уборки, га]]=Таблица310[[#This Row],[Площадь уборки до корр]],"нет","да")</f>
        <v>нет</v>
      </c>
      <c r="AN218" s="230" t="n">
        <f aca="false">Таблица310[[#This Row],[Площадь уборки до корр]]-Таблица310[[#This Row],[Площадь уборки, га]]</f>
        <v>0</v>
      </c>
      <c r="AQ218" s="0" t="n">
        <v>314</v>
      </c>
      <c r="AR218" s="0" t="s">
        <v>874</v>
      </c>
      <c r="AS218" s="0" t="n">
        <v>2</v>
      </c>
      <c r="AT218" s="0" t="s">
        <v>325</v>
      </c>
      <c r="XEM218" s="216"/>
      <c r="XEN218" s="217"/>
      <c r="XEO218" s="243"/>
      <c r="XEP218" s="218"/>
      <c r="XEQ218" s="244"/>
      <c r="XER218" s="217"/>
    </row>
    <row r="219" customFormat="false" ht="25.5" hidden="false" customHeight="true" outlineLevel="0" collapsed="false">
      <c r="A219" s="216"/>
      <c r="B219" s="217"/>
      <c r="C219" s="241" t="n">
        <f aca="false">Таблица310[[#This Row],[Степень зрелости вспом]]</f>
        <v>59</v>
      </c>
      <c r="D219" s="218" t="n">
        <v>315</v>
      </c>
      <c r="E219" s="219" t="n">
        <v>45818</v>
      </c>
      <c r="F219" s="217" t="n">
        <v>18880</v>
      </c>
      <c r="G219" s="217" t="n">
        <v>4590</v>
      </c>
      <c r="H219" s="220" t="n">
        <v>14290</v>
      </c>
      <c r="I219" s="217" t="n">
        <v>3235.9</v>
      </c>
      <c r="J219" s="216" t="s">
        <v>422</v>
      </c>
      <c r="K219" s="216" t="s">
        <v>894</v>
      </c>
      <c r="L219" s="216" t="s">
        <v>873</v>
      </c>
      <c r="M219" s="189" t="s">
        <v>376</v>
      </c>
      <c r="N219" s="198"/>
      <c r="O219" s="216"/>
      <c r="P219" s="216"/>
      <c r="Q219" s="216"/>
      <c r="R219" s="216" t="s">
        <v>377</v>
      </c>
      <c r="S219" s="198"/>
      <c r="T219" s="228" t="s">
        <v>874</v>
      </c>
      <c r="U219" s="195" t="str">
        <f aca="false">Таблица310[[#This Row],[Регистратор.Номенклатура]]</f>
        <v>Веста</v>
      </c>
      <c r="V219" s="230" t="n">
        <v>4</v>
      </c>
      <c r="W219" s="216" t="s">
        <v>325</v>
      </c>
      <c r="X219" s="216" t="s">
        <v>52</v>
      </c>
      <c r="Y219" s="198" t="n">
        <v>13</v>
      </c>
      <c r="Z219" s="221" t="n">
        <v>45818</v>
      </c>
      <c r="AA219" s="198"/>
      <c r="AB219" s="198"/>
      <c r="AC219" s="198" t="s">
        <v>302</v>
      </c>
      <c r="AD219" s="198" t="s">
        <v>417</v>
      </c>
      <c r="AE219" s="198" t="n">
        <v>315</v>
      </c>
      <c r="AF219" s="200" t="n">
        <v>45818</v>
      </c>
      <c r="AG219" s="198" t="n">
        <v>118</v>
      </c>
      <c r="AH219" s="198" t="n">
        <f aca="false">VLOOKUP(Таблица310[[#This Row],[№ акта]],'Степень зрелости 2025'!$H$13:$I$583,2,FALSE())</f>
        <v>59</v>
      </c>
      <c r="AI219" s="198" t="str">
        <f aca="false">VLOOKUP(Таблица310[[#This Row],[№ акта]],$AQ$1:$AT$594,2,FALSE())</f>
        <v>А-51</v>
      </c>
      <c r="AJ219" s="198" t="str">
        <f aca="false">Таблица310[[#This Row],[Регистратор.Номенклатура]]</f>
        <v>Веста</v>
      </c>
      <c r="AK219" s="198" t="str">
        <f aca="false">VLOOKUP(Таблица310[[#This Row],[№ акта]],$AQ$1:$AT$594,4,FALSE())</f>
        <v>ГРК демо (богара)</v>
      </c>
      <c r="AL219" s="230" t="n">
        <f aca="false">VLOOKUP(Таблица310[[#This Row],[№ акта]],$AQ$1:$AT$594,3,FALSE())</f>
        <v>4</v>
      </c>
      <c r="AM219" s="198" t="str">
        <f aca="false">IF(Таблица310[[#This Row],[Площадь уборки, га]]=Таблица310[[#This Row],[Площадь уборки до корр]],"нет","да")</f>
        <v>нет</v>
      </c>
      <c r="AN219" s="230" t="n">
        <f aca="false">Таблица310[[#This Row],[Площадь уборки до корр]]-Таблица310[[#This Row],[Площадь уборки, га]]</f>
        <v>0</v>
      </c>
      <c r="AQ219" s="0" t="n">
        <v>315</v>
      </c>
      <c r="AR219" s="0" t="s">
        <v>874</v>
      </c>
      <c r="AS219" s="0" t="n">
        <v>4</v>
      </c>
      <c r="AT219" s="0" t="s">
        <v>325</v>
      </c>
      <c r="XEM219" s="216"/>
      <c r="XEN219" s="217"/>
      <c r="XEO219" s="243"/>
      <c r="XEP219" s="218"/>
      <c r="XEQ219" s="244"/>
      <c r="XER219" s="217"/>
    </row>
    <row r="220" customFormat="false" ht="25.5" hidden="false" customHeight="true" outlineLevel="0" collapsed="false">
      <c r="A220" s="216"/>
      <c r="B220" s="217"/>
      <c r="C220" s="241" t="n">
        <f aca="false">Таблица310[[#This Row],[Степень зрелости вспом]]</f>
        <v>65</v>
      </c>
      <c r="D220" s="218" t="n">
        <v>316</v>
      </c>
      <c r="E220" s="219" t="n">
        <v>45818</v>
      </c>
      <c r="F220" s="217" t="n">
        <v>28700</v>
      </c>
      <c r="G220" s="217" t="n">
        <v>14020</v>
      </c>
      <c r="H220" s="220" t="n">
        <v>14680</v>
      </c>
      <c r="I220" s="217" t="n">
        <v>12618</v>
      </c>
      <c r="J220" s="216" t="s">
        <v>422</v>
      </c>
      <c r="K220" s="216" t="s">
        <v>68</v>
      </c>
      <c r="L220" s="216" t="s">
        <v>896</v>
      </c>
      <c r="M220" s="189" t="s">
        <v>361</v>
      </c>
      <c r="N220" s="198"/>
      <c r="O220" s="216"/>
      <c r="P220" s="216"/>
      <c r="Q220" s="216"/>
      <c r="R220" s="216" t="s">
        <v>362</v>
      </c>
      <c r="S220" s="198"/>
      <c r="T220" s="228" t="s">
        <v>186</v>
      </c>
      <c r="U220" s="195" t="str">
        <f aca="false">Таблица310[[#This Row],[Регистратор.Номенклатура]]</f>
        <v>Увертюра</v>
      </c>
      <c r="V220" s="230" t="n">
        <f aca="false">7*Таблица310[[#This Row],[Регистратор.Вес нетто]]/22630</f>
        <v>4.33672116659302</v>
      </c>
      <c r="W220" s="216" t="s">
        <v>51</v>
      </c>
      <c r="X220" s="216" t="s">
        <v>52</v>
      </c>
      <c r="Y220" s="198" t="n">
        <v>13</v>
      </c>
      <c r="Z220" s="221" t="n">
        <v>45818</v>
      </c>
      <c r="AA220" s="198"/>
      <c r="AB220" s="198"/>
      <c r="AC220" s="198" t="s">
        <v>304</v>
      </c>
      <c r="AD220" s="198" t="s">
        <v>746</v>
      </c>
      <c r="AE220" s="198" t="n">
        <v>316</v>
      </c>
      <c r="AF220" s="200" t="n">
        <v>45818</v>
      </c>
      <c r="AG220" s="198" t="n">
        <v>119</v>
      </c>
      <c r="AH220" s="198" t="n">
        <f aca="false">VLOOKUP(Таблица310[[#This Row],[№ акта]],'Степень зрелости 2025'!$H$13:$I$583,2,FALSE())</f>
        <v>65</v>
      </c>
      <c r="AI220" s="198" t="str">
        <f aca="false">VLOOKUP(Таблица310[[#This Row],[№ акта]],$AQ$1:$AT$594,2,FALSE())</f>
        <v>А-54</v>
      </c>
      <c r="AJ220" s="198" t="str">
        <f aca="false">Таблица310[[#This Row],[Регистратор.Номенклатура]]</f>
        <v>Увертюра</v>
      </c>
      <c r="AK220" s="198" t="str">
        <f aca="false">VLOOKUP(Таблица310[[#This Row],[№ акта]],$AQ$1:$AT$594,4,FALSE())</f>
        <v>ГРК (богара)</v>
      </c>
      <c r="AL220" s="230" t="n">
        <f aca="false">VLOOKUP(Таблица310[[#This Row],[№ акта]],$AQ$1:$AT$594,3,FALSE())</f>
        <v>4.33672116659302</v>
      </c>
      <c r="AM220" s="198" t="str">
        <f aca="false">IF(Таблица310[[#This Row],[Площадь уборки, га]]=Таблица310[[#This Row],[Площадь уборки до корр]],"нет","да")</f>
        <v>нет</v>
      </c>
      <c r="AN220" s="230" t="n">
        <f aca="false">Таблица310[[#This Row],[Площадь уборки до корр]]-Таблица310[[#This Row],[Площадь уборки, га]]</f>
        <v>0</v>
      </c>
      <c r="AQ220" s="0" t="n">
        <v>316</v>
      </c>
      <c r="AR220" s="0" t="s">
        <v>186</v>
      </c>
      <c r="AS220" s="0" t="n">
        <v>4.33672116659302</v>
      </c>
      <c r="AT220" s="0" t="s">
        <v>51</v>
      </c>
      <c r="XEM220" s="216"/>
      <c r="XEN220" s="217"/>
      <c r="XEO220" s="243"/>
      <c r="XEP220" s="218"/>
      <c r="XEQ220" s="244"/>
      <c r="XER220" s="217"/>
    </row>
    <row r="221" customFormat="false" ht="25.5" hidden="false" customHeight="true" outlineLevel="0" collapsed="false">
      <c r="A221" s="216"/>
      <c r="B221" s="217"/>
      <c r="C221" s="241" t="n">
        <f aca="false">Таблица310[[#This Row],[Степень зрелости вспом]]</f>
        <v>41</v>
      </c>
      <c r="D221" s="218" t="n">
        <v>317</v>
      </c>
      <c r="E221" s="219" t="n">
        <v>45818</v>
      </c>
      <c r="F221" s="217" t="n">
        <v>25050</v>
      </c>
      <c r="G221" s="217" t="n">
        <v>4390</v>
      </c>
      <c r="H221" s="220" t="n">
        <v>20660</v>
      </c>
      <c r="I221" s="217" t="n">
        <v>3094.9</v>
      </c>
      <c r="J221" s="216" t="s">
        <v>422</v>
      </c>
      <c r="K221" s="216" t="s">
        <v>897</v>
      </c>
      <c r="L221" s="216" t="s">
        <v>873</v>
      </c>
      <c r="M221" s="189" t="s">
        <v>384</v>
      </c>
      <c r="N221" s="198"/>
      <c r="O221" s="216"/>
      <c r="P221" s="216"/>
      <c r="Q221" s="216"/>
      <c r="R221" s="216" t="s">
        <v>385</v>
      </c>
      <c r="S221" s="198"/>
      <c r="T221" s="228" t="s">
        <v>874</v>
      </c>
      <c r="U221" s="195" t="str">
        <f aca="false">Таблица310[[#This Row],[Регистратор.Номенклатура]]</f>
        <v>парус</v>
      </c>
      <c r="V221" s="230" t="n">
        <v>2</v>
      </c>
      <c r="W221" s="216" t="s">
        <v>325</v>
      </c>
      <c r="X221" s="216" t="s">
        <v>52</v>
      </c>
      <c r="Y221" s="198" t="n">
        <v>13</v>
      </c>
      <c r="Z221" s="221" t="n">
        <v>45818</v>
      </c>
      <c r="AA221" s="198"/>
      <c r="AB221" s="198"/>
      <c r="AC221" s="198" t="s">
        <v>53</v>
      </c>
      <c r="AD221" s="198" t="s">
        <v>417</v>
      </c>
      <c r="AE221" s="198" t="n">
        <v>317</v>
      </c>
      <c r="AF221" s="200" t="n">
        <v>45818</v>
      </c>
      <c r="AG221" s="198" t="n">
        <v>120</v>
      </c>
      <c r="AH221" s="198" t="n">
        <f aca="false">VLOOKUP(Таблица310[[#This Row],[№ акта]],'Степень зрелости 2025'!$H$13:$I$583,2,FALSE())</f>
        <v>41</v>
      </c>
      <c r="AI221" s="198" t="str">
        <f aca="false">VLOOKUP(Таблица310[[#This Row],[№ акта]],$AQ$1:$AT$594,2,FALSE())</f>
        <v>А-51</v>
      </c>
      <c r="AJ221" s="198" t="str">
        <f aca="false">Таблица310[[#This Row],[Регистратор.Номенклатура]]</f>
        <v>парус</v>
      </c>
      <c r="AK221" s="198" t="str">
        <f aca="false">VLOOKUP(Таблица310[[#This Row],[№ акта]],$AQ$1:$AT$594,4,FALSE())</f>
        <v>ГРК демо (богара)</v>
      </c>
      <c r="AL221" s="230" t="n">
        <f aca="false">VLOOKUP(Таблица310[[#This Row],[№ акта]],$AQ$1:$AT$594,3,FALSE())</f>
        <v>2</v>
      </c>
      <c r="AM221" s="198" t="str">
        <f aca="false">IF(Таблица310[[#This Row],[Площадь уборки, га]]=Таблица310[[#This Row],[Площадь уборки до корр]],"нет","да")</f>
        <v>нет</v>
      </c>
      <c r="AN221" s="230" t="n">
        <f aca="false">Таблица310[[#This Row],[Площадь уборки до корр]]-Таблица310[[#This Row],[Площадь уборки, га]]</f>
        <v>0</v>
      </c>
      <c r="AQ221" s="0" t="n">
        <v>317</v>
      </c>
      <c r="AR221" s="0" t="s">
        <v>874</v>
      </c>
      <c r="AS221" s="0" t="n">
        <v>2</v>
      </c>
      <c r="AT221" s="0" t="s">
        <v>325</v>
      </c>
      <c r="XEM221" s="216"/>
      <c r="XEN221" s="217"/>
      <c r="XEO221" s="243"/>
      <c r="XEP221" s="218"/>
      <c r="XEQ221" s="244"/>
      <c r="XER221" s="217"/>
    </row>
    <row r="222" customFormat="false" ht="25.5" hidden="false" customHeight="true" outlineLevel="0" collapsed="false">
      <c r="A222" s="216"/>
      <c r="B222" s="217"/>
      <c r="C222" s="241" t="n">
        <f aca="false">Таблица310[[#This Row],[Степень зрелости вспом]]</f>
        <v>43</v>
      </c>
      <c r="D222" s="218" t="n">
        <v>318</v>
      </c>
      <c r="E222" s="219" t="n">
        <v>45818</v>
      </c>
      <c r="F222" s="217" t="n">
        <v>20660</v>
      </c>
      <c r="G222" s="217" t="n">
        <v>6180</v>
      </c>
      <c r="H222" s="220" t="n">
        <v>14480</v>
      </c>
      <c r="I222" s="217" t="n">
        <v>4851.3</v>
      </c>
      <c r="J222" s="216" t="s">
        <v>422</v>
      </c>
      <c r="K222" s="216" t="s">
        <v>898</v>
      </c>
      <c r="L222" s="216" t="s">
        <v>873</v>
      </c>
      <c r="M222" s="189" t="s">
        <v>384</v>
      </c>
      <c r="N222" s="198"/>
      <c r="O222" s="216"/>
      <c r="P222" s="216"/>
      <c r="Q222" s="216"/>
      <c r="R222" s="216" t="s">
        <v>385</v>
      </c>
      <c r="S222" s="198"/>
      <c r="T222" s="228" t="s">
        <v>874</v>
      </c>
      <c r="U222" s="195" t="str">
        <f aca="false">Таблица310[[#This Row],[Регистратор.Номенклатура]]</f>
        <v>Патриот</v>
      </c>
      <c r="V222" s="230" t="n">
        <v>4</v>
      </c>
      <c r="W222" s="216" t="s">
        <v>325</v>
      </c>
      <c r="X222" s="216" t="s">
        <v>52</v>
      </c>
      <c r="Y222" s="198" t="n">
        <v>13</v>
      </c>
      <c r="Z222" s="221" t="n">
        <v>45818</v>
      </c>
      <c r="AA222" s="198"/>
      <c r="AB222" s="198"/>
      <c r="AC222" s="198" t="s">
        <v>53</v>
      </c>
      <c r="AD222" s="198" t="s">
        <v>417</v>
      </c>
      <c r="AE222" s="198" t="n">
        <v>318</v>
      </c>
      <c r="AF222" s="200" t="n">
        <v>45818</v>
      </c>
      <c r="AG222" s="198" t="n">
        <v>120</v>
      </c>
      <c r="AH222" s="198" t="n">
        <f aca="false">VLOOKUP(Таблица310[[#This Row],[№ акта]],'Степень зрелости 2025'!$H$13:$I$583,2,FALSE())</f>
        <v>43</v>
      </c>
      <c r="AI222" s="198" t="str">
        <f aca="false">VLOOKUP(Таблица310[[#This Row],[№ акта]],$AQ$1:$AT$594,2,FALSE())</f>
        <v>А-51</v>
      </c>
      <c r="AJ222" s="198" t="str">
        <f aca="false">Таблица310[[#This Row],[Регистратор.Номенклатура]]</f>
        <v>Патриот</v>
      </c>
      <c r="AK222" s="198" t="str">
        <f aca="false">VLOOKUP(Таблица310[[#This Row],[№ акта]],$AQ$1:$AT$594,4,FALSE())</f>
        <v>ГРК демо (богара)</v>
      </c>
      <c r="AL222" s="230" t="n">
        <f aca="false">VLOOKUP(Таблица310[[#This Row],[№ акта]],$AQ$1:$AT$594,3,FALSE())</f>
        <v>4</v>
      </c>
      <c r="AM222" s="198" t="str">
        <f aca="false">IF(Таблица310[[#This Row],[Площадь уборки, га]]=Таблица310[[#This Row],[Площадь уборки до корр]],"нет","да")</f>
        <v>нет</v>
      </c>
      <c r="AN222" s="230" t="n">
        <f aca="false">Таблица310[[#This Row],[Площадь уборки до корр]]-Таблица310[[#This Row],[Площадь уборки, га]]</f>
        <v>0</v>
      </c>
      <c r="AQ222" s="0" t="n">
        <v>318</v>
      </c>
      <c r="AR222" s="0" t="s">
        <v>874</v>
      </c>
      <c r="AS222" s="0" t="n">
        <v>4</v>
      </c>
      <c r="AT222" s="0" t="s">
        <v>325</v>
      </c>
      <c r="XEM222" s="216"/>
      <c r="XEN222" s="217"/>
      <c r="XEO222" s="243"/>
      <c r="XEP222" s="218"/>
      <c r="XEQ222" s="244"/>
      <c r="XER222" s="217"/>
    </row>
    <row r="223" customFormat="false" ht="25.5" hidden="false" customHeight="true" outlineLevel="0" collapsed="false">
      <c r="A223" s="216"/>
      <c r="B223" s="217"/>
      <c r="C223" s="241" t="n">
        <f aca="false">Таблица310[[#This Row],[Степень зрелости вспом]]</f>
        <v>65</v>
      </c>
      <c r="D223" s="218" t="n">
        <v>319</v>
      </c>
      <c r="E223" s="219" t="n">
        <v>45818</v>
      </c>
      <c r="F223" s="217" t="n">
        <v>30340</v>
      </c>
      <c r="G223" s="217" t="n">
        <v>6890</v>
      </c>
      <c r="H223" s="220" t="n">
        <v>23450</v>
      </c>
      <c r="I223" s="217" t="n">
        <v>6442.1</v>
      </c>
      <c r="J223" s="216" t="s">
        <v>422</v>
      </c>
      <c r="K223" s="216" t="s">
        <v>47</v>
      </c>
      <c r="L223" s="216" t="s">
        <v>896</v>
      </c>
      <c r="M223" s="189" t="s">
        <v>382</v>
      </c>
      <c r="N223" s="198"/>
      <c r="O223" s="216"/>
      <c r="P223" s="216"/>
      <c r="Q223" s="216"/>
      <c r="R223" s="216" t="s">
        <v>383</v>
      </c>
      <c r="S223" s="198"/>
      <c r="T223" s="228" t="s">
        <v>186</v>
      </c>
      <c r="U223" s="195" t="str">
        <f aca="false">Таблица310[[#This Row],[Регистратор.Номенклатура]]</f>
        <v>Авола</v>
      </c>
      <c r="V223" s="230" t="n">
        <f aca="false">14*Таблица310[[#This Row],[Регистратор.Вес нетто]]/61880</f>
        <v>1.55882352941176</v>
      </c>
      <c r="W223" s="216" t="s">
        <v>51</v>
      </c>
      <c r="X223" s="216" t="s">
        <v>52</v>
      </c>
      <c r="Y223" s="198" t="n">
        <v>13</v>
      </c>
      <c r="Z223" s="221" t="n">
        <v>45818</v>
      </c>
      <c r="AA223" s="198"/>
      <c r="AB223" s="198"/>
      <c r="AC223" s="198" t="s">
        <v>304</v>
      </c>
      <c r="AD223" s="198" t="s">
        <v>746</v>
      </c>
      <c r="AE223" s="198" t="n">
        <v>319</v>
      </c>
      <c r="AF223" s="200" t="n">
        <v>45818</v>
      </c>
      <c r="AG223" s="198" t="n">
        <v>121</v>
      </c>
      <c r="AH223" s="198" t="n">
        <f aca="false">VLOOKUP(Таблица310[[#This Row],[№ акта]],'Степень зрелости 2025'!$H$13:$I$583,2,FALSE())</f>
        <v>65</v>
      </c>
      <c r="AI223" s="198" t="str">
        <f aca="false">VLOOKUP(Таблица310[[#This Row],[№ акта]],$AQ$1:$AT$594,2,FALSE())</f>
        <v>А-54</v>
      </c>
      <c r="AJ223" s="198" t="str">
        <f aca="false">Таблица310[[#This Row],[Регистратор.Номенклатура]]</f>
        <v>Авола</v>
      </c>
      <c r="AK223" s="198" t="str">
        <f aca="false">VLOOKUP(Таблица310[[#This Row],[№ акта]],$AQ$1:$AT$594,4,FALSE())</f>
        <v>ГРК (богара)</v>
      </c>
      <c r="AL223" s="230" t="n">
        <f aca="false">VLOOKUP(Таблица310[[#This Row],[№ акта]],$AQ$1:$AT$594,3,FALSE())</f>
        <v>1.55882352941176</v>
      </c>
      <c r="AM223" s="198" t="str">
        <f aca="false">IF(Таблица310[[#This Row],[Площадь уборки, га]]=Таблица310[[#This Row],[Площадь уборки до корр]],"нет","да")</f>
        <v>нет</v>
      </c>
      <c r="AN223" s="230" t="n">
        <f aca="false">Таблица310[[#This Row],[Площадь уборки до корр]]-Таблица310[[#This Row],[Площадь уборки, га]]</f>
        <v>0</v>
      </c>
      <c r="AQ223" s="0" t="n">
        <v>319</v>
      </c>
      <c r="AR223" s="0" t="s">
        <v>186</v>
      </c>
      <c r="AS223" s="0" t="n">
        <v>1.55882352941176</v>
      </c>
      <c r="AT223" s="0" t="s">
        <v>51</v>
      </c>
      <c r="XEM223" s="216"/>
      <c r="XEN223" s="217"/>
      <c r="XEO223" s="243"/>
      <c r="XEP223" s="218"/>
      <c r="XEQ223" s="244"/>
      <c r="XER223" s="217"/>
    </row>
    <row r="224" customFormat="false" ht="25.5" hidden="false" customHeight="true" outlineLevel="0" collapsed="false">
      <c r="A224" s="216"/>
      <c r="B224" s="217"/>
      <c r="C224" s="241" t="n">
        <f aca="false">Таблица310[[#This Row],[Степень зрелости вспом]]</f>
        <v>64</v>
      </c>
      <c r="D224" s="218" t="n">
        <v>320</v>
      </c>
      <c r="E224" s="219" t="n">
        <v>45818</v>
      </c>
      <c r="F224" s="217" t="n">
        <v>23450</v>
      </c>
      <c r="G224" s="217" t="n">
        <v>8610</v>
      </c>
      <c r="H224" s="220" t="n">
        <v>14840</v>
      </c>
      <c r="I224" s="217" t="n">
        <v>7878.1</v>
      </c>
      <c r="J224" s="216" t="s">
        <v>422</v>
      </c>
      <c r="K224" s="216" t="s">
        <v>68</v>
      </c>
      <c r="L224" s="216" t="s">
        <v>896</v>
      </c>
      <c r="M224" s="189" t="s">
        <v>382</v>
      </c>
      <c r="N224" s="198"/>
      <c r="O224" s="216"/>
      <c r="P224" s="216"/>
      <c r="Q224" s="216"/>
      <c r="R224" s="216" t="s">
        <v>383</v>
      </c>
      <c r="S224" s="198"/>
      <c r="T224" s="228" t="s">
        <v>186</v>
      </c>
      <c r="U224" s="195" t="str">
        <f aca="false">Таблица310[[#This Row],[Регистратор.Номенклатура]]</f>
        <v>Увертюра</v>
      </c>
      <c r="V224" s="230" t="n">
        <f aca="false">7*Таблица310[[#This Row],[Регистратор.Вес нетто]]/22630</f>
        <v>2.66327883340698</v>
      </c>
      <c r="W224" s="216" t="s">
        <v>51</v>
      </c>
      <c r="X224" s="216" t="s">
        <v>52</v>
      </c>
      <c r="Y224" s="198" t="n">
        <v>13</v>
      </c>
      <c r="Z224" s="221" t="n">
        <v>45818</v>
      </c>
      <c r="AA224" s="198"/>
      <c r="AB224" s="198"/>
      <c r="AC224" s="198" t="s">
        <v>304</v>
      </c>
      <c r="AD224" s="198" t="s">
        <v>746</v>
      </c>
      <c r="AE224" s="198" t="n">
        <v>320</v>
      </c>
      <c r="AF224" s="200" t="n">
        <v>45818</v>
      </c>
      <c r="AG224" s="198" t="n">
        <v>121</v>
      </c>
      <c r="AH224" s="198" t="n">
        <f aca="false">VLOOKUP(Таблица310[[#This Row],[№ акта]],'Степень зрелости 2025'!$H$13:$I$583,2,FALSE())</f>
        <v>64</v>
      </c>
      <c r="AI224" s="198" t="str">
        <f aca="false">VLOOKUP(Таблица310[[#This Row],[№ акта]],$AQ$1:$AT$594,2,FALSE())</f>
        <v>А-54</v>
      </c>
      <c r="AJ224" s="198" t="str">
        <f aca="false">Таблица310[[#This Row],[Регистратор.Номенклатура]]</f>
        <v>Увертюра</v>
      </c>
      <c r="AK224" s="198" t="str">
        <f aca="false">VLOOKUP(Таблица310[[#This Row],[№ акта]],$AQ$1:$AT$594,4,FALSE())</f>
        <v>ГРК (богара)</v>
      </c>
      <c r="AL224" s="230" t="n">
        <f aca="false">VLOOKUP(Таблица310[[#This Row],[№ акта]],$AQ$1:$AT$594,3,FALSE())</f>
        <v>2.66327883340698</v>
      </c>
      <c r="AM224" s="198" t="str">
        <f aca="false">IF(Таблица310[[#This Row],[Площадь уборки, га]]=Таблица310[[#This Row],[Площадь уборки до корр]],"нет","да")</f>
        <v>нет</v>
      </c>
      <c r="AN224" s="230" t="n">
        <f aca="false">Таблица310[[#This Row],[Площадь уборки до корр]]-Таблица310[[#This Row],[Площадь уборки, га]]</f>
        <v>0</v>
      </c>
      <c r="AQ224" s="0" t="n">
        <v>320</v>
      </c>
      <c r="AR224" s="0" t="s">
        <v>186</v>
      </c>
      <c r="AS224" s="0" t="n">
        <v>2.66327883340698</v>
      </c>
      <c r="AT224" s="0" t="s">
        <v>51</v>
      </c>
      <c r="XEM224" s="216"/>
      <c r="XEN224" s="217"/>
      <c r="XEO224" s="243"/>
      <c r="XEP224" s="218"/>
      <c r="XEQ224" s="244"/>
      <c r="XER224" s="217"/>
    </row>
    <row r="225" customFormat="false" ht="25.5" hidden="false" customHeight="true" outlineLevel="0" collapsed="false">
      <c r="A225" s="216"/>
      <c r="B225" s="217"/>
      <c r="C225" s="241" t="n">
        <f aca="false">Таблица310[[#This Row],[Степень зрелости вспом]]</f>
        <v>50</v>
      </c>
      <c r="D225" s="218" t="n">
        <v>321</v>
      </c>
      <c r="E225" s="219" t="n">
        <v>45818</v>
      </c>
      <c r="F225" s="217" t="n">
        <v>6240</v>
      </c>
      <c r="G225" s="217" t="n">
        <v>1680</v>
      </c>
      <c r="H225" s="220" t="n">
        <v>4560</v>
      </c>
      <c r="I225" s="217" t="n">
        <v>1478.4</v>
      </c>
      <c r="J225" s="216" t="s">
        <v>899</v>
      </c>
      <c r="K225" s="216" t="s">
        <v>900</v>
      </c>
      <c r="L225" s="216" t="s">
        <v>901</v>
      </c>
      <c r="M225" s="189" t="s">
        <v>374</v>
      </c>
      <c r="N225" s="198"/>
      <c r="O225" s="216"/>
      <c r="P225" s="216"/>
      <c r="Q225" s="216"/>
      <c r="R225" s="216" t="s">
        <v>375</v>
      </c>
      <c r="S225" s="198"/>
      <c r="T225" s="246" t="n">
        <v>40</v>
      </c>
      <c r="U225" s="195" t="str">
        <f aca="false">Таблица310[[#This Row],[Регистратор.Номенклатура]]</f>
        <v>Фаворит</v>
      </c>
      <c r="V225" s="230" t="n">
        <v>0.5</v>
      </c>
      <c r="W225" s="216" t="s">
        <v>326</v>
      </c>
      <c r="X225" s="216" t="s">
        <v>315</v>
      </c>
      <c r="Y225" s="198" t="n">
        <v>1</v>
      </c>
      <c r="Z225" s="221" t="n">
        <v>45818</v>
      </c>
      <c r="AA225" s="198"/>
      <c r="AB225" s="198"/>
      <c r="AC225" s="198" t="s">
        <v>302</v>
      </c>
      <c r="AD225" s="198" t="s">
        <v>417</v>
      </c>
      <c r="AE225" s="198" t="n">
        <v>321</v>
      </c>
      <c r="AF225" s="200" t="n">
        <v>45818</v>
      </c>
      <c r="AG225" s="198" t="n">
        <v>28</v>
      </c>
      <c r="AH225" s="198" t="n">
        <f aca="false">VLOOKUP(Таблица310[[#This Row],[№ акта]],'Степень зрелости 2025'!$H$13:$I$583,2,FALSE())</f>
        <v>50</v>
      </c>
      <c r="AI225" s="198" t="n">
        <f aca="false">VLOOKUP(Таблица310[[#This Row],[№ акта]],$AQ$1:$AT$594,2,FALSE())</f>
        <v>40</v>
      </c>
      <c r="AJ225" s="198" t="str">
        <f aca="false">Таблица310[[#This Row],[Регистратор.Номенклатура]]</f>
        <v>Фаворит</v>
      </c>
      <c r="AK225" s="198" t="str">
        <f aca="false">VLOOKUP(Таблица310[[#This Row],[№ акта]],$AQ$1:$AT$594,4,FALSE())</f>
        <v>Братковский (полив)</v>
      </c>
      <c r="AL225" s="230" t="n">
        <f aca="false">VLOOKUP(Таблица310[[#This Row],[№ акта]],$AQ$1:$AT$594,3,FALSE())</f>
        <v>0.5</v>
      </c>
      <c r="AM225" s="198" t="str">
        <f aca="false">IF(Таблица310[[#This Row],[Площадь уборки, га]]=Таблица310[[#This Row],[Площадь уборки до корр]],"нет","да")</f>
        <v>нет</v>
      </c>
      <c r="AN225" s="230" t="n">
        <f aca="false">Таблица310[[#This Row],[Площадь уборки до корр]]-Таблица310[[#This Row],[Площадь уборки, га]]</f>
        <v>0</v>
      </c>
      <c r="AQ225" s="0" t="n">
        <v>321</v>
      </c>
      <c r="AR225" s="0" t="n">
        <v>40</v>
      </c>
      <c r="AS225" s="0" t="n">
        <v>0.5</v>
      </c>
      <c r="AT225" s="0" t="s">
        <v>326</v>
      </c>
      <c r="XEM225" s="216"/>
      <c r="XEN225" s="217"/>
      <c r="XEO225" s="243"/>
      <c r="XEP225" s="218"/>
      <c r="XEQ225" s="244"/>
      <c r="XER225" s="217"/>
    </row>
    <row r="226" customFormat="false" ht="25.5" hidden="false" customHeight="true" outlineLevel="0" collapsed="false">
      <c r="A226" s="216"/>
      <c r="B226" s="217"/>
      <c r="C226" s="241" t="n">
        <v>73</v>
      </c>
      <c r="D226" s="218" t="n">
        <v>322</v>
      </c>
      <c r="E226" s="219" t="n">
        <v>45818</v>
      </c>
      <c r="F226" s="217" t="n">
        <v>27420</v>
      </c>
      <c r="G226" s="217" t="n">
        <v>12970</v>
      </c>
      <c r="H226" s="220" t="n">
        <v>14450</v>
      </c>
      <c r="I226" s="217" t="n">
        <v>11219</v>
      </c>
      <c r="J226" s="216" t="s">
        <v>422</v>
      </c>
      <c r="K226" s="216" t="s">
        <v>68</v>
      </c>
      <c r="L226" s="216" t="s">
        <v>873</v>
      </c>
      <c r="M226" s="189" t="s">
        <v>384</v>
      </c>
      <c r="N226" s="198"/>
      <c r="O226" s="216"/>
      <c r="P226" s="216"/>
      <c r="Q226" s="216"/>
      <c r="R226" s="216" t="s">
        <v>385</v>
      </c>
      <c r="S226" s="198"/>
      <c r="T226" s="228" t="s">
        <v>874</v>
      </c>
      <c r="U226" s="195" t="str">
        <f aca="false">Таблица310[[#This Row],[Регистратор.Номенклатура]]</f>
        <v>Увертюра</v>
      </c>
      <c r="V226" s="230" t="n">
        <f aca="false">23*Таблица310[[#This Row],[Регистратор.Вес нетто]]/94350</f>
        <v>3.16173820879703</v>
      </c>
      <c r="W226" s="216" t="s">
        <v>324</v>
      </c>
      <c r="X226" s="216" t="s">
        <v>52</v>
      </c>
      <c r="Y226" s="198" t="n">
        <v>13</v>
      </c>
      <c r="Z226" s="221" t="n">
        <v>45818</v>
      </c>
      <c r="AA226" s="198"/>
      <c r="AB226" s="198"/>
      <c r="AC226" s="198" t="s">
        <v>305</v>
      </c>
      <c r="AD226" s="198" t="s">
        <v>886</v>
      </c>
      <c r="AE226" s="198" t="n">
        <v>322</v>
      </c>
      <c r="AF226" s="200" t="n">
        <v>45818</v>
      </c>
      <c r="AG226" s="198" t="n">
        <v>123</v>
      </c>
      <c r="AH226" s="198" t="n">
        <f aca="false">VLOOKUP(Таблица310[[#This Row],[№ акта]],'Степень зрелости 2025'!$H$13:$I$583,2,FALSE())</f>
        <v>73</v>
      </c>
      <c r="AI226" s="198" t="str">
        <f aca="false">VLOOKUP(Таблица310[[#This Row],[№ акта]],$AQ$1:$AT$594,2,FALSE())</f>
        <v>А-51</v>
      </c>
      <c r="AJ226" s="198" t="str">
        <f aca="false">Таблица310[[#This Row],[Регистратор.Номенклатура]]</f>
        <v>Увертюра</v>
      </c>
      <c r="AK226" s="198" t="str">
        <f aca="false">VLOOKUP(Таблица310[[#This Row],[№ акта]],$AQ$1:$AT$594,4,FALSE())</f>
        <v>ГРК собственные семена (богара)</v>
      </c>
      <c r="AL226" s="230" t="n">
        <f aca="false">VLOOKUP(Таблица310[[#This Row],[№ акта]],$AQ$1:$AT$594,3,FALSE())</f>
        <v>3.16173820879703</v>
      </c>
      <c r="AM226" s="198" t="str">
        <f aca="false">IF(Таблица310[[#This Row],[Площадь уборки, га]]=Таблица310[[#This Row],[Площадь уборки до корр]],"нет","да")</f>
        <v>нет</v>
      </c>
      <c r="AN226" s="230" t="n">
        <f aca="false">Таблица310[[#This Row],[Площадь уборки до корр]]-Таблица310[[#This Row],[Площадь уборки, га]]</f>
        <v>0</v>
      </c>
      <c r="AQ226" s="0" t="n">
        <v>322</v>
      </c>
      <c r="AR226" s="0" t="s">
        <v>874</v>
      </c>
      <c r="AS226" s="0" t="n">
        <v>3.16173820879703</v>
      </c>
      <c r="AT226" s="0" t="s">
        <v>324</v>
      </c>
      <c r="XEM226" s="216"/>
      <c r="XEN226" s="217"/>
      <c r="XEO226" s="243"/>
      <c r="XEP226" s="218"/>
      <c r="XEQ226" s="244"/>
      <c r="XER226" s="217"/>
    </row>
    <row r="227" customFormat="false" ht="25.5" hidden="false" customHeight="true" outlineLevel="0" collapsed="false">
      <c r="A227" s="216"/>
      <c r="B227" s="217"/>
      <c r="C227" s="241" t="n">
        <v>75</v>
      </c>
      <c r="D227" s="218" t="n">
        <v>323</v>
      </c>
      <c r="E227" s="219" t="n">
        <v>45818</v>
      </c>
      <c r="F227" s="217" t="n">
        <v>28620</v>
      </c>
      <c r="G227" s="217" t="n">
        <v>13960</v>
      </c>
      <c r="H227" s="220" t="n">
        <v>14660</v>
      </c>
      <c r="I227" s="217" t="n">
        <v>12075.4</v>
      </c>
      <c r="J227" s="216" t="s">
        <v>422</v>
      </c>
      <c r="K227" s="216" t="s">
        <v>47</v>
      </c>
      <c r="L227" s="216" t="s">
        <v>896</v>
      </c>
      <c r="M227" s="189" t="s">
        <v>361</v>
      </c>
      <c r="N227" s="198"/>
      <c r="O227" s="216"/>
      <c r="P227" s="216"/>
      <c r="Q227" s="216"/>
      <c r="R227" s="216" t="s">
        <v>362</v>
      </c>
      <c r="S227" s="198"/>
      <c r="T227" s="228" t="s">
        <v>186</v>
      </c>
      <c r="U227" s="195" t="str">
        <f aca="false">Таблица310[[#This Row],[Регистратор.Номенклатура]]</f>
        <v>Авола</v>
      </c>
      <c r="V227" s="230" t="n">
        <f aca="false">14*Таблица310[[#This Row],[Регистратор.Вес нетто]]/61880</f>
        <v>3.15837104072398</v>
      </c>
      <c r="W227" s="216" t="s">
        <v>51</v>
      </c>
      <c r="X227" s="216" t="s">
        <v>52</v>
      </c>
      <c r="Y227" s="198" t="n">
        <v>13</v>
      </c>
      <c r="Z227" s="221" t="n">
        <v>45818</v>
      </c>
      <c r="AA227" s="198"/>
      <c r="AB227" s="198"/>
      <c r="AC227" s="198" t="s">
        <v>305</v>
      </c>
      <c r="AD227" s="198" t="s">
        <v>886</v>
      </c>
      <c r="AE227" s="198" t="n">
        <v>323</v>
      </c>
      <c r="AF227" s="200" t="n">
        <v>45818</v>
      </c>
      <c r="AG227" s="198" t="n">
        <v>124</v>
      </c>
      <c r="AH227" s="198" t="n">
        <f aca="false">VLOOKUP(Таблица310[[#This Row],[№ акта]],'Степень зрелости 2025'!$H$13:$I$583,2,FALSE())</f>
        <v>75</v>
      </c>
      <c r="AI227" s="198" t="str">
        <f aca="false">VLOOKUP(Таблица310[[#This Row],[№ акта]],$AQ$1:$AT$594,2,FALSE())</f>
        <v>А-54</v>
      </c>
      <c r="AJ227" s="198" t="str">
        <f aca="false">Таблица310[[#This Row],[Регистратор.Номенклатура]]</f>
        <v>Авола</v>
      </c>
      <c r="AK227" s="198" t="str">
        <f aca="false">VLOOKUP(Таблица310[[#This Row],[№ акта]],$AQ$1:$AT$594,4,FALSE())</f>
        <v>ГРК (богара)</v>
      </c>
      <c r="AL227" s="230" t="n">
        <f aca="false">VLOOKUP(Таблица310[[#This Row],[№ акта]],$AQ$1:$AT$594,3,FALSE())</f>
        <v>3.15837104072398</v>
      </c>
      <c r="AM227" s="198" t="str">
        <f aca="false">IF(Таблица310[[#This Row],[Площадь уборки, га]]=Таблица310[[#This Row],[Площадь уборки до корр]],"нет","да")</f>
        <v>нет</v>
      </c>
      <c r="AN227" s="230" t="n">
        <f aca="false">Таблица310[[#This Row],[Площадь уборки до корр]]-Таблица310[[#This Row],[Площадь уборки, га]]</f>
        <v>0</v>
      </c>
      <c r="AQ227" s="0" t="n">
        <v>323</v>
      </c>
      <c r="AR227" s="0" t="s">
        <v>186</v>
      </c>
      <c r="AS227" s="0" t="n">
        <v>3.15837104072398</v>
      </c>
      <c r="AT227" s="0" t="s">
        <v>51</v>
      </c>
      <c r="XEM227" s="216"/>
      <c r="XEN227" s="217"/>
      <c r="XEO227" s="243"/>
      <c r="XEP227" s="218"/>
      <c r="XEQ227" s="244"/>
      <c r="XER227" s="217"/>
    </row>
    <row r="228" customFormat="false" ht="25.5" hidden="false" customHeight="true" outlineLevel="0" collapsed="false">
      <c r="A228" s="216"/>
      <c r="B228" s="217"/>
      <c r="C228" s="241" t="n">
        <f aca="false">Таблица310[[#This Row],[Степень зрелости вспом]]</f>
        <v>70</v>
      </c>
      <c r="D228" s="218" t="n">
        <v>324</v>
      </c>
      <c r="E228" s="219" t="n">
        <v>45818</v>
      </c>
      <c r="F228" s="217" t="n">
        <v>27130</v>
      </c>
      <c r="G228" s="217" t="n">
        <v>12870</v>
      </c>
      <c r="H228" s="220" t="n">
        <v>14260</v>
      </c>
      <c r="I228" s="217" t="n">
        <v>11518.6</v>
      </c>
      <c r="J228" s="216" t="s">
        <v>422</v>
      </c>
      <c r="K228" s="216" t="s">
        <v>68</v>
      </c>
      <c r="L228" s="216" t="s">
        <v>873</v>
      </c>
      <c r="M228" s="189" t="s">
        <v>376</v>
      </c>
      <c r="N228" s="198"/>
      <c r="O228" s="216"/>
      <c r="P228" s="216"/>
      <c r="Q228" s="216"/>
      <c r="R228" s="216" t="s">
        <v>377</v>
      </c>
      <c r="S228" s="198"/>
      <c r="T228" s="228" t="s">
        <v>874</v>
      </c>
      <c r="U228" s="195" t="str">
        <f aca="false">Таблица310[[#This Row],[Регистратор.Номенклатура]]</f>
        <v>Увертюра</v>
      </c>
      <c r="V228" s="230" t="n">
        <f aca="false">23*Таблица310[[#This Row],[Регистратор.Вес нетто]]/94350</f>
        <v>3.13736089030207</v>
      </c>
      <c r="W228" s="216" t="s">
        <v>324</v>
      </c>
      <c r="X228" s="216" t="s">
        <v>52</v>
      </c>
      <c r="Y228" s="198" t="n">
        <v>13</v>
      </c>
      <c r="Z228" s="221" t="n">
        <v>45818</v>
      </c>
      <c r="AA228" s="198"/>
      <c r="AB228" s="198"/>
      <c r="AC228" s="198" t="s">
        <v>305</v>
      </c>
      <c r="AD228" s="198" t="s">
        <v>746</v>
      </c>
      <c r="AE228" s="198" t="n">
        <v>324</v>
      </c>
      <c r="AF228" s="200" t="n">
        <v>45818</v>
      </c>
      <c r="AG228" s="198" t="n">
        <v>125</v>
      </c>
      <c r="AH228" s="198" t="n">
        <f aca="false">VLOOKUP(Таблица310[[#This Row],[№ акта]],'Степень зрелости 2025'!$H$13:$I$583,2,FALSE())</f>
        <v>70</v>
      </c>
      <c r="AI228" s="198" t="str">
        <f aca="false">VLOOKUP(Таблица310[[#This Row],[№ акта]],$AQ$1:$AT$594,2,FALSE())</f>
        <v>А-51</v>
      </c>
      <c r="AJ228" s="198" t="str">
        <f aca="false">Таблица310[[#This Row],[Регистратор.Номенклатура]]</f>
        <v>Увертюра</v>
      </c>
      <c r="AK228" s="198" t="str">
        <f aca="false">VLOOKUP(Таблица310[[#This Row],[№ акта]],$AQ$1:$AT$594,4,FALSE())</f>
        <v>ГРК собственные семена (богара)</v>
      </c>
      <c r="AL228" s="230" t="n">
        <f aca="false">VLOOKUP(Таблица310[[#This Row],[№ акта]],$AQ$1:$AT$594,3,FALSE())</f>
        <v>3.13736089030207</v>
      </c>
      <c r="AM228" s="198" t="str">
        <f aca="false">IF(Таблица310[[#This Row],[Площадь уборки, га]]=Таблица310[[#This Row],[Площадь уборки до корр]],"нет","да")</f>
        <v>нет</v>
      </c>
      <c r="AN228" s="230" t="n">
        <f aca="false">Таблица310[[#This Row],[Площадь уборки до корр]]-Таблица310[[#This Row],[Площадь уборки, га]]</f>
        <v>0</v>
      </c>
      <c r="AQ228" s="0" t="n">
        <v>324</v>
      </c>
      <c r="AR228" s="0" t="s">
        <v>874</v>
      </c>
      <c r="AS228" s="0" t="n">
        <v>3.13736089030207</v>
      </c>
      <c r="AT228" s="0" t="s">
        <v>324</v>
      </c>
      <c r="XEM228" s="216"/>
      <c r="XEN228" s="217"/>
      <c r="XEO228" s="243"/>
      <c r="XEP228" s="218"/>
      <c r="XEQ228" s="244"/>
      <c r="XER228" s="217"/>
    </row>
    <row r="229" customFormat="false" ht="25.5" hidden="false" customHeight="true" outlineLevel="0" collapsed="false">
      <c r="A229" s="216"/>
      <c r="B229" s="217"/>
      <c r="C229" s="241" t="n">
        <f aca="false">Таблица310[[#This Row],[Степень зрелости вспом]]</f>
        <v>67</v>
      </c>
      <c r="D229" s="218" t="n">
        <v>325</v>
      </c>
      <c r="E229" s="219" t="n">
        <v>45818</v>
      </c>
      <c r="F229" s="217" t="n">
        <v>8820</v>
      </c>
      <c r="G229" s="217" t="n">
        <v>4260</v>
      </c>
      <c r="H229" s="220" t="n">
        <v>4560</v>
      </c>
      <c r="I229" s="217" t="n">
        <v>3812.7</v>
      </c>
      <c r="J229" s="216" t="s">
        <v>422</v>
      </c>
      <c r="K229" s="216" t="s">
        <v>68</v>
      </c>
      <c r="L229" s="216" t="s">
        <v>873</v>
      </c>
      <c r="M229" s="189" t="s">
        <v>374</v>
      </c>
      <c r="N229" s="198"/>
      <c r="O229" s="216"/>
      <c r="P229" s="216"/>
      <c r="Q229" s="216"/>
      <c r="R229" s="216" t="s">
        <v>375</v>
      </c>
      <c r="S229" s="198"/>
      <c r="T229" s="228" t="s">
        <v>874</v>
      </c>
      <c r="U229" s="195" t="str">
        <f aca="false">Таблица310[[#This Row],[Регистратор.Номенклатура]]</f>
        <v>Увертюра</v>
      </c>
      <c r="V229" s="230" t="n">
        <f aca="false">23*Таблица310[[#This Row],[Регистратор.Вес нетто]]/94350</f>
        <v>1.03847376788553</v>
      </c>
      <c r="W229" s="216" t="s">
        <v>324</v>
      </c>
      <c r="X229" s="216" t="s">
        <v>52</v>
      </c>
      <c r="Y229" s="198" t="n">
        <v>13</v>
      </c>
      <c r="Z229" s="221" t="n">
        <v>45818</v>
      </c>
      <c r="AA229" s="198"/>
      <c r="AB229" s="198"/>
      <c r="AC229" s="198" t="s">
        <v>305</v>
      </c>
      <c r="AD229" s="198" t="s">
        <v>746</v>
      </c>
      <c r="AE229" s="198" t="n">
        <v>325</v>
      </c>
      <c r="AF229" s="200" t="n">
        <v>45818</v>
      </c>
      <c r="AG229" s="198" t="n">
        <v>126</v>
      </c>
      <c r="AH229" s="198" t="n">
        <f aca="false">VLOOKUP(Таблица310[[#This Row],[№ акта]],'Степень зрелости 2025'!$H$13:$I$583,2,FALSE())</f>
        <v>67</v>
      </c>
      <c r="AI229" s="198" t="str">
        <f aca="false">VLOOKUP(Таблица310[[#This Row],[№ акта]],$AQ$1:$AT$594,2,FALSE())</f>
        <v>А-51</v>
      </c>
      <c r="AJ229" s="198" t="str">
        <f aca="false">Таблица310[[#This Row],[Регистратор.Номенклатура]]</f>
        <v>Увертюра</v>
      </c>
      <c r="AK229" s="198" t="str">
        <f aca="false">VLOOKUP(Таблица310[[#This Row],[№ акта]],$AQ$1:$AT$594,4,FALSE())</f>
        <v>ГРК собственные семена (богара)</v>
      </c>
      <c r="AL229" s="230" t="n">
        <f aca="false">VLOOKUP(Таблица310[[#This Row],[№ акта]],$AQ$1:$AT$594,3,FALSE())</f>
        <v>1.03847376788553</v>
      </c>
      <c r="AM229" s="198" t="str">
        <f aca="false">IF(Таблица310[[#This Row],[Площадь уборки, га]]=Таблица310[[#This Row],[Площадь уборки до корр]],"нет","да")</f>
        <v>нет</v>
      </c>
      <c r="AN229" s="230" t="n">
        <f aca="false">Таблица310[[#This Row],[Площадь уборки до корр]]-Таблица310[[#This Row],[Площадь уборки, га]]</f>
        <v>0</v>
      </c>
      <c r="AQ229" s="0" t="n">
        <v>325</v>
      </c>
      <c r="AR229" s="0" t="s">
        <v>874</v>
      </c>
      <c r="AS229" s="0" t="n">
        <v>1.03847376788553</v>
      </c>
      <c r="AT229" s="0" t="s">
        <v>324</v>
      </c>
      <c r="XEM229" s="216"/>
      <c r="XEN229" s="217"/>
      <c r="XEO229" s="243"/>
      <c r="XEP229" s="218"/>
      <c r="XEQ229" s="244"/>
      <c r="XER229" s="217"/>
    </row>
    <row r="230" customFormat="false" ht="25.5" hidden="false" customHeight="true" outlineLevel="0" collapsed="false">
      <c r="A230" s="216"/>
      <c r="B230" s="217"/>
      <c r="C230" s="241" t="n">
        <v>74</v>
      </c>
      <c r="D230" s="218" t="n">
        <v>326</v>
      </c>
      <c r="E230" s="219" t="n">
        <v>45818</v>
      </c>
      <c r="F230" s="217" t="n">
        <v>28410</v>
      </c>
      <c r="G230" s="217" t="n">
        <v>13560</v>
      </c>
      <c r="H230" s="220" t="n">
        <v>14850</v>
      </c>
      <c r="I230" s="217" t="n">
        <v>11729.4</v>
      </c>
      <c r="J230" s="216" t="s">
        <v>422</v>
      </c>
      <c r="K230" s="216" t="s">
        <v>47</v>
      </c>
      <c r="L230" s="216" t="s">
        <v>896</v>
      </c>
      <c r="M230" s="189" t="s">
        <v>382</v>
      </c>
      <c r="N230" s="198"/>
      <c r="O230" s="216"/>
      <c r="P230" s="216"/>
      <c r="Q230" s="216"/>
      <c r="R230" s="216" t="s">
        <v>383</v>
      </c>
      <c r="S230" s="198"/>
      <c r="T230" s="228" t="s">
        <v>186</v>
      </c>
      <c r="U230" s="195" t="str">
        <f aca="false">Таблица310[[#This Row],[Регистратор.Номенклатура]]</f>
        <v>Авола</v>
      </c>
      <c r="V230" s="230" t="n">
        <f aca="false">14*Таблица310[[#This Row],[Регистратор.Вес нетто]]/61880</f>
        <v>3.06787330316742</v>
      </c>
      <c r="W230" s="216" t="s">
        <v>51</v>
      </c>
      <c r="X230" s="216" t="s">
        <v>52</v>
      </c>
      <c r="Y230" s="198" t="n">
        <v>13</v>
      </c>
      <c r="Z230" s="221" t="n">
        <v>45818</v>
      </c>
      <c r="AA230" s="198"/>
      <c r="AB230" s="198"/>
      <c r="AC230" s="198" t="s">
        <v>305</v>
      </c>
      <c r="AD230" s="198" t="s">
        <v>886</v>
      </c>
      <c r="AE230" s="198" t="n">
        <v>326</v>
      </c>
      <c r="AF230" s="200" t="n">
        <v>45818</v>
      </c>
      <c r="AG230" s="198" t="n">
        <v>127</v>
      </c>
      <c r="AH230" s="198" t="n">
        <f aca="false">VLOOKUP(Таблица310[[#This Row],[№ акта]],'Степень зрелости 2025'!$H$13:$I$583,2,FALSE())</f>
        <v>74</v>
      </c>
      <c r="AI230" s="198" t="str">
        <f aca="false">VLOOKUP(Таблица310[[#This Row],[№ акта]],$AQ$1:$AT$594,2,FALSE())</f>
        <v>А-54</v>
      </c>
      <c r="AJ230" s="198" t="str">
        <f aca="false">Таблица310[[#This Row],[Регистратор.Номенклатура]]</f>
        <v>Авола</v>
      </c>
      <c r="AK230" s="198" t="str">
        <f aca="false">VLOOKUP(Таблица310[[#This Row],[№ акта]],$AQ$1:$AT$594,4,FALSE())</f>
        <v>ГРК (богара)</v>
      </c>
      <c r="AL230" s="230" t="n">
        <f aca="false">VLOOKUP(Таблица310[[#This Row],[№ акта]],$AQ$1:$AT$594,3,FALSE())</f>
        <v>3.06787330316742</v>
      </c>
      <c r="AM230" s="198" t="str">
        <f aca="false">IF(Таблица310[[#This Row],[Площадь уборки, га]]=Таблица310[[#This Row],[Площадь уборки до корр]],"нет","да")</f>
        <v>нет</v>
      </c>
      <c r="AN230" s="230" t="n">
        <f aca="false">Таблица310[[#This Row],[Площадь уборки до корр]]-Таблица310[[#This Row],[Площадь уборки, га]]</f>
        <v>0</v>
      </c>
      <c r="AQ230" s="0" t="n">
        <v>326</v>
      </c>
      <c r="AR230" s="0" t="s">
        <v>186</v>
      </c>
      <c r="AS230" s="0" t="n">
        <v>3.06787330316742</v>
      </c>
      <c r="AT230" s="0" t="s">
        <v>51</v>
      </c>
      <c r="XEM230" s="216"/>
      <c r="XEN230" s="217"/>
      <c r="XEO230" s="243"/>
      <c r="XEP230" s="218"/>
      <c r="XEQ230" s="244"/>
      <c r="XER230" s="217"/>
    </row>
    <row r="231" customFormat="false" ht="25.5" hidden="false" customHeight="true" outlineLevel="0" collapsed="false">
      <c r="A231" s="216"/>
      <c r="B231" s="217"/>
      <c r="C231" s="241" t="n">
        <f aca="false">Таблица310[[#This Row],[Степень зрелости вспом]]</f>
        <v>66</v>
      </c>
      <c r="D231" s="218" t="n">
        <v>327</v>
      </c>
      <c r="E231" s="219" t="n">
        <v>45818</v>
      </c>
      <c r="F231" s="217" t="n">
        <v>27150</v>
      </c>
      <c r="G231" s="217" t="n">
        <v>12720</v>
      </c>
      <c r="H231" s="220" t="n">
        <v>14430</v>
      </c>
      <c r="I231" s="217" t="n">
        <v>11257.2</v>
      </c>
      <c r="J231" s="216" t="s">
        <v>422</v>
      </c>
      <c r="K231" s="216" t="s">
        <v>68</v>
      </c>
      <c r="L231" s="216" t="s">
        <v>873</v>
      </c>
      <c r="M231" s="189" t="s">
        <v>384</v>
      </c>
      <c r="N231" s="198"/>
      <c r="O231" s="216"/>
      <c r="P231" s="216"/>
      <c r="Q231" s="216"/>
      <c r="R231" s="216" t="s">
        <v>385</v>
      </c>
      <c r="S231" s="198"/>
      <c r="T231" s="228" t="s">
        <v>874</v>
      </c>
      <c r="U231" s="195" t="str">
        <f aca="false">Таблица310[[#This Row],[Регистратор.Номенклатура]]</f>
        <v>Увертюра</v>
      </c>
      <c r="V231" s="230" t="n">
        <f aca="false">23*Таблица310[[#This Row],[Регистратор.Вес нетто]]/94350</f>
        <v>3.10079491255962</v>
      </c>
      <c r="W231" s="216" t="s">
        <v>324</v>
      </c>
      <c r="X231" s="216" t="s">
        <v>52</v>
      </c>
      <c r="Y231" s="198" t="n">
        <v>13</v>
      </c>
      <c r="Z231" s="221" t="n">
        <v>45818</v>
      </c>
      <c r="AA231" s="198"/>
      <c r="AB231" s="198"/>
      <c r="AC231" s="198" t="s">
        <v>304</v>
      </c>
      <c r="AD231" s="198" t="s">
        <v>746</v>
      </c>
      <c r="AE231" s="198" t="n">
        <v>327</v>
      </c>
      <c r="AF231" s="200" t="n">
        <v>45818</v>
      </c>
      <c r="AG231" s="198" t="n">
        <v>128</v>
      </c>
      <c r="AH231" s="198" t="n">
        <f aca="false">VLOOKUP(Таблица310[[#This Row],[№ акта]],'Степень зрелости 2025'!$H$13:$I$583,2,FALSE())</f>
        <v>66</v>
      </c>
      <c r="AI231" s="198" t="str">
        <f aca="false">VLOOKUP(Таблица310[[#This Row],[№ акта]],$AQ$1:$AT$594,2,FALSE())</f>
        <v>А-51</v>
      </c>
      <c r="AJ231" s="198" t="str">
        <f aca="false">Таблица310[[#This Row],[Регистратор.Номенклатура]]</f>
        <v>Увертюра</v>
      </c>
      <c r="AK231" s="198" t="str">
        <f aca="false">VLOOKUP(Таблица310[[#This Row],[№ акта]],$AQ$1:$AT$594,4,FALSE())</f>
        <v>ГРК собственные семена (богара)</v>
      </c>
      <c r="AL231" s="230" t="n">
        <f aca="false">VLOOKUP(Таблица310[[#This Row],[№ акта]],$AQ$1:$AT$594,3,FALSE())</f>
        <v>3.10079491255962</v>
      </c>
      <c r="AM231" s="198" t="str">
        <f aca="false">IF(Таблица310[[#This Row],[Площадь уборки, га]]=Таблица310[[#This Row],[Площадь уборки до корр]],"нет","да")</f>
        <v>нет</v>
      </c>
      <c r="AN231" s="230" t="n">
        <f aca="false">Таблица310[[#This Row],[Площадь уборки до корр]]-Таблица310[[#This Row],[Площадь уборки, га]]</f>
        <v>0</v>
      </c>
      <c r="AQ231" s="0" t="n">
        <v>327</v>
      </c>
      <c r="AR231" s="0" t="s">
        <v>874</v>
      </c>
      <c r="AS231" s="0" t="n">
        <v>3.10079491255962</v>
      </c>
      <c r="AT231" s="0" t="s">
        <v>324</v>
      </c>
      <c r="XEM231" s="216"/>
      <c r="XEN231" s="217"/>
      <c r="XEO231" s="243"/>
      <c r="XEP231" s="218"/>
      <c r="XEQ231" s="244"/>
      <c r="XER231" s="217"/>
    </row>
    <row r="232" customFormat="false" ht="25.5" hidden="false" customHeight="true" outlineLevel="0" collapsed="false">
      <c r="A232" s="216"/>
      <c r="B232" s="217"/>
      <c r="C232" s="241" t="n">
        <f aca="false">Таблица310[[#This Row],[Степень зрелости вспом]]</f>
        <v>68</v>
      </c>
      <c r="D232" s="218" t="n">
        <v>328</v>
      </c>
      <c r="E232" s="219" t="n">
        <v>45819</v>
      </c>
      <c r="F232" s="217" t="n">
        <v>28490</v>
      </c>
      <c r="G232" s="217" t="n">
        <v>13850</v>
      </c>
      <c r="H232" s="220" t="n">
        <v>14640</v>
      </c>
      <c r="I232" s="217" t="n">
        <v>12188</v>
      </c>
      <c r="J232" s="216" t="s">
        <v>422</v>
      </c>
      <c r="K232" s="216" t="s">
        <v>47</v>
      </c>
      <c r="L232" s="216" t="s">
        <v>896</v>
      </c>
      <c r="M232" s="189" t="s">
        <v>361</v>
      </c>
      <c r="N232" s="198"/>
      <c r="O232" s="216"/>
      <c r="P232" s="216"/>
      <c r="Q232" s="216"/>
      <c r="R232" s="216" t="s">
        <v>362</v>
      </c>
      <c r="S232" s="198"/>
      <c r="T232" s="228" t="s">
        <v>186</v>
      </c>
      <c r="U232" s="195" t="str">
        <f aca="false">Таблица310[[#This Row],[Регистратор.Номенклатура]]</f>
        <v>Авола</v>
      </c>
      <c r="V232" s="230" t="n">
        <f aca="false">14*Таблица310[[#This Row],[Регистратор.Вес нетто]]/61880</f>
        <v>3.13348416289593</v>
      </c>
      <c r="W232" s="216" t="s">
        <v>51</v>
      </c>
      <c r="X232" s="216" t="s">
        <v>52</v>
      </c>
      <c r="Y232" s="198" t="n">
        <v>13</v>
      </c>
      <c r="Z232" s="221" t="n">
        <v>45818</v>
      </c>
      <c r="AA232" s="198"/>
      <c r="AB232" s="198"/>
      <c r="AC232" s="198" t="s">
        <v>305</v>
      </c>
      <c r="AD232" s="198" t="s">
        <v>746</v>
      </c>
      <c r="AE232" s="198" t="n">
        <v>328</v>
      </c>
      <c r="AF232" s="200" t="n">
        <v>45819</v>
      </c>
      <c r="AG232" s="198" t="n">
        <v>129</v>
      </c>
      <c r="AH232" s="198" t="n">
        <f aca="false">VLOOKUP(Таблица310[[#This Row],[№ акта]],'Степень зрелости 2025'!$H$13:$I$583,2,FALSE())</f>
        <v>68</v>
      </c>
      <c r="AI232" s="198" t="str">
        <f aca="false">VLOOKUP(Таблица310[[#This Row],[№ акта]],$AQ$1:$AT$594,2,FALSE())</f>
        <v>А-54</v>
      </c>
      <c r="AJ232" s="198" t="str">
        <f aca="false">Таблица310[[#This Row],[Регистратор.Номенклатура]]</f>
        <v>Авола</v>
      </c>
      <c r="AK232" s="198" t="str">
        <f aca="false">VLOOKUP(Таблица310[[#This Row],[№ акта]],$AQ$1:$AT$594,4,FALSE())</f>
        <v>ГРК (богара)</v>
      </c>
      <c r="AL232" s="230" t="n">
        <f aca="false">VLOOKUP(Таблица310[[#This Row],[№ акта]],$AQ$1:$AT$594,3,FALSE())</f>
        <v>3.13348416289593</v>
      </c>
      <c r="AM232" s="198" t="str">
        <f aca="false">IF(Таблица310[[#This Row],[Площадь уборки, га]]=Таблица310[[#This Row],[Площадь уборки до корр]],"нет","да")</f>
        <v>нет</v>
      </c>
      <c r="AN232" s="230" t="n">
        <f aca="false">Таблица310[[#This Row],[Площадь уборки до корр]]-Таблица310[[#This Row],[Площадь уборки, га]]</f>
        <v>0</v>
      </c>
      <c r="AQ232" s="0" t="n">
        <v>328</v>
      </c>
      <c r="AR232" s="0" t="s">
        <v>186</v>
      </c>
      <c r="AS232" s="0" t="n">
        <v>3.13348416289593</v>
      </c>
      <c r="AT232" s="0" t="s">
        <v>51</v>
      </c>
      <c r="XEM232" s="216"/>
      <c r="XEN232" s="217"/>
      <c r="XEO232" s="243"/>
      <c r="XEP232" s="218"/>
      <c r="XEQ232" s="244"/>
      <c r="XER232" s="217"/>
    </row>
    <row r="233" customFormat="false" ht="25.5" hidden="false" customHeight="true" outlineLevel="0" collapsed="false">
      <c r="A233" s="216"/>
      <c r="B233" s="217"/>
      <c r="C233" s="241" t="n">
        <f aca="false">Таблица310[[#This Row],[Степень зрелости вспом]]</f>
        <v>68</v>
      </c>
      <c r="D233" s="218" t="n">
        <v>329</v>
      </c>
      <c r="E233" s="219" t="n">
        <v>45819</v>
      </c>
      <c r="F233" s="217" t="n">
        <v>8840</v>
      </c>
      <c r="G233" s="217" t="n">
        <v>4290</v>
      </c>
      <c r="H233" s="220" t="n">
        <v>4550</v>
      </c>
      <c r="I233" s="217" t="n">
        <v>3989.7</v>
      </c>
      <c r="J233" s="216" t="s">
        <v>422</v>
      </c>
      <c r="K233" s="216" t="s">
        <v>68</v>
      </c>
      <c r="L233" s="216" t="s">
        <v>873</v>
      </c>
      <c r="M233" s="189" t="s">
        <v>374</v>
      </c>
      <c r="N233" s="198"/>
      <c r="O233" s="216"/>
      <c r="P233" s="216"/>
      <c r="Q233" s="216"/>
      <c r="R233" s="216" t="s">
        <v>375</v>
      </c>
      <c r="S233" s="198"/>
      <c r="T233" s="228" t="s">
        <v>874</v>
      </c>
      <c r="U233" s="195" t="str">
        <f aca="false">Таблица310[[#This Row],[Регистратор.Номенклатура]]</f>
        <v>Увертюра</v>
      </c>
      <c r="V233" s="230" t="n">
        <f aca="false">23*Таблица310[[#This Row],[Регистратор.Вес нетто]]/94350</f>
        <v>1.04578696343402</v>
      </c>
      <c r="W233" s="216" t="s">
        <v>324</v>
      </c>
      <c r="X233" s="216" t="s">
        <v>52</v>
      </c>
      <c r="Y233" s="198" t="n">
        <v>13</v>
      </c>
      <c r="Z233" s="221" t="n">
        <v>45818</v>
      </c>
      <c r="AA233" s="198"/>
      <c r="AB233" s="198"/>
      <c r="AC233" s="198" t="s">
        <v>305</v>
      </c>
      <c r="AD233" s="198" t="s">
        <v>746</v>
      </c>
      <c r="AE233" s="198" t="n">
        <v>329</v>
      </c>
      <c r="AF233" s="200" t="n">
        <v>45819</v>
      </c>
      <c r="AG233" s="198" t="n">
        <v>131</v>
      </c>
      <c r="AH233" s="198" t="n">
        <f aca="false">VLOOKUP(Таблица310[[#This Row],[№ акта]],'Степень зрелости 2025'!$H$13:$I$583,2,FALSE())</f>
        <v>68</v>
      </c>
      <c r="AI233" s="198" t="str">
        <f aca="false">VLOOKUP(Таблица310[[#This Row],[№ акта]],$AQ$1:$AT$594,2,FALSE())</f>
        <v>А-51</v>
      </c>
      <c r="AJ233" s="198" t="str">
        <f aca="false">Таблица310[[#This Row],[Регистратор.Номенклатура]]</f>
        <v>Увертюра</v>
      </c>
      <c r="AK233" s="198" t="str">
        <f aca="false">VLOOKUP(Таблица310[[#This Row],[№ акта]],$AQ$1:$AT$594,4,FALSE())</f>
        <v>ГРК собственные семена (богара)</v>
      </c>
      <c r="AL233" s="230" t="n">
        <f aca="false">VLOOKUP(Таблица310[[#This Row],[№ акта]],$AQ$1:$AT$594,3,FALSE())</f>
        <v>1.04578696343402</v>
      </c>
      <c r="AM233" s="198" t="str">
        <f aca="false">IF(Таблица310[[#This Row],[Площадь уборки, га]]=Таблица310[[#This Row],[Площадь уборки до корр]],"нет","да")</f>
        <v>нет</v>
      </c>
      <c r="AN233" s="230" t="n">
        <f aca="false">Таблица310[[#This Row],[Площадь уборки до корр]]-Таблица310[[#This Row],[Площадь уборки, га]]</f>
        <v>0</v>
      </c>
      <c r="AQ233" s="0" t="n">
        <v>329</v>
      </c>
      <c r="AR233" s="0" t="s">
        <v>874</v>
      </c>
      <c r="AS233" s="0" t="n">
        <v>1.04578696343402</v>
      </c>
      <c r="AT233" s="0" t="s">
        <v>324</v>
      </c>
      <c r="XEM233" s="216"/>
      <c r="XEN233" s="217"/>
      <c r="XEO233" s="243"/>
      <c r="XEP233" s="218"/>
      <c r="XEQ233" s="244"/>
      <c r="XER233" s="217"/>
    </row>
    <row r="234" customFormat="false" ht="25.5" hidden="false" customHeight="true" outlineLevel="0" collapsed="false">
      <c r="A234" s="216"/>
      <c r="B234" s="217"/>
      <c r="C234" s="241" t="n">
        <f aca="false">Таблица310[[#This Row],[Степень зрелости вспом]]</f>
        <v>69</v>
      </c>
      <c r="D234" s="218" t="n">
        <v>330</v>
      </c>
      <c r="E234" s="219" t="n">
        <v>45819</v>
      </c>
      <c r="F234" s="217" t="n">
        <v>27160</v>
      </c>
      <c r="G234" s="217" t="n">
        <v>12910</v>
      </c>
      <c r="H234" s="220" t="n">
        <v>14250</v>
      </c>
      <c r="I234" s="217" t="n">
        <v>11554.4</v>
      </c>
      <c r="J234" s="216" t="s">
        <v>422</v>
      </c>
      <c r="K234" s="216" t="s">
        <v>68</v>
      </c>
      <c r="L234" s="216" t="s">
        <v>873</v>
      </c>
      <c r="M234" s="189" t="s">
        <v>376</v>
      </c>
      <c r="N234" s="198"/>
      <c r="O234" s="216"/>
      <c r="P234" s="216"/>
      <c r="Q234" s="216"/>
      <c r="R234" s="216" t="s">
        <v>377</v>
      </c>
      <c r="S234" s="198"/>
      <c r="T234" s="228" t="s">
        <v>874</v>
      </c>
      <c r="U234" s="195" t="str">
        <f aca="false">Таблица310[[#This Row],[Регистратор.Номенклатура]]</f>
        <v>Увертюра</v>
      </c>
      <c r="V234" s="230" t="n">
        <f aca="false">23*Таблица310[[#This Row],[Регистратор.Вес нетто]]/94350</f>
        <v>3.14711181770005</v>
      </c>
      <c r="W234" s="216" t="s">
        <v>324</v>
      </c>
      <c r="X234" s="216" t="s">
        <v>52</v>
      </c>
      <c r="Y234" s="198" t="n">
        <v>13</v>
      </c>
      <c r="Z234" s="221" t="n">
        <v>45818</v>
      </c>
      <c r="AA234" s="198"/>
      <c r="AB234" s="198"/>
      <c r="AC234" s="198" t="s">
        <v>305</v>
      </c>
      <c r="AD234" s="198" t="s">
        <v>746</v>
      </c>
      <c r="AE234" s="198" t="n">
        <v>330</v>
      </c>
      <c r="AF234" s="200" t="n">
        <v>45819</v>
      </c>
      <c r="AG234" s="198" t="n">
        <v>130</v>
      </c>
      <c r="AH234" s="198" t="n">
        <f aca="false">VLOOKUP(Таблица310[[#This Row],[№ акта]],'Степень зрелости 2025'!$H$13:$I$583,2,FALSE())</f>
        <v>69</v>
      </c>
      <c r="AI234" s="198" t="str">
        <f aca="false">VLOOKUP(Таблица310[[#This Row],[№ акта]],$AQ$1:$AT$594,2,FALSE())</f>
        <v>А-51</v>
      </c>
      <c r="AJ234" s="198" t="str">
        <f aca="false">Таблица310[[#This Row],[Регистратор.Номенклатура]]</f>
        <v>Увертюра</v>
      </c>
      <c r="AK234" s="198" t="str">
        <f aca="false">VLOOKUP(Таблица310[[#This Row],[№ акта]],$AQ$1:$AT$594,4,FALSE())</f>
        <v>ГРК собственные семена (богара)</v>
      </c>
      <c r="AL234" s="230" t="n">
        <f aca="false">VLOOKUP(Таблица310[[#This Row],[№ акта]],$AQ$1:$AT$594,3,FALSE())</f>
        <v>3.14711181770005</v>
      </c>
      <c r="AM234" s="198" t="str">
        <f aca="false">IF(Таблица310[[#This Row],[Площадь уборки, га]]=Таблица310[[#This Row],[Площадь уборки до корр]],"нет","да")</f>
        <v>нет</v>
      </c>
      <c r="AN234" s="230" t="n">
        <f aca="false">Таблица310[[#This Row],[Площадь уборки до корр]]-Таблица310[[#This Row],[Площадь уборки, га]]</f>
        <v>0</v>
      </c>
      <c r="AQ234" s="0" t="n">
        <v>330</v>
      </c>
      <c r="AR234" s="0" t="s">
        <v>874</v>
      </c>
      <c r="AS234" s="0" t="n">
        <v>3.14711181770005</v>
      </c>
      <c r="AT234" s="0" t="s">
        <v>324</v>
      </c>
      <c r="XEM234" s="216"/>
      <c r="XEN234" s="217"/>
      <c r="XEO234" s="243"/>
      <c r="XEP234" s="218"/>
      <c r="XEQ234" s="244"/>
      <c r="XER234" s="217"/>
    </row>
    <row r="235" customFormat="false" ht="25.5" hidden="false" customHeight="true" outlineLevel="0" collapsed="false">
      <c r="A235" s="216"/>
      <c r="B235" s="217"/>
      <c r="C235" s="241" t="n">
        <f aca="false">Таблица310[[#This Row],[Степень зрелости вспом]]</f>
        <v>65</v>
      </c>
      <c r="D235" s="218" t="n">
        <v>331</v>
      </c>
      <c r="E235" s="219" t="n">
        <v>45818</v>
      </c>
      <c r="F235" s="217" t="n">
        <v>22670</v>
      </c>
      <c r="G235" s="217" t="n">
        <v>8390</v>
      </c>
      <c r="H235" s="220" t="n">
        <v>14280</v>
      </c>
      <c r="I235" s="217" t="n">
        <v>6795.9</v>
      </c>
      <c r="J235" s="216" t="s">
        <v>422</v>
      </c>
      <c r="K235" s="216" t="s">
        <v>897</v>
      </c>
      <c r="L235" s="216" t="s">
        <v>873</v>
      </c>
      <c r="M235" s="189" t="s">
        <v>376</v>
      </c>
      <c r="N235" s="198"/>
      <c r="O235" s="216"/>
      <c r="P235" s="216"/>
      <c r="Q235" s="216"/>
      <c r="R235" s="216" t="s">
        <v>377</v>
      </c>
      <c r="S235" s="198"/>
      <c r="T235" s="228" t="s">
        <v>874</v>
      </c>
      <c r="U235" s="195" t="str">
        <f aca="false">Таблица310[[#This Row],[Регистратор.Номенклатура]]</f>
        <v>парус</v>
      </c>
      <c r="V235" s="230" t="n">
        <v>4</v>
      </c>
      <c r="W235" s="216" t="s">
        <v>325</v>
      </c>
      <c r="X235" s="216" t="s">
        <v>52</v>
      </c>
      <c r="Y235" s="198" t="n">
        <v>13</v>
      </c>
      <c r="Z235" s="221" t="n">
        <v>45818</v>
      </c>
      <c r="AA235" s="198"/>
      <c r="AB235" s="198" t="s">
        <v>902</v>
      </c>
      <c r="AC235" s="198" t="s">
        <v>304</v>
      </c>
      <c r="AD235" s="198" t="s">
        <v>417</v>
      </c>
      <c r="AE235" s="198" t="n">
        <v>331</v>
      </c>
      <c r="AF235" s="200" t="n">
        <v>45818</v>
      </c>
      <c r="AG235" s="198" t="n">
        <v>122</v>
      </c>
      <c r="AH235" s="198" t="n">
        <f aca="false">VLOOKUP(Таблица310[[#This Row],[№ акта]],'Степень зрелости 2025'!$H$13:$I$583,2,FALSE())</f>
        <v>65</v>
      </c>
      <c r="AI235" s="198" t="str">
        <f aca="false">VLOOKUP(Таблица310[[#This Row],[№ акта]],$AQ$1:$AT$594,2,FALSE())</f>
        <v>А-51</v>
      </c>
      <c r="AJ235" s="198" t="str">
        <f aca="false">Таблица310[[#This Row],[Регистратор.Номенклатура]]</f>
        <v>парус</v>
      </c>
      <c r="AK235" s="198" t="str">
        <f aca="false">VLOOKUP(Таблица310[[#This Row],[№ акта]],$AQ$1:$AT$594,4,FALSE())</f>
        <v>ГРК демо (богара)</v>
      </c>
      <c r="AL235" s="230" t="n">
        <f aca="false">VLOOKUP(Таблица310[[#This Row],[№ акта]],$AQ$1:$AT$594,3,FALSE())</f>
        <v>4</v>
      </c>
      <c r="AM235" s="198" t="str">
        <f aca="false">IF(Таблица310[[#This Row],[Площадь уборки, га]]=Таблица310[[#This Row],[Площадь уборки до корр]],"нет","да")</f>
        <v>нет</v>
      </c>
      <c r="AN235" s="230" t="n">
        <f aca="false">Таблица310[[#This Row],[Площадь уборки до корр]]-Таблица310[[#This Row],[Площадь уборки, га]]</f>
        <v>0</v>
      </c>
      <c r="AQ235" s="0" t="n">
        <v>331</v>
      </c>
      <c r="AR235" s="0" t="s">
        <v>874</v>
      </c>
      <c r="AS235" s="0" t="n">
        <v>4</v>
      </c>
      <c r="AT235" s="0" t="s">
        <v>325</v>
      </c>
      <c r="XEM235" s="216"/>
      <c r="XEN235" s="217"/>
      <c r="XEO235" s="243"/>
      <c r="XEP235" s="218"/>
      <c r="XEQ235" s="244"/>
      <c r="XER235" s="217"/>
    </row>
    <row r="236" customFormat="false" ht="25.5" hidden="false" customHeight="true" outlineLevel="0" collapsed="false">
      <c r="A236" s="216"/>
      <c r="B236" s="217"/>
      <c r="C236" s="241" t="n">
        <f aca="false">Таблица310[[#This Row],[Степень зрелости вспом]]</f>
        <v>68</v>
      </c>
      <c r="D236" s="218" t="n">
        <v>332</v>
      </c>
      <c r="E236" s="219" t="n">
        <v>45819</v>
      </c>
      <c r="F236" s="217" t="n">
        <v>28460</v>
      </c>
      <c r="G236" s="217" t="n">
        <v>13620</v>
      </c>
      <c r="H236" s="220" t="n">
        <v>14840</v>
      </c>
      <c r="I236" s="217" t="n">
        <v>12326.1</v>
      </c>
      <c r="J236" s="216" t="s">
        <v>422</v>
      </c>
      <c r="K236" s="216" t="s">
        <v>47</v>
      </c>
      <c r="L236" s="216" t="s">
        <v>885</v>
      </c>
      <c r="M236" s="189" t="s">
        <v>382</v>
      </c>
      <c r="N236" s="198"/>
      <c r="O236" s="216"/>
      <c r="P236" s="216"/>
      <c r="Q236" s="216"/>
      <c r="R236" s="216" t="s">
        <v>383</v>
      </c>
      <c r="S236" s="198"/>
      <c r="T236" s="228" t="s">
        <v>186</v>
      </c>
      <c r="U236" s="195" t="str">
        <f aca="false">Таблица310[[#This Row],[Регистратор.Номенклатура]]</f>
        <v>Авола</v>
      </c>
      <c r="V236" s="230" t="n">
        <f aca="false">14*Таблица310[[#This Row],[Регистратор.Вес нетто]]/61880</f>
        <v>3.08144796380091</v>
      </c>
      <c r="W236" s="216" t="s">
        <v>51</v>
      </c>
      <c r="X236" s="216" t="s">
        <v>52</v>
      </c>
      <c r="Y236" s="198" t="n">
        <v>13</v>
      </c>
      <c r="Z236" s="221" t="n">
        <v>45818</v>
      </c>
      <c r="AA236" s="198"/>
      <c r="AB236" s="198"/>
      <c r="AC236" s="198" t="s">
        <v>305</v>
      </c>
      <c r="AD236" s="198" t="s">
        <v>746</v>
      </c>
      <c r="AE236" s="198" t="n">
        <v>332</v>
      </c>
      <c r="AF236" s="200" t="n">
        <v>45819</v>
      </c>
      <c r="AG236" s="198" t="n">
        <v>132</v>
      </c>
      <c r="AH236" s="198" t="n">
        <f aca="false">VLOOKUP(Таблица310[[#This Row],[№ акта]],'Степень зрелости 2025'!$H$13:$I$583,2,FALSE())</f>
        <v>68</v>
      </c>
      <c r="AI236" s="198" t="str">
        <f aca="false">VLOOKUP(Таблица310[[#This Row],[№ акта]],$AQ$1:$AT$594,2,FALSE())</f>
        <v>А-54</v>
      </c>
      <c r="AJ236" s="198" t="str">
        <f aca="false">Таблица310[[#This Row],[Регистратор.Номенклатура]]</f>
        <v>Авола</v>
      </c>
      <c r="AK236" s="198" t="str">
        <f aca="false">VLOOKUP(Таблица310[[#This Row],[№ акта]],$AQ$1:$AT$594,4,FALSE())</f>
        <v>ГРК (богара)</v>
      </c>
      <c r="AL236" s="230" t="n">
        <f aca="false">VLOOKUP(Таблица310[[#This Row],[№ акта]],$AQ$1:$AT$594,3,FALSE())</f>
        <v>3.08144796380091</v>
      </c>
      <c r="AM236" s="198" t="str">
        <f aca="false">IF(Таблица310[[#This Row],[Площадь уборки, га]]=Таблица310[[#This Row],[Площадь уборки до корр]],"нет","да")</f>
        <v>нет</v>
      </c>
      <c r="AN236" s="230" t="n">
        <f aca="false">Таблица310[[#This Row],[Площадь уборки до корр]]-Таблица310[[#This Row],[Площадь уборки, га]]</f>
        <v>0</v>
      </c>
      <c r="AQ236" s="0" t="n">
        <v>332</v>
      </c>
      <c r="AR236" s="0" t="s">
        <v>186</v>
      </c>
      <c r="AS236" s="0" t="n">
        <v>3.08144796380091</v>
      </c>
      <c r="AT236" s="0" t="s">
        <v>51</v>
      </c>
      <c r="XEM236" s="216"/>
      <c r="XEN236" s="217"/>
      <c r="XEO236" s="243"/>
      <c r="XEP236" s="218"/>
      <c r="XEQ236" s="244"/>
      <c r="XER236" s="217"/>
    </row>
    <row r="237" customFormat="false" ht="25.5" hidden="false" customHeight="true" outlineLevel="0" collapsed="false">
      <c r="A237" s="216"/>
      <c r="B237" s="217"/>
      <c r="C237" s="241" t="n">
        <f aca="false">Таблица310[[#This Row],[Степень зрелости вспом]]</f>
        <v>66</v>
      </c>
      <c r="D237" s="218" t="n">
        <v>333</v>
      </c>
      <c r="E237" s="219" t="n">
        <v>45819</v>
      </c>
      <c r="F237" s="217" t="n">
        <v>27930</v>
      </c>
      <c r="G237" s="217" t="n">
        <v>13290</v>
      </c>
      <c r="H237" s="220" t="n">
        <v>14640</v>
      </c>
      <c r="I237" s="217" t="n">
        <v>11961</v>
      </c>
      <c r="J237" s="216" t="s">
        <v>422</v>
      </c>
      <c r="K237" s="216" t="s">
        <v>68</v>
      </c>
      <c r="L237" s="216" t="s">
        <v>873</v>
      </c>
      <c r="M237" s="189" t="s">
        <v>361</v>
      </c>
      <c r="N237" s="198"/>
      <c r="O237" s="216"/>
      <c r="P237" s="216"/>
      <c r="Q237" s="216"/>
      <c r="R237" s="216" t="s">
        <v>362</v>
      </c>
      <c r="S237" s="198"/>
      <c r="T237" s="228" t="s">
        <v>874</v>
      </c>
      <c r="U237" s="195" t="str">
        <f aca="false">Таблица310[[#This Row],[Регистратор.Номенклатура]]</f>
        <v>Увертюра</v>
      </c>
      <c r="V237" s="230" t="n">
        <f aca="false">23*Таблица310[[#This Row],[Регистратор.Вес нетто]]/94350</f>
        <v>3.23974562798092</v>
      </c>
      <c r="W237" s="216" t="s">
        <v>324</v>
      </c>
      <c r="X237" s="216" t="s">
        <v>52</v>
      </c>
      <c r="Y237" s="198" t="n">
        <v>13</v>
      </c>
      <c r="Z237" s="221" t="n">
        <v>45818</v>
      </c>
      <c r="AA237" s="198"/>
      <c r="AB237" s="198"/>
      <c r="AC237" s="198" t="s">
        <v>304</v>
      </c>
      <c r="AD237" s="198" t="s">
        <v>746</v>
      </c>
      <c r="AE237" s="198" t="n">
        <v>333</v>
      </c>
      <c r="AF237" s="200" t="n">
        <v>45819</v>
      </c>
      <c r="AG237" s="198" t="n">
        <v>133</v>
      </c>
      <c r="AH237" s="198" t="n">
        <f aca="false">VLOOKUP(Таблица310[[#This Row],[№ акта]],'Степень зрелости 2025'!$H$13:$I$583,2,FALSE())</f>
        <v>66</v>
      </c>
      <c r="AI237" s="198" t="str">
        <f aca="false">VLOOKUP(Таблица310[[#This Row],[№ акта]],$AQ$1:$AT$594,2,FALSE())</f>
        <v>А-51</v>
      </c>
      <c r="AJ237" s="198" t="str">
        <f aca="false">Таблица310[[#This Row],[Регистратор.Номенклатура]]</f>
        <v>Увертюра</v>
      </c>
      <c r="AK237" s="198" t="str">
        <f aca="false">VLOOKUP(Таблица310[[#This Row],[№ акта]],$AQ$1:$AT$594,4,FALSE())</f>
        <v>ГРК собственные семена (богара)</v>
      </c>
      <c r="AL237" s="230" t="n">
        <f aca="false">VLOOKUP(Таблица310[[#This Row],[№ акта]],$AQ$1:$AT$594,3,FALSE())</f>
        <v>3.23974562798092</v>
      </c>
      <c r="AM237" s="198" t="str">
        <f aca="false">IF(Таблица310[[#This Row],[Площадь уборки, га]]=Таблица310[[#This Row],[Площадь уборки до корр]],"нет","да")</f>
        <v>нет</v>
      </c>
      <c r="AN237" s="230" t="n">
        <f aca="false">Таблица310[[#This Row],[Площадь уборки до корр]]-Таблица310[[#This Row],[Площадь уборки, га]]</f>
        <v>0</v>
      </c>
      <c r="AQ237" s="0" t="n">
        <v>333</v>
      </c>
      <c r="AR237" s="0" t="s">
        <v>874</v>
      </c>
      <c r="AS237" s="0" t="n">
        <v>3.23974562798092</v>
      </c>
      <c r="AT237" s="0" t="s">
        <v>324</v>
      </c>
      <c r="XEM237" s="216"/>
      <c r="XEN237" s="217"/>
      <c r="XEO237" s="243"/>
      <c r="XEP237" s="218"/>
      <c r="XEQ237" s="244"/>
      <c r="XER237" s="217"/>
    </row>
    <row r="238" customFormat="false" ht="25.5" hidden="false" customHeight="true" outlineLevel="0" collapsed="false">
      <c r="A238" s="216"/>
      <c r="B238" s="217"/>
      <c r="C238" s="241" t="n">
        <v>74</v>
      </c>
      <c r="D238" s="218" t="n">
        <v>334</v>
      </c>
      <c r="E238" s="219" t="n">
        <v>45819</v>
      </c>
      <c r="F238" s="217" t="n">
        <v>25280</v>
      </c>
      <c r="G238" s="217" t="n">
        <v>10340</v>
      </c>
      <c r="H238" s="220" t="n">
        <v>14940</v>
      </c>
      <c r="I238" s="217" t="n">
        <v>9823</v>
      </c>
      <c r="J238" s="216" t="s">
        <v>422</v>
      </c>
      <c r="K238" s="216" t="s">
        <v>68</v>
      </c>
      <c r="L238" s="216" t="s">
        <v>873</v>
      </c>
      <c r="M238" s="189" t="s">
        <v>457</v>
      </c>
      <c r="N238" s="198"/>
      <c r="O238" s="216"/>
      <c r="P238" s="216"/>
      <c r="Q238" s="216"/>
      <c r="R238" s="216" t="s">
        <v>366</v>
      </c>
      <c r="S238" s="198"/>
      <c r="T238" s="228" t="s">
        <v>874</v>
      </c>
      <c r="U238" s="195" t="str">
        <f aca="false">Таблица310[[#This Row],[Регистратор.Номенклатура]]</f>
        <v>Увертюра</v>
      </c>
      <c r="V238" s="230" t="n">
        <f aca="false">23*Таблица310[[#This Row],[Регистратор.Вес нетто]]/94350</f>
        <v>2.52061473237944</v>
      </c>
      <c r="W238" s="216" t="s">
        <v>324</v>
      </c>
      <c r="X238" s="216" t="s">
        <v>52</v>
      </c>
      <c r="Y238" s="198" t="n">
        <v>14</v>
      </c>
      <c r="Z238" s="221" t="n">
        <v>45819</v>
      </c>
      <c r="AA238" s="198"/>
      <c r="AB238" s="198"/>
      <c r="AC238" s="198" t="s">
        <v>305</v>
      </c>
      <c r="AD238" s="198" t="s">
        <v>886</v>
      </c>
      <c r="AE238" s="198" t="n">
        <v>334</v>
      </c>
      <c r="AF238" s="200" t="n">
        <v>45819</v>
      </c>
      <c r="AG238" s="198" t="n">
        <v>134</v>
      </c>
      <c r="AH238" s="198" t="n">
        <f aca="false">VLOOKUP(Таблица310[[#This Row],[№ акта]],'Степень зрелости 2025'!$H$13:$I$583,2,FALSE())</f>
        <v>74</v>
      </c>
      <c r="AI238" s="198" t="str">
        <f aca="false">VLOOKUP(Таблица310[[#This Row],[№ акта]],$AQ$1:$AT$594,2,FALSE())</f>
        <v>А-51</v>
      </c>
      <c r="AJ238" s="198" t="str">
        <f aca="false">Таблица310[[#This Row],[Регистратор.Номенклатура]]</f>
        <v>Увертюра</v>
      </c>
      <c r="AK238" s="198" t="str">
        <f aca="false">VLOOKUP(Таблица310[[#This Row],[№ акта]],$AQ$1:$AT$594,4,FALSE())</f>
        <v>ГРК собственные семена (богара)</v>
      </c>
      <c r="AL238" s="230" t="n">
        <f aca="false">VLOOKUP(Таблица310[[#This Row],[№ акта]],$AQ$1:$AT$594,3,FALSE())</f>
        <v>2.52061473237944</v>
      </c>
      <c r="AM238" s="198" t="str">
        <f aca="false">IF(Таблица310[[#This Row],[Площадь уборки, га]]=Таблица310[[#This Row],[Площадь уборки до корр]],"нет","да")</f>
        <v>нет</v>
      </c>
      <c r="AN238" s="230" t="n">
        <f aca="false">Таблица310[[#This Row],[Площадь уборки до корр]]-Таблица310[[#This Row],[Площадь уборки, га]]</f>
        <v>0</v>
      </c>
      <c r="AQ238" s="0" t="n">
        <v>334</v>
      </c>
      <c r="AR238" s="0" t="s">
        <v>874</v>
      </c>
      <c r="AS238" s="0" t="n">
        <v>2.52061473237944</v>
      </c>
      <c r="AT238" s="0" t="s">
        <v>324</v>
      </c>
      <c r="XEM238" s="216"/>
      <c r="XEN238" s="217"/>
      <c r="XEO238" s="243"/>
      <c r="XEP238" s="218"/>
      <c r="XEQ238" s="244"/>
      <c r="XER238" s="217"/>
    </row>
    <row r="239" customFormat="false" ht="25.5" hidden="false" customHeight="true" outlineLevel="0" collapsed="false">
      <c r="A239" s="216"/>
      <c r="B239" s="217"/>
      <c r="C239" s="241" t="n">
        <v>74</v>
      </c>
      <c r="D239" s="218" t="n">
        <v>335</v>
      </c>
      <c r="E239" s="219" t="n">
        <v>45819</v>
      </c>
      <c r="F239" s="217" t="n">
        <v>25720</v>
      </c>
      <c r="G239" s="217" t="n">
        <v>10700</v>
      </c>
      <c r="H239" s="220" t="n">
        <v>15020</v>
      </c>
      <c r="I239" s="217" t="n">
        <v>10004.5</v>
      </c>
      <c r="J239" s="216" t="s">
        <v>422</v>
      </c>
      <c r="K239" s="216" t="s">
        <v>68</v>
      </c>
      <c r="L239" s="216" t="s">
        <v>873</v>
      </c>
      <c r="M239" s="189" t="s">
        <v>371</v>
      </c>
      <c r="N239" s="198"/>
      <c r="O239" s="216"/>
      <c r="P239" s="216"/>
      <c r="Q239" s="216"/>
      <c r="R239" s="216" t="s">
        <v>372</v>
      </c>
      <c r="S239" s="198"/>
      <c r="T239" s="228" t="s">
        <v>874</v>
      </c>
      <c r="U239" s="195" t="str">
        <f aca="false">Таблица310[[#This Row],[Регистратор.Номенклатура]]</f>
        <v>Увертюра</v>
      </c>
      <c r="V239" s="230" t="n">
        <f aca="false">23*Таблица310[[#This Row],[Регистратор.Вес нетто]]/94350</f>
        <v>2.60837307896131</v>
      </c>
      <c r="W239" s="216" t="s">
        <v>324</v>
      </c>
      <c r="X239" s="216" t="s">
        <v>52</v>
      </c>
      <c r="Y239" s="198" t="n">
        <v>14</v>
      </c>
      <c r="Z239" s="221" t="n">
        <v>45819</v>
      </c>
      <c r="AA239" s="198"/>
      <c r="AB239" s="198"/>
      <c r="AC239" s="198" t="s">
        <v>305</v>
      </c>
      <c r="AD239" s="198" t="s">
        <v>886</v>
      </c>
      <c r="AE239" s="198" t="n">
        <v>335</v>
      </c>
      <c r="AF239" s="200" t="n">
        <v>45819</v>
      </c>
      <c r="AG239" s="198" t="n">
        <v>135</v>
      </c>
      <c r="AH239" s="198" t="n">
        <f aca="false">VLOOKUP(Таблица310[[#This Row],[№ акта]],'Степень зрелости 2025'!$H$13:$I$583,2,FALSE())</f>
        <v>74</v>
      </c>
      <c r="AI239" s="198" t="str">
        <f aca="false">VLOOKUP(Таблица310[[#This Row],[№ акта]],$AQ$1:$AT$594,2,FALSE())</f>
        <v>А-51</v>
      </c>
      <c r="AJ239" s="198" t="str">
        <f aca="false">Таблица310[[#This Row],[Регистратор.Номенклатура]]</f>
        <v>Увертюра</v>
      </c>
      <c r="AK239" s="198" t="str">
        <f aca="false">VLOOKUP(Таблица310[[#This Row],[№ акта]],$AQ$1:$AT$594,4,FALSE())</f>
        <v>ГРК собственные семена (богара)</v>
      </c>
      <c r="AL239" s="230" t="n">
        <f aca="false">VLOOKUP(Таблица310[[#This Row],[№ акта]],$AQ$1:$AT$594,3,FALSE())</f>
        <v>2.60837307896131</v>
      </c>
      <c r="AM239" s="198" t="str">
        <f aca="false">IF(Таблица310[[#This Row],[Площадь уборки, га]]=Таблица310[[#This Row],[Площадь уборки до корр]],"нет","да")</f>
        <v>нет</v>
      </c>
      <c r="AN239" s="230" t="n">
        <f aca="false">Таблица310[[#This Row],[Площадь уборки до корр]]-Таблица310[[#This Row],[Площадь уборки, га]]</f>
        <v>0</v>
      </c>
      <c r="AQ239" s="0" t="n">
        <v>335</v>
      </c>
      <c r="AR239" s="0" t="s">
        <v>874</v>
      </c>
      <c r="AS239" s="0" t="n">
        <v>2.60837307896131</v>
      </c>
      <c r="AT239" s="0" t="s">
        <v>324</v>
      </c>
      <c r="XEM239" s="216"/>
      <c r="XEN239" s="217"/>
      <c r="XEO239" s="243"/>
      <c r="XEP239" s="218"/>
      <c r="XEQ239" s="244"/>
      <c r="XER239" s="217"/>
    </row>
    <row r="240" customFormat="false" ht="25.5" hidden="false" customHeight="true" outlineLevel="0" collapsed="false">
      <c r="A240" s="216"/>
      <c r="B240" s="217"/>
      <c r="C240" s="241" t="n">
        <f aca="false">Таблица310[[#This Row],[Степень зрелости вспом]]</f>
        <v>64</v>
      </c>
      <c r="D240" s="218" t="n">
        <v>336</v>
      </c>
      <c r="E240" s="219" t="n">
        <v>45819</v>
      </c>
      <c r="F240" s="217" t="n">
        <v>8800</v>
      </c>
      <c r="G240" s="217" t="n">
        <v>4200</v>
      </c>
      <c r="H240" s="220" t="n">
        <v>4600</v>
      </c>
      <c r="I240" s="217" t="n">
        <v>3906</v>
      </c>
      <c r="J240" s="216" t="s">
        <v>899</v>
      </c>
      <c r="K240" s="216" t="s">
        <v>900</v>
      </c>
      <c r="L240" s="216" t="s">
        <v>903</v>
      </c>
      <c r="M240" s="189" t="s">
        <v>378</v>
      </c>
      <c r="N240" s="198"/>
      <c r="O240" s="216"/>
      <c r="P240" s="216"/>
      <c r="Q240" s="216"/>
      <c r="R240" s="216" t="s">
        <v>379</v>
      </c>
      <c r="S240" s="198"/>
      <c r="T240" s="246" t="n">
        <v>40</v>
      </c>
      <c r="U240" s="195" t="str">
        <f aca="false">Таблица310[[#This Row],[Регистратор.Номенклатура]]</f>
        <v>Фаворит</v>
      </c>
      <c r="V240" s="230" t="n">
        <f aca="false">25*Таблица310[[#This Row],[Регистратор.Вес нетто]]/108630</f>
        <v>0.966583816625242</v>
      </c>
      <c r="W240" s="216" t="s">
        <v>326</v>
      </c>
      <c r="X240" s="216" t="s">
        <v>315</v>
      </c>
      <c r="Y240" s="198" t="n">
        <v>2</v>
      </c>
      <c r="Z240" s="221" t="n">
        <v>45819</v>
      </c>
      <c r="AA240" s="198"/>
      <c r="AB240" s="198"/>
      <c r="AC240" s="198" t="s">
        <v>305</v>
      </c>
      <c r="AD240" s="198" t="s">
        <v>746</v>
      </c>
      <c r="AE240" s="198" t="n">
        <v>336</v>
      </c>
      <c r="AF240" s="200" t="n">
        <v>45819</v>
      </c>
      <c r="AG240" s="198" t="n">
        <v>3</v>
      </c>
      <c r="AH240" s="198" t="n">
        <f aca="false">VLOOKUP(Таблица310[[#This Row],[№ акта]],'Степень зрелости 2025'!$H$13:$I$583,2,FALSE())</f>
        <v>64</v>
      </c>
      <c r="AI240" s="198" t="n">
        <f aca="false">VLOOKUP(Таблица310[[#This Row],[№ акта]],$AQ$1:$AT$594,2,FALSE())</f>
        <v>40</v>
      </c>
      <c r="AJ240" s="198" t="str">
        <f aca="false">Таблица310[[#This Row],[Регистратор.Номенклатура]]</f>
        <v>Фаворит</v>
      </c>
      <c r="AK240" s="198" t="str">
        <f aca="false">VLOOKUP(Таблица310[[#This Row],[№ акта]],$AQ$1:$AT$594,4,FALSE())</f>
        <v>Братковский (полив)</v>
      </c>
      <c r="AL240" s="230" t="n">
        <f aca="false">VLOOKUP(Таблица310[[#This Row],[№ акта]],$AQ$1:$AT$594,3,FALSE())</f>
        <v>0.966583816625242</v>
      </c>
      <c r="AM240" s="198" t="str">
        <f aca="false">IF(Таблица310[[#This Row],[Площадь уборки, га]]=Таблица310[[#This Row],[Площадь уборки до корр]],"нет","да")</f>
        <v>нет</v>
      </c>
      <c r="AN240" s="230" t="n">
        <f aca="false">Таблица310[[#This Row],[Площадь уборки до корр]]-Таблица310[[#This Row],[Площадь уборки, га]]</f>
        <v>0</v>
      </c>
      <c r="AQ240" s="0" t="n">
        <v>336</v>
      </c>
      <c r="AR240" s="0" t="n">
        <v>40</v>
      </c>
      <c r="AS240" s="0" t="n">
        <v>0.966583816625242</v>
      </c>
      <c r="AT240" s="0" t="s">
        <v>326</v>
      </c>
      <c r="XEM240" s="216"/>
      <c r="XEN240" s="217"/>
      <c r="XEO240" s="243"/>
      <c r="XEP240" s="218"/>
      <c r="XEQ240" s="244"/>
      <c r="XER240" s="217"/>
    </row>
    <row r="241" customFormat="false" ht="25.5" hidden="false" customHeight="true" outlineLevel="0" collapsed="false">
      <c r="A241" s="216"/>
      <c r="B241" s="217"/>
      <c r="C241" s="241" t="n">
        <f aca="false">Таблица310[[#This Row],[Степень зрелости вспом]]</f>
        <v>64</v>
      </c>
      <c r="D241" s="218" t="n">
        <v>337</v>
      </c>
      <c r="E241" s="219" t="n">
        <v>45819</v>
      </c>
      <c r="F241" s="217" t="n">
        <v>27810</v>
      </c>
      <c r="G241" s="217" t="n">
        <v>12830</v>
      </c>
      <c r="H241" s="220" t="n">
        <v>14980</v>
      </c>
      <c r="I241" s="217" t="n">
        <v>11611.1</v>
      </c>
      <c r="J241" s="216" t="s">
        <v>899</v>
      </c>
      <c r="K241" s="216" t="s">
        <v>900</v>
      </c>
      <c r="L241" s="216" t="s">
        <v>903</v>
      </c>
      <c r="M241" s="189" t="s">
        <v>553</v>
      </c>
      <c r="N241" s="198"/>
      <c r="O241" s="216"/>
      <c r="P241" s="216"/>
      <c r="Q241" s="216"/>
      <c r="R241" s="216" t="s">
        <v>557</v>
      </c>
      <c r="S241" s="198"/>
      <c r="T241" s="246" t="n">
        <v>40</v>
      </c>
      <c r="U241" s="195" t="str">
        <f aca="false">Таблица310[[#This Row],[Регистратор.Номенклатура]]</f>
        <v>Фаворит</v>
      </c>
      <c r="V241" s="230" t="n">
        <f aca="false">25*Таблица310[[#This Row],[Регистратор.Вес нетто]]/108630</f>
        <v>2.95268342078615</v>
      </c>
      <c r="W241" s="216" t="s">
        <v>326</v>
      </c>
      <c r="X241" s="216" t="s">
        <v>315</v>
      </c>
      <c r="Y241" s="198" t="n">
        <v>2</v>
      </c>
      <c r="Z241" s="221" t="n">
        <v>45819</v>
      </c>
      <c r="AA241" s="198"/>
      <c r="AB241" s="198"/>
      <c r="AC241" s="198" t="s">
        <v>305</v>
      </c>
      <c r="AD241" s="198" t="s">
        <v>746</v>
      </c>
      <c r="AE241" s="198" t="n">
        <v>337</v>
      </c>
      <c r="AF241" s="200" t="n">
        <v>45819</v>
      </c>
      <c r="AG241" s="198" t="n">
        <v>1</v>
      </c>
      <c r="AH241" s="198" t="n">
        <f aca="false">VLOOKUP(Таблица310[[#This Row],[№ акта]],'Степень зрелости 2025'!$H$13:$I$583,2,FALSE())</f>
        <v>64</v>
      </c>
      <c r="AI241" s="198" t="n">
        <f aca="false">VLOOKUP(Таблица310[[#This Row],[№ акта]],$AQ$1:$AT$594,2,FALSE())</f>
        <v>40</v>
      </c>
      <c r="AJ241" s="198" t="str">
        <f aca="false">Таблица310[[#This Row],[Регистратор.Номенклатура]]</f>
        <v>Фаворит</v>
      </c>
      <c r="AK241" s="198" t="str">
        <f aca="false">VLOOKUP(Таблица310[[#This Row],[№ акта]],$AQ$1:$AT$594,4,FALSE())</f>
        <v>Братковский (полив)</v>
      </c>
      <c r="AL241" s="230" t="n">
        <f aca="false">VLOOKUP(Таблица310[[#This Row],[№ акта]],$AQ$1:$AT$594,3,FALSE())</f>
        <v>2.95268342078615</v>
      </c>
      <c r="AM241" s="198" t="str">
        <f aca="false">IF(Таблица310[[#This Row],[Площадь уборки, га]]=Таблица310[[#This Row],[Площадь уборки до корр]],"нет","да")</f>
        <v>нет</v>
      </c>
      <c r="AN241" s="230" t="n">
        <f aca="false">Таблица310[[#This Row],[Площадь уборки до корр]]-Таблица310[[#This Row],[Площадь уборки, га]]</f>
        <v>0</v>
      </c>
      <c r="AQ241" s="0" t="n">
        <v>337</v>
      </c>
      <c r="AR241" s="0" t="n">
        <v>40</v>
      </c>
      <c r="AS241" s="0" t="n">
        <v>2.95268342078615</v>
      </c>
      <c r="AT241" s="0" t="s">
        <v>326</v>
      </c>
      <c r="XEM241" s="216"/>
      <c r="XEN241" s="217"/>
      <c r="XEO241" s="243"/>
      <c r="XEP241" s="218"/>
      <c r="XEQ241" s="244"/>
      <c r="XER241" s="217"/>
    </row>
    <row r="242" customFormat="false" ht="25.5" hidden="false" customHeight="true" outlineLevel="0" collapsed="false">
      <c r="A242" s="216"/>
      <c r="B242" s="217"/>
      <c r="C242" s="241" t="n">
        <f aca="false">Таблица310[[#This Row],[Степень зрелости вспом]]</f>
        <v>67</v>
      </c>
      <c r="D242" s="218" t="n">
        <v>338</v>
      </c>
      <c r="E242" s="219" t="n">
        <v>45819</v>
      </c>
      <c r="F242" s="217" t="n">
        <v>27520</v>
      </c>
      <c r="G242" s="217" t="n">
        <v>12750</v>
      </c>
      <c r="H242" s="220" t="n">
        <v>14770</v>
      </c>
      <c r="I242" s="217" t="n">
        <v>12112.5</v>
      </c>
      <c r="J242" s="216" t="s">
        <v>899</v>
      </c>
      <c r="K242" s="216" t="s">
        <v>900</v>
      </c>
      <c r="L242" s="216" t="s">
        <v>903</v>
      </c>
      <c r="M242" s="189" t="s">
        <v>547</v>
      </c>
      <c r="N242" s="198"/>
      <c r="O242" s="216"/>
      <c r="P242" s="216"/>
      <c r="Q242" s="216"/>
      <c r="R242" s="216" t="s">
        <v>551</v>
      </c>
      <c r="S242" s="198"/>
      <c r="T242" s="246" t="n">
        <v>40</v>
      </c>
      <c r="U242" s="195" t="str">
        <f aca="false">Таблица310[[#This Row],[Регистратор.Номенклатура]]</f>
        <v>Фаворит</v>
      </c>
      <c r="V242" s="230" t="n">
        <f aca="false">25*Таблица310[[#This Row],[Регистратор.Вес нетто]]/108630+0.15</f>
        <v>3.08427230046948</v>
      </c>
      <c r="W242" s="216" t="s">
        <v>326</v>
      </c>
      <c r="X242" s="216" t="s">
        <v>315</v>
      </c>
      <c r="Y242" s="198" t="n">
        <v>2</v>
      </c>
      <c r="Z242" s="221" t="n">
        <v>45819</v>
      </c>
      <c r="AA242" s="198"/>
      <c r="AB242" s="198"/>
      <c r="AC242" s="198" t="s">
        <v>305</v>
      </c>
      <c r="AD242" s="198" t="s">
        <v>746</v>
      </c>
      <c r="AE242" s="198" t="n">
        <v>338</v>
      </c>
      <c r="AF242" s="200" t="n">
        <v>45819</v>
      </c>
      <c r="AG242" s="198" t="n">
        <v>2</v>
      </c>
      <c r="AH242" s="198" t="n">
        <f aca="false">VLOOKUP(Таблица310[[#This Row],[№ акта]],'Степень зрелости 2025'!$H$13:$I$583,2,FALSE())</f>
        <v>67</v>
      </c>
      <c r="AI242" s="198" t="n">
        <f aca="false">VLOOKUP(Таблица310[[#This Row],[№ акта]],$AQ$1:$AT$594,2,FALSE())</f>
        <v>40</v>
      </c>
      <c r="AJ242" s="198" t="str">
        <f aca="false">Таблица310[[#This Row],[Регистратор.Номенклатура]]</f>
        <v>Фаворит</v>
      </c>
      <c r="AK242" s="198" t="str">
        <f aca="false">VLOOKUP(Таблица310[[#This Row],[№ акта]],$AQ$1:$AT$594,4,FALSE())</f>
        <v>Братковский (полив)</v>
      </c>
      <c r="AL242" s="230" t="n">
        <f aca="false">VLOOKUP(Таблица310[[#This Row],[№ акта]],$AQ$1:$AT$594,3,FALSE())</f>
        <v>3.08427230046948</v>
      </c>
      <c r="AM242" s="198" t="str">
        <f aca="false">IF(Таблица310[[#This Row],[Площадь уборки, га]]=Таблица310[[#This Row],[Площадь уборки до корр]],"нет","да")</f>
        <v>нет</v>
      </c>
      <c r="AN242" s="230" t="n">
        <f aca="false">Таблица310[[#This Row],[Площадь уборки до корр]]-Таблица310[[#This Row],[Площадь уборки, га]]</f>
        <v>0</v>
      </c>
      <c r="AQ242" s="0" t="n">
        <v>338</v>
      </c>
      <c r="AR242" s="0" t="n">
        <v>40</v>
      </c>
      <c r="AS242" s="0" t="n">
        <v>3.08427230046948</v>
      </c>
      <c r="AT242" s="0" t="s">
        <v>326</v>
      </c>
      <c r="XEM242" s="216"/>
      <c r="XEN242" s="217"/>
      <c r="XEO242" s="243"/>
      <c r="XEP242" s="218"/>
      <c r="XEQ242" s="244"/>
      <c r="XER242" s="217"/>
    </row>
    <row r="243" customFormat="false" ht="25.5" hidden="false" customHeight="true" outlineLevel="0" collapsed="false">
      <c r="A243" s="216"/>
      <c r="B243" s="217"/>
      <c r="C243" s="241" t="n">
        <f aca="false">Таблица310[[#This Row],[Степень зрелости вспом]]</f>
        <v>67</v>
      </c>
      <c r="D243" s="218" t="n">
        <v>339</v>
      </c>
      <c r="E243" s="219" t="n">
        <v>45819</v>
      </c>
      <c r="F243" s="217" t="n">
        <v>27190</v>
      </c>
      <c r="G243" s="217" t="n">
        <v>12660</v>
      </c>
      <c r="H243" s="220" t="n">
        <v>14530</v>
      </c>
      <c r="I243" s="217" t="n">
        <v>11647.2</v>
      </c>
      <c r="J243" s="216" t="s">
        <v>899</v>
      </c>
      <c r="K243" s="216" t="s">
        <v>900</v>
      </c>
      <c r="L243" s="216" t="s">
        <v>903</v>
      </c>
      <c r="M243" s="189" t="s">
        <v>363</v>
      </c>
      <c r="N243" s="198"/>
      <c r="O243" s="216"/>
      <c r="P243" s="216"/>
      <c r="Q243" s="216"/>
      <c r="R243" s="216" t="s">
        <v>364</v>
      </c>
      <c r="S243" s="198"/>
      <c r="T243" s="246" t="n">
        <v>40</v>
      </c>
      <c r="U243" s="195" t="str">
        <f aca="false">Таблица310[[#This Row],[Регистратор.Номенклатура]]</f>
        <v>Фаворит</v>
      </c>
      <c r="V243" s="230" t="n">
        <f aca="false">25*Таблица310[[#This Row],[Регистратор.Вес нетто]]/108630+0.15</f>
        <v>3.06355979011323</v>
      </c>
      <c r="W243" s="216" t="s">
        <v>326</v>
      </c>
      <c r="X243" s="216" t="s">
        <v>315</v>
      </c>
      <c r="Y243" s="198" t="n">
        <v>2</v>
      </c>
      <c r="Z243" s="221" t="n">
        <v>45819</v>
      </c>
      <c r="AA243" s="198"/>
      <c r="AB243" s="198"/>
      <c r="AC243" s="198" t="s">
        <v>305</v>
      </c>
      <c r="AD243" s="198" t="s">
        <v>746</v>
      </c>
      <c r="AE243" s="198" t="n">
        <v>339</v>
      </c>
      <c r="AF243" s="200" t="n">
        <v>45819</v>
      </c>
      <c r="AG243" s="198" t="n">
        <v>4</v>
      </c>
      <c r="AH243" s="198" t="n">
        <f aca="false">VLOOKUP(Таблица310[[#This Row],[№ акта]],'Степень зрелости 2025'!$H$13:$I$583,2,FALSE())</f>
        <v>67</v>
      </c>
      <c r="AI243" s="198" t="n">
        <f aca="false">VLOOKUP(Таблица310[[#This Row],[№ акта]],$AQ$1:$AT$594,2,FALSE())</f>
        <v>40</v>
      </c>
      <c r="AJ243" s="198" t="str">
        <f aca="false">Таблица310[[#This Row],[Регистратор.Номенклатура]]</f>
        <v>Фаворит</v>
      </c>
      <c r="AK243" s="198" t="str">
        <f aca="false">VLOOKUP(Таблица310[[#This Row],[№ акта]],$AQ$1:$AT$594,4,FALSE())</f>
        <v>Братковский (полив)</v>
      </c>
      <c r="AL243" s="230" t="n">
        <f aca="false">VLOOKUP(Таблица310[[#This Row],[№ акта]],$AQ$1:$AT$594,3,FALSE())</f>
        <v>3.06355979011323</v>
      </c>
      <c r="AM243" s="198" t="str">
        <f aca="false">IF(Таблица310[[#This Row],[Площадь уборки, га]]=Таблица310[[#This Row],[Площадь уборки до корр]],"нет","да")</f>
        <v>нет</v>
      </c>
      <c r="AN243" s="230" t="n">
        <f aca="false">Таблица310[[#This Row],[Площадь уборки до корр]]-Таблица310[[#This Row],[Площадь уборки, га]]</f>
        <v>0</v>
      </c>
      <c r="AQ243" s="0" t="n">
        <v>339</v>
      </c>
      <c r="AR243" s="0" t="n">
        <v>40</v>
      </c>
      <c r="AS243" s="0" t="n">
        <v>3.06355979011323</v>
      </c>
      <c r="AT243" s="0" t="s">
        <v>326</v>
      </c>
      <c r="XEM243" s="216"/>
      <c r="XEN243" s="217"/>
      <c r="XEO243" s="243"/>
      <c r="XEP243" s="218"/>
      <c r="XEQ243" s="244"/>
      <c r="XER243" s="217"/>
    </row>
    <row r="244" customFormat="false" ht="25.5" hidden="false" customHeight="true" outlineLevel="0" collapsed="false">
      <c r="A244" s="216"/>
      <c r="B244" s="217"/>
      <c r="C244" s="241" t="n">
        <f aca="false">Таблица310[[#This Row],[Степень зрелости вспом]]</f>
        <v>70</v>
      </c>
      <c r="D244" s="218" t="n">
        <v>340</v>
      </c>
      <c r="E244" s="219" t="n">
        <v>45819</v>
      </c>
      <c r="F244" s="217" t="n">
        <v>27620</v>
      </c>
      <c r="G244" s="217" t="n">
        <v>12990</v>
      </c>
      <c r="H244" s="220" t="n">
        <v>14630</v>
      </c>
      <c r="I244" s="217" t="n">
        <v>12080.7</v>
      </c>
      <c r="J244" s="216" t="s">
        <v>899</v>
      </c>
      <c r="K244" s="216" t="s">
        <v>900</v>
      </c>
      <c r="L244" s="216" t="s">
        <v>903</v>
      </c>
      <c r="M244" s="189" t="s">
        <v>55</v>
      </c>
      <c r="N244" s="198"/>
      <c r="O244" s="216"/>
      <c r="P244" s="216"/>
      <c r="Q244" s="216"/>
      <c r="R244" s="216" t="s">
        <v>56</v>
      </c>
      <c r="S244" s="198"/>
      <c r="T244" s="246" t="n">
        <v>40</v>
      </c>
      <c r="U244" s="195" t="str">
        <f aca="false">Таблица310[[#This Row],[Регистратор.Номенклатура]]</f>
        <v>Фаворит</v>
      </c>
      <c r="V244" s="230" t="n">
        <f aca="false">25*Таблица310[[#This Row],[Регистратор.Вес нетто]]/108630</f>
        <v>2.9895056614195</v>
      </c>
      <c r="W244" s="216" t="s">
        <v>326</v>
      </c>
      <c r="X244" s="216" t="s">
        <v>315</v>
      </c>
      <c r="Y244" s="198" t="n">
        <v>2</v>
      </c>
      <c r="Z244" s="221" t="n">
        <v>45819</v>
      </c>
      <c r="AA244" s="198"/>
      <c r="AB244" s="198"/>
      <c r="AC244" s="198" t="s">
        <v>305</v>
      </c>
      <c r="AD244" s="198" t="s">
        <v>746</v>
      </c>
      <c r="AE244" s="198" t="n">
        <v>340</v>
      </c>
      <c r="AF244" s="200" t="n">
        <v>45819</v>
      </c>
      <c r="AG244" s="198" t="n">
        <v>5</v>
      </c>
      <c r="AH244" s="198" t="n">
        <f aca="false">VLOOKUP(Таблица310[[#This Row],[№ акта]],'Степень зрелости 2025'!$H$13:$I$583,2,FALSE())</f>
        <v>70</v>
      </c>
      <c r="AI244" s="198" t="n">
        <f aca="false">VLOOKUP(Таблица310[[#This Row],[№ акта]],$AQ$1:$AT$594,2,FALSE())</f>
        <v>40</v>
      </c>
      <c r="AJ244" s="198" t="str">
        <f aca="false">Таблица310[[#This Row],[Регистратор.Номенклатура]]</f>
        <v>Фаворит</v>
      </c>
      <c r="AK244" s="198" t="str">
        <f aca="false">VLOOKUP(Таблица310[[#This Row],[№ акта]],$AQ$1:$AT$594,4,FALSE())</f>
        <v>Братковский (полив)</v>
      </c>
      <c r="AL244" s="230" t="n">
        <f aca="false">VLOOKUP(Таблица310[[#This Row],[№ акта]],$AQ$1:$AT$594,3,FALSE())</f>
        <v>2.9895056614195</v>
      </c>
      <c r="AM244" s="198" t="str">
        <f aca="false">IF(Таблица310[[#This Row],[Площадь уборки, га]]=Таблица310[[#This Row],[Площадь уборки до корр]],"нет","да")</f>
        <v>нет</v>
      </c>
      <c r="AN244" s="230" t="n">
        <f aca="false">Таблица310[[#This Row],[Площадь уборки до корр]]-Таблица310[[#This Row],[Площадь уборки, га]]</f>
        <v>0</v>
      </c>
      <c r="AQ244" s="0" t="n">
        <v>340</v>
      </c>
      <c r="AR244" s="0" t="n">
        <v>40</v>
      </c>
      <c r="AS244" s="0" t="n">
        <v>2.9895056614195</v>
      </c>
      <c r="AT244" s="0" t="s">
        <v>326</v>
      </c>
      <c r="XEM244" s="216"/>
      <c r="XEN244" s="217"/>
      <c r="XEO244" s="243"/>
      <c r="XEP244" s="218"/>
      <c r="XEQ244" s="244"/>
      <c r="XER244" s="217"/>
    </row>
    <row r="245" customFormat="false" ht="25.5" hidden="false" customHeight="true" outlineLevel="0" collapsed="false">
      <c r="A245" s="216"/>
      <c r="B245" s="217"/>
      <c r="C245" s="241" t="n">
        <f aca="false">Таблица310[[#This Row],[Степень зрелости вспом]]</f>
        <v>66</v>
      </c>
      <c r="D245" s="218" t="n">
        <v>341</v>
      </c>
      <c r="E245" s="219" t="n">
        <v>45819</v>
      </c>
      <c r="F245" s="217" t="n">
        <v>27430</v>
      </c>
      <c r="G245" s="217" t="n">
        <v>12360</v>
      </c>
      <c r="H245" s="220" t="n">
        <v>15070</v>
      </c>
      <c r="I245" s="217" t="n">
        <v>11618.4</v>
      </c>
      <c r="J245" s="216" t="s">
        <v>899</v>
      </c>
      <c r="K245" s="216" t="s">
        <v>900</v>
      </c>
      <c r="L245" s="216" t="n">
        <v>40</v>
      </c>
      <c r="M245" s="189" t="s">
        <v>451</v>
      </c>
      <c r="N245" s="198"/>
      <c r="O245" s="216"/>
      <c r="P245" s="216"/>
      <c r="Q245" s="216"/>
      <c r="R245" s="216" t="s">
        <v>455</v>
      </c>
      <c r="S245" s="198"/>
      <c r="T245" s="246" t="n">
        <v>40</v>
      </c>
      <c r="U245" s="195" t="str">
        <f aca="false">Таблица310[[#This Row],[Регистратор.Номенклатура]]</f>
        <v>Фаворит</v>
      </c>
      <c r="V245" s="230" t="n">
        <f aca="false">25*Таблица310[[#This Row],[Регистратор.Вес нетто]]/108630</f>
        <v>2.84451808892571</v>
      </c>
      <c r="W245" s="216" t="s">
        <v>326</v>
      </c>
      <c r="X245" s="216" t="s">
        <v>315</v>
      </c>
      <c r="Y245" s="198" t="n">
        <v>2</v>
      </c>
      <c r="Z245" s="221" t="n">
        <v>45819</v>
      </c>
      <c r="AA245" s="198"/>
      <c r="AB245" s="198"/>
      <c r="AC245" s="198" t="s">
        <v>304</v>
      </c>
      <c r="AD245" s="198" t="s">
        <v>746</v>
      </c>
      <c r="AE245" s="198" t="n">
        <v>341</v>
      </c>
      <c r="AF245" s="200" t="n">
        <v>45819</v>
      </c>
      <c r="AG245" s="198" t="n">
        <v>7</v>
      </c>
      <c r="AH245" s="198" t="n">
        <f aca="false">VLOOKUP(Таблица310[[#This Row],[№ акта]],'Степень зрелости 2025'!$H$13:$I$583,2,FALSE())</f>
        <v>66</v>
      </c>
      <c r="AI245" s="198" t="n">
        <f aca="false">VLOOKUP(Таблица310[[#This Row],[№ акта]],$AQ$1:$AT$594,2,FALSE())</f>
        <v>40</v>
      </c>
      <c r="AJ245" s="198" t="str">
        <f aca="false">Таблица310[[#This Row],[Регистратор.Номенклатура]]</f>
        <v>Фаворит</v>
      </c>
      <c r="AK245" s="198" t="str">
        <f aca="false">VLOOKUP(Таблица310[[#This Row],[№ акта]],$AQ$1:$AT$594,4,FALSE())</f>
        <v>Братковский (полив)</v>
      </c>
      <c r="AL245" s="230" t="n">
        <f aca="false">VLOOKUP(Таблица310[[#This Row],[№ акта]],$AQ$1:$AT$594,3,FALSE())</f>
        <v>2.84451808892571</v>
      </c>
      <c r="AM245" s="198" t="str">
        <f aca="false">IF(Таблица310[[#This Row],[Площадь уборки, га]]=Таблица310[[#This Row],[Площадь уборки до корр]],"нет","да")</f>
        <v>нет</v>
      </c>
      <c r="AN245" s="230" t="n">
        <f aca="false">Таблица310[[#This Row],[Площадь уборки до корр]]-Таблица310[[#This Row],[Площадь уборки, га]]</f>
        <v>0</v>
      </c>
      <c r="AQ245" s="0" t="n">
        <v>341</v>
      </c>
      <c r="AR245" s="0" t="n">
        <v>40</v>
      </c>
      <c r="AS245" s="0" t="n">
        <v>2.84451808892571</v>
      </c>
      <c r="AT245" s="0" t="s">
        <v>326</v>
      </c>
      <c r="XEM245" s="216"/>
      <c r="XEN245" s="217"/>
      <c r="XEO245" s="243"/>
      <c r="XEP245" s="218"/>
      <c r="XEQ245" s="244"/>
      <c r="XER245" s="217"/>
    </row>
    <row r="246" customFormat="false" ht="25.5" hidden="false" customHeight="true" outlineLevel="0" collapsed="false">
      <c r="A246" s="216"/>
      <c r="B246" s="217"/>
      <c r="C246" s="241" t="n">
        <f aca="false">Таблица310[[#This Row],[Степень зрелости вспом]]</f>
        <v>65</v>
      </c>
      <c r="D246" s="218" t="n">
        <v>342</v>
      </c>
      <c r="E246" s="219" t="n">
        <v>45819</v>
      </c>
      <c r="F246" s="217" t="n">
        <v>28580</v>
      </c>
      <c r="G246" s="217" t="n">
        <v>12840</v>
      </c>
      <c r="H246" s="220" t="n">
        <v>15740</v>
      </c>
      <c r="I246" s="217" t="n">
        <v>11941.2</v>
      </c>
      <c r="J246" s="216" t="s">
        <v>899</v>
      </c>
      <c r="K246" s="216" t="s">
        <v>900</v>
      </c>
      <c r="L246" s="216" t="n">
        <v>40</v>
      </c>
      <c r="M246" s="189" t="s">
        <v>445</v>
      </c>
      <c r="N246" s="198"/>
      <c r="O246" s="216"/>
      <c r="P246" s="216"/>
      <c r="Q246" s="216"/>
      <c r="R246" s="216" t="s">
        <v>449</v>
      </c>
      <c r="S246" s="198"/>
      <c r="T246" s="246" t="n">
        <v>40</v>
      </c>
      <c r="U246" s="195" t="str">
        <f aca="false">Таблица310[[#This Row],[Регистратор.Номенклатура]]</f>
        <v>Фаворит</v>
      </c>
      <c r="V246" s="230" t="n">
        <f aca="false">25*Таблица310[[#This Row],[Регистратор.Вес нетто]]/108630</f>
        <v>2.95498481082574</v>
      </c>
      <c r="W246" s="216" t="s">
        <v>326</v>
      </c>
      <c r="X246" s="216" t="s">
        <v>315</v>
      </c>
      <c r="Y246" s="198" t="n">
        <v>2</v>
      </c>
      <c r="Z246" s="221" t="n">
        <v>45819</v>
      </c>
      <c r="AA246" s="198"/>
      <c r="AB246" s="198"/>
      <c r="AC246" s="198" t="s">
        <v>304</v>
      </c>
      <c r="AD246" s="198" t="s">
        <v>746</v>
      </c>
      <c r="AE246" s="198" t="n">
        <v>342</v>
      </c>
      <c r="AF246" s="200" t="n">
        <v>45819</v>
      </c>
      <c r="AG246" s="198" t="n">
        <v>6</v>
      </c>
      <c r="AH246" s="198" t="n">
        <f aca="false">VLOOKUP(Таблица310[[#This Row],[№ акта]],'Степень зрелости 2025'!$H$13:$I$583,2,FALSE())</f>
        <v>65</v>
      </c>
      <c r="AI246" s="198" t="n">
        <f aca="false">VLOOKUP(Таблица310[[#This Row],[№ акта]],$AQ$1:$AT$594,2,FALSE())</f>
        <v>40</v>
      </c>
      <c r="AJ246" s="198" t="str">
        <f aca="false">Таблица310[[#This Row],[Регистратор.Номенклатура]]</f>
        <v>Фаворит</v>
      </c>
      <c r="AK246" s="198" t="str">
        <f aca="false">VLOOKUP(Таблица310[[#This Row],[№ акта]],$AQ$1:$AT$594,4,FALSE())</f>
        <v>Братковский (полив)</v>
      </c>
      <c r="AL246" s="230" t="n">
        <f aca="false">VLOOKUP(Таблица310[[#This Row],[№ акта]],$AQ$1:$AT$594,3,FALSE())</f>
        <v>2.95498481082574</v>
      </c>
      <c r="AM246" s="198" t="str">
        <f aca="false">IF(Таблица310[[#This Row],[Площадь уборки, га]]=Таблица310[[#This Row],[Площадь уборки до корр]],"нет","да")</f>
        <v>нет</v>
      </c>
      <c r="AN246" s="230" t="n">
        <f aca="false">Таблица310[[#This Row],[Площадь уборки до корр]]-Таблица310[[#This Row],[Площадь уборки, га]]</f>
        <v>0</v>
      </c>
      <c r="AQ246" s="0" t="n">
        <v>342</v>
      </c>
      <c r="AR246" s="0" t="n">
        <v>40</v>
      </c>
      <c r="AS246" s="0" t="n">
        <v>2.95498481082574</v>
      </c>
      <c r="AT246" s="0" t="s">
        <v>326</v>
      </c>
      <c r="XEM246" s="216"/>
      <c r="XEN246" s="217"/>
      <c r="XEO246" s="243"/>
      <c r="XEP246" s="218"/>
      <c r="XEQ246" s="244"/>
      <c r="XER246" s="217"/>
    </row>
    <row r="247" customFormat="false" ht="25.5" hidden="false" customHeight="true" outlineLevel="0" collapsed="false">
      <c r="A247" s="216"/>
      <c r="B247" s="217"/>
      <c r="C247" s="241" t="n">
        <f aca="false">Таблица310[[#This Row],[Степень зрелости вспом]]</f>
        <v>50</v>
      </c>
      <c r="D247" s="218" t="n">
        <v>343</v>
      </c>
      <c r="E247" s="219" t="n">
        <v>45820</v>
      </c>
      <c r="F247" s="217" t="n">
        <v>27660</v>
      </c>
      <c r="G247" s="217" t="n">
        <v>12930</v>
      </c>
      <c r="H247" s="220" t="n">
        <v>14730</v>
      </c>
      <c r="I247" s="217" t="n">
        <v>10537.9</v>
      </c>
      <c r="J247" s="216" t="s">
        <v>899</v>
      </c>
      <c r="K247" s="216" t="s">
        <v>904</v>
      </c>
      <c r="L247" s="216" t="n">
        <v>45</v>
      </c>
      <c r="M247" s="189" t="s">
        <v>361</v>
      </c>
      <c r="N247" s="198"/>
      <c r="O247" s="216"/>
      <c r="P247" s="216"/>
      <c r="Q247" s="216"/>
      <c r="R247" s="216" t="s">
        <v>362</v>
      </c>
      <c r="S247" s="198"/>
      <c r="T247" s="228" t="s">
        <v>905</v>
      </c>
      <c r="U247" s="195" t="str">
        <f aca="false">Таблица310[[#This Row],[Регистратор.Номенклатура]]</f>
        <v>Тристар</v>
      </c>
      <c r="V247" s="230" t="n">
        <f aca="false">25*Таблица310[[#This Row],[Регистратор.Вес нетто]]/108630</f>
        <v>2.97569732118199</v>
      </c>
      <c r="W247" s="216" t="s">
        <v>327</v>
      </c>
      <c r="X247" s="216" t="s">
        <v>315</v>
      </c>
      <c r="Y247" s="198" t="n">
        <v>2</v>
      </c>
      <c r="Z247" s="221" t="n">
        <v>45819</v>
      </c>
      <c r="AA247" s="198"/>
      <c r="AB247" s="198"/>
      <c r="AC247" s="198" t="s">
        <v>53</v>
      </c>
      <c r="AD247" s="198" t="s">
        <v>417</v>
      </c>
      <c r="AE247" s="198" t="n">
        <v>343</v>
      </c>
      <c r="AF247" s="200" t="n">
        <v>45820</v>
      </c>
      <c r="AG247" s="198" t="s">
        <v>906</v>
      </c>
      <c r="AH247" s="198" t="n">
        <f aca="false">VLOOKUP(Таблица310[[#This Row],[№ акта]],'Степень зрелости 2025'!$H$13:$I$583,2,FALSE())</f>
        <v>50</v>
      </c>
      <c r="AI247" s="198" t="str">
        <f aca="false">VLOOKUP(Таблица310[[#This Row],[№ акта]],$AQ$1:$AT$594,2,FALSE())</f>
        <v>закупка</v>
      </c>
      <c r="AJ247" s="198" t="str">
        <f aca="false">Таблица310[[#This Row],[Регистратор.Номенклатура]]</f>
        <v>Тристар</v>
      </c>
      <c r="AK247" s="198" t="str">
        <f aca="false">VLOOKUP(Таблица310[[#This Row],[№ акта]],$AQ$1:$AT$594,4,FALSE())</f>
        <v>Братковский закупка (полив)</v>
      </c>
      <c r="AL247" s="230" t="n">
        <f aca="false">VLOOKUP(Таблица310[[#This Row],[№ акта]],$AQ$1:$AT$594,3,FALSE())</f>
        <v>2.97569732118199</v>
      </c>
      <c r="AM247" s="198" t="str">
        <f aca="false">IF(Таблица310[[#This Row],[Площадь уборки, га]]=Таблица310[[#This Row],[Площадь уборки до корр]],"нет","да")</f>
        <v>нет</v>
      </c>
      <c r="AN247" s="230" t="n">
        <f aca="false">Таблица310[[#This Row],[Площадь уборки до корр]]-Таблица310[[#This Row],[Площадь уборки, га]]</f>
        <v>0</v>
      </c>
      <c r="AQ247" s="0" t="n">
        <v>343</v>
      </c>
      <c r="AR247" s="0" t="s">
        <v>905</v>
      </c>
      <c r="AS247" s="0" t="n">
        <v>2.97569732118199</v>
      </c>
      <c r="AT247" s="0" t="s">
        <v>327</v>
      </c>
      <c r="XEM247" s="216"/>
      <c r="XEN247" s="217"/>
      <c r="XEO247" s="243"/>
      <c r="XEP247" s="218"/>
      <c r="XEQ247" s="244"/>
      <c r="XER247" s="217"/>
    </row>
    <row r="248" customFormat="false" ht="25.5" hidden="false" customHeight="true" outlineLevel="0" collapsed="false">
      <c r="A248" s="216"/>
      <c r="B248" s="217"/>
      <c r="C248" s="241" t="n">
        <f aca="false">Таблица310[[#This Row],[Степень зрелости вспом]]</f>
        <v>55</v>
      </c>
      <c r="D248" s="218" t="n">
        <v>344</v>
      </c>
      <c r="E248" s="219" t="n">
        <v>45820</v>
      </c>
      <c r="F248" s="217" t="n">
        <v>28780</v>
      </c>
      <c r="G248" s="217" t="n">
        <v>13390</v>
      </c>
      <c r="H248" s="220" t="n">
        <v>15390</v>
      </c>
      <c r="I248" s="217" t="n">
        <v>11716.2</v>
      </c>
      <c r="J248" s="216" t="s">
        <v>899</v>
      </c>
      <c r="K248" s="216" t="s">
        <v>904</v>
      </c>
      <c r="L248" s="216" t="n">
        <v>45</v>
      </c>
      <c r="M248" s="189" t="s">
        <v>472</v>
      </c>
      <c r="N248" s="198"/>
      <c r="O248" s="216"/>
      <c r="P248" s="216"/>
      <c r="Q248" s="216"/>
      <c r="R248" s="216" t="s">
        <v>476</v>
      </c>
      <c r="S248" s="198"/>
      <c r="T248" s="228" t="s">
        <v>905</v>
      </c>
      <c r="U248" s="195" t="str">
        <f aca="false">Таблица310[[#This Row],[Регистратор.Номенклатура]]</f>
        <v>Тристар</v>
      </c>
      <c r="V248" s="230" t="n">
        <f aca="false">25*Таблица310[[#This Row],[Регистратор.Вес нетто]]/108630</f>
        <v>3.08156126300285</v>
      </c>
      <c r="W248" s="216" t="s">
        <v>327</v>
      </c>
      <c r="X248" s="216" t="s">
        <v>315</v>
      </c>
      <c r="Y248" s="198" t="n">
        <v>2</v>
      </c>
      <c r="Z248" s="221" t="n">
        <v>45819</v>
      </c>
      <c r="AA248" s="198"/>
      <c r="AB248" s="198"/>
      <c r="AC248" s="198" t="s">
        <v>302</v>
      </c>
      <c r="AD248" s="198" t="s">
        <v>417</v>
      </c>
      <c r="AE248" s="198" t="n">
        <v>344</v>
      </c>
      <c r="AF248" s="200" t="n">
        <v>45820</v>
      </c>
      <c r="AG248" s="198" t="s">
        <v>906</v>
      </c>
      <c r="AH248" s="198" t="n">
        <f aca="false">VLOOKUP(Таблица310[[#This Row],[№ акта]],'Степень зрелости 2025'!$H$13:$I$583,2,FALSE())</f>
        <v>55</v>
      </c>
      <c r="AI248" s="198" t="str">
        <f aca="false">VLOOKUP(Таблица310[[#This Row],[№ акта]],$AQ$1:$AT$594,2,FALSE())</f>
        <v>закупка</v>
      </c>
      <c r="AJ248" s="198" t="str">
        <f aca="false">Таблица310[[#This Row],[Регистратор.Номенклатура]]</f>
        <v>Тристар</v>
      </c>
      <c r="AK248" s="198" t="str">
        <f aca="false">VLOOKUP(Таблица310[[#This Row],[№ акта]],$AQ$1:$AT$594,4,FALSE())</f>
        <v>Братковский закупка (полив)</v>
      </c>
      <c r="AL248" s="230" t="n">
        <f aca="false">VLOOKUP(Таблица310[[#This Row],[№ акта]],$AQ$1:$AT$594,3,FALSE())</f>
        <v>3.08156126300285</v>
      </c>
      <c r="AM248" s="198" t="str">
        <f aca="false">IF(Таблица310[[#This Row],[Площадь уборки, га]]=Таблица310[[#This Row],[Площадь уборки до корр]],"нет","да")</f>
        <v>нет</v>
      </c>
      <c r="AN248" s="230" t="n">
        <f aca="false">Таблица310[[#This Row],[Площадь уборки до корр]]-Таблица310[[#This Row],[Площадь уборки, га]]</f>
        <v>0</v>
      </c>
      <c r="AQ248" s="0" t="n">
        <v>344</v>
      </c>
      <c r="AR248" s="0" t="s">
        <v>905</v>
      </c>
      <c r="AS248" s="0" t="n">
        <v>3.08156126300285</v>
      </c>
      <c r="AT248" s="0" t="s">
        <v>327</v>
      </c>
      <c r="XEM248" s="216"/>
      <c r="XEN248" s="217"/>
      <c r="XEO248" s="243"/>
      <c r="XEP248" s="218"/>
      <c r="XEQ248" s="244"/>
      <c r="XER248" s="217"/>
    </row>
    <row r="249" customFormat="false" ht="25.5" hidden="false" customHeight="true" outlineLevel="0" collapsed="false">
      <c r="A249" s="216"/>
      <c r="B249" s="217"/>
      <c r="C249" s="241" t="n">
        <f aca="false">Таблица310[[#This Row],[Степень зрелости вспом]]</f>
        <v>53</v>
      </c>
      <c r="D249" s="218" t="n">
        <v>345</v>
      </c>
      <c r="E249" s="219" t="n">
        <v>45820</v>
      </c>
      <c r="F249" s="217" t="n">
        <v>28770</v>
      </c>
      <c r="G249" s="217" t="n">
        <v>13180</v>
      </c>
      <c r="H249" s="220" t="n">
        <v>15590</v>
      </c>
      <c r="I249" s="217" t="n">
        <v>10478.1</v>
      </c>
      <c r="J249" s="216" t="s">
        <v>899</v>
      </c>
      <c r="K249" s="216" t="s">
        <v>904</v>
      </c>
      <c r="L249" s="216" t="n">
        <v>45</v>
      </c>
      <c r="M249" s="189" t="s">
        <v>57</v>
      </c>
      <c r="N249" s="198"/>
      <c r="O249" s="216"/>
      <c r="P249" s="216"/>
      <c r="Q249" s="216"/>
      <c r="R249" s="216" t="s">
        <v>58</v>
      </c>
      <c r="S249" s="198"/>
      <c r="T249" s="228" t="s">
        <v>905</v>
      </c>
      <c r="U249" s="195" t="str">
        <f aca="false">Таблица310[[#This Row],[Регистратор.Номенклатура]]</f>
        <v>Тристар</v>
      </c>
      <c r="V249" s="230" t="n">
        <f aca="false">56.3*Таблица310[[#This Row],[Регистратор.Вес нетто]]/302410</f>
        <v>2.45373499553586</v>
      </c>
      <c r="W249" s="216" t="s">
        <v>327</v>
      </c>
      <c r="X249" s="216" t="s">
        <v>315</v>
      </c>
      <c r="Y249" s="198" t="n">
        <v>3</v>
      </c>
      <c r="Z249" s="221" t="n">
        <v>45820</v>
      </c>
      <c r="AA249" s="198"/>
      <c r="AB249" s="198"/>
      <c r="AC249" s="198" t="s">
        <v>305</v>
      </c>
      <c r="AD249" s="198" t="s">
        <v>417</v>
      </c>
      <c r="AE249" s="198" t="n">
        <v>345</v>
      </c>
      <c r="AF249" s="200" t="n">
        <v>45820</v>
      </c>
      <c r="AG249" s="198" t="s">
        <v>906</v>
      </c>
      <c r="AH249" s="198" t="n">
        <f aca="false">VLOOKUP(Таблица310[[#This Row],[№ акта]],'Степень зрелости 2025'!$H$13:$I$583,2,FALSE())</f>
        <v>53</v>
      </c>
      <c r="AI249" s="198" t="str">
        <f aca="false">VLOOKUP(Таблица310[[#This Row],[№ акта]],$AQ$1:$AT$594,2,FALSE())</f>
        <v>закупка</v>
      </c>
      <c r="AJ249" s="198" t="str">
        <f aca="false">Таблица310[[#This Row],[Регистратор.Номенклатура]]</f>
        <v>Тристар</v>
      </c>
      <c r="AK249" s="198" t="str">
        <f aca="false">VLOOKUP(Таблица310[[#This Row],[№ акта]],$AQ$1:$AT$594,4,FALSE())</f>
        <v>Братковский закупка (полив)</v>
      </c>
      <c r="AL249" s="230" t="n">
        <f aca="false">VLOOKUP(Таблица310[[#This Row],[№ акта]],$AQ$1:$AT$594,3,FALSE())</f>
        <v>2.45373499553586</v>
      </c>
      <c r="AM249" s="198" t="str">
        <f aca="false">IF(Таблица310[[#This Row],[Площадь уборки, га]]=Таблица310[[#This Row],[Площадь уборки до корр]],"нет","да")</f>
        <v>нет</v>
      </c>
      <c r="AN249" s="230" t="n">
        <f aca="false">Таблица310[[#This Row],[Площадь уборки до корр]]-Таблица310[[#This Row],[Площадь уборки, га]]</f>
        <v>0</v>
      </c>
      <c r="AQ249" s="0" t="n">
        <v>345</v>
      </c>
      <c r="AR249" s="0" t="s">
        <v>905</v>
      </c>
      <c r="AS249" s="0" t="n">
        <v>2.45373499553586</v>
      </c>
      <c r="AT249" s="0" t="s">
        <v>327</v>
      </c>
      <c r="XEM249" s="216"/>
      <c r="XEN249" s="217"/>
      <c r="XEO249" s="243"/>
      <c r="XEP249" s="218"/>
      <c r="XEQ249" s="244"/>
      <c r="XER249" s="217"/>
    </row>
    <row r="250" customFormat="false" ht="25.5" hidden="false" customHeight="true" outlineLevel="0" collapsed="false">
      <c r="A250" s="216"/>
      <c r="B250" s="217"/>
      <c r="C250" s="241" t="n">
        <f aca="false">Таблица310[[#This Row],[Степень зрелости вспом]]</f>
        <v>51</v>
      </c>
      <c r="D250" s="218" t="n">
        <v>346</v>
      </c>
      <c r="E250" s="219" t="n">
        <v>45820</v>
      </c>
      <c r="F250" s="217" t="n">
        <v>34210</v>
      </c>
      <c r="G250" s="217" t="n">
        <v>13150</v>
      </c>
      <c r="H250" s="220" t="n">
        <v>21060</v>
      </c>
      <c r="I250" s="217" t="n">
        <v>11046</v>
      </c>
      <c r="J250" s="216" t="s">
        <v>899</v>
      </c>
      <c r="K250" s="216" t="s">
        <v>904</v>
      </c>
      <c r="L250" s="216" t="n">
        <v>45</v>
      </c>
      <c r="M250" s="189" t="s">
        <v>427</v>
      </c>
      <c r="N250" s="198"/>
      <c r="O250" s="216"/>
      <c r="P250" s="216"/>
      <c r="Q250" s="216"/>
      <c r="R250" s="216" t="s">
        <v>431</v>
      </c>
      <c r="S250" s="198"/>
      <c r="T250" s="228" t="s">
        <v>905</v>
      </c>
      <c r="U250" s="195" t="str">
        <f aca="false">Таблица310[[#This Row],[Регистратор.Номенклатура]]</f>
        <v>Тристар</v>
      </c>
      <c r="V250" s="230" t="n">
        <f aca="false">56.3*Таблица310[[#This Row],[Регистратор.Вес нетто]]/302410</f>
        <v>2.44814986276909</v>
      </c>
      <c r="W250" s="216" t="s">
        <v>327</v>
      </c>
      <c r="X250" s="216" t="s">
        <v>315</v>
      </c>
      <c r="Y250" s="198" t="n">
        <v>3</v>
      </c>
      <c r="Z250" s="221" t="n">
        <v>45820</v>
      </c>
      <c r="AA250" s="198"/>
      <c r="AB250" s="198"/>
      <c r="AC250" s="198" t="s">
        <v>53</v>
      </c>
      <c r="AD250" s="198" t="s">
        <v>417</v>
      </c>
      <c r="AE250" s="198" t="n">
        <v>346</v>
      </c>
      <c r="AF250" s="200" t="n">
        <v>45820</v>
      </c>
      <c r="AG250" s="198" t="s">
        <v>906</v>
      </c>
      <c r="AH250" s="198" t="n">
        <f aca="false">VLOOKUP(Таблица310[[#This Row],[№ акта]],'Степень зрелости 2025'!$H$13:$I$583,2,FALSE())</f>
        <v>51</v>
      </c>
      <c r="AI250" s="198" t="str">
        <f aca="false">VLOOKUP(Таблица310[[#This Row],[№ акта]],$AQ$1:$AT$594,2,FALSE())</f>
        <v>закупка</v>
      </c>
      <c r="AJ250" s="198" t="str">
        <f aca="false">Таблица310[[#This Row],[Регистратор.Номенклатура]]</f>
        <v>Тристар</v>
      </c>
      <c r="AK250" s="198" t="str">
        <f aca="false">VLOOKUP(Таблица310[[#This Row],[№ акта]],$AQ$1:$AT$594,4,FALSE())</f>
        <v>Братковский закупка (полив)</v>
      </c>
      <c r="AL250" s="230" t="n">
        <f aca="false">VLOOKUP(Таблица310[[#This Row],[№ акта]],$AQ$1:$AT$594,3,FALSE())</f>
        <v>2.44814986276909</v>
      </c>
      <c r="AM250" s="198" t="str">
        <f aca="false">IF(Таблица310[[#This Row],[Площадь уборки, га]]=Таблица310[[#This Row],[Площадь уборки до корр]],"нет","да")</f>
        <v>нет</v>
      </c>
      <c r="AN250" s="230" t="n">
        <f aca="false">Таблица310[[#This Row],[Площадь уборки до корр]]-Таблица310[[#This Row],[Площадь уборки, га]]</f>
        <v>0</v>
      </c>
      <c r="AQ250" s="0" t="n">
        <v>346</v>
      </c>
      <c r="AR250" s="0" t="s">
        <v>905</v>
      </c>
      <c r="AS250" s="0" t="n">
        <v>2.44814986276909</v>
      </c>
      <c r="AT250" s="0" t="s">
        <v>327</v>
      </c>
      <c r="XEM250" s="216"/>
      <c r="XEN250" s="217"/>
      <c r="XEO250" s="243"/>
      <c r="XEP250" s="218"/>
      <c r="XEQ250" s="244"/>
      <c r="XER250" s="217"/>
    </row>
    <row r="251" customFormat="false" ht="25.5" hidden="false" customHeight="true" outlineLevel="0" collapsed="false">
      <c r="A251" s="216"/>
      <c r="B251" s="217"/>
      <c r="C251" s="241" t="n">
        <f aca="false">Таблица310[[#This Row],[Степень зрелости вспом]]</f>
        <v>48</v>
      </c>
      <c r="D251" s="218" t="n">
        <v>347</v>
      </c>
      <c r="E251" s="219" t="n">
        <v>45820</v>
      </c>
      <c r="F251" s="217" t="n">
        <v>37250</v>
      </c>
      <c r="G251" s="217" t="n">
        <v>13230</v>
      </c>
      <c r="H251" s="220" t="n">
        <v>24020</v>
      </c>
      <c r="I251" s="217" t="n">
        <v>11576.2</v>
      </c>
      <c r="J251" s="216" t="s">
        <v>899</v>
      </c>
      <c r="K251" s="216" t="s">
        <v>904</v>
      </c>
      <c r="L251" s="216" t="n">
        <v>45</v>
      </c>
      <c r="M251" s="189" t="s">
        <v>439</v>
      </c>
      <c r="N251" s="198"/>
      <c r="O251" s="216"/>
      <c r="P251" s="216"/>
      <c r="Q251" s="216"/>
      <c r="R251" s="216" t="s">
        <v>443</v>
      </c>
      <c r="S251" s="198"/>
      <c r="T251" s="228" t="s">
        <v>905</v>
      </c>
      <c r="U251" s="195" t="str">
        <f aca="false">Таблица310[[#This Row],[Регистратор.Номенклатура]]</f>
        <v>Тристар</v>
      </c>
      <c r="V251" s="230" t="n">
        <f aca="false">56.3*Таблица310[[#This Row],[Регистратор.Вес нетто]]/302410</f>
        <v>2.46304355014715</v>
      </c>
      <c r="W251" s="216" t="s">
        <v>327</v>
      </c>
      <c r="X251" s="216" t="s">
        <v>315</v>
      </c>
      <c r="Y251" s="198" t="n">
        <v>3</v>
      </c>
      <c r="Z251" s="221" t="n">
        <v>45820</v>
      </c>
      <c r="AA251" s="198"/>
      <c r="AB251" s="198"/>
      <c r="AC251" s="198" t="s">
        <v>53</v>
      </c>
      <c r="AD251" s="198" t="s">
        <v>417</v>
      </c>
      <c r="AE251" s="198" t="n">
        <v>347</v>
      </c>
      <c r="AF251" s="200" t="n">
        <v>45820</v>
      </c>
      <c r="AG251" s="198" t="s">
        <v>906</v>
      </c>
      <c r="AH251" s="198" t="n">
        <f aca="false">VLOOKUP(Таблица310[[#This Row],[№ акта]],'Степень зрелости 2025'!$H$13:$I$583,2,FALSE())</f>
        <v>48</v>
      </c>
      <c r="AI251" s="198" t="str">
        <f aca="false">VLOOKUP(Таблица310[[#This Row],[№ акта]],$AQ$1:$AT$594,2,FALSE())</f>
        <v>закупка</v>
      </c>
      <c r="AJ251" s="198" t="str">
        <f aca="false">Таблица310[[#This Row],[Регистратор.Номенклатура]]</f>
        <v>Тристар</v>
      </c>
      <c r="AK251" s="198" t="str">
        <f aca="false">VLOOKUP(Таблица310[[#This Row],[№ акта]],$AQ$1:$AT$594,4,FALSE())</f>
        <v>Братковский закупка (полив)</v>
      </c>
      <c r="AL251" s="230" t="n">
        <f aca="false">VLOOKUP(Таблица310[[#This Row],[№ акта]],$AQ$1:$AT$594,3,FALSE())</f>
        <v>2.46304355014715</v>
      </c>
      <c r="AM251" s="198" t="str">
        <f aca="false">IF(Таблица310[[#This Row],[Площадь уборки, га]]=Таблица310[[#This Row],[Площадь уборки до корр]],"нет","да")</f>
        <v>нет</v>
      </c>
      <c r="AN251" s="230" t="n">
        <f aca="false">Таблица310[[#This Row],[Площадь уборки до корр]]-Таблица310[[#This Row],[Площадь уборки, га]]</f>
        <v>0</v>
      </c>
      <c r="AQ251" s="0" t="n">
        <v>347</v>
      </c>
      <c r="AR251" s="0" t="s">
        <v>905</v>
      </c>
      <c r="AS251" s="0" t="n">
        <v>2.46304355014715</v>
      </c>
      <c r="AT251" s="0" t="s">
        <v>327</v>
      </c>
      <c r="XEM251" s="216"/>
      <c r="XEN251" s="217"/>
      <c r="XEO251" s="243"/>
      <c r="XEP251" s="218"/>
      <c r="XEQ251" s="244"/>
      <c r="XER251" s="217"/>
    </row>
    <row r="252" customFormat="false" ht="25.5" hidden="false" customHeight="true" outlineLevel="0" collapsed="false">
      <c r="A252" s="216"/>
      <c r="B252" s="217"/>
      <c r="C252" s="241" t="n">
        <f aca="false">Таблица310[[#This Row],[Степень зрелости вспом]]</f>
        <v>53</v>
      </c>
      <c r="D252" s="218" t="n">
        <v>348</v>
      </c>
      <c r="E252" s="219" t="n">
        <v>45820</v>
      </c>
      <c r="F252" s="217" t="n">
        <v>27970</v>
      </c>
      <c r="G252" s="217" t="n">
        <v>13060</v>
      </c>
      <c r="H252" s="220" t="n">
        <v>14910</v>
      </c>
      <c r="I252" s="217" t="n">
        <v>11166.3</v>
      </c>
      <c r="J252" s="216" t="s">
        <v>899</v>
      </c>
      <c r="K252" s="216" t="s">
        <v>904</v>
      </c>
      <c r="L252" s="216" t="n">
        <v>45</v>
      </c>
      <c r="M252" s="189" t="s">
        <v>433</v>
      </c>
      <c r="N252" s="198"/>
      <c r="O252" s="216"/>
      <c r="P252" s="216"/>
      <c r="Q252" s="216"/>
      <c r="R252" s="216" t="s">
        <v>437</v>
      </c>
      <c r="S252" s="198"/>
      <c r="T252" s="228" t="s">
        <v>905</v>
      </c>
      <c r="U252" s="195" t="str">
        <f aca="false">Таблица310[[#This Row],[Регистратор.Номенклатура]]</f>
        <v>Тристар</v>
      </c>
      <c r="V252" s="230" t="n">
        <f aca="false">56.3*Таблица310[[#This Row],[Регистратор.Вес нетто]]/302410</f>
        <v>2.43139446446877</v>
      </c>
      <c r="W252" s="216" t="s">
        <v>327</v>
      </c>
      <c r="X252" s="216" t="s">
        <v>315</v>
      </c>
      <c r="Y252" s="198" t="n">
        <v>3</v>
      </c>
      <c r="Z252" s="221" t="n">
        <v>45820</v>
      </c>
      <c r="AA252" s="198"/>
      <c r="AB252" s="198"/>
      <c r="AC252" s="198" t="s">
        <v>305</v>
      </c>
      <c r="AD252" s="198" t="s">
        <v>417</v>
      </c>
      <c r="AE252" s="198" t="n">
        <v>348</v>
      </c>
      <c r="AF252" s="200" t="n">
        <v>45820</v>
      </c>
      <c r="AG252" s="198" t="s">
        <v>906</v>
      </c>
      <c r="AH252" s="198" t="n">
        <f aca="false">VLOOKUP(Таблица310[[#This Row],[№ акта]],'Степень зрелости 2025'!$H$13:$I$583,2,FALSE())</f>
        <v>53</v>
      </c>
      <c r="AI252" s="198" t="str">
        <f aca="false">VLOOKUP(Таблица310[[#This Row],[№ акта]],$AQ$1:$AT$594,2,FALSE())</f>
        <v>закупка</v>
      </c>
      <c r="AJ252" s="198" t="str">
        <f aca="false">Таблица310[[#This Row],[Регистратор.Номенклатура]]</f>
        <v>Тристар</v>
      </c>
      <c r="AK252" s="198" t="str">
        <f aca="false">VLOOKUP(Таблица310[[#This Row],[№ акта]],$AQ$1:$AT$594,4,FALSE())</f>
        <v>Братковский закупка (полив)</v>
      </c>
      <c r="AL252" s="230" t="n">
        <f aca="false">VLOOKUP(Таблица310[[#This Row],[№ акта]],$AQ$1:$AT$594,3,FALSE())</f>
        <v>2.43139446446877</v>
      </c>
      <c r="AM252" s="198" t="str">
        <f aca="false">IF(Таблица310[[#This Row],[Площадь уборки, га]]=Таблица310[[#This Row],[Площадь уборки до корр]],"нет","да")</f>
        <v>нет</v>
      </c>
      <c r="AN252" s="230" t="n">
        <f aca="false">Таблица310[[#This Row],[Площадь уборки до корр]]-Таблица310[[#This Row],[Площадь уборки, га]]</f>
        <v>0</v>
      </c>
      <c r="AQ252" s="0" t="n">
        <v>348</v>
      </c>
      <c r="AR252" s="0" t="s">
        <v>905</v>
      </c>
      <c r="AS252" s="0" t="n">
        <v>2.43139446446877</v>
      </c>
      <c r="AT252" s="0" t="s">
        <v>327</v>
      </c>
      <c r="XEM252" s="216"/>
      <c r="XEN252" s="217"/>
      <c r="XEO252" s="243"/>
      <c r="XEP252" s="218"/>
      <c r="XEQ252" s="244"/>
      <c r="XER252" s="217"/>
    </row>
    <row r="253" customFormat="false" ht="25.5" hidden="false" customHeight="true" outlineLevel="0" collapsed="false">
      <c r="A253" s="216"/>
      <c r="B253" s="217"/>
      <c r="C253" s="241" t="n">
        <f aca="false">Таблица310[[#This Row],[Степень зрелости вспом]]</f>
        <v>53</v>
      </c>
      <c r="D253" s="218" t="n">
        <v>349</v>
      </c>
      <c r="E253" s="219" t="n">
        <v>45820</v>
      </c>
      <c r="F253" s="217" t="n">
        <v>31920</v>
      </c>
      <c r="G253" s="217" t="n">
        <v>13190</v>
      </c>
      <c r="H253" s="220" t="n">
        <v>18730</v>
      </c>
      <c r="I253" s="217" t="n">
        <v>12068.8</v>
      </c>
      <c r="J253" s="216" t="s">
        <v>899</v>
      </c>
      <c r="K253" s="216" t="s">
        <v>904</v>
      </c>
      <c r="L253" s="216" t="n">
        <v>45</v>
      </c>
      <c r="M253" s="189" t="s">
        <v>365</v>
      </c>
      <c r="N253" s="198"/>
      <c r="O253" s="216"/>
      <c r="P253" s="216"/>
      <c r="Q253" s="216"/>
      <c r="R253" s="216" t="s">
        <v>373</v>
      </c>
      <c r="S253" s="198"/>
      <c r="T253" s="228" t="s">
        <v>905</v>
      </c>
      <c r="U253" s="195" t="str">
        <f aca="false">Таблица310[[#This Row],[Регистратор.Номенклатура]]</f>
        <v>Тристар</v>
      </c>
      <c r="V253" s="230" t="n">
        <f aca="false">56.3*Таблица310[[#This Row],[Регистратор.Вес нетто]]/302410</f>
        <v>2.45559670645812</v>
      </c>
      <c r="W253" s="216" t="s">
        <v>327</v>
      </c>
      <c r="X253" s="216" t="s">
        <v>315</v>
      </c>
      <c r="Y253" s="198" t="n">
        <v>3</v>
      </c>
      <c r="Z253" s="221" t="n">
        <v>45820</v>
      </c>
      <c r="AA253" s="198"/>
      <c r="AB253" s="198"/>
      <c r="AC253" s="198" t="s">
        <v>305</v>
      </c>
      <c r="AD253" s="198" t="s">
        <v>417</v>
      </c>
      <c r="AE253" s="198" t="n">
        <v>349</v>
      </c>
      <c r="AF253" s="200" t="n">
        <v>45820</v>
      </c>
      <c r="AG253" s="198" t="s">
        <v>906</v>
      </c>
      <c r="AH253" s="198" t="n">
        <f aca="false">VLOOKUP(Таблица310[[#This Row],[№ акта]],'Степень зрелости 2025'!$H$13:$I$583,2,FALSE())</f>
        <v>53</v>
      </c>
      <c r="AI253" s="198" t="str">
        <f aca="false">VLOOKUP(Таблица310[[#This Row],[№ акта]],$AQ$1:$AT$594,2,FALSE())</f>
        <v>закупка</v>
      </c>
      <c r="AJ253" s="198" t="str">
        <f aca="false">Таблица310[[#This Row],[Регистратор.Номенклатура]]</f>
        <v>Тристар</v>
      </c>
      <c r="AK253" s="198" t="str">
        <f aca="false">VLOOKUP(Таблица310[[#This Row],[№ акта]],$AQ$1:$AT$594,4,FALSE())</f>
        <v>Братковский закупка (полив)</v>
      </c>
      <c r="AL253" s="230" t="n">
        <f aca="false">VLOOKUP(Таблица310[[#This Row],[№ акта]],$AQ$1:$AT$594,3,FALSE())</f>
        <v>2.45559670645812</v>
      </c>
      <c r="AM253" s="198" t="str">
        <f aca="false">IF(Таблица310[[#This Row],[Площадь уборки, га]]=Таблица310[[#This Row],[Площадь уборки до корр]],"нет","да")</f>
        <v>нет</v>
      </c>
      <c r="AN253" s="230" t="n">
        <f aca="false">Таблица310[[#This Row],[Площадь уборки до корр]]-Таблица310[[#This Row],[Площадь уборки, га]]</f>
        <v>0</v>
      </c>
      <c r="AQ253" s="0" t="n">
        <v>349</v>
      </c>
      <c r="AR253" s="0" t="s">
        <v>905</v>
      </c>
      <c r="AS253" s="0" t="n">
        <v>2.45559670645812</v>
      </c>
      <c r="AT253" s="0" t="s">
        <v>327</v>
      </c>
      <c r="XEM253" s="216"/>
      <c r="XEN253" s="217"/>
      <c r="XEO253" s="243"/>
      <c r="XEP253" s="218"/>
      <c r="XEQ253" s="244"/>
      <c r="XER253" s="217"/>
    </row>
    <row r="254" customFormat="false" ht="25.5" hidden="false" customHeight="true" outlineLevel="0" collapsed="false">
      <c r="A254" s="216"/>
      <c r="B254" s="217"/>
      <c r="C254" s="241" t="n">
        <f aca="false">Таблица310[[#This Row],[Степень зрелости вспом]]</f>
        <v>52</v>
      </c>
      <c r="D254" s="218" t="n">
        <v>350</v>
      </c>
      <c r="E254" s="219" t="n">
        <v>45820</v>
      </c>
      <c r="F254" s="217" t="n">
        <v>28050</v>
      </c>
      <c r="G254" s="217" t="n">
        <v>13140</v>
      </c>
      <c r="H254" s="220" t="n">
        <v>14910</v>
      </c>
      <c r="I254" s="217" t="n">
        <v>11234.7</v>
      </c>
      <c r="J254" s="216" t="s">
        <v>899</v>
      </c>
      <c r="K254" s="216" t="s">
        <v>904</v>
      </c>
      <c r="L254" s="216" t="n">
        <v>45</v>
      </c>
      <c r="M254" s="189" t="s">
        <v>457</v>
      </c>
      <c r="N254" s="198"/>
      <c r="O254" s="216"/>
      <c r="P254" s="216"/>
      <c r="Q254" s="216"/>
      <c r="R254" s="216" t="s">
        <v>366</v>
      </c>
      <c r="S254" s="198"/>
      <c r="T254" s="228" t="s">
        <v>905</v>
      </c>
      <c r="U254" s="195" t="str">
        <f aca="false">Таблица310[[#This Row],[Регистратор.Номенклатура]]</f>
        <v>Тристар</v>
      </c>
      <c r="V254" s="230" t="n">
        <f aca="false">56.3*Таблица310[[#This Row],[Регистратор.Вес нетто]]/302410</f>
        <v>2.44628815184683</v>
      </c>
      <c r="W254" s="216" t="s">
        <v>327</v>
      </c>
      <c r="X254" s="216" t="s">
        <v>315</v>
      </c>
      <c r="Y254" s="198" t="n">
        <v>3</v>
      </c>
      <c r="Z254" s="221" t="n">
        <v>45820</v>
      </c>
      <c r="AA254" s="198"/>
      <c r="AB254" s="198"/>
      <c r="AC254" s="198" t="s">
        <v>305</v>
      </c>
      <c r="AD254" s="198" t="s">
        <v>417</v>
      </c>
      <c r="AE254" s="198" t="n">
        <v>350</v>
      </c>
      <c r="AF254" s="200" t="n">
        <v>45820</v>
      </c>
      <c r="AG254" s="198" t="s">
        <v>906</v>
      </c>
      <c r="AH254" s="198" t="n">
        <f aca="false">VLOOKUP(Таблица310[[#This Row],[№ акта]],'Степень зрелости 2025'!$H$13:$I$583,2,FALSE())</f>
        <v>52</v>
      </c>
      <c r="AI254" s="198" t="str">
        <f aca="false">VLOOKUP(Таблица310[[#This Row],[№ акта]],$AQ$1:$AT$594,2,FALSE())</f>
        <v>закупка</v>
      </c>
      <c r="AJ254" s="198" t="str">
        <f aca="false">Таблица310[[#This Row],[Регистратор.Номенклатура]]</f>
        <v>Тристар</v>
      </c>
      <c r="AK254" s="198" t="str">
        <f aca="false">VLOOKUP(Таблица310[[#This Row],[№ акта]],$AQ$1:$AT$594,4,FALSE())</f>
        <v>Братковский закупка (полив)</v>
      </c>
      <c r="AL254" s="230" t="n">
        <f aca="false">VLOOKUP(Таблица310[[#This Row],[№ акта]],$AQ$1:$AT$594,3,FALSE())</f>
        <v>2.44628815184683</v>
      </c>
      <c r="AM254" s="198" t="str">
        <f aca="false">IF(Таблица310[[#This Row],[Площадь уборки, га]]=Таблица310[[#This Row],[Площадь уборки до корр]],"нет","да")</f>
        <v>нет</v>
      </c>
      <c r="AN254" s="230" t="n">
        <f aca="false">Таблица310[[#This Row],[Площадь уборки до корр]]-Таблица310[[#This Row],[Площадь уборки, га]]</f>
        <v>0</v>
      </c>
      <c r="AQ254" s="0" t="n">
        <v>350</v>
      </c>
      <c r="AR254" s="0" t="s">
        <v>905</v>
      </c>
      <c r="AS254" s="0" t="n">
        <v>2.44628815184683</v>
      </c>
      <c r="AT254" s="0" t="s">
        <v>327</v>
      </c>
      <c r="XEM254" s="216"/>
      <c r="XEN254" s="217"/>
      <c r="XEO254" s="243"/>
      <c r="XEP254" s="218"/>
      <c r="XEQ254" s="244"/>
      <c r="XER254" s="217"/>
    </row>
    <row r="255" customFormat="false" ht="25.5" hidden="false" customHeight="true" outlineLevel="0" collapsed="false">
      <c r="A255" s="216"/>
      <c r="B255" s="217"/>
      <c r="C255" s="241" t="n">
        <f aca="false">Таблица310[[#This Row],[Степень зрелости вспом]]</f>
        <v>52</v>
      </c>
      <c r="D255" s="218" t="n">
        <v>351</v>
      </c>
      <c r="E255" s="219" t="n">
        <v>45820</v>
      </c>
      <c r="F255" s="217" t="n">
        <v>28480</v>
      </c>
      <c r="G255" s="217" t="n">
        <v>14670</v>
      </c>
      <c r="H255" s="220" t="n">
        <v>13810</v>
      </c>
      <c r="I255" s="217" t="n">
        <v>13129.6</v>
      </c>
      <c r="J255" s="216" t="s">
        <v>899</v>
      </c>
      <c r="K255" s="216" t="s">
        <v>904</v>
      </c>
      <c r="L255" s="216" t="n">
        <v>45</v>
      </c>
      <c r="M255" s="189" t="s">
        <v>359</v>
      </c>
      <c r="N255" s="198"/>
      <c r="O255" s="216"/>
      <c r="P255" s="216"/>
      <c r="Q255" s="216"/>
      <c r="R255" s="216" t="s">
        <v>426</v>
      </c>
      <c r="S255" s="198"/>
      <c r="T255" s="228" t="s">
        <v>905</v>
      </c>
      <c r="U255" s="195" t="str">
        <f aca="false">Таблица310[[#This Row],[Регистратор.Номенклатура]]</f>
        <v>Тристар</v>
      </c>
      <c r="V255" s="230" t="n">
        <f aca="false">56.3*Таблица310[[#This Row],[Регистратор.Вес нетто]]/302410</f>
        <v>2.73112992295228</v>
      </c>
      <c r="W255" s="216" t="s">
        <v>327</v>
      </c>
      <c r="X255" s="216" t="s">
        <v>315</v>
      </c>
      <c r="Y255" s="198" t="n">
        <v>3</v>
      </c>
      <c r="Z255" s="221" t="n">
        <v>45820</v>
      </c>
      <c r="AA255" s="198"/>
      <c r="AB255" s="198"/>
      <c r="AC255" s="198" t="s">
        <v>305</v>
      </c>
      <c r="AD255" s="198" t="s">
        <v>417</v>
      </c>
      <c r="AE255" s="198" t="n">
        <v>351</v>
      </c>
      <c r="AF255" s="200" t="n">
        <v>45820</v>
      </c>
      <c r="AG255" s="198" t="s">
        <v>906</v>
      </c>
      <c r="AH255" s="198" t="n">
        <f aca="false">VLOOKUP(Таблица310[[#This Row],[№ акта]],'Степень зрелости 2025'!$H$13:$I$583,2,FALSE())</f>
        <v>52</v>
      </c>
      <c r="AI255" s="198" t="str">
        <f aca="false">VLOOKUP(Таблица310[[#This Row],[№ акта]],$AQ$1:$AT$594,2,FALSE())</f>
        <v>закупка</v>
      </c>
      <c r="AJ255" s="198" t="str">
        <f aca="false">Таблица310[[#This Row],[Регистратор.Номенклатура]]</f>
        <v>Тристар</v>
      </c>
      <c r="AK255" s="198" t="str">
        <f aca="false">VLOOKUP(Таблица310[[#This Row],[№ акта]],$AQ$1:$AT$594,4,FALSE())</f>
        <v>Братковский закупка (полив)</v>
      </c>
      <c r="AL255" s="230" t="n">
        <f aca="false">VLOOKUP(Таблица310[[#This Row],[№ акта]],$AQ$1:$AT$594,3,FALSE())</f>
        <v>2.73112992295228</v>
      </c>
      <c r="AM255" s="198" t="str">
        <f aca="false">IF(Таблица310[[#This Row],[Площадь уборки, га]]=Таблица310[[#This Row],[Площадь уборки до корр]],"нет","да")</f>
        <v>нет</v>
      </c>
      <c r="AN255" s="230" t="n">
        <f aca="false">Таблица310[[#This Row],[Площадь уборки до корр]]-Таблица310[[#This Row],[Площадь уборки, га]]</f>
        <v>0</v>
      </c>
      <c r="AQ255" s="0" t="n">
        <v>351</v>
      </c>
      <c r="AR255" s="0" t="s">
        <v>905</v>
      </c>
      <c r="AS255" s="0" t="n">
        <v>2.73112992295228</v>
      </c>
      <c r="AT255" s="0" t="s">
        <v>327</v>
      </c>
      <c r="XEM255" s="216"/>
      <c r="XEN255" s="217"/>
      <c r="XEO255" s="243"/>
      <c r="XEP255" s="218"/>
      <c r="XEQ255" s="244"/>
      <c r="XER255" s="217"/>
    </row>
    <row r="256" customFormat="false" ht="25.5" hidden="false" customHeight="true" outlineLevel="0" collapsed="false">
      <c r="A256" s="216"/>
      <c r="B256" s="217"/>
      <c r="C256" s="241" t="n">
        <f aca="false">Таблица310[[#This Row],[Степень зрелости вспом]]</f>
        <v>53</v>
      </c>
      <c r="D256" s="218" t="n">
        <v>352</v>
      </c>
      <c r="E256" s="219" t="n">
        <v>45820</v>
      </c>
      <c r="F256" s="217" t="n">
        <v>28580</v>
      </c>
      <c r="G256" s="217" t="n">
        <v>13640</v>
      </c>
      <c r="H256" s="220" t="n">
        <v>14940</v>
      </c>
      <c r="I256" s="217" t="n">
        <v>12003.2</v>
      </c>
      <c r="J256" s="216" t="s">
        <v>899</v>
      </c>
      <c r="K256" s="216" t="s">
        <v>904</v>
      </c>
      <c r="L256" s="216" t="n">
        <v>45</v>
      </c>
      <c r="M256" s="189" t="s">
        <v>553</v>
      </c>
      <c r="N256" s="198"/>
      <c r="O256" s="216"/>
      <c r="P256" s="216"/>
      <c r="Q256" s="216"/>
      <c r="R256" s="216" t="s">
        <v>557</v>
      </c>
      <c r="S256" s="198"/>
      <c r="T256" s="228" t="s">
        <v>905</v>
      </c>
      <c r="U256" s="195" t="str">
        <f aca="false">Таблица310[[#This Row],[Регистратор.Номенклатура]]</f>
        <v>Тристар</v>
      </c>
      <c r="V256" s="230" t="n">
        <f aca="false">56.3*Таблица310[[#This Row],[Регистратор.Вес нетто]]/302410</f>
        <v>2.53937369795972</v>
      </c>
      <c r="W256" s="216" t="s">
        <v>327</v>
      </c>
      <c r="X256" s="216" t="s">
        <v>315</v>
      </c>
      <c r="Y256" s="198" t="n">
        <v>3</v>
      </c>
      <c r="Z256" s="221" t="n">
        <v>45820</v>
      </c>
      <c r="AA256" s="198"/>
      <c r="AB256" s="198"/>
      <c r="AC256" s="198" t="s">
        <v>305</v>
      </c>
      <c r="AD256" s="198" t="s">
        <v>417</v>
      </c>
      <c r="AE256" s="198" t="n">
        <v>352</v>
      </c>
      <c r="AF256" s="200" t="n">
        <v>45820</v>
      </c>
      <c r="AG256" s="198" t="s">
        <v>906</v>
      </c>
      <c r="AH256" s="198" t="n">
        <f aca="false">VLOOKUP(Таблица310[[#This Row],[№ акта]],'Степень зрелости 2025'!$H$13:$I$583,2,FALSE())</f>
        <v>53</v>
      </c>
      <c r="AI256" s="198" t="str">
        <f aca="false">VLOOKUP(Таблица310[[#This Row],[№ акта]],$AQ$1:$AT$594,2,FALSE())</f>
        <v>закупка</v>
      </c>
      <c r="AJ256" s="198" t="str">
        <f aca="false">Таблица310[[#This Row],[Регистратор.Номенклатура]]</f>
        <v>Тристар</v>
      </c>
      <c r="AK256" s="198" t="str">
        <f aca="false">VLOOKUP(Таблица310[[#This Row],[№ акта]],$AQ$1:$AT$594,4,FALSE())</f>
        <v>Братковский закупка (полив)</v>
      </c>
      <c r="AL256" s="230" t="n">
        <f aca="false">VLOOKUP(Таблица310[[#This Row],[№ акта]],$AQ$1:$AT$594,3,FALSE())</f>
        <v>2.53937369795972</v>
      </c>
      <c r="AM256" s="198" t="str">
        <f aca="false">IF(Таблица310[[#This Row],[Площадь уборки, га]]=Таблица310[[#This Row],[Площадь уборки до корр]],"нет","да")</f>
        <v>нет</v>
      </c>
      <c r="AN256" s="230" t="n">
        <f aca="false">Таблица310[[#This Row],[Площадь уборки до корр]]-Таблица310[[#This Row],[Площадь уборки, га]]</f>
        <v>0</v>
      </c>
      <c r="AQ256" s="0" t="n">
        <v>352</v>
      </c>
      <c r="AR256" s="0" t="s">
        <v>905</v>
      </c>
      <c r="AS256" s="0" t="n">
        <v>2.53937369795972</v>
      </c>
      <c r="AT256" s="0" t="s">
        <v>327</v>
      </c>
      <c r="XEM256" s="216"/>
      <c r="XEN256" s="217"/>
      <c r="XEO256" s="243"/>
      <c r="XEP256" s="218"/>
      <c r="XEQ256" s="244"/>
      <c r="XER256" s="217"/>
    </row>
    <row r="257" customFormat="false" ht="25.5" hidden="false" customHeight="true" outlineLevel="0" collapsed="false">
      <c r="A257" s="216"/>
      <c r="B257" s="217"/>
      <c r="C257" s="241" t="n">
        <f aca="false">Таблица310[[#This Row],[Степень зрелости вспом]]</f>
        <v>54</v>
      </c>
      <c r="D257" s="218" t="n">
        <v>353</v>
      </c>
      <c r="E257" s="219" t="n">
        <v>45820</v>
      </c>
      <c r="F257" s="217" t="n">
        <v>28480</v>
      </c>
      <c r="G257" s="217" t="n">
        <v>13760</v>
      </c>
      <c r="H257" s="220" t="n">
        <v>14720</v>
      </c>
      <c r="I257" s="217" t="n">
        <v>11764.8</v>
      </c>
      <c r="J257" s="216" t="s">
        <v>899</v>
      </c>
      <c r="K257" s="216" t="s">
        <v>904</v>
      </c>
      <c r="L257" s="216" t="n">
        <v>45</v>
      </c>
      <c r="M257" s="189" t="s">
        <v>547</v>
      </c>
      <c r="N257" s="198"/>
      <c r="O257" s="216"/>
      <c r="P257" s="216"/>
      <c r="Q257" s="216"/>
      <c r="R257" s="216" t="s">
        <v>551</v>
      </c>
      <c r="S257" s="198"/>
      <c r="T257" s="228" t="s">
        <v>905</v>
      </c>
      <c r="U257" s="195" t="str">
        <f aca="false">Таблица310[[#This Row],[Регистратор.Номенклатура]]</f>
        <v>Тристар</v>
      </c>
      <c r="V257" s="230" t="n">
        <f aca="false">56.3*Таблица310[[#This Row],[Регистратор.Вес нетто]]/302410</f>
        <v>2.56171422902682</v>
      </c>
      <c r="W257" s="216" t="s">
        <v>327</v>
      </c>
      <c r="X257" s="216" t="s">
        <v>315</v>
      </c>
      <c r="Y257" s="198" t="n">
        <v>3</v>
      </c>
      <c r="Z257" s="221" t="n">
        <v>45820</v>
      </c>
      <c r="AA257" s="198"/>
      <c r="AB257" s="198"/>
      <c r="AC257" s="198" t="s">
        <v>302</v>
      </c>
      <c r="AD257" s="198" t="s">
        <v>417</v>
      </c>
      <c r="AE257" s="198" t="n">
        <v>353</v>
      </c>
      <c r="AF257" s="200" t="n">
        <v>45820</v>
      </c>
      <c r="AG257" s="198" t="s">
        <v>906</v>
      </c>
      <c r="AH257" s="198" t="n">
        <f aca="false">VLOOKUP(Таблица310[[#This Row],[№ акта]],'Степень зрелости 2025'!$H$13:$I$583,2,FALSE())</f>
        <v>54</v>
      </c>
      <c r="AI257" s="198" t="str">
        <f aca="false">VLOOKUP(Таблица310[[#This Row],[№ акта]],$AQ$1:$AT$594,2,FALSE())</f>
        <v>закупка</v>
      </c>
      <c r="AJ257" s="198" t="str">
        <f aca="false">Таблица310[[#This Row],[Регистратор.Номенклатура]]</f>
        <v>Тристар</v>
      </c>
      <c r="AK257" s="198" t="str">
        <f aca="false">VLOOKUP(Таблица310[[#This Row],[№ акта]],$AQ$1:$AT$594,4,FALSE())</f>
        <v>Братковский закупка (полив)</v>
      </c>
      <c r="AL257" s="230" t="n">
        <f aca="false">VLOOKUP(Таблица310[[#This Row],[№ акта]],$AQ$1:$AT$594,3,FALSE())</f>
        <v>2.56171422902682</v>
      </c>
      <c r="AM257" s="198" t="str">
        <f aca="false">IF(Таблица310[[#This Row],[Площадь уборки, га]]=Таблица310[[#This Row],[Площадь уборки до корр]],"нет","да")</f>
        <v>нет</v>
      </c>
      <c r="AN257" s="230" t="n">
        <f aca="false">Таблица310[[#This Row],[Площадь уборки до корр]]-Таблица310[[#This Row],[Площадь уборки, га]]</f>
        <v>0</v>
      </c>
      <c r="AQ257" s="0" t="n">
        <v>353</v>
      </c>
      <c r="AR257" s="0" t="s">
        <v>905</v>
      </c>
      <c r="AS257" s="0" t="n">
        <v>2.56171422902682</v>
      </c>
      <c r="AT257" s="0" t="s">
        <v>327</v>
      </c>
      <c r="XEM257" s="216"/>
      <c r="XEN257" s="217"/>
      <c r="XEO257" s="243"/>
      <c r="XEP257" s="218"/>
      <c r="XEQ257" s="244"/>
      <c r="XER257" s="217"/>
    </row>
    <row r="258" customFormat="false" ht="25.5" hidden="false" customHeight="true" outlineLevel="0" collapsed="false">
      <c r="A258" s="216"/>
      <c r="B258" s="217"/>
      <c r="C258" s="241" t="n">
        <f aca="false">Таблица310[[#This Row],[Степень зрелости вспом]]</f>
        <v>53</v>
      </c>
      <c r="D258" s="218" t="n">
        <v>354</v>
      </c>
      <c r="E258" s="219" t="n">
        <v>45820</v>
      </c>
      <c r="F258" s="217" t="n">
        <v>28360</v>
      </c>
      <c r="G258" s="217" t="n">
        <v>13810</v>
      </c>
      <c r="H258" s="220" t="n">
        <v>14550</v>
      </c>
      <c r="I258" s="217" t="n">
        <v>11945.6</v>
      </c>
      <c r="J258" s="216" t="s">
        <v>899</v>
      </c>
      <c r="K258" s="216" t="s">
        <v>904</v>
      </c>
      <c r="L258" s="216" t="n">
        <v>45</v>
      </c>
      <c r="M258" s="189" t="s">
        <v>363</v>
      </c>
      <c r="N258" s="198"/>
      <c r="O258" s="216"/>
      <c r="P258" s="216"/>
      <c r="Q258" s="216"/>
      <c r="R258" s="216" t="s">
        <v>364</v>
      </c>
      <c r="S258" s="198"/>
      <c r="T258" s="228" t="s">
        <v>905</v>
      </c>
      <c r="U258" s="195" t="str">
        <f aca="false">Таблица310[[#This Row],[Регистратор.Номенклатура]]</f>
        <v>Тристар</v>
      </c>
      <c r="V258" s="230" t="n">
        <f aca="false">56.3*Таблица310[[#This Row],[Регистратор.Вес нетто]]/302410</f>
        <v>2.57102278363811</v>
      </c>
      <c r="W258" s="216" t="s">
        <v>327</v>
      </c>
      <c r="X258" s="216" t="s">
        <v>315</v>
      </c>
      <c r="Y258" s="198" t="n">
        <v>3</v>
      </c>
      <c r="Z258" s="221" t="n">
        <v>45820</v>
      </c>
      <c r="AA258" s="198"/>
      <c r="AB258" s="198"/>
      <c r="AC258" s="198" t="s">
        <v>305</v>
      </c>
      <c r="AD258" s="198" t="s">
        <v>417</v>
      </c>
      <c r="AE258" s="198" t="n">
        <v>354</v>
      </c>
      <c r="AF258" s="200" t="n">
        <v>45820</v>
      </c>
      <c r="AG258" s="198"/>
      <c r="AH258" s="198" t="n">
        <f aca="false">VLOOKUP(Таблица310[[#This Row],[№ акта]],'Степень зрелости 2025'!$H$13:$I$583,2,FALSE())</f>
        <v>53</v>
      </c>
      <c r="AI258" s="198" t="str">
        <f aca="false">VLOOKUP(Таблица310[[#This Row],[№ акта]],$AQ$1:$AT$594,2,FALSE())</f>
        <v>закупка</v>
      </c>
      <c r="AJ258" s="198" t="str">
        <f aca="false">Таблица310[[#This Row],[Регистратор.Номенклатура]]</f>
        <v>Тристар</v>
      </c>
      <c r="AK258" s="198" t="str">
        <f aca="false">VLOOKUP(Таблица310[[#This Row],[№ акта]],$AQ$1:$AT$594,4,FALSE())</f>
        <v>Братковский закупка (полив)</v>
      </c>
      <c r="AL258" s="230" t="n">
        <f aca="false">VLOOKUP(Таблица310[[#This Row],[№ акта]],$AQ$1:$AT$594,3,FALSE())</f>
        <v>2.57102278363811</v>
      </c>
      <c r="AM258" s="198" t="str">
        <f aca="false">IF(Таблица310[[#This Row],[Площадь уборки, га]]=Таблица310[[#This Row],[Площадь уборки до корр]],"нет","да")</f>
        <v>нет</v>
      </c>
      <c r="AN258" s="230" t="n">
        <f aca="false">Таблица310[[#This Row],[Площадь уборки до корр]]-Таблица310[[#This Row],[Площадь уборки, га]]</f>
        <v>0</v>
      </c>
      <c r="AQ258" s="0" t="n">
        <v>354</v>
      </c>
      <c r="AR258" s="0" t="s">
        <v>905</v>
      </c>
      <c r="AS258" s="0" t="n">
        <v>2.57102278363811</v>
      </c>
      <c r="AT258" s="0" t="s">
        <v>327</v>
      </c>
      <c r="XEM258" s="216"/>
      <c r="XEN258" s="217"/>
      <c r="XEO258" s="243"/>
      <c r="XEP258" s="218"/>
      <c r="XEQ258" s="244"/>
      <c r="XER258" s="217"/>
    </row>
    <row r="259" customFormat="false" ht="25.5" hidden="false" customHeight="true" outlineLevel="0" collapsed="false">
      <c r="A259" s="216"/>
      <c r="B259" s="217"/>
      <c r="C259" s="241" t="n">
        <f aca="false">Таблица310[[#This Row],[Степень зрелости вспом]]</f>
        <v>54</v>
      </c>
      <c r="D259" s="218" t="n">
        <v>355</v>
      </c>
      <c r="E259" s="219" t="n">
        <v>45820</v>
      </c>
      <c r="F259" s="217" t="n">
        <v>28180</v>
      </c>
      <c r="G259" s="217" t="n">
        <v>13520</v>
      </c>
      <c r="H259" s="220" t="n">
        <v>14660</v>
      </c>
      <c r="I259" s="217" t="n">
        <v>11762.4</v>
      </c>
      <c r="J259" s="216" t="s">
        <v>899</v>
      </c>
      <c r="K259" s="216" t="s">
        <v>904</v>
      </c>
      <c r="L259" s="216" t="n">
        <v>45</v>
      </c>
      <c r="M259" s="189" t="s">
        <v>55</v>
      </c>
      <c r="N259" s="198"/>
      <c r="O259" s="216"/>
      <c r="P259" s="216"/>
      <c r="Q259" s="216"/>
      <c r="R259" s="216" t="s">
        <v>56</v>
      </c>
      <c r="S259" s="198"/>
      <c r="T259" s="228" t="s">
        <v>905</v>
      </c>
      <c r="U259" s="195" t="str">
        <f aca="false">Таблица310[[#This Row],[Регистратор.Номенклатура]]</f>
        <v>Тристар</v>
      </c>
      <c r="V259" s="230" t="n">
        <f aca="false">56.3*Таблица310[[#This Row],[Регистратор.Вес нетто]]/302410</f>
        <v>2.51703316689263</v>
      </c>
      <c r="W259" s="216" t="s">
        <v>327</v>
      </c>
      <c r="X259" s="216" t="s">
        <v>315</v>
      </c>
      <c r="Y259" s="198" t="n">
        <v>3</v>
      </c>
      <c r="Z259" s="221" t="n">
        <v>45820</v>
      </c>
      <c r="AA259" s="198"/>
      <c r="AB259" s="198"/>
      <c r="AC259" s="198" t="s">
        <v>302</v>
      </c>
      <c r="AD259" s="198" t="s">
        <v>417</v>
      </c>
      <c r="AE259" s="198" t="n">
        <v>355</v>
      </c>
      <c r="AF259" s="200" t="n">
        <v>45820</v>
      </c>
      <c r="AG259" s="198" t="s">
        <v>906</v>
      </c>
      <c r="AH259" s="198" t="n">
        <f aca="false">VLOOKUP(Таблица310[[#This Row],[№ акта]],'Степень зрелости 2025'!$H$13:$I$583,2,FALSE())</f>
        <v>54</v>
      </c>
      <c r="AI259" s="198" t="str">
        <f aca="false">VLOOKUP(Таблица310[[#This Row],[№ акта]],$AQ$1:$AT$594,2,FALSE())</f>
        <v>закупка</v>
      </c>
      <c r="AJ259" s="198" t="str">
        <f aca="false">Таблица310[[#This Row],[Регистратор.Номенклатура]]</f>
        <v>Тристар</v>
      </c>
      <c r="AK259" s="198" t="str">
        <f aca="false">VLOOKUP(Таблица310[[#This Row],[№ акта]],$AQ$1:$AT$594,4,FALSE())</f>
        <v>Братковский закупка (полив)</v>
      </c>
      <c r="AL259" s="230" t="n">
        <f aca="false">VLOOKUP(Таблица310[[#This Row],[№ акта]],$AQ$1:$AT$594,3,FALSE())</f>
        <v>2.51703316689263</v>
      </c>
      <c r="AM259" s="198" t="str">
        <f aca="false">IF(Таблица310[[#This Row],[Площадь уборки, га]]=Таблица310[[#This Row],[Площадь уборки до корр]],"нет","да")</f>
        <v>нет</v>
      </c>
      <c r="AN259" s="230" t="n">
        <f aca="false">Таблица310[[#This Row],[Площадь уборки до корр]]-Таблица310[[#This Row],[Площадь уборки, га]]</f>
        <v>0</v>
      </c>
      <c r="AQ259" s="0" t="n">
        <v>355</v>
      </c>
      <c r="AR259" s="0" t="s">
        <v>905</v>
      </c>
      <c r="AS259" s="0" t="n">
        <v>2.51703316689263</v>
      </c>
      <c r="AT259" s="0" t="s">
        <v>327</v>
      </c>
      <c r="XEM259" s="216"/>
      <c r="XEN259" s="217"/>
      <c r="XEO259" s="243"/>
      <c r="XEP259" s="218"/>
      <c r="XEQ259" s="244"/>
      <c r="XER259" s="217"/>
    </row>
    <row r="260" customFormat="false" ht="25.5" hidden="false" customHeight="true" outlineLevel="0" collapsed="false">
      <c r="A260" s="216"/>
      <c r="B260" s="217"/>
      <c r="C260" s="241" t="n">
        <f aca="false">Таблица310[[#This Row],[Степень зрелости вспом]]</f>
        <v>54</v>
      </c>
      <c r="D260" s="218" t="n">
        <v>356</v>
      </c>
      <c r="E260" s="219" t="n">
        <v>45820</v>
      </c>
      <c r="F260" s="217" t="n">
        <v>29060</v>
      </c>
      <c r="G260" s="217" t="n">
        <v>13340</v>
      </c>
      <c r="H260" s="220" t="n">
        <v>15720</v>
      </c>
      <c r="I260" s="217" t="n">
        <v>11805.9</v>
      </c>
      <c r="J260" s="216" t="s">
        <v>899</v>
      </c>
      <c r="K260" s="216" t="s">
        <v>904</v>
      </c>
      <c r="L260" s="216" t="s">
        <v>907</v>
      </c>
      <c r="M260" s="189" t="s">
        <v>445</v>
      </c>
      <c r="N260" s="198"/>
      <c r="O260" s="216"/>
      <c r="P260" s="216"/>
      <c r="Q260" s="216"/>
      <c r="R260" s="216" t="s">
        <v>449</v>
      </c>
      <c r="S260" s="198"/>
      <c r="T260" s="228" t="s">
        <v>905</v>
      </c>
      <c r="U260" s="195" t="str">
        <f aca="false">Таблица310[[#This Row],[Регистратор.Номенклатура]]</f>
        <v>Тристар</v>
      </c>
      <c r="V260" s="230" t="n">
        <f aca="false">56.3*Таблица310[[#This Row],[Регистратор.Вес нетто]]/302410</f>
        <v>2.48352237029199</v>
      </c>
      <c r="W260" s="216" t="s">
        <v>327</v>
      </c>
      <c r="X260" s="216" t="s">
        <v>315</v>
      </c>
      <c r="Y260" s="198" t="n">
        <v>3</v>
      </c>
      <c r="Z260" s="221" t="n">
        <v>45820</v>
      </c>
      <c r="AA260" s="198"/>
      <c r="AB260" s="198"/>
      <c r="AC260" s="198" t="s">
        <v>302</v>
      </c>
      <c r="AD260" s="198" t="s">
        <v>746</v>
      </c>
      <c r="AE260" s="198" t="n">
        <v>356</v>
      </c>
      <c r="AF260" s="200" t="n">
        <v>45820</v>
      </c>
      <c r="AG260" s="198" t="s">
        <v>906</v>
      </c>
      <c r="AH260" s="198" t="n">
        <f aca="false">VLOOKUP(Таблица310[[#This Row],[№ акта]],'Степень зрелости 2025'!$H$13:$I$583,2,FALSE())</f>
        <v>54</v>
      </c>
      <c r="AI260" s="198" t="str">
        <f aca="false">VLOOKUP(Таблица310[[#This Row],[№ акта]],$AQ$1:$AT$594,2,FALSE())</f>
        <v>закупка</v>
      </c>
      <c r="AJ260" s="198" t="str">
        <f aca="false">Таблица310[[#This Row],[Регистратор.Номенклатура]]</f>
        <v>Тристар</v>
      </c>
      <c r="AK260" s="198" t="str">
        <f aca="false">VLOOKUP(Таблица310[[#This Row],[№ акта]],$AQ$1:$AT$594,4,FALSE())</f>
        <v>Братковский закупка (полив)</v>
      </c>
      <c r="AL260" s="230" t="n">
        <f aca="false">VLOOKUP(Таблица310[[#This Row],[№ акта]],$AQ$1:$AT$594,3,FALSE())</f>
        <v>2.48352237029199</v>
      </c>
      <c r="AM260" s="198" t="str">
        <f aca="false">IF(Таблица310[[#This Row],[Площадь уборки, га]]=Таблица310[[#This Row],[Площадь уборки до корр]],"нет","да")</f>
        <v>нет</v>
      </c>
      <c r="AN260" s="230" t="n">
        <f aca="false">Таблица310[[#This Row],[Площадь уборки до корр]]-Таблица310[[#This Row],[Площадь уборки, га]]</f>
        <v>0</v>
      </c>
      <c r="AQ260" s="0" t="n">
        <v>356</v>
      </c>
      <c r="AR260" s="0" t="s">
        <v>905</v>
      </c>
      <c r="AS260" s="0" t="n">
        <v>2.48352237029199</v>
      </c>
      <c r="AT260" s="0" t="s">
        <v>327</v>
      </c>
      <c r="XEM260" s="216"/>
      <c r="XEN260" s="217"/>
      <c r="XEO260" s="243"/>
      <c r="XEP260" s="218"/>
      <c r="XEQ260" s="244"/>
      <c r="XER260" s="217"/>
    </row>
    <row r="261" customFormat="false" ht="25.5" hidden="false" customHeight="true" outlineLevel="0" collapsed="false">
      <c r="A261" s="216"/>
      <c r="B261" s="217"/>
      <c r="C261" s="241" t="n">
        <f aca="false">Таблица310[[#This Row],[Степень зрелости вспом]]</f>
        <v>58</v>
      </c>
      <c r="D261" s="218" t="n">
        <v>357</v>
      </c>
      <c r="E261" s="219" t="n">
        <v>45820</v>
      </c>
      <c r="F261" s="217" t="n">
        <v>28460</v>
      </c>
      <c r="G261" s="217" t="n">
        <v>13410</v>
      </c>
      <c r="H261" s="220" t="n">
        <v>15050</v>
      </c>
      <c r="I261" s="217" t="n">
        <v>11800.8</v>
      </c>
      <c r="J261" s="216" t="s">
        <v>899</v>
      </c>
      <c r="K261" s="216" t="s">
        <v>904</v>
      </c>
      <c r="L261" s="216" t="s">
        <v>907</v>
      </c>
      <c r="M261" s="189" t="s">
        <v>451</v>
      </c>
      <c r="N261" s="198"/>
      <c r="O261" s="216"/>
      <c r="P261" s="216"/>
      <c r="Q261" s="216"/>
      <c r="R261" s="216" t="s">
        <v>455</v>
      </c>
      <c r="S261" s="198"/>
      <c r="T261" s="228" t="s">
        <v>905</v>
      </c>
      <c r="U261" s="195" t="str">
        <f aca="false">Таблица310[[#This Row],[Регистратор.Номенклатура]]</f>
        <v>Тристар</v>
      </c>
      <c r="V261" s="230" t="n">
        <f aca="false">56.3*Таблица310[[#This Row],[Регистратор.Вес нетто]]/302410</f>
        <v>2.49655434674779</v>
      </c>
      <c r="W261" s="216" t="s">
        <v>327</v>
      </c>
      <c r="X261" s="216" t="s">
        <v>315</v>
      </c>
      <c r="Y261" s="198" t="n">
        <v>3</v>
      </c>
      <c r="Z261" s="221" t="n">
        <v>45820</v>
      </c>
      <c r="AA261" s="198"/>
      <c r="AB261" s="198"/>
      <c r="AC261" s="198" t="s">
        <v>302</v>
      </c>
      <c r="AD261" s="198" t="s">
        <v>417</v>
      </c>
      <c r="AE261" s="198" t="n">
        <v>357</v>
      </c>
      <c r="AF261" s="200" t="n">
        <v>45820</v>
      </c>
      <c r="AG261" s="198" t="s">
        <v>906</v>
      </c>
      <c r="AH261" s="198" t="n">
        <f aca="false">VLOOKUP(Таблица310[[#This Row],[№ акта]],'Степень зрелости 2025'!$H$13:$I$583,2,FALSE())</f>
        <v>58</v>
      </c>
      <c r="AI261" s="198" t="str">
        <f aca="false">VLOOKUP(Таблица310[[#This Row],[№ акта]],$AQ$1:$AT$594,2,FALSE())</f>
        <v>закупка</v>
      </c>
      <c r="AJ261" s="198" t="str">
        <f aca="false">Таблица310[[#This Row],[Регистратор.Номенклатура]]</f>
        <v>Тристар</v>
      </c>
      <c r="AK261" s="198" t="str">
        <f aca="false">VLOOKUP(Таблица310[[#This Row],[№ акта]],$AQ$1:$AT$594,4,FALSE())</f>
        <v>Братковский закупка (полив)</v>
      </c>
      <c r="AL261" s="230" t="n">
        <f aca="false">VLOOKUP(Таблица310[[#This Row],[№ акта]],$AQ$1:$AT$594,3,FALSE())</f>
        <v>2.49655434674779</v>
      </c>
      <c r="AM261" s="198" t="str">
        <f aca="false">IF(Таблица310[[#This Row],[Площадь уборки, га]]=Таблица310[[#This Row],[Площадь уборки до корр]],"нет","да")</f>
        <v>нет</v>
      </c>
      <c r="AN261" s="230" t="n">
        <f aca="false">Таблица310[[#This Row],[Площадь уборки до корр]]-Таблица310[[#This Row],[Площадь уборки, га]]</f>
        <v>0</v>
      </c>
      <c r="AQ261" s="0" t="n">
        <v>357</v>
      </c>
      <c r="AR261" s="0" t="s">
        <v>905</v>
      </c>
      <c r="AS261" s="0" t="n">
        <v>2.49655434674779</v>
      </c>
      <c r="AT261" s="0" t="s">
        <v>327</v>
      </c>
      <c r="XEM261" s="216"/>
      <c r="XEN261" s="217"/>
      <c r="XEO261" s="243"/>
      <c r="XEP261" s="218"/>
      <c r="XEQ261" s="244"/>
      <c r="XER261" s="217"/>
    </row>
    <row r="262" customFormat="false" ht="25.5" hidden="false" customHeight="true" outlineLevel="0" collapsed="false">
      <c r="A262" s="216"/>
      <c r="B262" s="217"/>
      <c r="C262" s="241" t="n">
        <f aca="false">Таблица310[[#This Row],[Степень зрелости вспом]]</f>
        <v>60</v>
      </c>
      <c r="D262" s="218" t="n">
        <v>358</v>
      </c>
      <c r="E262" s="219" t="n">
        <v>45820</v>
      </c>
      <c r="F262" s="217" t="n">
        <v>28070</v>
      </c>
      <c r="G262" s="217" t="n">
        <v>13350</v>
      </c>
      <c r="H262" s="220" t="n">
        <v>14720</v>
      </c>
      <c r="I262" s="217" t="n">
        <v>11681.2</v>
      </c>
      <c r="J262" s="216" t="s">
        <v>899</v>
      </c>
      <c r="K262" s="216" t="s">
        <v>904</v>
      </c>
      <c r="L262" s="216" t="s">
        <v>907</v>
      </c>
      <c r="M262" s="189" t="s">
        <v>361</v>
      </c>
      <c r="N262" s="198"/>
      <c r="O262" s="216"/>
      <c r="P262" s="216"/>
      <c r="Q262" s="216"/>
      <c r="R262" s="216" t="s">
        <v>362</v>
      </c>
      <c r="S262" s="198"/>
      <c r="T262" s="228" t="s">
        <v>905</v>
      </c>
      <c r="U262" s="195" t="str">
        <f aca="false">Таблица310[[#This Row],[Регистратор.Номенклатура]]</f>
        <v>Тристар</v>
      </c>
      <c r="V262" s="230" t="n">
        <f aca="false">56.3*Таблица310[[#This Row],[Регистратор.Вес нетто]]/302410</f>
        <v>2.48538408121425</v>
      </c>
      <c r="W262" s="216" t="s">
        <v>327</v>
      </c>
      <c r="X262" s="216" t="s">
        <v>315</v>
      </c>
      <c r="Y262" s="198" t="n">
        <v>3</v>
      </c>
      <c r="Z262" s="221" t="n">
        <v>45820</v>
      </c>
      <c r="AA262" s="198"/>
      <c r="AB262" s="198"/>
      <c r="AC262" s="198" t="s">
        <v>302</v>
      </c>
      <c r="AD262" s="198" t="s">
        <v>417</v>
      </c>
      <c r="AE262" s="198" t="n">
        <v>358</v>
      </c>
      <c r="AF262" s="200" t="n">
        <v>45820</v>
      </c>
      <c r="AG262" s="198" t="s">
        <v>906</v>
      </c>
      <c r="AH262" s="198" t="n">
        <f aca="false">VLOOKUP(Таблица310[[#This Row],[№ акта]],'Степень зрелости 2025'!$H$13:$I$583,2,FALSE())</f>
        <v>60</v>
      </c>
      <c r="AI262" s="198" t="str">
        <f aca="false">VLOOKUP(Таблица310[[#This Row],[№ акта]],$AQ$1:$AT$594,2,FALSE())</f>
        <v>закупка</v>
      </c>
      <c r="AJ262" s="198" t="str">
        <f aca="false">Таблица310[[#This Row],[Регистратор.Номенклатура]]</f>
        <v>Тристар</v>
      </c>
      <c r="AK262" s="198" t="str">
        <f aca="false">VLOOKUP(Таблица310[[#This Row],[№ акта]],$AQ$1:$AT$594,4,FALSE())</f>
        <v>Братковский закупка (полив)</v>
      </c>
      <c r="AL262" s="230" t="n">
        <f aca="false">VLOOKUP(Таблица310[[#This Row],[№ акта]],$AQ$1:$AT$594,3,FALSE())</f>
        <v>2.48538408121425</v>
      </c>
      <c r="AM262" s="198" t="str">
        <f aca="false">IF(Таблица310[[#This Row],[Площадь уборки, га]]=Таблица310[[#This Row],[Площадь уборки до корр]],"нет","да")</f>
        <v>нет</v>
      </c>
      <c r="AN262" s="230" t="n">
        <f aca="false">Таблица310[[#This Row],[Площадь уборки до корр]]-Таблица310[[#This Row],[Площадь уборки, га]]</f>
        <v>0</v>
      </c>
      <c r="AQ262" s="0" t="n">
        <v>358</v>
      </c>
      <c r="AR262" s="0" t="s">
        <v>905</v>
      </c>
      <c r="AS262" s="0" t="n">
        <v>2.48538408121425</v>
      </c>
      <c r="AT262" s="0" t="s">
        <v>327</v>
      </c>
      <c r="XEM262" s="216"/>
      <c r="XEN262" s="217"/>
      <c r="XEO262" s="243"/>
      <c r="XEP262" s="218"/>
      <c r="XEQ262" s="244"/>
      <c r="XER262" s="217"/>
    </row>
    <row r="263" customFormat="false" ht="25.5" hidden="false" customHeight="true" outlineLevel="0" collapsed="false">
      <c r="A263" s="216"/>
      <c r="B263" s="217"/>
      <c r="C263" s="241" t="n">
        <f aca="false">Таблица310[[#This Row],[Степень зрелости вспом]]</f>
        <v>60</v>
      </c>
      <c r="D263" s="218" t="n">
        <v>359</v>
      </c>
      <c r="E263" s="219" t="n">
        <v>45820</v>
      </c>
      <c r="F263" s="217" t="n">
        <v>28930</v>
      </c>
      <c r="G263" s="217" t="n">
        <v>13410</v>
      </c>
      <c r="H263" s="220" t="n">
        <v>15520</v>
      </c>
      <c r="I263" s="217" t="n">
        <v>11733.7</v>
      </c>
      <c r="J263" s="216" t="s">
        <v>899</v>
      </c>
      <c r="K263" s="216" t="s">
        <v>904</v>
      </c>
      <c r="L263" s="216" t="s">
        <v>907</v>
      </c>
      <c r="M263" s="189" t="s">
        <v>57</v>
      </c>
      <c r="N263" s="198"/>
      <c r="O263" s="216"/>
      <c r="P263" s="216"/>
      <c r="Q263" s="216"/>
      <c r="R263" s="216" t="s">
        <v>58</v>
      </c>
      <c r="S263" s="198"/>
      <c r="T263" s="228" t="s">
        <v>905</v>
      </c>
      <c r="U263" s="195" t="str">
        <f aca="false">Таблица310[[#This Row],[Регистратор.Номенклатура]]</f>
        <v>Тристар</v>
      </c>
      <c r="V263" s="230" t="n">
        <f aca="false">56.3*Таблица310[[#This Row],[Регистратор.Вес нетто]]/302410</f>
        <v>2.49655434674779</v>
      </c>
      <c r="W263" s="216" t="s">
        <v>327</v>
      </c>
      <c r="X263" s="216" t="s">
        <v>315</v>
      </c>
      <c r="Y263" s="198" t="n">
        <v>3</v>
      </c>
      <c r="Z263" s="221" t="n">
        <v>45820</v>
      </c>
      <c r="AA263" s="198"/>
      <c r="AB263" s="198"/>
      <c r="AC263" s="198" t="s">
        <v>302</v>
      </c>
      <c r="AD263" s="198" t="s">
        <v>417</v>
      </c>
      <c r="AE263" s="198" t="n">
        <v>359</v>
      </c>
      <c r="AF263" s="200" t="n">
        <v>45820</v>
      </c>
      <c r="AG263" s="198" t="s">
        <v>906</v>
      </c>
      <c r="AH263" s="198" t="n">
        <f aca="false">VLOOKUP(Таблица310[[#This Row],[№ акта]],'Степень зрелости 2025'!$H$13:$I$583,2,FALSE())</f>
        <v>60</v>
      </c>
      <c r="AI263" s="198" t="str">
        <f aca="false">VLOOKUP(Таблица310[[#This Row],[№ акта]],$AQ$1:$AT$594,2,FALSE())</f>
        <v>закупка</v>
      </c>
      <c r="AJ263" s="198" t="str">
        <f aca="false">Таблица310[[#This Row],[Регистратор.Номенклатура]]</f>
        <v>Тристар</v>
      </c>
      <c r="AK263" s="198" t="str">
        <f aca="false">VLOOKUP(Таблица310[[#This Row],[№ акта]],$AQ$1:$AT$594,4,FALSE())</f>
        <v>Братковский закупка (полив)</v>
      </c>
      <c r="AL263" s="230" t="n">
        <f aca="false">VLOOKUP(Таблица310[[#This Row],[№ акта]],$AQ$1:$AT$594,3,FALSE())</f>
        <v>2.49655434674779</v>
      </c>
      <c r="AM263" s="198" t="str">
        <f aca="false">IF(Таблица310[[#This Row],[Площадь уборки, га]]=Таблица310[[#This Row],[Площадь уборки до корр]],"нет","да")</f>
        <v>нет</v>
      </c>
      <c r="AN263" s="230" t="n">
        <f aca="false">Таблица310[[#This Row],[Площадь уборки до корр]]-Таблица310[[#This Row],[Площадь уборки, га]]</f>
        <v>0</v>
      </c>
      <c r="AQ263" s="0" t="n">
        <v>359</v>
      </c>
      <c r="AR263" s="0" t="s">
        <v>905</v>
      </c>
      <c r="AS263" s="0" t="n">
        <v>2.49655434674779</v>
      </c>
      <c r="AT263" s="0" t="s">
        <v>327</v>
      </c>
      <c r="XEM263" s="216"/>
      <c r="XEN263" s="217"/>
      <c r="XEO263" s="243"/>
      <c r="XEP263" s="218"/>
      <c r="XEQ263" s="244"/>
      <c r="XER263" s="217"/>
    </row>
    <row r="264" customFormat="false" ht="25.5" hidden="false" customHeight="true" outlineLevel="0" collapsed="false">
      <c r="A264" s="216"/>
      <c r="B264" s="217"/>
      <c r="C264" s="241" t="n">
        <f aca="false">Таблица310[[#This Row],[Степень зрелости вспом]]</f>
        <v>58</v>
      </c>
      <c r="D264" s="218" t="n">
        <v>360</v>
      </c>
      <c r="E264" s="219" t="n">
        <v>45820</v>
      </c>
      <c r="F264" s="217" t="n">
        <v>28570</v>
      </c>
      <c r="G264" s="217" t="n">
        <v>13220</v>
      </c>
      <c r="H264" s="220" t="n">
        <v>15350</v>
      </c>
      <c r="I264" s="217" t="n">
        <v>11964.1</v>
      </c>
      <c r="J264" s="216" t="s">
        <v>899</v>
      </c>
      <c r="K264" s="216" t="s">
        <v>904</v>
      </c>
      <c r="L264" s="216" t="s">
        <v>907</v>
      </c>
      <c r="M264" s="189" t="s">
        <v>472</v>
      </c>
      <c r="N264" s="198"/>
      <c r="O264" s="216"/>
      <c r="P264" s="216"/>
      <c r="Q264" s="216"/>
      <c r="R264" s="216" t="s">
        <v>476</v>
      </c>
      <c r="S264" s="198"/>
      <c r="T264" s="228" t="s">
        <v>905</v>
      </c>
      <c r="U264" s="195" t="str">
        <f aca="false">Таблица310[[#This Row],[Регистратор.Номенклатура]]</f>
        <v>Тристар</v>
      </c>
      <c r="V264" s="230" t="n">
        <f aca="false">56.3*Таблица310[[#This Row],[Регистратор.Вес нетто]]/302410</f>
        <v>2.46118183922489</v>
      </c>
      <c r="W264" s="216" t="s">
        <v>327</v>
      </c>
      <c r="X264" s="216" t="s">
        <v>315</v>
      </c>
      <c r="Y264" s="198" t="n">
        <v>3</v>
      </c>
      <c r="Z264" s="221" t="n">
        <v>45820</v>
      </c>
      <c r="AA264" s="198"/>
      <c r="AB264" s="198"/>
      <c r="AC264" s="198" t="s">
        <v>302</v>
      </c>
      <c r="AD264" s="198" t="s">
        <v>417</v>
      </c>
      <c r="AE264" s="198" t="n">
        <v>360</v>
      </c>
      <c r="AF264" s="200" t="n">
        <v>45820</v>
      </c>
      <c r="AG264" s="198" t="s">
        <v>906</v>
      </c>
      <c r="AH264" s="198" t="n">
        <f aca="false">VLOOKUP(Таблица310[[#This Row],[№ акта]],'Степень зрелости 2025'!$H$13:$I$583,2,FALSE())</f>
        <v>58</v>
      </c>
      <c r="AI264" s="198" t="str">
        <f aca="false">VLOOKUP(Таблица310[[#This Row],[№ акта]],$AQ$1:$AT$594,2,FALSE())</f>
        <v>закупка</v>
      </c>
      <c r="AJ264" s="198" t="str">
        <f aca="false">Таблица310[[#This Row],[Регистратор.Номенклатура]]</f>
        <v>Тристар</v>
      </c>
      <c r="AK264" s="198" t="str">
        <f aca="false">VLOOKUP(Таблица310[[#This Row],[№ акта]],$AQ$1:$AT$594,4,FALSE())</f>
        <v>Братковский закупка (полив)</v>
      </c>
      <c r="AL264" s="230" t="n">
        <f aca="false">VLOOKUP(Таблица310[[#This Row],[№ акта]],$AQ$1:$AT$594,3,FALSE())</f>
        <v>2.46118183922489</v>
      </c>
      <c r="AM264" s="198" t="str">
        <f aca="false">IF(Таблица310[[#This Row],[Площадь уборки, га]]=Таблица310[[#This Row],[Площадь уборки до корр]],"нет","да")</f>
        <v>нет</v>
      </c>
      <c r="AN264" s="230" t="n">
        <f aca="false">Таблица310[[#This Row],[Площадь уборки до корр]]-Таблица310[[#This Row],[Площадь уборки, га]]</f>
        <v>0</v>
      </c>
      <c r="AQ264" s="0" t="n">
        <v>360</v>
      </c>
      <c r="AR264" s="0" t="s">
        <v>905</v>
      </c>
      <c r="AS264" s="0" t="n">
        <v>2.46118183922489</v>
      </c>
      <c r="AT264" s="0" t="s">
        <v>327</v>
      </c>
      <c r="XEM264" s="216"/>
      <c r="XEN264" s="217"/>
      <c r="XEO264" s="243"/>
      <c r="XEP264" s="218"/>
      <c r="XEQ264" s="244"/>
      <c r="XER264" s="217"/>
    </row>
    <row r="265" customFormat="false" ht="25.5" hidden="false" customHeight="true" outlineLevel="0" collapsed="false">
      <c r="A265" s="216"/>
      <c r="B265" s="217"/>
      <c r="C265" s="241" t="n">
        <f aca="false">Таблица310[[#This Row],[Степень зрелости вспом]]</f>
        <v>54</v>
      </c>
      <c r="D265" s="218" t="n">
        <v>361</v>
      </c>
      <c r="E265" s="219" t="n">
        <v>45820</v>
      </c>
      <c r="F265" s="217" t="n">
        <v>27890</v>
      </c>
      <c r="G265" s="217" t="n">
        <v>13470</v>
      </c>
      <c r="H265" s="220" t="n">
        <v>14420</v>
      </c>
      <c r="I265" s="217" t="n">
        <v>11651.5</v>
      </c>
      <c r="J265" s="216" t="s">
        <v>899</v>
      </c>
      <c r="K265" s="216" t="s">
        <v>904</v>
      </c>
      <c r="L265" s="216" t="s">
        <v>907</v>
      </c>
      <c r="M265" s="189" t="s">
        <v>395</v>
      </c>
      <c r="N265" s="198"/>
      <c r="O265" s="216"/>
      <c r="P265" s="216"/>
      <c r="Q265" s="216"/>
      <c r="R265" s="216" t="s">
        <v>566</v>
      </c>
      <c r="S265" s="198"/>
      <c r="T265" s="228" t="s">
        <v>905</v>
      </c>
      <c r="U265" s="195" t="str">
        <f aca="false">Таблица310[[#This Row],[Регистратор.Номенклатура]]</f>
        <v>Тристар</v>
      </c>
      <c r="V265" s="230" t="n">
        <f aca="false">56.3*Таблица310[[#This Row],[Регистратор.Вес нетто]]/302410</f>
        <v>2.50772461228134</v>
      </c>
      <c r="W265" s="216" t="s">
        <v>327</v>
      </c>
      <c r="X265" s="216" t="s">
        <v>315</v>
      </c>
      <c r="Y265" s="198" t="n">
        <v>3</v>
      </c>
      <c r="Z265" s="221" t="n">
        <v>45820</v>
      </c>
      <c r="AA265" s="198"/>
      <c r="AB265" s="198"/>
      <c r="AC265" s="198" t="s">
        <v>302</v>
      </c>
      <c r="AD265" s="198" t="s">
        <v>417</v>
      </c>
      <c r="AE265" s="198" t="n">
        <v>361</v>
      </c>
      <c r="AF265" s="200" t="n">
        <v>45820</v>
      </c>
      <c r="AG265" s="198" t="n">
        <v>26</v>
      </c>
      <c r="AH265" s="198" t="n">
        <f aca="false">VLOOKUP(Таблица310[[#This Row],[№ акта]],'Степень зрелости 2025'!$H$13:$I$583,2,FALSE())</f>
        <v>54</v>
      </c>
      <c r="AI265" s="198" t="str">
        <f aca="false">VLOOKUP(Таблица310[[#This Row],[№ акта]],$AQ$1:$AT$594,2,FALSE())</f>
        <v>закупка</v>
      </c>
      <c r="AJ265" s="198" t="str">
        <f aca="false">Таблица310[[#This Row],[Регистратор.Номенклатура]]</f>
        <v>Тристар</v>
      </c>
      <c r="AK265" s="198" t="str">
        <f aca="false">VLOOKUP(Таблица310[[#This Row],[№ акта]],$AQ$1:$AT$594,4,FALSE())</f>
        <v>Братковский закупка (полив)</v>
      </c>
      <c r="AL265" s="230" t="n">
        <f aca="false">VLOOKUP(Таблица310[[#This Row],[№ акта]],$AQ$1:$AT$594,3,FALSE())</f>
        <v>2.50772461228134</v>
      </c>
      <c r="AM265" s="198" t="str">
        <f aca="false">IF(Таблица310[[#This Row],[Площадь уборки, га]]=Таблица310[[#This Row],[Площадь уборки до корр]],"нет","да")</f>
        <v>нет</v>
      </c>
      <c r="AN265" s="230" t="n">
        <f aca="false">Таблица310[[#This Row],[Площадь уборки до корр]]-Таблица310[[#This Row],[Площадь уборки, га]]</f>
        <v>0</v>
      </c>
      <c r="AQ265" s="0" t="n">
        <v>361</v>
      </c>
      <c r="AR265" s="0" t="s">
        <v>905</v>
      </c>
      <c r="AS265" s="0" t="n">
        <v>2.50772461228134</v>
      </c>
      <c r="AT265" s="0" t="s">
        <v>327</v>
      </c>
      <c r="XEM265" s="216"/>
      <c r="XEN265" s="217"/>
      <c r="XEO265" s="243"/>
      <c r="XEP265" s="218"/>
      <c r="XEQ265" s="244"/>
      <c r="XER265" s="217"/>
    </row>
    <row r="266" customFormat="false" ht="25.5" hidden="false" customHeight="true" outlineLevel="0" collapsed="false">
      <c r="A266" s="216"/>
      <c r="B266" s="217"/>
      <c r="C266" s="241" t="n">
        <f aca="false">Таблица310[[#This Row],[Степень зрелости вспом]]</f>
        <v>54</v>
      </c>
      <c r="D266" s="218" t="n">
        <v>362</v>
      </c>
      <c r="E266" s="219" t="n">
        <v>45820</v>
      </c>
      <c r="F266" s="217" t="n">
        <v>23210</v>
      </c>
      <c r="G266" s="217" t="n">
        <v>8080</v>
      </c>
      <c r="H266" s="220" t="n">
        <v>15130</v>
      </c>
      <c r="I266" s="217" t="n">
        <v>6383.2</v>
      </c>
      <c r="J266" s="216" t="s">
        <v>899</v>
      </c>
      <c r="K266" s="216" t="s">
        <v>904</v>
      </c>
      <c r="L266" s="216" t="s">
        <v>907</v>
      </c>
      <c r="M266" s="189" t="s">
        <v>386</v>
      </c>
      <c r="N266" s="198"/>
      <c r="O266" s="216"/>
      <c r="P266" s="216"/>
      <c r="Q266" s="216"/>
      <c r="R266" s="216" t="s">
        <v>387</v>
      </c>
      <c r="S266" s="198"/>
      <c r="T266" s="228" t="s">
        <v>905</v>
      </c>
      <c r="U266" s="195" t="str">
        <f aca="false">Таблица310[[#This Row],[Регистратор.Номенклатура]]</f>
        <v>Тристар</v>
      </c>
      <c r="V266" s="230" t="n">
        <f aca="false">56.3*Таблица310[[#This Row],[Регистратор.Вес нетто]]/302410</f>
        <v>1.50426242518435</v>
      </c>
      <c r="W266" s="216" t="s">
        <v>327</v>
      </c>
      <c r="X266" s="216" t="s">
        <v>315</v>
      </c>
      <c r="Y266" s="198" t="n">
        <v>3</v>
      </c>
      <c r="Z266" s="221" t="n">
        <v>45820</v>
      </c>
      <c r="AA266" s="198"/>
      <c r="AB266" s="198"/>
      <c r="AC266" s="198" t="s">
        <v>302</v>
      </c>
      <c r="AD266" s="198" t="s">
        <v>417</v>
      </c>
      <c r="AE266" s="198" t="n">
        <v>362</v>
      </c>
      <c r="AF266" s="200" t="n">
        <v>45820</v>
      </c>
      <c r="AG266" s="198" t="s">
        <v>906</v>
      </c>
      <c r="AH266" s="198" t="n">
        <f aca="false">VLOOKUP(Таблица310[[#This Row],[№ акта]],'Степень зрелости 2025'!$H$13:$I$583,2,FALSE())</f>
        <v>54</v>
      </c>
      <c r="AI266" s="198" t="str">
        <f aca="false">VLOOKUP(Таблица310[[#This Row],[№ акта]],$AQ$1:$AT$594,2,FALSE())</f>
        <v>закупка</v>
      </c>
      <c r="AJ266" s="198" t="str">
        <f aca="false">Таблица310[[#This Row],[Регистратор.Номенклатура]]</f>
        <v>Тристар</v>
      </c>
      <c r="AK266" s="198" t="str">
        <f aca="false">VLOOKUP(Таблица310[[#This Row],[№ акта]],$AQ$1:$AT$594,4,FALSE())</f>
        <v>Братковский закупка (полив)</v>
      </c>
      <c r="AL266" s="230" t="n">
        <f aca="false">VLOOKUP(Таблица310[[#This Row],[№ акта]],$AQ$1:$AT$594,3,FALSE())</f>
        <v>1.50426242518435</v>
      </c>
      <c r="AM266" s="198" t="str">
        <f aca="false">IF(Таблица310[[#This Row],[Площадь уборки, га]]=Таблица310[[#This Row],[Площадь уборки до корр]],"нет","да")</f>
        <v>нет</v>
      </c>
      <c r="AN266" s="230" t="n">
        <f aca="false">Таблица310[[#This Row],[Площадь уборки до корр]]-Таблица310[[#This Row],[Площадь уборки, га]]</f>
        <v>0</v>
      </c>
      <c r="AQ266" s="0" t="n">
        <v>362</v>
      </c>
      <c r="AR266" s="0" t="s">
        <v>905</v>
      </c>
      <c r="AS266" s="0" t="n">
        <v>1.50426242518435</v>
      </c>
      <c r="AT266" s="0" t="s">
        <v>327</v>
      </c>
      <c r="XEM266" s="216"/>
      <c r="XEN266" s="217"/>
      <c r="XEO266" s="243"/>
      <c r="XEP266" s="218"/>
      <c r="XEQ266" s="244"/>
      <c r="XER266" s="217"/>
    </row>
    <row r="267" customFormat="false" ht="25.5" hidden="false" customHeight="true" outlineLevel="0" collapsed="false">
      <c r="A267" s="216"/>
      <c r="B267" s="217"/>
      <c r="C267" s="241" t="n">
        <f aca="false">Таблица310[[#This Row],[Степень зрелости вспом]]</f>
        <v>50</v>
      </c>
      <c r="D267" s="218" t="n">
        <v>363</v>
      </c>
      <c r="E267" s="219" t="n">
        <v>45821</v>
      </c>
      <c r="F267" s="217" t="n">
        <v>27530</v>
      </c>
      <c r="G267" s="217" t="n">
        <v>13080</v>
      </c>
      <c r="H267" s="220" t="n">
        <v>14450</v>
      </c>
      <c r="I267" s="217" t="n">
        <v>10856.4</v>
      </c>
      <c r="J267" s="216" t="s">
        <v>899</v>
      </c>
      <c r="K267" s="216" t="s">
        <v>900</v>
      </c>
      <c r="L267" s="216" t="s">
        <v>901</v>
      </c>
      <c r="M267" s="189" t="s">
        <v>384</v>
      </c>
      <c r="N267" s="198"/>
      <c r="O267" s="216"/>
      <c r="P267" s="216"/>
      <c r="Q267" s="216"/>
      <c r="R267" s="216" t="s">
        <v>385</v>
      </c>
      <c r="S267" s="198"/>
      <c r="T267" s="246" t="n">
        <v>41</v>
      </c>
      <c r="U267" s="195" t="str">
        <f aca="false">Таблица310[[#This Row],[Регистратор.Номенклатура]]</f>
        <v>Фаворит</v>
      </c>
      <c r="V267" s="230" t="n">
        <f aca="false">13.6*Таблица310[[#This Row],[Регистратор.Вес нетто]]/33720</f>
        <v>5.27544483985765</v>
      </c>
      <c r="W267" s="216" t="s">
        <v>326</v>
      </c>
      <c r="X267" s="216" t="s">
        <v>315</v>
      </c>
      <c r="Y267" s="198" t="n">
        <v>3</v>
      </c>
      <c r="Z267" s="221" t="n">
        <v>45820</v>
      </c>
      <c r="AA267" s="198"/>
      <c r="AB267" s="198"/>
      <c r="AC267" s="198" t="s">
        <v>53</v>
      </c>
      <c r="AD267" s="198" t="s">
        <v>417</v>
      </c>
      <c r="AE267" s="198" t="n">
        <v>363</v>
      </c>
      <c r="AF267" s="200" t="n">
        <v>45821</v>
      </c>
      <c r="AG267" s="198" t="n">
        <v>28</v>
      </c>
      <c r="AH267" s="198" t="n">
        <f aca="false">VLOOKUP(Таблица310[[#This Row],[№ акта]],'Степень зрелости 2025'!$H$13:$I$583,2,FALSE())</f>
        <v>50</v>
      </c>
      <c r="AI267" s="198" t="n">
        <f aca="false">VLOOKUP(Таблица310[[#This Row],[№ акта]],$AQ$1:$AT$594,2,FALSE())</f>
        <v>41</v>
      </c>
      <c r="AJ267" s="198" t="str">
        <f aca="false">Таблица310[[#This Row],[Регистратор.Номенклатура]]</f>
        <v>Фаворит</v>
      </c>
      <c r="AK267" s="198" t="str">
        <f aca="false">VLOOKUP(Таблица310[[#This Row],[№ акта]],$AQ$1:$AT$594,4,FALSE())</f>
        <v>Братковский (полив)</v>
      </c>
      <c r="AL267" s="230" t="n">
        <f aca="false">VLOOKUP(Таблица310[[#This Row],[№ акта]],$AQ$1:$AT$594,3,FALSE())</f>
        <v>5.27544483985765</v>
      </c>
      <c r="AM267" s="198" t="str">
        <f aca="false">IF(Таблица310[[#This Row],[Площадь уборки, га]]=Таблица310[[#This Row],[Площадь уборки до корр]],"нет","да")</f>
        <v>нет</v>
      </c>
      <c r="AN267" s="230" t="n">
        <f aca="false">Таблица310[[#This Row],[Площадь уборки до корр]]-Таблица310[[#This Row],[Площадь уборки, га]]</f>
        <v>0</v>
      </c>
      <c r="AQ267" s="0" t="n">
        <v>363</v>
      </c>
      <c r="AR267" s="0" t="n">
        <v>41</v>
      </c>
      <c r="AS267" s="0" t="n">
        <v>5.27544483985765</v>
      </c>
      <c r="AT267" s="0" t="s">
        <v>326</v>
      </c>
      <c r="XEM267" s="216"/>
      <c r="XEN267" s="217"/>
      <c r="XEO267" s="243"/>
      <c r="XEP267" s="218"/>
      <c r="XEQ267" s="244"/>
      <c r="XER267" s="217"/>
    </row>
    <row r="268" customFormat="false" ht="25.5" hidden="false" customHeight="true" outlineLevel="0" collapsed="false">
      <c r="A268" s="216"/>
      <c r="B268" s="217"/>
      <c r="C268" s="241" t="n">
        <f aca="false">Таблица310[[#This Row],[Степень зрелости вспом]]</f>
        <v>51</v>
      </c>
      <c r="D268" s="218" t="n">
        <v>364</v>
      </c>
      <c r="E268" s="219" t="n">
        <v>45821</v>
      </c>
      <c r="F268" s="217" t="n">
        <v>28900</v>
      </c>
      <c r="G268" s="217" t="n">
        <v>14010</v>
      </c>
      <c r="H268" s="220" t="n">
        <v>14890</v>
      </c>
      <c r="I268" s="217" t="n">
        <v>12118.6</v>
      </c>
      <c r="J268" s="216" t="s">
        <v>899</v>
      </c>
      <c r="K268" s="216" t="s">
        <v>900</v>
      </c>
      <c r="L268" s="216" t="s">
        <v>901</v>
      </c>
      <c r="M268" s="189" t="s">
        <v>382</v>
      </c>
      <c r="N268" s="198"/>
      <c r="O268" s="216"/>
      <c r="P268" s="216"/>
      <c r="Q268" s="216"/>
      <c r="R268" s="216" t="s">
        <v>383</v>
      </c>
      <c r="S268" s="198"/>
      <c r="T268" s="246" t="n">
        <v>41</v>
      </c>
      <c r="U268" s="195" t="str">
        <f aca="false">Таблица310[[#This Row],[Регистратор.Номенклатура]]</f>
        <v>Фаворит</v>
      </c>
      <c r="V268" s="230" t="n">
        <f aca="false">13.6*Таблица310[[#This Row],[Регистратор.Вес нетто]]/33720</f>
        <v>5.65053380782918</v>
      </c>
      <c r="W268" s="216" t="s">
        <v>326</v>
      </c>
      <c r="X268" s="216" t="s">
        <v>315</v>
      </c>
      <c r="Y268" s="198" t="n">
        <v>3</v>
      </c>
      <c r="Z268" s="221" t="n">
        <v>45820</v>
      </c>
      <c r="AA268" s="198"/>
      <c r="AB268" s="198"/>
      <c r="AC268" s="198" t="s">
        <v>53</v>
      </c>
      <c r="AD268" s="198" t="s">
        <v>417</v>
      </c>
      <c r="AE268" s="198" t="n">
        <v>364</v>
      </c>
      <c r="AF268" s="200" t="n">
        <v>45821</v>
      </c>
      <c r="AG268" s="198" t="n">
        <v>29</v>
      </c>
      <c r="AH268" s="198" t="n">
        <f aca="false">VLOOKUP(Таблица310[[#This Row],[№ акта]],'Степень зрелости 2025'!$H$13:$I$583,2,FALSE())</f>
        <v>51</v>
      </c>
      <c r="AI268" s="198" t="n">
        <f aca="false">VLOOKUP(Таблица310[[#This Row],[№ акта]],$AQ$1:$AT$594,2,FALSE())</f>
        <v>41</v>
      </c>
      <c r="AJ268" s="198" t="str">
        <f aca="false">Таблица310[[#This Row],[Регистратор.Номенклатура]]</f>
        <v>Фаворит</v>
      </c>
      <c r="AK268" s="198" t="str">
        <f aca="false">VLOOKUP(Таблица310[[#This Row],[№ акта]],$AQ$1:$AT$594,4,FALSE())</f>
        <v>Братковский (полив)</v>
      </c>
      <c r="AL268" s="230" t="n">
        <f aca="false">VLOOKUP(Таблица310[[#This Row],[№ акта]],$AQ$1:$AT$594,3,FALSE())</f>
        <v>5.65053380782918</v>
      </c>
      <c r="AM268" s="198" t="str">
        <f aca="false">IF(Таблица310[[#This Row],[Площадь уборки, га]]=Таблица310[[#This Row],[Площадь уборки до корр]],"нет","да")</f>
        <v>нет</v>
      </c>
      <c r="AN268" s="230" t="n">
        <f aca="false">Таблица310[[#This Row],[Площадь уборки до корр]]-Таблица310[[#This Row],[Площадь уборки, га]]</f>
        <v>0</v>
      </c>
      <c r="AQ268" s="0" t="n">
        <v>364</v>
      </c>
      <c r="AR268" s="0" t="n">
        <v>41</v>
      </c>
      <c r="AS268" s="0" t="n">
        <v>5.65053380782918</v>
      </c>
      <c r="AT268" s="0" t="s">
        <v>326</v>
      </c>
      <c r="XEM268" s="216"/>
      <c r="XEN268" s="217"/>
      <c r="XEO268" s="243"/>
      <c r="XEP268" s="218"/>
      <c r="XEQ268" s="244"/>
      <c r="XER268" s="217"/>
    </row>
    <row r="269" customFormat="false" ht="25.5" hidden="false" customHeight="true" outlineLevel="0" collapsed="false">
      <c r="A269" s="216"/>
      <c r="B269" s="217"/>
      <c r="C269" s="241" t="n">
        <f aca="false">Таблица310[[#This Row],[Степень зрелости вспом]]</f>
        <v>56</v>
      </c>
      <c r="D269" s="218" t="n">
        <v>365</v>
      </c>
      <c r="E269" s="219" t="n">
        <v>45820</v>
      </c>
      <c r="F269" s="217" t="n">
        <v>29840</v>
      </c>
      <c r="G269" s="217" t="n">
        <v>6630</v>
      </c>
      <c r="H269" s="220" t="n">
        <v>23210</v>
      </c>
      <c r="I269" s="217" t="n">
        <v>5668.6</v>
      </c>
      <c r="J269" s="216" t="s">
        <v>899</v>
      </c>
      <c r="K269" s="216" t="s">
        <v>900</v>
      </c>
      <c r="L269" s="216" t="s">
        <v>901</v>
      </c>
      <c r="M269" s="189" t="s">
        <v>386</v>
      </c>
      <c r="N269" s="198"/>
      <c r="O269" s="216"/>
      <c r="P269" s="216"/>
      <c r="Q269" s="216"/>
      <c r="R269" s="216" t="s">
        <v>387</v>
      </c>
      <c r="S269" s="198"/>
      <c r="T269" s="246" t="n">
        <v>41</v>
      </c>
      <c r="U269" s="195" t="str">
        <f aca="false">Таблица310[[#This Row],[Регистратор.Номенклатура]]</f>
        <v>Фаворит</v>
      </c>
      <c r="V269" s="230" t="n">
        <f aca="false">13.6*Таблица310[[#This Row],[Регистратор.Вес нетто]]/33720</f>
        <v>2.67402135231317</v>
      </c>
      <c r="W269" s="216" t="s">
        <v>326</v>
      </c>
      <c r="X269" s="216" t="s">
        <v>315</v>
      </c>
      <c r="Y269" s="198" t="n">
        <v>3</v>
      </c>
      <c r="Z269" s="221" t="n">
        <v>45820</v>
      </c>
      <c r="AA269" s="198"/>
      <c r="AB269" s="198"/>
      <c r="AC269" s="198" t="s">
        <v>302</v>
      </c>
      <c r="AD269" s="198" t="s">
        <v>417</v>
      </c>
      <c r="AE269" s="198" t="n">
        <v>365</v>
      </c>
      <c r="AF269" s="200" t="n">
        <v>45820</v>
      </c>
      <c r="AG269" s="198" t="s">
        <v>906</v>
      </c>
      <c r="AH269" s="198" t="n">
        <f aca="false">VLOOKUP(Таблица310[[#This Row],[№ акта]],'Степень зрелости 2025'!$H$13:$I$583,2,FALSE())</f>
        <v>56</v>
      </c>
      <c r="AI269" s="198" t="n">
        <f aca="false">VLOOKUP(Таблица310[[#This Row],[№ акта]],$AQ$1:$AT$594,2,FALSE())</f>
        <v>41</v>
      </c>
      <c r="AJ269" s="198" t="str">
        <f aca="false">Таблица310[[#This Row],[Регистратор.Номенклатура]]</f>
        <v>Фаворит</v>
      </c>
      <c r="AK269" s="198" t="str">
        <f aca="false">VLOOKUP(Таблица310[[#This Row],[№ акта]],$AQ$1:$AT$594,4,FALSE())</f>
        <v>Братковский (полив)</v>
      </c>
      <c r="AL269" s="230" t="n">
        <f aca="false">VLOOKUP(Таблица310[[#This Row],[№ акта]],$AQ$1:$AT$594,3,FALSE())</f>
        <v>2.67402135231317</v>
      </c>
      <c r="AM269" s="198" t="str">
        <f aca="false">IF(Таблица310[[#This Row],[Площадь уборки, га]]=Таблица310[[#This Row],[Площадь уборки до корр]],"нет","да")</f>
        <v>нет</v>
      </c>
      <c r="AN269" s="230" t="n">
        <f aca="false">Таблица310[[#This Row],[Площадь уборки до корр]]-Таблица310[[#This Row],[Площадь уборки, га]]</f>
        <v>0</v>
      </c>
      <c r="AQ269" s="0" t="n">
        <v>365</v>
      </c>
      <c r="AR269" s="0" t="n">
        <v>41</v>
      </c>
      <c r="AS269" s="0" t="n">
        <v>2.67402135231317</v>
      </c>
      <c r="AT269" s="0" t="s">
        <v>326</v>
      </c>
      <c r="XEM269" s="216"/>
      <c r="XEN269" s="217"/>
      <c r="XEO269" s="243"/>
      <c r="XEP269" s="218"/>
      <c r="XEQ269" s="244"/>
      <c r="XER269" s="217"/>
    </row>
    <row r="270" customFormat="false" ht="25.5" hidden="false" customHeight="true" outlineLevel="0" collapsed="false">
      <c r="A270" s="216"/>
      <c r="B270" s="217"/>
      <c r="C270" s="241" t="n">
        <f aca="false">Таблица310[[#This Row],[Степень зрелости вспом]]</f>
        <v>60</v>
      </c>
      <c r="D270" s="218" t="n">
        <v>366</v>
      </c>
      <c r="E270" s="219" t="n">
        <v>45821</v>
      </c>
      <c r="F270" s="217" t="n">
        <v>36780</v>
      </c>
      <c r="G270" s="217" t="n">
        <v>15820</v>
      </c>
      <c r="H270" s="220" t="n">
        <v>20960</v>
      </c>
      <c r="I270" s="217" t="n">
        <v>13482.7</v>
      </c>
      <c r="J270" s="216" t="s">
        <v>899</v>
      </c>
      <c r="K270" s="216" t="s">
        <v>904</v>
      </c>
      <c r="L270" s="216" t="s">
        <v>901</v>
      </c>
      <c r="M270" s="189" t="s">
        <v>427</v>
      </c>
      <c r="N270" s="198"/>
      <c r="O270" s="216"/>
      <c r="P270" s="216"/>
      <c r="Q270" s="216"/>
      <c r="R270" s="216" t="s">
        <v>431</v>
      </c>
      <c r="S270" s="198"/>
      <c r="T270" s="228" t="s">
        <v>905</v>
      </c>
      <c r="U270" s="195" t="str">
        <f aca="false">Таблица310[[#This Row],[Регистратор.Номенклатура]]</f>
        <v>Тристар</v>
      </c>
      <c r="V270" s="230" t="n">
        <f aca="false">56.3*Таблица310[[#This Row],[Регистратор.Вес нетто]]/302410</f>
        <v>2.94522667901194</v>
      </c>
      <c r="W270" s="216" t="s">
        <v>327</v>
      </c>
      <c r="X270" s="216" t="s">
        <v>315</v>
      </c>
      <c r="Y270" s="198" t="n">
        <v>3</v>
      </c>
      <c r="Z270" s="221" t="n">
        <v>45820</v>
      </c>
      <c r="AA270" s="198"/>
      <c r="AB270" s="198"/>
      <c r="AC270" s="198" t="s">
        <v>302</v>
      </c>
      <c r="AD270" s="198" t="s">
        <v>417</v>
      </c>
      <c r="AE270" s="198" t="n">
        <v>366</v>
      </c>
      <c r="AF270" s="200" t="n">
        <v>45821</v>
      </c>
      <c r="AG270" s="198" t="n">
        <v>30</v>
      </c>
      <c r="AH270" s="198" t="n">
        <f aca="false">VLOOKUP(Таблица310[[#This Row],[№ акта]],'Степень зрелости 2025'!$H$13:$I$583,2,FALSE())</f>
        <v>60</v>
      </c>
      <c r="AI270" s="198" t="str">
        <f aca="false">VLOOKUP(Таблица310[[#This Row],[№ акта]],$AQ$1:$AT$594,2,FALSE())</f>
        <v>закупка</v>
      </c>
      <c r="AJ270" s="198" t="str">
        <f aca="false">Таблица310[[#This Row],[Регистратор.Номенклатура]]</f>
        <v>Тристар</v>
      </c>
      <c r="AK270" s="198" t="str">
        <f aca="false">VLOOKUP(Таблица310[[#This Row],[№ акта]],$AQ$1:$AT$594,4,FALSE())</f>
        <v>Братковский закупка (полив)</v>
      </c>
      <c r="AL270" s="230" t="n">
        <f aca="false">VLOOKUP(Таблица310[[#This Row],[№ акта]],$AQ$1:$AT$594,3,FALSE())</f>
        <v>2.94522667901194</v>
      </c>
      <c r="AM270" s="198" t="str">
        <f aca="false">IF(Таблица310[[#This Row],[Площадь уборки, га]]=Таблица310[[#This Row],[Площадь уборки до корр]],"нет","да")</f>
        <v>нет</v>
      </c>
      <c r="AN270" s="230" t="n">
        <f aca="false">Таблица310[[#This Row],[Площадь уборки до корр]]-Таблица310[[#This Row],[Площадь уборки, га]]</f>
        <v>0</v>
      </c>
      <c r="AQ270" s="0" t="n">
        <v>366</v>
      </c>
      <c r="AR270" s="0" t="s">
        <v>905</v>
      </c>
      <c r="AS270" s="0" t="n">
        <v>2.94522667901194</v>
      </c>
      <c r="AT270" s="0" t="s">
        <v>327</v>
      </c>
      <c r="XEM270" s="216"/>
      <c r="XEN270" s="217"/>
      <c r="XEO270" s="243"/>
      <c r="XEP270" s="218"/>
      <c r="XEQ270" s="244"/>
      <c r="XER270" s="217"/>
    </row>
    <row r="271" customFormat="false" ht="25.5" hidden="false" customHeight="true" outlineLevel="0" collapsed="false">
      <c r="A271" s="216"/>
      <c r="B271" s="217"/>
      <c r="C271" s="241" t="n">
        <f aca="false">Таблица310[[#This Row],[Степень зрелости вспом]]</f>
        <v>56</v>
      </c>
      <c r="D271" s="218" t="n">
        <v>367</v>
      </c>
      <c r="E271" s="219" t="n">
        <v>45821</v>
      </c>
      <c r="F271" s="217" t="n">
        <v>34890</v>
      </c>
      <c r="G271" s="217" t="n">
        <v>16240</v>
      </c>
      <c r="H271" s="220" t="n">
        <v>18650</v>
      </c>
      <c r="I271" s="217" t="n">
        <v>14697.2</v>
      </c>
      <c r="J271" s="216" t="s">
        <v>899</v>
      </c>
      <c r="K271" s="216" t="s">
        <v>904</v>
      </c>
      <c r="L271" s="216" t="s">
        <v>628</v>
      </c>
      <c r="M271" s="189" t="s">
        <v>365</v>
      </c>
      <c r="N271" s="198"/>
      <c r="O271" s="216"/>
      <c r="P271" s="216"/>
      <c r="Q271" s="216"/>
      <c r="R271" s="216" t="s">
        <v>373</v>
      </c>
      <c r="S271" s="198"/>
      <c r="T271" s="228" t="s">
        <v>905</v>
      </c>
      <c r="U271" s="195" t="str">
        <f aca="false">Таблица310[[#This Row],[Регистратор.Номенклатура]]</f>
        <v>Тристар</v>
      </c>
      <c r="V271" s="230" t="n">
        <f aca="false">56.3*Таблица310[[#This Row],[Регистратор.Вес нетто]]/302410</f>
        <v>3.02341853774677</v>
      </c>
      <c r="W271" s="216" t="s">
        <v>327</v>
      </c>
      <c r="X271" s="216" t="s">
        <v>315</v>
      </c>
      <c r="Y271" s="198" t="n">
        <v>3</v>
      </c>
      <c r="Z271" s="221" t="n">
        <v>45820</v>
      </c>
      <c r="AA271" s="198"/>
      <c r="AB271" s="198"/>
      <c r="AC271" s="198" t="s">
        <v>302</v>
      </c>
      <c r="AD271" s="198" t="s">
        <v>417</v>
      </c>
      <c r="AE271" s="198" t="n">
        <v>367</v>
      </c>
      <c r="AF271" s="200" t="n">
        <v>45821</v>
      </c>
      <c r="AG271" s="198" t="n">
        <v>31</v>
      </c>
      <c r="AH271" s="198" t="n">
        <f aca="false">VLOOKUP(Таблица310[[#This Row],[№ акта]],'Степень зрелости 2025'!$H$13:$I$583,2,FALSE())</f>
        <v>56</v>
      </c>
      <c r="AI271" s="198" t="str">
        <f aca="false">VLOOKUP(Таблица310[[#This Row],[№ акта]],$AQ$1:$AT$594,2,FALSE())</f>
        <v>закупка</v>
      </c>
      <c r="AJ271" s="198" t="str">
        <f aca="false">Таблица310[[#This Row],[Регистратор.Номенклатура]]</f>
        <v>Тристар</v>
      </c>
      <c r="AK271" s="198" t="str">
        <f aca="false">VLOOKUP(Таблица310[[#This Row],[№ акта]],$AQ$1:$AT$594,4,FALSE())</f>
        <v>Братковский закупка (полив)</v>
      </c>
      <c r="AL271" s="230" t="n">
        <f aca="false">VLOOKUP(Таблица310[[#This Row],[№ акта]],$AQ$1:$AT$594,3,FALSE())</f>
        <v>3.02341853774677</v>
      </c>
      <c r="AM271" s="198" t="str">
        <f aca="false">IF(Таблица310[[#This Row],[Площадь уборки, га]]=Таблица310[[#This Row],[Площадь уборки до корр]],"нет","да")</f>
        <v>нет</v>
      </c>
      <c r="AN271" s="230" t="n">
        <f aca="false">Таблица310[[#This Row],[Площадь уборки до корр]]-Таблица310[[#This Row],[Площадь уборки, га]]</f>
        <v>0</v>
      </c>
      <c r="AQ271" s="0" t="n">
        <v>367</v>
      </c>
      <c r="AR271" s="0" t="s">
        <v>905</v>
      </c>
      <c r="AS271" s="0" t="n">
        <v>3.02341853774677</v>
      </c>
      <c r="AT271" s="0" t="s">
        <v>327</v>
      </c>
      <c r="XEM271" s="216"/>
      <c r="XEN271" s="217"/>
      <c r="XEO271" s="243"/>
      <c r="XEP271" s="218"/>
      <c r="XEQ271" s="244"/>
      <c r="XER271" s="217"/>
    </row>
    <row r="272" customFormat="false" ht="25.5" hidden="false" customHeight="true" outlineLevel="0" collapsed="false">
      <c r="A272" s="216"/>
      <c r="B272" s="217"/>
      <c r="C272" s="241" t="n">
        <f aca="false">Таблица310[[#This Row],[Степень зрелости вспом]]</f>
        <v>57</v>
      </c>
      <c r="D272" s="218" t="n">
        <v>368</v>
      </c>
      <c r="E272" s="219" t="n">
        <v>45821</v>
      </c>
      <c r="F272" s="217" t="n">
        <v>28220</v>
      </c>
      <c r="G272" s="217" t="n">
        <v>13400</v>
      </c>
      <c r="H272" s="220" t="n">
        <v>14820</v>
      </c>
      <c r="I272" s="217" t="n">
        <v>11725</v>
      </c>
      <c r="J272" s="216" t="s">
        <v>899</v>
      </c>
      <c r="K272" s="216" t="s">
        <v>904</v>
      </c>
      <c r="L272" s="216" t="s">
        <v>628</v>
      </c>
      <c r="M272" s="189" t="s">
        <v>457</v>
      </c>
      <c r="N272" s="198"/>
      <c r="O272" s="216"/>
      <c r="P272" s="216"/>
      <c r="Q272" s="216"/>
      <c r="R272" s="216" t="s">
        <v>366</v>
      </c>
      <c r="S272" s="198"/>
      <c r="T272" s="228" t="s">
        <v>905</v>
      </c>
      <c r="U272" s="195" t="str">
        <f aca="false">Таблица310[[#This Row],[Регистратор.Номенклатура]]</f>
        <v>Тристар</v>
      </c>
      <c r="V272" s="230" t="n">
        <f aca="false">35*Таблица310[[#This Row],[Регистратор.Вес нетто]]/223090</f>
        <v>2.10229055538124</v>
      </c>
      <c r="W272" s="216" t="s">
        <v>327</v>
      </c>
      <c r="X272" s="216" t="s">
        <v>315</v>
      </c>
      <c r="Y272" s="198" t="n">
        <v>4</v>
      </c>
      <c r="Z272" s="221" t="n">
        <v>45821</v>
      </c>
      <c r="AA272" s="198"/>
      <c r="AB272" s="198"/>
      <c r="AC272" s="198" t="s">
        <v>302</v>
      </c>
      <c r="AD272" s="198" t="s">
        <v>417</v>
      </c>
      <c r="AE272" s="198" t="n">
        <v>368</v>
      </c>
      <c r="AF272" s="200" t="n">
        <v>45821</v>
      </c>
      <c r="AG272" s="198" t="n">
        <v>32</v>
      </c>
      <c r="AH272" s="198" t="n">
        <f aca="false">VLOOKUP(Таблица310[[#This Row],[№ акта]],'Степень зрелости 2025'!$H$13:$I$583,2,FALSE())</f>
        <v>57</v>
      </c>
      <c r="AI272" s="198" t="str">
        <f aca="false">VLOOKUP(Таблица310[[#This Row],[№ акта]],$AQ$1:$AT$594,2,FALSE())</f>
        <v>закупка</v>
      </c>
      <c r="AJ272" s="198" t="str">
        <f aca="false">Таблица310[[#This Row],[Регистратор.Номенклатура]]</f>
        <v>Тристар</v>
      </c>
      <c r="AK272" s="198" t="str">
        <f aca="false">VLOOKUP(Таблица310[[#This Row],[№ акта]],$AQ$1:$AT$594,4,FALSE())</f>
        <v>Братковский закупка (полив)</v>
      </c>
      <c r="AL272" s="230" t="n">
        <f aca="false">VLOOKUP(Таблица310[[#This Row],[№ акта]],$AQ$1:$AT$594,3,FALSE())</f>
        <v>2.10229055538124</v>
      </c>
      <c r="AM272" s="198" t="str">
        <f aca="false">IF(Таблица310[[#This Row],[Площадь уборки, га]]=Таблица310[[#This Row],[Площадь уборки до корр]],"нет","да")</f>
        <v>нет</v>
      </c>
      <c r="AN272" s="230" t="n">
        <f aca="false">Таблица310[[#This Row],[Площадь уборки до корр]]-Таблица310[[#This Row],[Площадь уборки, га]]</f>
        <v>0</v>
      </c>
      <c r="AQ272" s="0" t="n">
        <v>368</v>
      </c>
      <c r="AR272" s="0" t="s">
        <v>905</v>
      </c>
      <c r="AS272" s="0" t="n">
        <v>2.10229055538124</v>
      </c>
      <c r="AT272" s="0" t="s">
        <v>327</v>
      </c>
      <c r="XEM272" s="216"/>
      <c r="XEN272" s="217"/>
      <c r="XEO272" s="243"/>
      <c r="XEP272" s="218"/>
      <c r="XEQ272" s="244"/>
      <c r="XER272" s="217"/>
    </row>
    <row r="273" customFormat="false" ht="25.5" hidden="false" customHeight="true" outlineLevel="0" collapsed="false">
      <c r="A273" s="216"/>
      <c r="B273" s="217"/>
      <c r="C273" s="241" t="n">
        <f aca="false">Таблица310[[#This Row],[Степень зрелости вспом]]</f>
        <v>57</v>
      </c>
      <c r="D273" s="218" t="n">
        <v>369</v>
      </c>
      <c r="E273" s="219" t="n">
        <v>45821</v>
      </c>
      <c r="F273" s="217" t="n">
        <v>28150</v>
      </c>
      <c r="G273" s="217" t="n">
        <v>13240</v>
      </c>
      <c r="H273" s="220" t="n">
        <v>14910</v>
      </c>
      <c r="I273" s="217" t="n">
        <v>12114.6</v>
      </c>
      <c r="J273" s="216" t="s">
        <v>899</v>
      </c>
      <c r="K273" s="216" t="s">
        <v>904</v>
      </c>
      <c r="L273" s="216" t="s">
        <v>628</v>
      </c>
      <c r="M273" s="189" t="s">
        <v>433</v>
      </c>
      <c r="N273" s="198"/>
      <c r="O273" s="216"/>
      <c r="P273" s="216"/>
      <c r="Q273" s="216"/>
      <c r="R273" s="216" t="s">
        <v>437</v>
      </c>
      <c r="S273" s="198"/>
      <c r="T273" s="228" t="s">
        <v>905</v>
      </c>
      <c r="U273" s="195" t="str">
        <f aca="false">Таблица310[[#This Row],[Регистратор.Номенклатура]]</f>
        <v>Тристар</v>
      </c>
      <c r="V273" s="230" t="n">
        <f aca="false">35*Таблица310[[#This Row],[Регистратор.Вес нетто]]/223090</f>
        <v>2.07718857860057</v>
      </c>
      <c r="W273" s="216" t="s">
        <v>327</v>
      </c>
      <c r="X273" s="216" t="s">
        <v>315</v>
      </c>
      <c r="Y273" s="198" t="n">
        <v>4</v>
      </c>
      <c r="Z273" s="221" t="n">
        <v>45821</v>
      </c>
      <c r="AA273" s="198"/>
      <c r="AB273" s="198"/>
      <c r="AC273" s="198" t="s">
        <v>302</v>
      </c>
      <c r="AD273" s="198" t="s">
        <v>417</v>
      </c>
      <c r="AE273" s="198" t="n">
        <v>369</v>
      </c>
      <c r="AF273" s="200" t="n">
        <v>45821</v>
      </c>
      <c r="AG273" s="198" t="n">
        <v>34</v>
      </c>
      <c r="AH273" s="198" t="n">
        <f aca="false">VLOOKUP(Таблица310[[#This Row],[№ акта]],'Степень зрелости 2025'!$H$13:$I$583,2,FALSE())</f>
        <v>57</v>
      </c>
      <c r="AI273" s="198" t="str">
        <f aca="false">VLOOKUP(Таблица310[[#This Row],[№ акта]],$AQ$1:$AT$594,2,FALSE())</f>
        <v>закупка</v>
      </c>
      <c r="AJ273" s="198" t="str">
        <f aca="false">Таблица310[[#This Row],[Регистратор.Номенклатура]]</f>
        <v>Тристар</v>
      </c>
      <c r="AK273" s="198" t="str">
        <f aca="false">VLOOKUP(Таблица310[[#This Row],[№ акта]],$AQ$1:$AT$594,4,FALSE())</f>
        <v>Братковский закупка (полив)</v>
      </c>
      <c r="AL273" s="230" t="n">
        <f aca="false">VLOOKUP(Таблица310[[#This Row],[№ акта]],$AQ$1:$AT$594,3,FALSE())</f>
        <v>2.07718857860057</v>
      </c>
      <c r="AM273" s="198" t="str">
        <f aca="false">IF(Таблица310[[#This Row],[Площадь уборки, га]]=Таблица310[[#This Row],[Площадь уборки до корр]],"нет","да")</f>
        <v>нет</v>
      </c>
      <c r="AN273" s="230" t="n">
        <f aca="false">Таблица310[[#This Row],[Площадь уборки до корр]]-Таблица310[[#This Row],[Площадь уборки, га]]</f>
        <v>0</v>
      </c>
      <c r="AQ273" s="0" t="n">
        <v>369</v>
      </c>
      <c r="AR273" s="0" t="s">
        <v>905</v>
      </c>
      <c r="AS273" s="0" t="n">
        <v>2.07718857860057</v>
      </c>
      <c r="AT273" s="0" t="s">
        <v>327</v>
      </c>
      <c r="XEM273" s="216"/>
      <c r="XEN273" s="217"/>
      <c r="XEO273" s="243"/>
      <c r="XEP273" s="218"/>
      <c r="XEQ273" s="244"/>
      <c r="XER273" s="217"/>
    </row>
    <row r="274" customFormat="false" ht="25.5" hidden="false" customHeight="true" outlineLevel="0" collapsed="false">
      <c r="A274" s="216"/>
      <c r="B274" s="217"/>
      <c r="C274" s="241" t="n">
        <f aca="false">Таблица310[[#This Row],[Степень зрелости вспом]]</f>
        <v>54</v>
      </c>
      <c r="D274" s="218" t="n">
        <v>370</v>
      </c>
      <c r="E274" s="219" t="n">
        <v>45821</v>
      </c>
      <c r="F274" s="217" t="n">
        <v>37170</v>
      </c>
      <c r="G274" s="217" t="n">
        <v>13330</v>
      </c>
      <c r="H274" s="220" t="n">
        <v>23840</v>
      </c>
      <c r="I274" s="217" t="n">
        <v>11530.4</v>
      </c>
      <c r="J274" s="216" t="s">
        <v>899</v>
      </c>
      <c r="K274" s="216" t="s">
        <v>904</v>
      </c>
      <c r="L274" s="216" t="s">
        <v>628</v>
      </c>
      <c r="M274" s="189" t="s">
        <v>439</v>
      </c>
      <c r="N274" s="198"/>
      <c r="O274" s="216"/>
      <c r="P274" s="216"/>
      <c r="Q274" s="216"/>
      <c r="R274" s="216" t="s">
        <v>443</v>
      </c>
      <c r="S274" s="198"/>
      <c r="T274" s="228" t="s">
        <v>905</v>
      </c>
      <c r="U274" s="195" t="str">
        <f aca="false">Таблица310[[#This Row],[Регистратор.Номенклатура]]</f>
        <v>Тристар</v>
      </c>
      <c r="V274" s="230" t="n">
        <f aca="false">35*Таблица310[[#This Row],[Регистратор.Вес нетто]]/223090</f>
        <v>2.09130844053969</v>
      </c>
      <c r="W274" s="216" t="s">
        <v>327</v>
      </c>
      <c r="X274" s="216" t="s">
        <v>315</v>
      </c>
      <c r="Y274" s="198" t="n">
        <v>4</v>
      </c>
      <c r="Z274" s="221" t="n">
        <v>45821</v>
      </c>
      <c r="AA274" s="198"/>
      <c r="AB274" s="198"/>
      <c r="AC274" s="198" t="s">
        <v>302</v>
      </c>
      <c r="AD274" s="198" t="s">
        <v>417</v>
      </c>
      <c r="AE274" s="198" t="n">
        <v>370</v>
      </c>
      <c r="AF274" s="200" t="n">
        <v>45821</v>
      </c>
      <c r="AG274" s="198" t="n">
        <v>33</v>
      </c>
      <c r="AH274" s="198" t="n">
        <f aca="false">VLOOKUP(Таблица310[[#This Row],[№ акта]],'Степень зрелости 2025'!$H$13:$I$583,2,FALSE())</f>
        <v>54</v>
      </c>
      <c r="AI274" s="198" t="str">
        <f aca="false">VLOOKUP(Таблица310[[#This Row],[№ акта]],$AQ$1:$AT$594,2,FALSE())</f>
        <v>закупка</v>
      </c>
      <c r="AJ274" s="198" t="str">
        <f aca="false">Таблица310[[#This Row],[Регистратор.Номенклатура]]</f>
        <v>Тристар</v>
      </c>
      <c r="AK274" s="198" t="str">
        <f aca="false">VLOOKUP(Таблица310[[#This Row],[№ акта]],$AQ$1:$AT$594,4,FALSE())</f>
        <v>Братковский закупка (полив)</v>
      </c>
      <c r="AL274" s="230" t="n">
        <f aca="false">VLOOKUP(Таблица310[[#This Row],[№ акта]],$AQ$1:$AT$594,3,FALSE())</f>
        <v>2.09130844053969</v>
      </c>
      <c r="AM274" s="198" t="str">
        <f aca="false">IF(Таблица310[[#This Row],[Площадь уборки, га]]=Таблица310[[#This Row],[Площадь уборки до корр]],"нет","да")</f>
        <v>нет</v>
      </c>
      <c r="AN274" s="230" t="n">
        <f aca="false">Таблица310[[#This Row],[Площадь уборки до корр]]-Таблица310[[#This Row],[Площадь уборки, га]]</f>
        <v>0</v>
      </c>
      <c r="AQ274" s="0" t="n">
        <v>370</v>
      </c>
      <c r="AR274" s="0" t="s">
        <v>905</v>
      </c>
      <c r="AS274" s="0" t="n">
        <v>2.09130844053969</v>
      </c>
      <c r="AT274" s="0" t="s">
        <v>327</v>
      </c>
      <c r="XEM274" s="216"/>
      <c r="XEN274" s="217"/>
      <c r="XEO274" s="243"/>
      <c r="XEP274" s="218"/>
      <c r="XEQ274" s="244"/>
      <c r="XER274" s="217"/>
    </row>
    <row r="275" customFormat="false" ht="25.5" hidden="false" customHeight="true" outlineLevel="0" collapsed="false">
      <c r="A275" s="216"/>
      <c r="B275" s="217"/>
      <c r="C275" s="241" t="n">
        <f aca="false">Таблица310[[#This Row],[Степень зрелости вспом]]</f>
        <v>42</v>
      </c>
      <c r="D275" s="218" t="n">
        <v>371</v>
      </c>
      <c r="E275" s="219" t="n">
        <v>45821</v>
      </c>
      <c r="F275" s="217" t="n">
        <v>8910</v>
      </c>
      <c r="G275" s="217" t="n">
        <v>4300</v>
      </c>
      <c r="H275" s="220" t="n">
        <v>4610</v>
      </c>
      <c r="I275" s="217" t="n">
        <v>3117.5</v>
      </c>
      <c r="J275" s="216" t="s">
        <v>908</v>
      </c>
      <c r="K275" s="216" t="s">
        <v>904</v>
      </c>
      <c r="L275" s="216" t="n">
        <v>16</v>
      </c>
      <c r="M275" s="189" t="s">
        <v>378</v>
      </c>
      <c r="N275" s="198"/>
      <c r="O275" s="216"/>
      <c r="P275" s="216"/>
      <c r="Q275" s="216"/>
      <c r="R275" s="216" t="s">
        <v>379</v>
      </c>
      <c r="S275" s="198"/>
      <c r="T275" s="216" t="n">
        <v>16</v>
      </c>
      <c r="U275" s="195" t="str">
        <f aca="false">Таблица310[[#This Row],[Регистратор.Номенклатура]]</f>
        <v>Тристар</v>
      </c>
      <c r="V275" s="230" t="n">
        <f aca="false">5*Таблица310[[#This Row],[Регистратор.Вес нетто]]/28730</f>
        <v>0.748346675948486</v>
      </c>
      <c r="W275" s="216" t="s">
        <v>278</v>
      </c>
      <c r="X275" s="216" t="s">
        <v>315</v>
      </c>
      <c r="Y275" s="198" t="n">
        <v>1</v>
      </c>
      <c r="Z275" s="221" t="n">
        <v>45821</v>
      </c>
      <c r="AA275" s="198"/>
      <c r="AB275" s="198"/>
      <c r="AC275" s="198" t="s">
        <v>53</v>
      </c>
      <c r="AD275" s="198" t="s">
        <v>417</v>
      </c>
      <c r="AE275" s="198" t="n">
        <v>371</v>
      </c>
      <c r="AF275" s="200" t="n">
        <v>45821</v>
      </c>
      <c r="AG275" s="198" t="s">
        <v>906</v>
      </c>
      <c r="AH275" s="198" t="n">
        <f aca="false">VLOOKUP(Таблица310[[#This Row],[№ акта]],'Степень зрелости 2025'!$H$13:$I$583,2,FALSE())</f>
        <v>42</v>
      </c>
      <c r="AI275" s="198" t="n">
        <f aca="false">VLOOKUP(Таблица310[[#This Row],[№ акта]],$AQ$1:$AT$594,2,FALSE())</f>
        <v>16</v>
      </c>
      <c r="AJ275" s="198" t="str">
        <f aca="false">Таблица310[[#This Row],[Регистратор.Номенклатура]]</f>
        <v>Тристар</v>
      </c>
      <c r="AK275" s="198" t="str">
        <f aca="false">VLOOKUP(Таблица310[[#This Row],[№ акта]],$AQ$1:$AT$594,4,FALSE())</f>
        <v>Агролидер (полив)</v>
      </c>
      <c r="AL275" s="230" t="n">
        <f aca="false">VLOOKUP(Таблица310[[#This Row],[№ акта]],$AQ$1:$AT$594,3,FALSE())</f>
        <v>0.748346675948486</v>
      </c>
      <c r="AM275" s="198" t="str">
        <f aca="false">IF(Таблица310[[#This Row],[Площадь уборки, га]]=Таблица310[[#This Row],[Площадь уборки до корр]],"нет","да")</f>
        <v>нет</v>
      </c>
      <c r="AN275" s="230" t="n">
        <f aca="false">Таблица310[[#This Row],[Площадь уборки до корр]]-Таблица310[[#This Row],[Площадь уборки, га]]</f>
        <v>0</v>
      </c>
      <c r="AQ275" s="0" t="n">
        <v>371</v>
      </c>
      <c r="AR275" s="0" t="n">
        <v>16</v>
      </c>
      <c r="AS275" s="0" t="n">
        <v>0.748346675948486</v>
      </c>
      <c r="AT275" s="0" t="s">
        <v>278</v>
      </c>
      <c r="XEM275" s="216"/>
      <c r="XEN275" s="217"/>
      <c r="XEO275" s="243"/>
      <c r="XEP275" s="218"/>
      <c r="XEQ275" s="244"/>
      <c r="XER275" s="217"/>
    </row>
    <row r="276" customFormat="false" ht="25.5" hidden="false" customHeight="true" outlineLevel="0" collapsed="false">
      <c r="A276" s="216"/>
      <c r="B276" s="217"/>
      <c r="C276" s="241" t="n">
        <f aca="false">Таблица310[[#This Row],[Степень зрелости вспом]]</f>
        <v>55</v>
      </c>
      <c r="D276" s="218" t="n">
        <v>372</v>
      </c>
      <c r="E276" s="219" t="n">
        <v>45821</v>
      </c>
      <c r="F276" s="217" t="n">
        <v>28520</v>
      </c>
      <c r="G276" s="217" t="n">
        <v>14740</v>
      </c>
      <c r="H276" s="220" t="n">
        <v>13780</v>
      </c>
      <c r="I276" s="217" t="n">
        <v>11276.1</v>
      </c>
      <c r="J276" s="216" t="s">
        <v>899</v>
      </c>
      <c r="K276" s="216" t="s">
        <v>904</v>
      </c>
      <c r="L276" s="216" t="s">
        <v>628</v>
      </c>
      <c r="M276" s="189" t="s">
        <v>359</v>
      </c>
      <c r="N276" s="198"/>
      <c r="O276" s="216"/>
      <c r="P276" s="216"/>
      <c r="Q276" s="216"/>
      <c r="R276" s="216" t="s">
        <v>426</v>
      </c>
      <c r="S276" s="198"/>
      <c r="T276" s="228" t="s">
        <v>905</v>
      </c>
      <c r="U276" s="195" t="str">
        <f aca="false">Таблица310[[#This Row],[Регистратор.Номенклатура]]</f>
        <v>Тристар</v>
      </c>
      <c r="V276" s="230" t="n">
        <f aca="false">35*Таблица310[[#This Row],[Регистратор.Вес нетто]]/223090</f>
        <v>2.31251961091936</v>
      </c>
      <c r="W276" s="216" t="s">
        <v>327</v>
      </c>
      <c r="X276" s="216" t="s">
        <v>315</v>
      </c>
      <c r="Y276" s="198" t="n">
        <v>4</v>
      </c>
      <c r="Z276" s="221" t="n">
        <v>45821</v>
      </c>
      <c r="AA276" s="198"/>
      <c r="AB276" s="198"/>
      <c r="AC276" s="198" t="s">
        <v>302</v>
      </c>
      <c r="AD276" s="198" t="s">
        <v>417</v>
      </c>
      <c r="AE276" s="198" t="n">
        <v>372</v>
      </c>
      <c r="AF276" s="200" t="n">
        <v>45821</v>
      </c>
      <c r="AG276" s="198" t="n">
        <v>35</v>
      </c>
      <c r="AH276" s="198" t="n">
        <f aca="false">VLOOKUP(Таблица310[[#This Row],[№ акта]],'Степень зрелости 2025'!$H$13:$I$583,2,FALSE())</f>
        <v>55</v>
      </c>
      <c r="AI276" s="198" t="str">
        <f aca="false">VLOOKUP(Таблица310[[#This Row],[№ акта]],$AQ$1:$AT$594,2,FALSE())</f>
        <v>закупка</v>
      </c>
      <c r="AJ276" s="198" t="str">
        <f aca="false">Таблица310[[#This Row],[Регистратор.Номенклатура]]</f>
        <v>Тристар</v>
      </c>
      <c r="AK276" s="198" t="str">
        <f aca="false">VLOOKUP(Таблица310[[#This Row],[№ акта]],$AQ$1:$AT$594,4,FALSE())</f>
        <v>Братковский закупка (полив)</v>
      </c>
      <c r="AL276" s="230" t="n">
        <f aca="false">VLOOKUP(Таблица310[[#This Row],[№ акта]],$AQ$1:$AT$594,3,FALSE())</f>
        <v>2.31251961091936</v>
      </c>
      <c r="AM276" s="198" t="str">
        <f aca="false">IF(Таблица310[[#This Row],[Площадь уборки, га]]=Таблица310[[#This Row],[Площадь уборки до корр]],"нет","да")</f>
        <v>нет</v>
      </c>
      <c r="AN276" s="230" t="n">
        <f aca="false">Таблица310[[#This Row],[Площадь уборки до корр]]-Таблица310[[#This Row],[Площадь уборки, га]]</f>
        <v>0</v>
      </c>
      <c r="AQ276" s="0" t="n">
        <v>372</v>
      </c>
      <c r="AR276" s="0" t="s">
        <v>905</v>
      </c>
      <c r="AS276" s="0" t="n">
        <v>2.31251961091936</v>
      </c>
      <c r="AT276" s="0" t="s">
        <v>327</v>
      </c>
      <c r="XEM276" s="216"/>
      <c r="XEN276" s="217"/>
      <c r="XEO276" s="243"/>
      <c r="XEP276" s="218"/>
      <c r="XEQ276" s="244"/>
      <c r="XER276" s="217"/>
    </row>
    <row r="277" customFormat="false" ht="25.5" hidden="false" customHeight="true" outlineLevel="0" collapsed="false">
      <c r="A277" s="216"/>
      <c r="B277" s="217"/>
      <c r="C277" s="241" t="n">
        <f aca="false">Таблица310[[#This Row],[Степень зрелости вспом]]</f>
        <v>41</v>
      </c>
      <c r="D277" s="218" t="n">
        <v>373</v>
      </c>
      <c r="E277" s="219" t="n">
        <v>45821</v>
      </c>
      <c r="F277" s="217" t="n">
        <v>8780</v>
      </c>
      <c r="G277" s="217" t="n">
        <v>4190</v>
      </c>
      <c r="H277" s="220" t="n">
        <v>4590</v>
      </c>
      <c r="I277" s="217" t="n">
        <v>3456.7</v>
      </c>
      <c r="J277" s="216" t="s">
        <v>908</v>
      </c>
      <c r="K277" s="216" t="s">
        <v>904</v>
      </c>
      <c r="L277" s="216" t="n">
        <v>16</v>
      </c>
      <c r="M277" s="189" t="s">
        <v>374</v>
      </c>
      <c r="N277" s="198"/>
      <c r="O277" s="216"/>
      <c r="P277" s="216"/>
      <c r="Q277" s="216"/>
      <c r="R277" s="216" t="s">
        <v>375</v>
      </c>
      <c r="S277" s="198"/>
      <c r="T277" s="216" t="n">
        <v>16</v>
      </c>
      <c r="U277" s="195" t="str">
        <f aca="false">Таблица310[[#This Row],[Регистратор.Номенклатура]]</f>
        <v>Тристар</v>
      </c>
      <c r="V277" s="230" t="n">
        <f aca="false">5*Таблица310[[#This Row],[Регистратор.Вес нетто]]/28730</f>
        <v>0.72920292377306</v>
      </c>
      <c r="W277" s="216" t="s">
        <v>278</v>
      </c>
      <c r="X277" s="216" t="s">
        <v>315</v>
      </c>
      <c r="Y277" s="198" t="n">
        <v>1</v>
      </c>
      <c r="Z277" s="221" t="n">
        <v>45821</v>
      </c>
      <c r="AA277" s="198"/>
      <c r="AB277" s="198"/>
      <c r="AC277" s="198" t="s">
        <v>53</v>
      </c>
      <c r="AD277" s="198" t="s">
        <v>417</v>
      </c>
      <c r="AE277" s="198" t="n">
        <v>373</v>
      </c>
      <c r="AF277" s="200" t="n">
        <v>45821</v>
      </c>
      <c r="AG277" s="198" t="s">
        <v>906</v>
      </c>
      <c r="AH277" s="198" t="n">
        <f aca="false">VLOOKUP(Таблица310[[#This Row],[№ акта]],'Степень зрелости 2025'!$H$13:$I$583,2,FALSE())</f>
        <v>41</v>
      </c>
      <c r="AI277" s="198" t="n">
        <f aca="false">VLOOKUP(Таблица310[[#This Row],[№ акта]],$AQ$1:$AT$594,2,FALSE())</f>
        <v>16</v>
      </c>
      <c r="AJ277" s="198" t="str">
        <f aca="false">Таблица310[[#This Row],[Регистратор.Номенклатура]]</f>
        <v>Тристар</v>
      </c>
      <c r="AK277" s="198" t="str">
        <f aca="false">VLOOKUP(Таблица310[[#This Row],[№ акта]],$AQ$1:$AT$594,4,FALSE())</f>
        <v>Агролидер (полив)</v>
      </c>
      <c r="AL277" s="230" t="n">
        <f aca="false">VLOOKUP(Таблица310[[#This Row],[№ акта]],$AQ$1:$AT$594,3,FALSE())</f>
        <v>0.72920292377306</v>
      </c>
      <c r="AM277" s="198" t="str">
        <f aca="false">IF(Таблица310[[#This Row],[Площадь уборки, га]]=Таблица310[[#This Row],[Площадь уборки до корр]],"нет","да")</f>
        <v>нет</v>
      </c>
      <c r="AN277" s="230" t="n">
        <f aca="false">Таблица310[[#This Row],[Площадь уборки до корр]]-Таблица310[[#This Row],[Площадь уборки, га]]</f>
        <v>0</v>
      </c>
      <c r="AQ277" s="0" t="n">
        <v>373</v>
      </c>
      <c r="AR277" s="0" t="n">
        <v>16</v>
      </c>
      <c r="AS277" s="0" t="n">
        <v>0.72920292377306</v>
      </c>
      <c r="AT277" s="0" t="s">
        <v>278</v>
      </c>
      <c r="XEM277" s="216"/>
      <c r="XEN277" s="217"/>
      <c r="XEO277" s="243"/>
      <c r="XEP277" s="218"/>
      <c r="XEQ277" s="244"/>
      <c r="XER277" s="217"/>
    </row>
    <row r="278" customFormat="false" ht="25.5" hidden="false" customHeight="true" outlineLevel="0" collapsed="false">
      <c r="A278" s="216"/>
      <c r="B278" s="217"/>
      <c r="C278" s="241" t="n">
        <f aca="false">Таблица310[[#This Row],[Степень зрелости вспом]]</f>
        <v>46</v>
      </c>
      <c r="D278" s="218" t="n">
        <v>374</v>
      </c>
      <c r="E278" s="219" t="n">
        <v>45821</v>
      </c>
      <c r="F278" s="217" t="n">
        <v>28660</v>
      </c>
      <c r="G278" s="217" t="n">
        <v>13810</v>
      </c>
      <c r="H278" s="220" t="n">
        <v>14850</v>
      </c>
      <c r="I278" s="217" t="n">
        <v>10978.9</v>
      </c>
      <c r="J278" s="216" t="s">
        <v>899</v>
      </c>
      <c r="K278" s="216" t="s">
        <v>904</v>
      </c>
      <c r="L278" s="216" t="s">
        <v>628</v>
      </c>
      <c r="M278" s="189" t="s">
        <v>553</v>
      </c>
      <c r="N278" s="198"/>
      <c r="O278" s="216"/>
      <c r="P278" s="216"/>
      <c r="Q278" s="216"/>
      <c r="R278" s="216" t="s">
        <v>557</v>
      </c>
      <c r="S278" s="198"/>
      <c r="T278" s="228" t="s">
        <v>905</v>
      </c>
      <c r="U278" s="195" t="str">
        <f aca="false">Таблица310[[#This Row],[Регистратор.Номенклатура]]</f>
        <v>Тристар</v>
      </c>
      <c r="V278" s="230" t="n">
        <f aca="false">35*Таблица310[[#This Row],[Регистратор.Вес нетто]]/223090</f>
        <v>2.16661437088171</v>
      </c>
      <c r="W278" s="216" t="s">
        <v>327</v>
      </c>
      <c r="X278" s="216" t="s">
        <v>315</v>
      </c>
      <c r="Y278" s="198" t="n">
        <v>4</v>
      </c>
      <c r="Z278" s="221" t="n">
        <v>45821</v>
      </c>
      <c r="AA278" s="198"/>
      <c r="AB278" s="198"/>
      <c r="AC278" s="198" t="s">
        <v>53</v>
      </c>
      <c r="AD278" s="198" t="s">
        <v>417</v>
      </c>
      <c r="AE278" s="198" t="n">
        <v>374</v>
      </c>
      <c r="AF278" s="200" t="n">
        <v>45821</v>
      </c>
      <c r="AG278" s="198" t="n">
        <v>36</v>
      </c>
      <c r="AH278" s="198" t="n">
        <f aca="false">VLOOKUP(Таблица310[[#This Row],[№ акта]],'Степень зрелости 2025'!$H$13:$I$583,2,FALSE())</f>
        <v>46</v>
      </c>
      <c r="AI278" s="198" t="str">
        <f aca="false">VLOOKUP(Таблица310[[#This Row],[№ акта]],$AQ$1:$AT$594,2,FALSE())</f>
        <v>закупка</v>
      </c>
      <c r="AJ278" s="198" t="str">
        <f aca="false">Таблица310[[#This Row],[Регистратор.Номенклатура]]</f>
        <v>Тристар</v>
      </c>
      <c r="AK278" s="198" t="str">
        <f aca="false">VLOOKUP(Таблица310[[#This Row],[№ акта]],$AQ$1:$AT$594,4,FALSE())</f>
        <v>Братковский закупка (полив)</v>
      </c>
      <c r="AL278" s="230" t="n">
        <f aca="false">VLOOKUP(Таблица310[[#This Row],[№ акта]],$AQ$1:$AT$594,3,FALSE())</f>
        <v>2.16661437088171</v>
      </c>
      <c r="AM278" s="198" t="str">
        <f aca="false">IF(Таблица310[[#This Row],[Площадь уборки, га]]=Таблица310[[#This Row],[Площадь уборки до корр]],"нет","да")</f>
        <v>нет</v>
      </c>
      <c r="AN278" s="230" t="n">
        <f aca="false">Таблица310[[#This Row],[Площадь уборки до корр]]-Таблица310[[#This Row],[Площадь уборки, га]]</f>
        <v>0</v>
      </c>
      <c r="AQ278" s="0" t="n">
        <v>374</v>
      </c>
      <c r="AR278" s="0" t="s">
        <v>905</v>
      </c>
      <c r="AS278" s="0" t="n">
        <v>2.16661437088171</v>
      </c>
      <c r="AT278" s="0" t="s">
        <v>327</v>
      </c>
      <c r="XEM278" s="216"/>
      <c r="XEN278" s="217"/>
      <c r="XEO278" s="243"/>
      <c r="XEP278" s="218"/>
      <c r="XEQ278" s="244"/>
      <c r="XER278" s="217"/>
    </row>
    <row r="279" customFormat="false" ht="25.5" hidden="false" customHeight="true" outlineLevel="0" collapsed="false">
      <c r="A279" s="216"/>
      <c r="B279" s="217"/>
      <c r="C279" s="241" t="n">
        <f aca="false">Таблица310[[#This Row],[Степень зрелости вспом]]</f>
        <v>60</v>
      </c>
      <c r="D279" s="218" t="n">
        <v>375</v>
      </c>
      <c r="E279" s="219" t="n">
        <v>45821</v>
      </c>
      <c r="F279" s="217" t="n">
        <v>28160</v>
      </c>
      <c r="G279" s="217" t="n">
        <v>13540</v>
      </c>
      <c r="H279" s="220" t="n">
        <v>14620</v>
      </c>
      <c r="I279" s="217" t="n">
        <v>11712.1</v>
      </c>
      <c r="J279" s="216" t="s">
        <v>899</v>
      </c>
      <c r="K279" s="216" t="s">
        <v>904</v>
      </c>
      <c r="L279" s="216" t="s">
        <v>901</v>
      </c>
      <c r="M279" s="189" t="s">
        <v>547</v>
      </c>
      <c r="N279" s="198"/>
      <c r="O279" s="216"/>
      <c r="P279" s="216"/>
      <c r="Q279" s="216"/>
      <c r="R279" s="216" t="s">
        <v>551</v>
      </c>
      <c r="S279" s="198"/>
      <c r="T279" s="228" t="s">
        <v>905</v>
      </c>
      <c r="U279" s="195" t="str">
        <f aca="false">Таблица310[[#This Row],[Регистратор.Номенклатура]]</f>
        <v>Тристар</v>
      </c>
      <c r="V279" s="230" t="n">
        <f aca="false">35*Таблица310[[#This Row],[Регистратор.Вес нетто]]/223090</f>
        <v>2.12425478506432</v>
      </c>
      <c r="W279" s="216" t="s">
        <v>327</v>
      </c>
      <c r="X279" s="216" t="s">
        <v>315</v>
      </c>
      <c r="Y279" s="198" t="n">
        <v>4</v>
      </c>
      <c r="Z279" s="221" t="n">
        <v>45821</v>
      </c>
      <c r="AA279" s="198"/>
      <c r="AB279" s="198"/>
      <c r="AC279" s="198" t="s">
        <v>302</v>
      </c>
      <c r="AD279" s="198" t="s">
        <v>417</v>
      </c>
      <c r="AE279" s="198" t="n">
        <v>375</v>
      </c>
      <c r="AF279" s="200" t="n">
        <v>45821</v>
      </c>
      <c r="AG279" s="198" t="n">
        <v>37</v>
      </c>
      <c r="AH279" s="198" t="n">
        <f aca="false">VLOOKUP(Таблица310[[#This Row],[№ акта]],'Степень зрелости 2025'!$H$13:$I$583,2,FALSE())</f>
        <v>60</v>
      </c>
      <c r="AI279" s="198" t="str">
        <f aca="false">VLOOKUP(Таблица310[[#This Row],[№ акта]],$AQ$1:$AT$594,2,FALSE())</f>
        <v>закупка</v>
      </c>
      <c r="AJ279" s="198" t="str">
        <f aca="false">Таблица310[[#This Row],[Регистратор.Номенклатура]]</f>
        <v>Тристар</v>
      </c>
      <c r="AK279" s="198" t="str">
        <f aca="false">VLOOKUP(Таблица310[[#This Row],[№ акта]],$AQ$1:$AT$594,4,FALSE())</f>
        <v>Братковский закупка (полив)</v>
      </c>
      <c r="AL279" s="230" t="n">
        <f aca="false">VLOOKUP(Таблица310[[#This Row],[№ акта]],$AQ$1:$AT$594,3,FALSE())</f>
        <v>2.12425478506432</v>
      </c>
      <c r="AM279" s="198" t="str">
        <f aca="false">IF(Таблица310[[#This Row],[Площадь уборки, га]]=Таблица310[[#This Row],[Площадь уборки до корр]],"нет","да")</f>
        <v>нет</v>
      </c>
      <c r="AN279" s="230" t="n">
        <f aca="false">Таблица310[[#This Row],[Площадь уборки до корр]]-Таблица310[[#This Row],[Площадь уборки, га]]</f>
        <v>0</v>
      </c>
      <c r="AQ279" s="0" t="n">
        <v>375</v>
      </c>
      <c r="AR279" s="0" t="s">
        <v>905</v>
      </c>
      <c r="AS279" s="0" t="n">
        <v>2.12425478506432</v>
      </c>
      <c r="AT279" s="0" t="s">
        <v>327</v>
      </c>
      <c r="XEM279" s="216"/>
      <c r="XEN279" s="217"/>
      <c r="XEO279" s="243"/>
      <c r="XEP279" s="218"/>
      <c r="XEQ279" s="244"/>
      <c r="XER279" s="217"/>
    </row>
    <row r="280" customFormat="false" ht="25.5" hidden="false" customHeight="true" outlineLevel="0" collapsed="false">
      <c r="A280" s="216"/>
      <c r="B280" s="217"/>
      <c r="C280" s="241" t="n">
        <f aca="false">Таблица310[[#This Row],[Степень зрелости вспом]]</f>
        <v>40</v>
      </c>
      <c r="D280" s="218" t="n">
        <v>376</v>
      </c>
      <c r="E280" s="219" t="n">
        <v>45821</v>
      </c>
      <c r="F280" s="217" t="n">
        <v>9430</v>
      </c>
      <c r="G280" s="217" t="n">
        <v>4840</v>
      </c>
      <c r="H280" s="220" t="n">
        <v>4590</v>
      </c>
      <c r="I280" s="217" t="n">
        <v>3847.8</v>
      </c>
      <c r="J280" s="216" t="s">
        <v>908</v>
      </c>
      <c r="K280" s="216" t="s">
        <v>904</v>
      </c>
      <c r="L280" s="216" t="n">
        <v>16</v>
      </c>
      <c r="M280" s="189" t="s">
        <v>378</v>
      </c>
      <c r="N280" s="198"/>
      <c r="O280" s="216"/>
      <c r="P280" s="216"/>
      <c r="Q280" s="216"/>
      <c r="R280" s="216" t="s">
        <v>379</v>
      </c>
      <c r="S280" s="198"/>
      <c r="T280" s="216" t="n">
        <v>16</v>
      </c>
      <c r="U280" s="195" t="str">
        <f aca="false">Таблица310[[#This Row],[Регистратор.Номенклатура]]</f>
        <v>Тристар</v>
      </c>
      <c r="V280" s="230" t="n">
        <f aca="false">5*Таблица310[[#This Row],[Регистратор.Вес нетто]]/28730</f>
        <v>0.842325095718761</v>
      </c>
      <c r="W280" s="216" t="s">
        <v>278</v>
      </c>
      <c r="X280" s="216" t="s">
        <v>315</v>
      </c>
      <c r="Y280" s="198" t="n">
        <v>1</v>
      </c>
      <c r="Z280" s="221" t="n">
        <v>45821</v>
      </c>
      <c r="AA280" s="198"/>
      <c r="AB280" s="198"/>
      <c r="AC280" s="198" t="s">
        <v>305</v>
      </c>
      <c r="AD280" s="198" t="s">
        <v>417</v>
      </c>
      <c r="AE280" s="198" t="n">
        <v>376</v>
      </c>
      <c r="AF280" s="200" t="n">
        <v>45821</v>
      </c>
      <c r="AG280" s="198" t="s">
        <v>906</v>
      </c>
      <c r="AH280" s="198" t="n">
        <f aca="false">VLOOKUP(Таблица310[[#This Row],[№ акта]],'Степень зрелости 2025'!$H$13:$I$583,2,FALSE())</f>
        <v>40</v>
      </c>
      <c r="AI280" s="198" t="n">
        <f aca="false">VLOOKUP(Таблица310[[#This Row],[№ акта]],$AQ$1:$AT$594,2,FALSE())</f>
        <v>16</v>
      </c>
      <c r="AJ280" s="198" t="str">
        <f aca="false">Таблица310[[#This Row],[Регистратор.Номенклатура]]</f>
        <v>Тристар</v>
      </c>
      <c r="AK280" s="198" t="str">
        <f aca="false">VLOOKUP(Таблица310[[#This Row],[№ акта]],$AQ$1:$AT$594,4,FALSE())</f>
        <v>Агролидер (полив)</v>
      </c>
      <c r="AL280" s="230" t="n">
        <f aca="false">VLOOKUP(Таблица310[[#This Row],[№ акта]],$AQ$1:$AT$594,3,FALSE())</f>
        <v>0.842325095718761</v>
      </c>
      <c r="AM280" s="198" t="str">
        <f aca="false">IF(Таблица310[[#This Row],[Площадь уборки, га]]=Таблица310[[#This Row],[Площадь уборки до корр]],"нет","да")</f>
        <v>нет</v>
      </c>
      <c r="AN280" s="230" t="n">
        <f aca="false">Таблица310[[#This Row],[Площадь уборки до корр]]-Таблица310[[#This Row],[Площадь уборки, га]]</f>
        <v>0</v>
      </c>
      <c r="AQ280" s="0" t="n">
        <v>376</v>
      </c>
      <c r="AR280" s="0" t="n">
        <v>16</v>
      </c>
      <c r="AS280" s="0" t="n">
        <v>0.842325095718761</v>
      </c>
      <c r="AT280" s="0" t="s">
        <v>278</v>
      </c>
      <c r="XEM280" s="216"/>
      <c r="XEN280" s="217"/>
      <c r="XEO280" s="243"/>
      <c r="XEP280" s="218"/>
      <c r="XEQ280" s="244"/>
      <c r="XER280" s="217"/>
    </row>
    <row r="281" customFormat="false" ht="25.5" hidden="false" customHeight="true" outlineLevel="0" collapsed="false">
      <c r="A281" s="216"/>
      <c r="B281" s="217"/>
      <c r="C281" s="241" t="n">
        <f aca="false">Таблица310[[#This Row],[Степень зрелости вспом]]</f>
        <v>63</v>
      </c>
      <c r="D281" s="218" t="n">
        <v>377</v>
      </c>
      <c r="E281" s="219" t="n">
        <v>45821</v>
      </c>
      <c r="F281" s="217" t="n">
        <v>28330</v>
      </c>
      <c r="G281" s="217" t="n">
        <v>13740</v>
      </c>
      <c r="H281" s="220" t="n">
        <v>14590</v>
      </c>
      <c r="I281" s="217" t="n">
        <v>12297.3</v>
      </c>
      <c r="J281" s="216" t="s">
        <v>899</v>
      </c>
      <c r="K281" s="216" t="s">
        <v>904</v>
      </c>
      <c r="L281" s="216" t="s">
        <v>628</v>
      </c>
      <c r="M281" s="189" t="s">
        <v>363</v>
      </c>
      <c r="N281" s="198"/>
      <c r="O281" s="216"/>
      <c r="P281" s="216"/>
      <c r="Q281" s="216"/>
      <c r="R281" s="216" t="s">
        <v>364</v>
      </c>
      <c r="S281" s="198"/>
      <c r="T281" s="228" t="s">
        <v>905</v>
      </c>
      <c r="U281" s="195" t="str">
        <f aca="false">Таблица310[[#This Row],[Регистратор.Номенклатура]]</f>
        <v>Тристар</v>
      </c>
      <c r="V281" s="230" t="n">
        <f aca="false">35*Таблица310[[#This Row],[Регистратор.Вес нетто]]/223090</f>
        <v>2.15563225604016</v>
      </c>
      <c r="W281" s="216" t="s">
        <v>327</v>
      </c>
      <c r="X281" s="216" t="s">
        <v>315</v>
      </c>
      <c r="Y281" s="198" t="n">
        <v>4</v>
      </c>
      <c r="Z281" s="221" t="n">
        <v>45821</v>
      </c>
      <c r="AA281" s="198"/>
      <c r="AB281" s="198"/>
      <c r="AC281" s="198" t="s">
        <v>305</v>
      </c>
      <c r="AD281" s="198" t="s">
        <v>417</v>
      </c>
      <c r="AE281" s="198" t="n">
        <v>377</v>
      </c>
      <c r="AF281" s="200" t="n">
        <v>45821</v>
      </c>
      <c r="AG281" s="198" t="n">
        <v>38</v>
      </c>
      <c r="AH281" s="198" t="n">
        <f aca="false">VLOOKUP(Таблица310[[#This Row],[№ акта]],'Степень зрелости 2025'!$H$13:$I$583,2,FALSE())</f>
        <v>63</v>
      </c>
      <c r="AI281" s="198" t="str">
        <f aca="false">VLOOKUP(Таблица310[[#This Row],[№ акта]],$AQ$1:$AT$594,2,FALSE())</f>
        <v>закупка</v>
      </c>
      <c r="AJ281" s="198" t="str">
        <f aca="false">Таблица310[[#This Row],[Регистратор.Номенклатура]]</f>
        <v>Тристар</v>
      </c>
      <c r="AK281" s="198" t="str">
        <f aca="false">VLOOKUP(Таблица310[[#This Row],[№ акта]],$AQ$1:$AT$594,4,FALSE())</f>
        <v>Братковский закупка (полив)</v>
      </c>
      <c r="AL281" s="230" t="n">
        <f aca="false">VLOOKUP(Таблица310[[#This Row],[№ акта]],$AQ$1:$AT$594,3,FALSE())</f>
        <v>2.15563225604016</v>
      </c>
      <c r="AM281" s="198" t="str">
        <f aca="false">IF(Таблица310[[#This Row],[Площадь уборки, га]]=Таблица310[[#This Row],[Площадь уборки до корр]],"нет","да")</f>
        <v>нет</v>
      </c>
      <c r="AN281" s="230" t="n">
        <f aca="false">Таблица310[[#This Row],[Площадь уборки до корр]]-Таблица310[[#This Row],[Площадь уборки, га]]</f>
        <v>0</v>
      </c>
      <c r="AQ281" s="0" t="n">
        <v>377</v>
      </c>
      <c r="AR281" s="0" t="s">
        <v>905</v>
      </c>
      <c r="AS281" s="0" t="n">
        <v>2.15563225604016</v>
      </c>
      <c r="AT281" s="0" t="s">
        <v>327</v>
      </c>
      <c r="XEM281" s="216"/>
      <c r="XEN281" s="217"/>
      <c r="XEO281" s="243"/>
      <c r="XEP281" s="218"/>
      <c r="XEQ281" s="244"/>
      <c r="XER281" s="217"/>
    </row>
    <row r="282" customFormat="false" ht="25.5" hidden="false" customHeight="true" outlineLevel="0" collapsed="false">
      <c r="A282" s="216"/>
      <c r="B282" s="217"/>
      <c r="C282" s="241" t="n">
        <f aca="false">Таблица310[[#This Row],[Степень зрелости вспом]]</f>
        <v>41</v>
      </c>
      <c r="D282" s="218" t="n">
        <v>378</v>
      </c>
      <c r="E282" s="219" t="n">
        <v>45821</v>
      </c>
      <c r="F282" s="217" t="n">
        <v>9160</v>
      </c>
      <c r="G282" s="217" t="n">
        <v>4600</v>
      </c>
      <c r="H282" s="220" t="n">
        <v>4560</v>
      </c>
      <c r="I282" s="217" t="n">
        <v>3749</v>
      </c>
      <c r="J282" s="216" t="s">
        <v>908</v>
      </c>
      <c r="K282" s="216" t="s">
        <v>904</v>
      </c>
      <c r="L282" s="216" t="n">
        <v>16</v>
      </c>
      <c r="M282" s="189" t="s">
        <v>374</v>
      </c>
      <c r="N282" s="198"/>
      <c r="O282" s="216"/>
      <c r="P282" s="216"/>
      <c r="Q282" s="216"/>
      <c r="R282" s="216" t="s">
        <v>375</v>
      </c>
      <c r="S282" s="198"/>
      <c r="T282" s="216" t="n">
        <v>16</v>
      </c>
      <c r="U282" s="195" t="str">
        <f aca="false">Таблица310[[#This Row],[Регистратор.Номенклатура]]</f>
        <v>Тристар</v>
      </c>
      <c r="V282" s="230" t="n">
        <f aca="false">5*Таблица310[[#This Row],[Регистратор.Вес нетто]]/28730</f>
        <v>0.800556909154194</v>
      </c>
      <c r="W282" s="216" t="s">
        <v>278</v>
      </c>
      <c r="X282" s="216" t="s">
        <v>315</v>
      </c>
      <c r="Y282" s="198" t="n">
        <v>1</v>
      </c>
      <c r="Z282" s="221" t="n">
        <v>45821</v>
      </c>
      <c r="AA282" s="198"/>
      <c r="AB282" s="198"/>
      <c r="AC282" s="198" t="s">
        <v>53</v>
      </c>
      <c r="AD282" s="198" t="s">
        <v>417</v>
      </c>
      <c r="AE282" s="198" t="n">
        <v>378</v>
      </c>
      <c r="AF282" s="200" t="n">
        <v>45821</v>
      </c>
      <c r="AG282" s="198" t="s">
        <v>906</v>
      </c>
      <c r="AH282" s="198" t="n">
        <f aca="false">VLOOKUP(Таблица310[[#This Row],[№ акта]],'Степень зрелости 2025'!$H$13:$I$583,2,FALSE())</f>
        <v>41</v>
      </c>
      <c r="AI282" s="198" t="n">
        <f aca="false">VLOOKUP(Таблица310[[#This Row],[№ акта]],$AQ$1:$AT$594,2,FALSE())</f>
        <v>16</v>
      </c>
      <c r="AJ282" s="198" t="str">
        <f aca="false">Таблица310[[#This Row],[Регистратор.Номенклатура]]</f>
        <v>Тристар</v>
      </c>
      <c r="AK282" s="198" t="str">
        <f aca="false">VLOOKUP(Таблица310[[#This Row],[№ акта]],$AQ$1:$AT$594,4,FALSE())</f>
        <v>Агролидер (полив)</v>
      </c>
      <c r="AL282" s="230" t="n">
        <f aca="false">VLOOKUP(Таблица310[[#This Row],[№ акта]],$AQ$1:$AT$594,3,FALSE())</f>
        <v>0.800556909154194</v>
      </c>
      <c r="AM282" s="198" t="str">
        <f aca="false">IF(Таблица310[[#This Row],[Площадь уборки, га]]=Таблица310[[#This Row],[Площадь уборки до корр]],"нет","да")</f>
        <v>нет</v>
      </c>
      <c r="AN282" s="230" t="n">
        <f aca="false">Таблица310[[#This Row],[Площадь уборки до корр]]-Таблица310[[#This Row],[Площадь уборки, га]]</f>
        <v>0</v>
      </c>
      <c r="AQ282" s="0" t="n">
        <v>378</v>
      </c>
      <c r="AR282" s="0" t="n">
        <v>16</v>
      </c>
      <c r="AS282" s="0" t="n">
        <v>0.800556909154194</v>
      </c>
      <c r="AT282" s="0" t="s">
        <v>278</v>
      </c>
      <c r="XEM282" s="216"/>
      <c r="XEN282" s="217"/>
      <c r="XEO282" s="243"/>
      <c r="XEP282" s="218"/>
      <c r="XEQ282" s="244"/>
      <c r="XER282" s="217"/>
    </row>
    <row r="283" customFormat="false" ht="25.5" hidden="false" customHeight="true" outlineLevel="0" collapsed="false">
      <c r="A283" s="216"/>
      <c r="B283" s="217"/>
      <c r="C283" s="241" t="n">
        <f aca="false">Таблица310[[#This Row],[Степень зрелости вспом]]</f>
        <v>69</v>
      </c>
      <c r="D283" s="218" t="n">
        <v>379</v>
      </c>
      <c r="E283" s="219" t="n">
        <v>45821</v>
      </c>
      <c r="F283" s="217" t="n">
        <v>28610</v>
      </c>
      <c r="G283" s="217" t="n">
        <v>13670</v>
      </c>
      <c r="H283" s="220" t="n">
        <v>14940</v>
      </c>
      <c r="I283" s="217" t="n">
        <v>12439.7</v>
      </c>
      <c r="J283" s="216" t="s">
        <v>899</v>
      </c>
      <c r="K283" s="216" t="s">
        <v>904</v>
      </c>
      <c r="L283" s="216" t="s">
        <v>628</v>
      </c>
      <c r="M283" s="189" t="s">
        <v>451</v>
      </c>
      <c r="N283" s="198"/>
      <c r="O283" s="216"/>
      <c r="P283" s="216"/>
      <c r="Q283" s="216"/>
      <c r="R283" s="216" t="s">
        <v>455</v>
      </c>
      <c r="S283" s="198"/>
      <c r="T283" s="228" t="s">
        <v>905</v>
      </c>
      <c r="U283" s="195" t="str">
        <f aca="false">Таблица310[[#This Row],[Регистратор.Номенклатура]]</f>
        <v>Тристар</v>
      </c>
      <c r="V283" s="230" t="n">
        <f aca="false">35*Таблица310[[#This Row],[Регистратор.Вес нетто]]/223090</f>
        <v>2.14465014119862</v>
      </c>
      <c r="W283" s="216" t="s">
        <v>327</v>
      </c>
      <c r="X283" s="216" t="s">
        <v>315</v>
      </c>
      <c r="Y283" s="198" t="n">
        <v>4</v>
      </c>
      <c r="Z283" s="221" t="n">
        <v>45821</v>
      </c>
      <c r="AA283" s="198"/>
      <c r="AB283" s="198"/>
      <c r="AC283" s="198" t="s">
        <v>305</v>
      </c>
      <c r="AD283" s="198" t="s">
        <v>746</v>
      </c>
      <c r="AE283" s="198" t="n">
        <v>379</v>
      </c>
      <c r="AF283" s="200" t="n">
        <v>45821</v>
      </c>
      <c r="AG283" s="198" t="n">
        <v>40</v>
      </c>
      <c r="AH283" s="198" t="n">
        <f aca="false">VLOOKUP(Таблица310[[#This Row],[№ акта]],'Степень зрелости 2025'!$H$13:$I$583,2,FALSE())</f>
        <v>69</v>
      </c>
      <c r="AI283" s="198" t="str">
        <f aca="false">VLOOKUP(Таблица310[[#This Row],[№ акта]],$AQ$1:$AT$594,2,FALSE())</f>
        <v>закупка</v>
      </c>
      <c r="AJ283" s="198" t="str">
        <f aca="false">Таблица310[[#This Row],[Регистратор.Номенклатура]]</f>
        <v>Тристар</v>
      </c>
      <c r="AK283" s="198" t="str">
        <f aca="false">VLOOKUP(Таблица310[[#This Row],[№ акта]],$AQ$1:$AT$594,4,FALSE())</f>
        <v>Братковский закупка (полив)</v>
      </c>
      <c r="AL283" s="230" t="n">
        <f aca="false">VLOOKUP(Таблица310[[#This Row],[№ акта]],$AQ$1:$AT$594,3,FALSE())</f>
        <v>2.14465014119862</v>
      </c>
      <c r="AM283" s="198" t="str">
        <f aca="false">IF(Таблица310[[#This Row],[Площадь уборки, га]]=Таблица310[[#This Row],[Площадь уборки до корр]],"нет","да")</f>
        <v>нет</v>
      </c>
      <c r="AN283" s="230" t="n">
        <f aca="false">Таблица310[[#This Row],[Площадь уборки до корр]]-Таблица310[[#This Row],[Площадь уборки, га]]</f>
        <v>0</v>
      </c>
      <c r="AQ283" s="0" t="n">
        <v>379</v>
      </c>
      <c r="AR283" s="0" t="s">
        <v>905</v>
      </c>
      <c r="AS283" s="0" t="n">
        <v>2.14465014119862</v>
      </c>
      <c r="AT283" s="0" t="s">
        <v>327</v>
      </c>
      <c r="XEM283" s="216"/>
      <c r="XEN283" s="217"/>
      <c r="XEO283" s="243"/>
      <c r="XEP283" s="218"/>
      <c r="XEQ283" s="244"/>
      <c r="XER283" s="217"/>
    </row>
    <row r="284" customFormat="false" ht="25.5" hidden="false" customHeight="true" outlineLevel="0" collapsed="false">
      <c r="A284" s="216"/>
      <c r="B284" s="217"/>
      <c r="C284" s="241" t="n">
        <f aca="false">Таблица310[[#This Row],[Степень зрелости вспом]]</f>
        <v>51</v>
      </c>
      <c r="D284" s="218" t="n">
        <v>380</v>
      </c>
      <c r="E284" s="219" t="n">
        <v>45821</v>
      </c>
      <c r="F284" s="217" t="n">
        <v>28710</v>
      </c>
      <c r="G284" s="217" t="n">
        <v>13930</v>
      </c>
      <c r="H284" s="220" t="n">
        <v>14780</v>
      </c>
      <c r="I284" s="217" t="n">
        <v>11144</v>
      </c>
      <c r="J284" s="216" t="s">
        <v>899</v>
      </c>
      <c r="K284" s="216" t="s">
        <v>904</v>
      </c>
      <c r="L284" s="216" t="s">
        <v>628</v>
      </c>
      <c r="M284" s="189" t="s">
        <v>361</v>
      </c>
      <c r="N284" s="198"/>
      <c r="O284" s="216"/>
      <c r="P284" s="216"/>
      <c r="Q284" s="216"/>
      <c r="R284" s="216" t="s">
        <v>362</v>
      </c>
      <c r="S284" s="198"/>
      <c r="T284" s="228" t="s">
        <v>905</v>
      </c>
      <c r="U284" s="195" t="str">
        <f aca="false">Таблица310[[#This Row],[Регистратор.Номенклатура]]</f>
        <v>Тристар</v>
      </c>
      <c r="V284" s="230" t="n">
        <f aca="false">35*Таблица310[[#This Row],[Регистратор.Вес нетто]]/223090</f>
        <v>2.18544085346721</v>
      </c>
      <c r="W284" s="216" t="s">
        <v>327</v>
      </c>
      <c r="X284" s="216" t="s">
        <v>315</v>
      </c>
      <c r="Y284" s="198" t="n">
        <v>4</v>
      </c>
      <c r="Z284" s="221" t="n">
        <v>45821</v>
      </c>
      <c r="AA284" s="198"/>
      <c r="AB284" s="198"/>
      <c r="AC284" s="198" t="s">
        <v>53</v>
      </c>
      <c r="AD284" s="198" t="s">
        <v>417</v>
      </c>
      <c r="AE284" s="198" t="n">
        <v>380</v>
      </c>
      <c r="AF284" s="200" t="n">
        <v>45821</v>
      </c>
      <c r="AG284" s="198" t="n">
        <v>41</v>
      </c>
      <c r="AH284" s="198" t="n">
        <f aca="false">VLOOKUP(Таблица310[[#This Row],[№ акта]],'Степень зрелости 2025'!$H$13:$I$583,2,FALSE())</f>
        <v>51</v>
      </c>
      <c r="AI284" s="198" t="str">
        <f aca="false">VLOOKUP(Таблица310[[#This Row],[№ акта]],$AQ$1:$AT$594,2,FALSE())</f>
        <v>закупка</v>
      </c>
      <c r="AJ284" s="198" t="str">
        <f aca="false">Таблица310[[#This Row],[Регистратор.Номенклатура]]</f>
        <v>Тристар</v>
      </c>
      <c r="AK284" s="198" t="str">
        <f aca="false">VLOOKUP(Таблица310[[#This Row],[№ акта]],$AQ$1:$AT$594,4,FALSE())</f>
        <v>Братковский закупка (полив)</v>
      </c>
      <c r="AL284" s="230" t="n">
        <f aca="false">VLOOKUP(Таблица310[[#This Row],[№ акта]],$AQ$1:$AT$594,3,FALSE())</f>
        <v>2.18544085346721</v>
      </c>
      <c r="AM284" s="198" t="str">
        <f aca="false">IF(Таблица310[[#This Row],[Площадь уборки, га]]=Таблица310[[#This Row],[Площадь уборки до корр]],"нет","да")</f>
        <v>нет</v>
      </c>
      <c r="AN284" s="230" t="n">
        <f aca="false">Таблица310[[#This Row],[Площадь уборки до корр]]-Таблица310[[#This Row],[Площадь уборки, га]]</f>
        <v>0</v>
      </c>
      <c r="AQ284" s="0" t="n">
        <v>380</v>
      </c>
      <c r="AR284" s="0" t="s">
        <v>905</v>
      </c>
      <c r="AS284" s="0" t="n">
        <v>2.18544085346721</v>
      </c>
      <c r="AT284" s="0" t="s">
        <v>327</v>
      </c>
      <c r="XEM284" s="216"/>
      <c r="XEN284" s="217"/>
      <c r="XEO284" s="243"/>
      <c r="XEP284" s="218"/>
      <c r="XEQ284" s="244"/>
      <c r="XER284" s="217"/>
    </row>
    <row r="285" customFormat="false" ht="25.5" hidden="false" customHeight="true" outlineLevel="0" collapsed="false">
      <c r="A285" s="216"/>
      <c r="B285" s="217"/>
      <c r="C285" s="241" t="n">
        <f aca="false">Таблица310[[#This Row],[Степень зрелости вспом]]</f>
        <v>40</v>
      </c>
      <c r="D285" s="218" t="n">
        <v>381</v>
      </c>
      <c r="E285" s="219" t="n">
        <v>45822</v>
      </c>
      <c r="F285" s="217" t="n">
        <v>8810</v>
      </c>
      <c r="G285" s="217" t="n">
        <v>4220</v>
      </c>
      <c r="H285" s="220" t="n">
        <v>4590</v>
      </c>
      <c r="I285" s="217" t="n">
        <v>3354.9</v>
      </c>
      <c r="J285" s="216" t="s">
        <v>908</v>
      </c>
      <c r="K285" s="216" t="s">
        <v>904</v>
      </c>
      <c r="L285" s="216" t="n">
        <v>16</v>
      </c>
      <c r="M285" s="189" t="s">
        <v>378</v>
      </c>
      <c r="N285" s="198"/>
      <c r="O285" s="216"/>
      <c r="P285" s="216"/>
      <c r="Q285" s="216"/>
      <c r="R285" s="216" t="s">
        <v>379</v>
      </c>
      <c r="S285" s="198"/>
      <c r="T285" s="216" t="n">
        <v>16</v>
      </c>
      <c r="U285" s="195" t="str">
        <f aca="false">Таблица310[[#This Row],[Регистратор.Номенклатура]]</f>
        <v>Тристар</v>
      </c>
      <c r="V285" s="230" t="n">
        <f aca="false">5*Таблица310[[#This Row],[Регистратор.Вес нетто]]/28730</f>
        <v>0.73442394709363</v>
      </c>
      <c r="W285" s="216" t="s">
        <v>278</v>
      </c>
      <c r="X285" s="216" t="s">
        <v>315</v>
      </c>
      <c r="Y285" s="198" t="n">
        <v>1</v>
      </c>
      <c r="Z285" s="221" t="n">
        <v>45821</v>
      </c>
      <c r="AA285" s="198"/>
      <c r="AB285" s="198"/>
      <c r="AC285" s="198" t="s">
        <v>305</v>
      </c>
      <c r="AD285" s="198" t="s">
        <v>417</v>
      </c>
      <c r="AE285" s="198" t="n">
        <v>381</v>
      </c>
      <c r="AF285" s="200" t="n">
        <v>45822</v>
      </c>
      <c r="AG285" s="198" t="s">
        <v>906</v>
      </c>
      <c r="AH285" s="198" t="n">
        <f aca="false">VLOOKUP(Таблица310[[#This Row],[№ акта]],'Степень зрелости 2025'!$H$13:$I$583,2,FALSE())</f>
        <v>40</v>
      </c>
      <c r="AI285" s="198" t="n">
        <f aca="false">VLOOKUP(Таблица310[[#This Row],[№ акта]],$AQ$1:$AT$594,2,FALSE())</f>
        <v>16</v>
      </c>
      <c r="AJ285" s="198" t="str">
        <f aca="false">Таблица310[[#This Row],[Регистратор.Номенклатура]]</f>
        <v>Тристар</v>
      </c>
      <c r="AK285" s="198" t="str">
        <f aca="false">VLOOKUP(Таблица310[[#This Row],[№ акта]],$AQ$1:$AT$594,4,FALSE())</f>
        <v>Агролидер (полив)</v>
      </c>
      <c r="AL285" s="230" t="n">
        <f aca="false">VLOOKUP(Таблица310[[#This Row],[№ акта]],$AQ$1:$AT$594,3,FALSE())</f>
        <v>0.73442394709363</v>
      </c>
      <c r="AM285" s="198" t="str">
        <f aca="false">IF(Таблица310[[#This Row],[Площадь уборки, га]]=Таблица310[[#This Row],[Площадь уборки до корр]],"нет","да")</f>
        <v>нет</v>
      </c>
      <c r="AN285" s="230" t="n">
        <f aca="false">Таблица310[[#This Row],[Площадь уборки до корр]]-Таблица310[[#This Row],[Площадь уборки, га]]</f>
        <v>0</v>
      </c>
      <c r="AQ285" s="0" t="n">
        <v>381</v>
      </c>
      <c r="AR285" s="0" t="n">
        <v>16</v>
      </c>
      <c r="AS285" s="0" t="n">
        <v>0.73442394709363</v>
      </c>
      <c r="AT285" s="0" t="s">
        <v>278</v>
      </c>
      <c r="XEM285" s="216"/>
      <c r="XEN285" s="217"/>
      <c r="XEO285" s="243"/>
      <c r="XEP285" s="218"/>
      <c r="XEQ285" s="244"/>
      <c r="XER285" s="217"/>
    </row>
    <row r="286" customFormat="false" ht="25.5" hidden="false" customHeight="true" outlineLevel="0" collapsed="false">
      <c r="A286" s="216"/>
      <c r="B286" s="217"/>
      <c r="C286" s="241" t="n">
        <f aca="false">Таблица310[[#This Row],[Степень зрелости вспом]]</f>
        <v>69</v>
      </c>
      <c r="D286" s="218" t="n">
        <v>382</v>
      </c>
      <c r="E286" s="219" t="n">
        <v>45821</v>
      </c>
      <c r="F286" s="217" t="n">
        <v>29140</v>
      </c>
      <c r="G286" s="217" t="n">
        <v>13540</v>
      </c>
      <c r="H286" s="220" t="n">
        <v>15600</v>
      </c>
      <c r="I286" s="217" t="n">
        <v>12321.4</v>
      </c>
      <c r="J286" s="216" t="s">
        <v>899</v>
      </c>
      <c r="K286" s="216" t="s">
        <v>904</v>
      </c>
      <c r="L286" s="216" t="s">
        <v>628</v>
      </c>
      <c r="M286" s="189" t="s">
        <v>445</v>
      </c>
      <c r="N286" s="198"/>
      <c r="O286" s="216"/>
      <c r="P286" s="216"/>
      <c r="Q286" s="216"/>
      <c r="R286" s="216" t="s">
        <v>449</v>
      </c>
      <c r="S286" s="198"/>
      <c r="T286" s="228" t="s">
        <v>905</v>
      </c>
      <c r="U286" s="195" t="str">
        <f aca="false">Таблица310[[#This Row],[Регистратор.Номенклатура]]</f>
        <v>Тристар</v>
      </c>
      <c r="V286" s="230" t="n">
        <f aca="false">35*Таблица310[[#This Row],[Регистратор.Вес нетто]]/223090</f>
        <v>2.12425478506432</v>
      </c>
      <c r="W286" s="216" t="s">
        <v>327</v>
      </c>
      <c r="X286" s="216" t="s">
        <v>315</v>
      </c>
      <c r="Y286" s="198" t="n">
        <v>4</v>
      </c>
      <c r="Z286" s="221" t="n">
        <v>45821</v>
      </c>
      <c r="AA286" s="198"/>
      <c r="AB286" s="198"/>
      <c r="AC286" s="198" t="s">
        <v>305</v>
      </c>
      <c r="AD286" s="198" t="s">
        <v>746</v>
      </c>
      <c r="AE286" s="198" t="n">
        <v>382</v>
      </c>
      <c r="AF286" s="200" t="n">
        <v>45821</v>
      </c>
      <c r="AG286" s="198" t="n">
        <v>39</v>
      </c>
      <c r="AH286" s="198" t="n">
        <f aca="false">VLOOKUP(Таблица310[[#This Row],[№ акта]],'Степень зрелости 2025'!$H$13:$I$583,2,FALSE())</f>
        <v>69</v>
      </c>
      <c r="AI286" s="198" t="str">
        <f aca="false">VLOOKUP(Таблица310[[#This Row],[№ акта]],$AQ$1:$AT$594,2,FALSE())</f>
        <v>закупка</v>
      </c>
      <c r="AJ286" s="198" t="str">
        <f aca="false">Таблица310[[#This Row],[Регистратор.Номенклатура]]</f>
        <v>Тристар</v>
      </c>
      <c r="AK286" s="198" t="str">
        <f aca="false">VLOOKUP(Таблица310[[#This Row],[№ акта]],$AQ$1:$AT$594,4,FALSE())</f>
        <v>Братковский закупка (полив)</v>
      </c>
      <c r="AL286" s="230" t="n">
        <f aca="false">VLOOKUP(Таблица310[[#This Row],[№ акта]],$AQ$1:$AT$594,3,FALSE())</f>
        <v>2.12425478506432</v>
      </c>
      <c r="AM286" s="198" t="str">
        <f aca="false">IF(Таблица310[[#This Row],[Площадь уборки, га]]=Таблица310[[#This Row],[Площадь уборки до корр]],"нет","да")</f>
        <v>нет</v>
      </c>
      <c r="AN286" s="230" t="n">
        <f aca="false">Таблица310[[#This Row],[Площадь уборки до корр]]-Таблица310[[#This Row],[Площадь уборки, га]]</f>
        <v>0</v>
      </c>
      <c r="AQ286" s="0" t="n">
        <v>382</v>
      </c>
      <c r="AR286" s="0" t="s">
        <v>905</v>
      </c>
      <c r="AS286" s="0" t="n">
        <v>2.12425478506432</v>
      </c>
      <c r="AT286" s="0" t="s">
        <v>327</v>
      </c>
      <c r="XEM286" s="216"/>
      <c r="XEN286" s="217"/>
      <c r="XEO286" s="243"/>
      <c r="XEP286" s="218"/>
      <c r="XEQ286" s="244"/>
      <c r="XER286" s="217"/>
    </row>
    <row r="287" customFormat="false" ht="25.5" hidden="false" customHeight="true" outlineLevel="0" collapsed="false">
      <c r="A287" s="216"/>
      <c r="B287" s="217"/>
      <c r="C287" s="241" t="n">
        <f aca="false">Таблица310[[#This Row],[Степень зрелости вспом]]</f>
        <v>45</v>
      </c>
      <c r="D287" s="218" t="n">
        <v>383</v>
      </c>
      <c r="E287" s="219" t="n">
        <v>45822</v>
      </c>
      <c r="F287" s="217" t="n">
        <v>28150</v>
      </c>
      <c r="G287" s="217" t="n">
        <v>13590</v>
      </c>
      <c r="H287" s="220" t="n">
        <v>14560</v>
      </c>
      <c r="I287" s="217" t="n">
        <v>11211.7</v>
      </c>
      <c r="J287" s="216" t="s">
        <v>899</v>
      </c>
      <c r="K287" s="216" t="s">
        <v>904</v>
      </c>
      <c r="L287" s="216" t="s">
        <v>628</v>
      </c>
      <c r="M287" s="189" t="s">
        <v>55</v>
      </c>
      <c r="N287" s="198"/>
      <c r="O287" s="216"/>
      <c r="P287" s="216"/>
      <c r="Q287" s="216"/>
      <c r="R287" s="216" t="s">
        <v>56</v>
      </c>
      <c r="S287" s="198"/>
      <c r="T287" s="228" t="s">
        <v>905</v>
      </c>
      <c r="U287" s="195" t="str">
        <f aca="false">Таблица310[[#This Row],[Регистратор.Номенклатура]]</f>
        <v>Тристар</v>
      </c>
      <c r="V287" s="230" t="n">
        <f aca="false">35*Таблица310[[#This Row],[Регистратор.Вес нетто]]/223090</f>
        <v>2.13209915280828</v>
      </c>
      <c r="W287" s="216" t="s">
        <v>327</v>
      </c>
      <c r="X287" s="216" t="s">
        <v>315</v>
      </c>
      <c r="Y287" s="198" t="n">
        <v>4</v>
      </c>
      <c r="Z287" s="221" t="n">
        <v>45821</v>
      </c>
      <c r="AA287" s="198"/>
      <c r="AB287" s="198"/>
      <c r="AC287" s="198" t="s">
        <v>53</v>
      </c>
      <c r="AD287" s="198" t="s">
        <v>417</v>
      </c>
      <c r="AE287" s="198" t="n">
        <v>383</v>
      </c>
      <c r="AF287" s="200" t="n">
        <v>45822</v>
      </c>
      <c r="AG287" s="198" t="n">
        <v>42</v>
      </c>
      <c r="AH287" s="198" t="n">
        <f aca="false">VLOOKUP(Таблица310[[#This Row],[№ акта]],'Степень зрелости 2025'!$H$13:$I$583,2,FALSE())</f>
        <v>45</v>
      </c>
      <c r="AI287" s="198" t="str">
        <f aca="false">VLOOKUP(Таблица310[[#This Row],[№ акта]],$AQ$1:$AT$594,2,FALSE())</f>
        <v>закупка</v>
      </c>
      <c r="AJ287" s="198" t="str">
        <f aca="false">Таблица310[[#This Row],[Регистратор.Номенклатура]]</f>
        <v>Тристар</v>
      </c>
      <c r="AK287" s="198" t="str">
        <f aca="false">VLOOKUP(Таблица310[[#This Row],[№ акта]],$AQ$1:$AT$594,4,FALSE())</f>
        <v>Братковский закупка (полив)</v>
      </c>
      <c r="AL287" s="230" t="n">
        <f aca="false">VLOOKUP(Таблица310[[#This Row],[№ акта]],$AQ$1:$AT$594,3,FALSE())</f>
        <v>2.13209915280828</v>
      </c>
      <c r="AM287" s="198" t="str">
        <f aca="false">IF(Таблица310[[#This Row],[Площадь уборки, га]]=Таблица310[[#This Row],[Площадь уборки до корр]],"нет","да")</f>
        <v>нет</v>
      </c>
      <c r="AN287" s="230" t="n">
        <f aca="false">Таблица310[[#This Row],[Площадь уборки до корр]]-Таблица310[[#This Row],[Площадь уборки, га]]</f>
        <v>0</v>
      </c>
      <c r="AQ287" s="0" t="n">
        <v>383</v>
      </c>
      <c r="AR287" s="0" t="s">
        <v>905</v>
      </c>
      <c r="AS287" s="0" t="n">
        <v>2.13209915280828</v>
      </c>
      <c r="AT287" s="0" t="s">
        <v>327</v>
      </c>
      <c r="XEM287" s="216"/>
      <c r="XEN287" s="217"/>
      <c r="XEO287" s="243"/>
      <c r="XEP287" s="218"/>
      <c r="XEQ287" s="244"/>
      <c r="XER287" s="217"/>
    </row>
    <row r="288" customFormat="false" ht="25.5" hidden="false" customHeight="true" outlineLevel="0" collapsed="false">
      <c r="A288" s="216"/>
      <c r="B288" s="217"/>
      <c r="C288" s="241" t="n">
        <f aca="false">Таблица310[[#This Row],[Степень зрелости вспом]]</f>
        <v>44</v>
      </c>
      <c r="D288" s="218" t="n">
        <v>384</v>
      </c>
      <c r="E288" s="219" t="n">
        <v>45822</v>
      </c>
      <c r="F288" s="217" t="n">
        <v>28620</v>
      </c>
      <c r="G288" s="217" t="n">
        <v>13200</v>
      </c>
      <c r="H288" s="220" t="n">
        <v>15420</v>
      </c>
      <c r="I288" s="217" t="n">
        <v>10626</v>
      </c>
      <c r="J288" s="216" t="s">
        <v>899</v>
      </c>
      <c r="K288" s="216" t="s">
        <v>904</v>
      </c>
      <c r="L288" s="216" t="s">
        <v>907</v>
      </c>
      <c r="M288" s="189" t="s">
        <v>57</v>
      </c>
      <c r="N288" s="198"/>
      <c r="O288" s="216"/>
      <c r="P288" s="216"/>
      <c r="Q288" s="216"/>
      <c r="R288" s="216" t="s">
        <v>58</v>
      </c>
      <c r="S288" s="198"/>
      <c r="T288" s="228" t="s">
        <v>905</v>
      </c>
      <c r="U288" s="195" t="str">
        <f aca="false">Таблица310[[#This Row],[Регистратор.Номенклатура]]</f>
        <v>Тристар</v>
      </c>
      <c r="V288" s="230" t="n">
        <f aca="false">35*Таблица310[[#This Row],[Регистратор.Вес нетто]]/223090</f>
        <v>2.0709130844054</v>
      </c>
      <c r="W288" s="216" t="s">
        <v>327</v>
      </c>
      <c r="X288" s="216" t="s">
        <v>315</v>
      </c>
      <c r="Y288" s="198" t="n">
        <v>4</v>
      </c>
      <c r="Z288" s="221" t="n">
        <v>45821</v>
      </c>
      <c r="AA288" s="198"/>
      <c r="AB288" s="198"/>
      <c r="AC288" s="198" t="s">
        <v>53</v>
      </c>
      <c r="AD288" s="198" t="s">
        <v>417</v>
      </c>
      <c r="AE288" s="198" t="n">
        <v>384</v>
      </c>
      <c r="AF288" s="200" t="n">
        <v>45822</v>
      </c>
      <c r="AG288" s="198" t="s">
        <v>906</v>
      </c>
      <c r="AH288" s="198" t="n">
        <f aca="false">VLOOKUP(Таблица310[[#This Row],[№ акта]],'Степень зрелости 2025'!$H$13:$I$583,2,FALSE())</f>
        <v>44</v>
      </c>
      <c r="AI288" s="198" t="str">
        <f aca="false">VLOOKUP(Таблица310[[#This Row],[№ акта]],$AQ$1:$AT$594,2,FALSE())</f>
        <v>закупка</v>
      </c>
      <c r="AJ288" s="198" t="str">
        <f aca="false">Таблица310[[#This Row],[Регистратор.Номенклатура]]</f>
        <v>Тристар</v>
      </c>
      <c r="AK288" s="198" t="str">
        <f aca="false">VLOOKUP(Таблица310[[#This Row],[№ акта]],$AQ$1:$AT$594,4,FALSE())</f>
        <v>Братковский закупка (полив)</v>
      </c>
      <c r="AL288" s="230" t="n">
        <f aca="false">VLOOKUP(Таблица310[[#This Row],[№ акта]],$AQ$1:$AT$594,3,FALSE())</f>
        <v>2.0709130844054</v>
      </c>
      <c r="AM288" s="198" t="str">
        <f aca="false">IF(Таблица310[[#This Row],[Площадь уборки, га]]=Таблица310[[#This Row],[Площадь уборки до корр]],"нет","да")</f>
        <v>нет</v>
      </c>
      <c r="AN288" s="230" t="n">
        <f aca="false">Таблица310[[#This Row],[Площадь уборки до корр]]-Таблица310[[#This Row],[Площадь уборки, га]]</f>
        <v>0</v>
      </c>
      <c r="AQ288" s="0" t="n">
        <v>384</v>
      </c>
      <c r="AR288" s="0" t="s">
        <v>905</v>
      </c>
      <c r="AS288" s="0" t="n">
        <v>2.0709130844054</v>
      </c>
      <c r="AT288" s="0" t="s">
        <v>327</v>
      </c>
      <c r="XEM288" s="216"/>
      <c r="XEN288" s="217"/>
      <c r="XEO288" s="243"/>
      <c r="XEP288" s="218"/>
      <c r="XEQ288" s="244"/>
      <c r="XER288" s="217"/>
    </row>
    <row r="289" customFormat="false" ht="25.5" hidden="false" customHeight="true" outlineLevel="0" collapsed="false">
      <c r="A289" s="216"/>
      <c r="B289" s="217"/>
      <c r="C289" s="241" t="n">
        <f aca="false">Таблица310[[#This Row],[Степень зрелости вспом]]</f>
        <v>64</v>
      </c>
      <c r="D289" s="218" t="n">
        <v>385</v>
      </c>
      <c r="E289" s="219" t="n">
        <v>45822</v>
      </c>
      <c r="F289" s="217" t="n">
        <v>27970</v>
      </c>
      <c r="G289" s="217" t="n">
        <v>13020</v>
      </c>
      <c r="H289" s="220" t="n">
        <v>14950</v>
      </c>
      <c r="I289" s="217" t="n">
        <v>11132.1</v>
      </c>
      <c r="J289" s="216" t="s">
        <v>899</v>
      </c>
      <c r="K289" s="216" t="s">
        <v>909</v>
      </c>
      <c r="L289" s="216" t="n">
        <v>43</v>
      </c>
      <c r="M289" s="189" t="s">
        <v>48</v>
      </c>
      <c r="N289" s="198"/>
      <c r="O289" s="216"/>
      <c r="P289" s="216"/>
      <c r="Q289" s="216"/>
      <c r="R289" s="216" t="s">
        <v>49</v>
      </c>
      <c r="S289" s="198"/>
      <c r="T289" s="246" t="n">
        <v>41</v>
      </c>
      <c r="U289" s="195" t="str">
        <f aca="false">Таблица310[[#This Row],[Регистратор.Номенклатура]]</f>
        <v>Вольф</v>
      </c>
      <c r="V289" s="230" t="n">
        <f aca="false">37.9*Таблица310[[#This Row],[Регистратор.Вес нетто]]/315870</f>
        <v>1.56221863424827</v>
      </c>
      <c r="W289" s="216" t="s">
        <v>326</v>
      </c>
      <c r="X289" s="216" t="s">
        <v>315</v>
      </c>
      <c r="Y289" s="198" t="n">
        <v>4</v>
      </c>
      <c r="Z289" s="221" t="n">
        <v>45821</v>
      </c>
      <c r="AA289" s="198"/>
      <c r="AB289" s="198" t="s">
        <v>47</v>
      </c>
      <c r="AC289" s="198" t="s">
        <v>305</v>
      </c>
      <c r="AD289" s="198" t="s">
        <v>746</v>
      </c>
      <c r="AE289" s="198" t="n">
        <v>385</v>
      </c>
      <c r="AF289" s="200" t="n">
        <v>45822</v>
      </c>
      <c r="AG289" s="198" t="s">
        <v>906</v>
      </c>
      <c r="AH289" s="198" t="n">
        <f aca="false">VLOOKUP(Таблица310[[#This Row],[№ акта]],'Степень зрелости 2025'!$H$13:$I$583,2,FALSE())</f>
        <v>64</v>
      </c>
      <c r="AI289" s="198" t="n">
        <f aca="false">VLOOKUP(Таблица310[[#This Row],[№ акта]],$AQ$1:$AT$594,2,FALSE())</f>
        <v>41</v>
      </c>
      <c r="AJ289" s="198" t="str">
        <f aca="false">Таблица310[[#This Row],[Регистратор.Номенклатура]]</f>
        <v>Вольф</v>
      </c>
      <c r="AK289" s="198" t="str">
        <f aca="false">VLOOKUP(Таблица310[[#This Row],[№ акта]],$AQ$1:$AT$594,4,FALSE())</f>
        <v>Братковский (полив)</v>
      </c>
      <c r="AL289" s="230" t="n">
        <f aca="false">VLOOKUP(Таблица310[[#This Row],[№ акта]],$AQ$1:$AT$594,3,FALSE())</f>
        <v>1.56221863424827</v>
      </c>
      <c r="AM289" s="198" t="str">
        <f aca="false">IF(Таблица310[[#This Row],[Площадь уборки, га]]=Таблица310[[#This Row],[Площадь уборки до корр]],"нет","да")</f>
        <v>нет</v>
      </c>
      <c r="AN289" s="230" t="n">
        <f aca="false">Таблица310[[#This Row],[Площадь уборки до корр]]-Таблица310[[#This Row],[Площадь уборки, га]]</f>
        <v>0</v>
      </c>
      <c r="AQ289" s="0" t="n">
        <v>385</v>
      </c>
      <c r="AR289" s="0" t="n">
        <v>41</v>
      </c>
      <c r="AS289" s="0" t="n">
        <v>1.56221863424827</v>
      </c>
      <c r="AT289" s="0" t="s">
        <v>326</v>
      </c>
      <c r="XEM289" s="216"/>
      <c r="XEN289" s="217"/>
      <c r="XEO289" s="243"/>
      <c r="XEP289" s="218"/>
      <c r="XEQ289" s="244"/>
      <c r="XER289" s="217"/>
    </row>
    <row r="290" customFormat="false" ht="25.5" hidden="false" customHeight="true" outlineLevel="0" collapsed="false">
      <c r="A290" s="216"/>
      <c r="B290" s="217"/>
      <c r="C290" s="241" t="n">
        <v>63</v>
      </c>
      <c r="D290" s="218" t="n">
        <v>386</v>
      </c>
      <c r="E290" s="219" t="n">
        <v>45822</v>
      </c>
      <c r="F290" s="217" t="n">
        <v>27650</v>
      </c>
      <c r="G290" s="217" t="n">
        <v>6590</v>
      </c>
      <c r="H290" s="220" t="n">
        <v>21060</v>
      </c>
      <c r="I290" s="217" t="n">
        <v>6161.6</v>
      </c>
      <c r="J290" s="216" t="s">
        <v>899</v>
      </c>
      <c r="K290" s="216" t="s">
        <v>909</v>
      </c>
      <c r="L290" s="216" t="n">
        <v>43</v>
      </c>
      <c r="M290" s="189" t="s">
        <v>427</v>
      </c>
      <c r="N290" s="198"/>
      <c r="O290" s="216"/>
      <c r="P290" s="216"/>
      <c r="Q290" s="216"/>
      <c r="R290" s="216" t="s">
        <v>431</v>
      </c>
      <c r="S290" s="198"/>
      <c r="T290" s="246" t="n">
        <v>41</v>
      </c>
      <c r="U290" s="195" t="str">
        <f aca="false">Таблица310[[#This Row],[Регистратор.Номенклатура]]</f>
        <v>Вольф</v>
      </c>
      <c r="V290" s="230" t="n">
        <f aca="false">37.9*Таблица310[[#This Row],[Регистратор.Вес нетто]]/315870</f>
        <v>0.790708202741634</v>
      </c>
      <c r="W290" s="216" t="s">
        <v>326</v>
      </c>
      <c r="X290" s="216" t="s">
        <v>315</v>
      </c>
      <c r="Y290" s="198" t="n">
        <v>4</v>
      </c>
      <c r="Z290" s="221" t="n">
        <v>45821</v>
      </c>
      <c r="AA290" s="198"/>
      <c r="AB290" s="198" t="s">
        <v>47</v>
      </c>
      <c r="AC290" s="198" t="s">
        <v>302</v>
      </c>
      <c r="AD290" s="198" t="s">
        <v>746</v>
      </c>
      <c r="AE290" s="198" t="n">
        <v>386</v>
      </c>
      <c r="AF290" s="200" t="n">
        <v>45822</v>
      </c>
      <c r="AG290" s="198" t="s">
        <v>910</v>
      </c>
      <c r="AH290" s="198" t="n">
        <f aca="false">VLOOKUP(Таблица310[[#This Row],[№ акта]],'Степень зрелости 2025'!$H$13:$I$583,2,FALSE())</f>
        <v>63</v>
      </c>
      <c r="AI290" s="198" t="n">
        <f aca="false">VLOOKUP(Таблица310[[#This Row],[№ акта]],$AQ$1:$AT$594,2,FALSE())</f>
        <v>41</v>
      </c>
      <c r="AJ290" s="198" t="str">
        <f aca="false">Таблица310[[#This Row],[Регистратор.Номенклатура]]</f>
        <v>Вольф</v>
      </c>
      <c r="AK290" s="198" t="str">
        <f aca="false">VLOOKUP(Таблица310[[#This Row],[№ акта]],$AQ$1:$AT$594,4,FALSE())</f>
        <v>Братковский (полив)</v>
      </c>
      <c r="AL290" s="230" t="n">
        <f aca="false">VLOOKUP(Таблица310[[#This Row],[№ акта]],$AQ$1:$AT$594,3,FALSE())</f>
        <v>0.790708202741634</v>
      </c>
      <c r="AM290" s="198" t="str">
        <f aca="false">IF(Таблица310[[#This Row],[Площадь уборки, га]]=Таблица310[[#This Row],[Площадь уборки до корр]],"нет","да")</f>
        <v>нет</v>
      </c>
      <c r="AN290" s="230" t="n">
        <f aca="false">Таблица310[[#This Row],[Площадь уборки до корр]]-Таблица310[[#This Row],[Площадь уборки, га]]</f>
        <v>0</v>
      </c>
      <c r="AQ290" s="0" t="n">
        <v>386</v>
      </c>
      <c r="AR290" s="0" t="n">
        <v>41</v>
      </c>
      <c r="AS290" s="0" t="n">
        <v>0.790708202741634</v>
      </c>
      <c r="AT290" s="0" t="s">
        <v>326</v>
      </c>
      <c r="XEM290" s="216"/>
      <c r="XEN290" s="217"/>
      <c r="XEO290" s="243"/>
      <c r="XEP290" s="218"/>
      <c r="XEQ290" s="244"/>
      <c r="XER290" s="217"/>
    </row>
    <row r="291" customFormat="false" ht="25.5" hidden="false" customHeight="true" outlineLevel="0" collapsed="false">
      <c r="A291" s="216"/>
      <c r="B291" s="217"/>
      <c r="C291" s="241" t="n">
        <f aca="false">Таблица310[[#This Row],[Степень зрелости вспом]]</f>
        <v>67</v>
      </c>
      <c r="D291" s="218" t="n">
        <v>387</v>
      </c>
      <c r="E291" s="219" t="n">
        <v>45822</v>
      </c>
      <c r="F291" s="217" t="n">
        <v>31950</v>
      </c>
      <c r="G291" s="217" t="n">
        <v>13240</v>
      </c>
      <c r="H291" s="220" t="n">
        <v>18710</v>
      </c>
      <c r="I291" s="217" t="n">
        <v>11982.2</v>
      </c>
      <c r="J291" s="216" t="s">
        <v>899</v>
      </c>
      <c r="K291" s="216" t="s">
        <v>909</v>
      </c>
      <c r="L291" s="216" t="n">
        <v>43</v>
      </c>
      <c r="M291" s="189" t="s">
        <v>365</v>
      </c>
      <c r="N291" s="198"/>
      <c r="O291" s="216"/>
      <c r="P291" s="216"/>
      <c r="Q291" s="216"/>
      <c r="R291" s="216" t="s">
        <v>373</v>
      </c>
      <c r="S291" s="198"/>
      <c r="T291" s="246" t="n">
        <v>41</v>
      </c>
      <c r="U291" s="195" t="str">
        <f aca="false">Таблица310[[#This Row],[Регистратор.Номенклатура]]</f>
        <v>Вольф</v>
      </c>
      <c r="V291" s="230" t="n">
        <f aca="false">37.9*Таблица310[[#This Row],[Регистратор.Вес нетто]]/315870</f>
        <v>1.58861556969639</v>
      </c>
      <c r="W291" s="216" t="s">
        <v>326</v>
      </c>
      <c r="X291" s="216" t="s">
        <v>315</v>
      </c>
      <c r="Y291" s="198" t="n">
        <v>4</v>
      </c>
      <c r="Z291" s="221" t="n">
        <v>45821</v>
      </c>
      <c r="AA291" s="198"/>
      <c r="AB291" s="198" t="s">
        <v>47</v>
      </c>
      <c r="AC291" s="198" t="s">
        <v>305</v>
      </c>
      <c r="AD291" s="198" t="s">
        <v>746</v>
      </c>
      <c r="AE291" s="198" t="n">
        <v>387</v>
      </c>
      <c r="AF291" s="200" t="n">
        <v>45822</v>
      </c>
      <c r="AG291" s="198" t="s">
        <v>906</v>
      </c>
      <c r="AH291" s="198" t="n">
        <f aca="false">VLOOKUP(Таблица310[[#This Row],[№ акта]],'Степень зрелости 2025'!$H$13:$I$583,2,FALSE())</f>
        <v>67</v>
      </c>
      <c r="AI291" s="198" t="n">
        <f aca="false">VLOOKUP(Таблица310[[#This Row],[№ акта]],$AQ$1:$AT$594,2,FALSE())</f>
        <v>41</v>
      </c>
      <c r="AJ291" s="198" t="str">
        <f aca="false">Таблица310[[#This Row],[Регистратор.Номенклатура]]</f>
        <v>Вольф</v>
      </c>
      <c r="AK291" s="198" t="str">
        <f aca="false">VLOOKUP(Таблица310[[#This Row],[№ акта]],$AQ$1:$AT$594,4,FALSE())</f>
        <v>Братковский (полив)</v>
      </c>
      <c r="AL291" s="230" t="n">
        <f aca="false">VLOOKUP(Таблица310[[#This Row],[№ акта]],$AQ$1:$AT$594,3,FALSE())</f>
        <v>1.58861556969639</v>
      </c>
      <c r="AM291" s="198" t="str">
        <f aca="false">IF(Таблица310[[#This Row],[Площадь уборки, га]]=Таблица310[[#This Row],[Площадь уборки до корр]],"нет","да")</f>
        <v>нет</v>
      </c>
      <c r="AN291" s="230" t="n">
        <f aca="false">Таблица310[[#This Row],[Площадь уборки до корр]]-Таблица310[[#This Row],[Площадь уборки, га]]</f>
        <v>0</v>
      </c>
      <c r="AQ291" s="0" t="n">
        <v>387</v>
      </c>
      <c r="AR291" s="0" t="n">
        <v>41</v>
      </c>
      <c r="AS291" s="0" t="n">
        <v>1.58861556969639</v>
      </c>
      <c r="AT291" s="0" t="s">
        <v>326</v>
      </c>
      <c r="XEM291" s="216"/>
      <c r="XEN291" s="217"/>
      <c r="XEO291" s="243"/>
      <c r="XEP291" s="218"/>
      <c r="XEQ291" s="244"/>
      <c r="XER291" s="217"/>
    </row>
    <row r="292" customFormat="false" ht="25.5" hidden="false" customHeight="true" outlineLevel="0" collapsed="false">
      <c r="A292" s="216"/>
      <c r="B292" s="217"/>
      <c r="C292" s="241" t="n">
        <v>69</v>
      </c>
      <c r="D292" s="218" t="n">
        <v>388</v>
      </c>
      <c r="E292" s="219" t="n">
        <v>45822</v>
      </c>
      <c r="F292" s="217" t="n">
        <v>28170</v>
      </c>
      <c r="G292" s="217" t="n">
        <v>13200</v>
      </c>
      <c r="H292" s="220" t="n">
        <v>14970</v>
      </c>
      <c r="I292" s="217" t="n">
        <v>12342</v>
      </c>
      <c r="J292" s="216" t="s">
        <v>899</v>
      </c>
      <c r="K292" s="216" t="s">
        <v>909</v>
      </c>
      <c r="L292" s="216" t="n">
        <v>43</v>
      </c>
      <c r="M292" s="189" t="s">
        <v>371</v>
      </c>
      <c r="N292" s="198"/>
      <c r="O292" s="216"/>
      <c r="P292" s="216"/>
      <c r="Q292" s="216"/>
      <c r="R292" s="216" t="s">
        <v>372</v>
      </c>
      <c r="S292" s="198"/>
      <c r="T292" s="246" t="n">
        <v>41</v>
      </c>
      <c r="U292" s="195" t="str">
        <f aca="false">Таблица310[[#This Row],[Регистратор.Номенклатура]]</f>
        <v>Вольф</v>
      </c>
      <c r="V292" s="230" t="n">
        <f aca="false">37.9*Таблица310[[#This Row],[Регистратор.Вес нетто]]/315870</f>
        <v>1.58381612688764</v>
      </c>
      <c r="W292" s="216" t="s">
        <v>326</v>
      </c>
      <c r="X292" s="216" t="s">
        <v>315</v>
      </c>
      <c r="Y292" s="198" t="n">
        <v>4</v>
      </c>
      <c r="Z292" s="221" t="n">
        <v>45821</v>
      </c>
      <c r="AA292" s="198"/>
      <c r="AB292" s="198" t="s">
        <v>47</v>
      </c>
      <c r="AC292" s="198" t="s">
        <v>305</v>
      </c>
      <c r="AD292" s="198" t="s">
        <v>746</v>
      </c>
      <c r="AE292" s="198" t="n">
        <v>388</v>
      </c>
      <c r="AF292" s="200" t="n">
        <v>45822</v>
      </c>
      <c r="AG292" s="198" t="s">
        <v>906</v>
      </c>
      <c r="AH292" s="198" t="n">
        <f aca="false">VLOOKUP(Таблица310[[#This Row],[№ акта]],'Степень зрелости 2025'!$H$13:$I$583,2,FALSE())</f>
        <v>69</v>
      </c>
      <c r="AI292" s="198" t="n">
        <f aca="false">VLOOKUP(Таблица310[[#This Row],[№ акта]],$AQ$1:$AT$594,2,FALSE())</f>
        <v>41</v>
      </c>
      <c r="AJ292" s="198" t="str">
        <f aca="false">Таблица310[[#This Row],[Регистратор.Номенклатура]]</f>
        <v>Вольф</v>
      </c>
      <c r="AK292" s="198" t="str">
        <f aca="false">VLOOKUP(Таблица310[[#This Row],[№ акта]],$AQ$1:$AT$594,4,FALSE())</f>
        <v>Братковский (полив)</v>
      </c>
      <c r="AL292" s="230" t="n">
        <f aca="false">VLOOKUP(Таблица310[[#This Row],[№ акта]],$AQ$1:$AT$594,3,FALSE())</f>
        <v>1.58381612688764</v>
      </c>
      <c r="AM292" s="198" t="str">
        <f aca="false">IF(Таблица310[[#This Row],[Площадь уборки, га]]=Таблица310[[#This Row],[Площадь уборки до корр]],"нет","да")</f>
        <v>нет</v>
      </c>
      <c r="AN292" s="230" t="n">
        <f aca="false">Таблица310[[#This Row],[Площадь уборки до корр]]-Таблица310[[#This Row],[Площадь уборки, га]]</f>
        <v>0</v>
      </c>
      <c r="AQ292" s="0" t="n">
        <v>388</v>
      </c>
      <c r="AR292" s="0" t="n">
        <v>41</v>
      </c>
      <c r="AS292" s="0" t="n">
        <v>1.58381612688764</v>
      </c>
      <c r="AT292" s="0" t="s">
        <v>326</v>
      </c>
      <c r="XEM292" s="216"/>
      <c r="XEN292" s="217"/>
      <c r="XEO292" s="243"/>
      <c r="XEP292" s="218"/>
      <c r="XEQ292" s="244"/>
      <c r="XER292" s="217"/>
    </row>
    <row r="293" customFormat="false" ht="25.5" hidden="false" customHeight="true" outlineLevel="0" collapsed="false">
      <c r="A293" s="216"/>
      <c r="B293" s="217"/>
      <c r="C293" s="241" t="n">
        <f aca="false">Таблица310[[#This Row],[Степень зрелости вспом]]</f>
        <v>65</v>
      </c>
      <c r="D293" s="218" t="n">
        <v>389</v>
      </c>
      <c r="E293" s="219" t="n">
        <v>45822</v>
      </c>
      <c r="F293" s="217" t="n">
        <v>37310</v>
      </c>
      <c r="G293" s="217" t="n">
        <v>13310</v>
      </c>
      <c r="H293" s="220" t="n">
        <v>24000</v>
      </c>
      <c r="I293" s="217" t="n">
        <v>12444.8</v>
      </c>
      <c r="J293" s="216" t="s">
        <v>899</v>
      </c>
      <c r="K293" s="216" t="s">
        <v>909</v>
      </c>
      <c r="L293" s="216" t="n">
        <v>43</v>
      </c>
      <c r="M293" s="189" t="s">
        <v>439</v>
      </c>
      <c r="N293" s="198"/>
      <c r="O293" s="216"/>
      <c r="P293" s="216"/>
      <c r="Q293" s="216"/>
      <c r="R293" s="216" t="s">
        <v>443</v>
      </c>
      <c r="S293" s="198"/>
      <c r="T293" s="246" t="n">
        <v>41</v>
      </c>
      <c r="U293" s="195" t="str">
        <f aca="false">Таблица310[[#This Row],[Регистратор.Номенклатура]]</f>
        <v>Вольф</v>
      </c>
      <c r="V293" s="230" t="n">
        <f aca="false">37.9*Таблица310[[#This Row],[Регистратор.Вес нетто]]/315870</f>
        <v>1.59701459461171</v>
      </c>
      <c r="W293" s="216" t="s">
        <v>326</v>
      </c>
      <c r="X293" s="216" t="s">
        <v>315</v>
      </c>
      <c r="Y293" s="198" t="n">
        <v>4</v>
      </c>
      <c r="Z293" s="221" t="n">
        <v>45821</v>
      </c>
      <c r="AA293" s="198"/>
      <c r="AB293" s="198" t="s">
        <v>47</v>
      </c>
      <c r="AC293" s="198" t="s">
        <v>304</v>
      </c>
      <c r="AD293" s="198" t="s">
        <v>746</v>
      </c>
      <c r="AE293" s="198" t="n">
        <v>389</v>
      </c>
      <c r="AF293" s="200" t="n">
        <v>45822</v>
      </c>
      <c r="AG293" s="198" t="s">
        <v>906</v>
      </c>
      <c r="AH293" s="198" t="n">
        <f aca="false">VLOOKUP(Таблица310[[#This Row],[№ акта]],'Степень зрелости 2025'!$H$13:$I$583,2,FALSE())</f>
        <v>65</v>
      </c>
      <c r="AI293" s="198" t="n">
        <f aca="false">VLOOKUP(Таблица310[[#This Row],[№ акта]],$AQ$1:$AT$594,2,FALSE())</f>
        <v>41</v>
      </c>
      <c r="AJ293" s="198" t="str">
        <f aca="false">Таблица310[[#This Row],[Регистратор.Номенклатура]]</f>
        <v>Вольф</v>
      </c>
      <c r="AK293" s="198" t="str">
        <f aca="false">VLOOKUP(Таблица310[[#This Row],[№ акта]],$AQ$1:$AT$594,4,FALSE())</f>
        <v>Братковский (полив)</v>
      </c>
      <c r="AL293" s="230" t="n">
        <f aca="false">VLOOKUP(Таблица310[[#This Row],[№ акта]],$AQ$1:$AT$594,3,FALSE())</f>
        <v>1.59701459461171</v>
      </c>
      <c r="AM293" s="198" t="str">
        <f aca="false">IF(Таблица310[[#This Row],[Площадь уборки, га]]=Таблица310[[#This Row],[Площадь уборки до корр]],"нет","да")</f>
        <v>нет</v>
      </c>
      <c r="AN293" s="230" t="n">
        <f aca="false">Таблица310[[#This Row],[Площадь уборки до корр]]-Таблица310[[#This Row],[Площадь уборки, га]]</f>
        <v>0</v>
      </c>
      <c r="AQ293" s="0" t="n">
        <v>389</v>
      </c>
      <c r="AR293" s="0" t="n">
        <v>41</v>
      </c>
      <c r="AS293" s="0" t="n">
        <v>1.59701459461171</v>
      </c>
      <c r="AT293" s="0" t="s">
        <v>326</v>
      </c>
      <c r="XEM293" s="216"/>
      <c r="XEN293" s="217"/>
      <c r="XEO293" s="243"/>
      <c r="XEP293" s="218"/>
      <c r="XEQ293" s="244"/>
      <c r="XER293" s="217"/>
    </row>
    <row r="294" customFormat="false" ht="25.5" hidden="false" customHeight="true" outlineLevel="0" collapsed="false">
      <c r="A294" s="216"/>
      <c r="B294" s="217"/>
      <c r="C294" s="241" t="n">
        <v>42</v>
      </c>
      <c r="D294" s="218" t="n">
        <v>390</v>
      </c>
      <c r="E294" s="219" t="n">
        <v>45822</v>
      </c>
      <c r="F294" s="217" t="n">
        <v>34940</v>
      </c>
      <c r="G294" s="217" t="n">
        <v>7270</v>
      </c>
      <c r="H294" s="220" t="n">
        <v>27670</v>
      </c>
      <c r="I294" s="217" t="n">
        <v>5925</v>
      </c>
      <c r="J294" s="216" t="s">
        <v>899</v>
      </c>
      <c r="K294" s="216" t="s">
        <v>904</v>
      </c>
      <c r="L294" s="216" t="n">
        <v>46</v>
      </c>
      <c r="M294" s="189" t="s">
        <v>427</v>
      </c>
      <c r="N294" s="198"/>
      <c r="O294" s="216"/>
      <c r="P294" s="216"/>
      <c r="Q294" s="216"/>
      <c r="R294" s="216" t="s">
        <v>431</v>
      </c>
      <c r="S294" s="198"/>
      <c r="T294" s="228" t="s">
        <v>905</v>
      </c>
      <c r="U294" s="195" t="str">
        <f aca="false">Таблица310[[#This Row],[Регистратор.Номенклатура]]</f>
        <v>Тристар</v>
      </c>
      <c r="V294" s="230" t="n">
        <f aca="false">41.5*Таблица310[[#This Row],[Регистратор.Вес нетто]]/260190</f>
        <v>1.15955647795842</v>
      </c>
      <c r="W294" s="216" t="s">
        <v>327</v>
      </c>
      <c r="X294" s="216" t="s">
        <v>315</v>
      </c>
      <c r="Y294" s="198" t="n">
        <v>5</v>
      </c>
      <c r="Z294" s="221" t="n">
        <v>45822</v>
      </c>
      <c r="AA294" s="198"/>
      <c r="AB294" s="198"/>
      <c r="AC294" s="198" t="s">
        <v>53</v>
      </c>
      <c r="AD294" s="198" t="s">
        <v>417</v>
      </c>
      <c r="AE294" s="198" t="n">
        <v>390</v>
      </c>
      <c r="AF294" s="200" t="n">
        <v>45822</v>
      </c>
      <c r="AG294" s="198" t="s">
        <v>910</v>
      </c>
      <c r="AH294" s="198" t="e">
        <f aca="false">VLOOKUP(Таблица310[[#This Row],[№ акта]],'Степень зрелости 2025'!$H$13:$I$583,2,FALSE())</f>
        <v>#N/A</v>
      </c>
      <c r="AI294" s="198" t="str">
        <f aca="false">VLOOKUP(Таблица310[[#This Row],[№ акта]],$AQ$1:$AT$594,2,FALSE())</f>
        <v>закупка</v>
      </c>
      <c r="AJ294" s="198" t="str">
        <f aca="false">Таблица310[[#This Row],[Регистратор.Номенклатура]]</f>
        <v>Тристар</v>
      </c>
      <c r="AK294" s="198" t="str">
        <f aca="false">VLOOKUP(Таблица310[[#This Row],[№ акта]],$AQ$1:$AT$594,4,FALSE())</f>
        <v>Братковский закупка (полив)</v>
      </c>
      <c r="AL294" s="230" t="n">
        <f aca="false">VLOOKUP(Таблица310[[#This Row],[№ акта]],$AQ$1:$AT$594,3,FALSE())</f>
        <v>1.15955647795842</v>
      </c>
      <c r="AM294" s="198" t="str">
        <f aca="false">IF(Таблица310[[#This Row],[Площадь уборки, га]]=Таблица310[[#This Row],[Площадь уборки до корр]],"нет","да")</f>
        <v>нет</v>
      </c>
      <c r="AN294" s="230" t="n">
        <f aca="false">Таблица310[[#This Row],[Площадь уборки до корр]]-Таблица310[[#This Row],[Площадь уборки, га]]</f>
        <v>0</v>
      </c>
      <c r="AQ294" s="0" t="n">
        <v>390</v>
      </c>
      <c r="AR294" s="0" t="s">
        <v>905</v>
      </c>
      <c r="AS294" s="0" t="n">
        <v>1.15955647795842</v>
      </c>
      <c r="AT294" s="0" t="s">
        <v>327</v>
      </c>
      <c r="XEM294" s="216"/>
      <c r="XEN294" s="217"/>
      <c r="XEO294" s="243"/>
      <c r="XEP294" s="218"/>
      <c r="XEQ294" s="244"/>
      <c r="XER294" s="217"/>
    </row>
    <row r="295" customFormat="false" ht="25.5" hidden="false" customHeight="true" outlineLevel="0" collapsed="false">
      <c r="A295" s="216"/>
      <c r="B295" s="217"/>
      <c r="C295" s="241" t="n">
        <v>64</v>
      </c>
      <c r="D295" s="218" t="n">
        <v>391</v>
      </c>
      <c r="E295" s="219" t="n">
        <v>45822</v>
      </c>
      <c r="F295" s="217" t="n">
        <v>28140</v>
      </c>
      <c r="G295" s="217" t="n">
        <v>13200</v>
      </c>
      <c r="H295" s="220" t="n">
        <v>14940</v>
      </c>
      <c r="I295" s="217" t="n">
        <v>11814</v>
      </c>
      <c r="J295" s="216" t="s">
        <v>899</v>
      </c>
      <c r="K295" s="216" t="s">
        <v>909</v>
      </c>
      <c r="L295" s="216" t="n">
        <v>44</v>
      </c>
      <c r="M295" s="189" t="s">
        <v>433</v>
      </c>
      <c r="N295" s="198"/>
      <c r="O295" s="216"/>
      <c r="P295" s="216"/>
      <c r="Q295" s="216"/>
      <c r="R295" s="216" t="s">
        <v>437</v>
      </c>
      <c r="S295" s="198"/>
      <c r="T295" s="246" t="n">
        <v>50</v>
      </c>
      <c r="U295" s="195" t="str">
        <f aca="false">Таблица310[[#This Row],[Регистратор.Номенклатура]]</f>
        <v>Вольф</v>
      </c>
      <c r="V295" s="230" t="n">
        <f aca="false">41.5*Таблица310[[#This Row],[Регистратор.Вес нетто]]/260190</f>
        <v>2.10538452669203</v>
      </c>
      <c r="W295" s="216" t="s">
        <v>326</v>
      </c>
      <c r="X295" s="216" t="s">
        <v>315</v>
      </c>
      <c r="Y295" s="198" t="n">
        <v>5</v>
      </c>
      <c r="Z295" s="221" t="n">
        <v>45822</v>
      </c>
      <c r="AA295" s="198"/>
      <c r="AB295" s="198"/>
      <c r="AC295" s="198" t="s">
        <v>305</v>
      </c>
      <c r="AD295" s="198" t="s">
        <v>746</v>
      </c>
      <c r="AE295" s="198" t="n">
        <v>391</v>
      </c>
      <c r="AF295" s="200" t="n">
        <v>45822</v>
      </c>
      <c r="AG295" s="198" t="s">
        <v>906</v>
      </c>
      <c r="AH295" s="198" t="e">
        <f aca="false">VLOOKUP(Таблица310[[#This Row],[№ акта]],'Степень зрелости 2025'!$H$13:$I$583,2,FALSE())</f>
        <v>#N/A</v>
      </c>
      <c r="AI295" s="198" t="n">
        <f aca="false">VLOOKUP(Таблица310[[#This Row],[№ акта]],$AQ$1:$AT$594,2,FALSE())</f>
        <v>50</v>
      </c>
      <c r="AJ295" s="198" t="str">
        <f aca="false">Таблица310[[#This Row],[Регистратор.Номенклатура]]</f>
        <v>Вольф</v>
      </c>
      <c r="AK295" s="198" t="str">
        <f aca="false">VLOOKUP(Таблица310[[#This Row],[№ акта]],$AQ$1:$AT$594,4,FALSE())</f>
        <v>Братковский (полив)</v>
      </c>
      <c r="AL295" s="230" t="n">
        <f aca="false">VLOOKUP(Таблица310[[#This Row],[№ акта]],$AQ$1:$AT$594,3,FALSE())</f>
        <v>2.10538452669203</v>
      </c>
      <c r="AM295" s="198" t="str">
        <f aca="false">IF(Таблица310[[#This Row],[Площадь уборки, га]]=Таблица310[[#This Row],[Площадь уборки до корр]],"нет","да")</f>
        <v>нет</v>
      </c>
      <c r="AN295" s="230" t="n">
        <f aca="false">Таблица310[[#This Row],[Площадь уборки до корр]]-Таблица310[[#This Row],[Площадь уборки, га]]</f>
        <v>0</v>
      </c>
      <c r="AQ295" s="0" t="n">
        <v>391</v>
      </c>
      <c r="AR295" s="0" t="n">
        <v>50</v>
      </c>
      <c r="AS295" s="0" t="n">
        <v>2.10538452669203</v>
      </c>
      <c r="AT295" s="0" t="s">
        <v>326</v>
      </c>
      <c r="XEM295" s="216"/>
      <c r="XEN295" s="217"/>
      <c r="XEO295" s="243"/>
      <c r="XEP295" s="218"/>
      <c r="XEQ295" s="244"/>
      <c r="XER295" s="217"/>
    </row>
    <row r="296" customFormat="false" ht="25.5" hidden="false" customHeight="true" outlineLevel="0" collapsed="false">
      <c r="A296" s="216"/>
      <c r="B296" s="217"/>
      <c r="C296" s="241" t="n">
        <f aca="false">Таблица310[[#This Row],[Степень зрелости вспом]]</f>
        <v>40</v>
      </c>
      <c r="D296" s="218" t="n">
        <v>392</v>
      </c>
      <c r="E296" s="219" t="n">
        <v>45822</v>
      </c>
      <c r="F296" s="217" t="n">
        <v>9100</v>
      </c>
      <c r="G296" s="217" t="n">
        <v>4510</v>
      </c>
      <c r="H296" s="220" t="n">
        <v>4590</v>
      </c>
      <c r="I296" s="217" t="n">
        <v>3675.6</v>
      </c>
      <c r="J296" s="216" t="s">
        <v>908</v>
      </c>
      <c r="K296" s="216" t="s">
        <v>904</v>
      </c>
      <c r="L296" s="216" t="n">
        <v>16</v>
      </c>
      <c r="M296" s="189" t="s">
        <v>374</v>
      </c>
      <c r="N296" s="198"/>
      <c r="O296" s="216"/>
      <c r="P296" s="216"/>
      <c r="Q296" s="216"/>
      <c r="R296" s="216" t="s">
        <v>375</v>
      </c>
      <c r="S296" s="198"/>
      <c r="T296" s="216" t="n">
        <v>16</v>
      </c>
      <c r="U296" s="195" t="str">
        <f aca="false">Таблица310[[#This Row],[Регистратор.Номенклатура]]</f>
        <v>Тристар</v>
      </c>
      <c r="V296" s="230" t="n">
        <f aca="false">5*Таблица310[[#This Row],[Регистратор.Вес нетто]]/28730</f>
        <v>0.784893839192482</v>
      </c>
      <c r="W296" s="216" t="s">
        <v>278</v>
      </c>
      <c r="X296" s="216" t="s">
        <v>315</v>
      </c>
      <c r="Y296" s="198" t="n">
        <v>1</v>
      </c>
      <c r="Z296" s="221" t="n">
        <v>45821</v>
      </c>
      <c r="AA296" s="198"/>
      <c r="AB296" s="198"/>
      <c r="AC296" s="198" t="s">
        <v>305</v>
      </c>
      <c r="AD296" s="198" t="s">
        <v>417</v>
      </c>
      <c r="AE296" s="198" t="n">
        <v>392</v>
      </c>
      <c r="AF296" s="200" t="n">
        <v>45822</v>
      </c>
      <c r="AG296" s="198" t="s">
        <v>906</v>
      </c>
      <c r="AH296" s="198" t="n">
        <f aca="false">VLOOKUP(Таблица310[[#This Row],[№ акта]],'Степень зрелости 2025'!$H$13:$I$583,2,FALSE())</f>
        <v>40</v>
      </c>
      <c r="AI296" s="198" t="n">
        <f aca="false">VLOOKUP(Таблица310[[#This Row],[№ акта]],$AQ$1:$AT$594,2,FALSE())</f>
        <v>16</v>
      </c>
      <c r="AJ296" s="198" t="str">
        <f aca="false">Таблица310[[#This Row],[Регистратор.Номенклатура]]</f>
        <v>Тристар</v>
      </c>
      <c r="AK296" s="198" t="str">
        <f aca="false">VLOOKUP(Таблица310[[#This Row],[№ акта]],$AQ$1:$AT$594,4,FALSE())</f>
        <v>Агролидер (полив)</v>
      </c>
      <c r="AL296" s="230" t="n">
        <f aca="false">VLOOKUP(Таблица310[[#This Row],[№ акта]],$AQ$1:$AT$594,3,FALSE())</f>
        <v>0.784893839192482</v>
      </c>
      <c r="AM296" s="198" t="str">
        <f aca="false">IF(Таблица310[[#This Row],[Площадь уборки, га]]=Таблица310[[#This Row],[Площадь уборки до корр]],"нет","да")</f>
        <v>нет</v>
      </c>
      <c r="AN296" s="230" t="n">
        <f aca="false">Таблица310[[#This Row],[Площадь уборки до корр]]-Таблица310[[#This Row],[Площадь уборки, га]]</f>
        <v>0</v>
      </c>
      <c r="AQ296" s="0" t="n">
        <v>392</v>
      </c>
      <c r="AR296" s="0" t="n">
        <v>16</v>
      </c>
      <c r="AS296" s="0" t="n">
        <v>0.784893839192482</v>
      </c>
      <c r="AT296" s="0" t="s">
        <v>278</v>
      </c>
      <c r="XEM296" s="216"/>
      <c r="XEN296" s="217"/>
      <c r="XEO296" s="243"/>
      <c r="XEP296" s="218"/>
      <c r="XEQ296" s="244"/>
      <c r="XER296" s="217"/>
    </row>
    <row r="297" customFormat="false" ht="25.5" hidden="false" customHeight="true" outlineLevel="0" collapsed="false">
      <c r="A297" s="216"/>
      <c r="B297" s="217"/>
      <c r="C297" s="241" t="n">
        <f aca="false">Таблица310[[#This Row],[Степень зрелости вспом]]</f>
        <v>56</v>
      </c>
      <c r="D297" s="218" t="n">
        <v>393</v>
      </c>
      <c r="E297" s="219" t="n">
        <v>45822</v>
      </c>
      <c r="F297" s="217" t="n">
        <v>27130</v>
      </c>
      <c r="G297" s="217" t="n">
        <v>13360</v>
      </c>
      <c r="H297" s="220" t="n">
        <v>13770</v>
      </c>
      <c r="I297" s="217" t="n">
        <v>11756.8</v>
      </c>
      <c r="J297" s="216" t="s">
        <v>899</v>
      </c>
      <c r="K297" s="216" t="s">
        <v>909</v>
      </c>
      <c r="L297" s="216" t="n">
        <v>44</v>
      </c>
      <c r="M297" s="189" t="s">
        <v>359</v>
      </c>
      <c r="N297" s="198"/>
      <c r="O297" s="216"/>
      <c r="P297" s="216"/>
      <c r="Q297" s="216"/>
      <c r="R297" s="216" t="s">
        <v>426</v>
      </c>
      <c r="S297" s="198"/>
      <c r="T297" s="246" t="n">
        <v>50</v>
      </c>
      <c r="U297" s="195" t="str">
        <f aca="false">Таблица310[[#This Row],[Регистратор.Номенклатура]]</f>
        <v>Вольф</v>
      </c>
      <c r="V297" s="230" t="n">
        <f aca="false">41.5*Таблица310[[#This Row],[Регистратор.Вес нетто]]/260190</f>
        <v>2.13090433913678</v>
      </c>
      <c r="W297" s="216" t="s">
        <v>326</v>
      </c>
      <c r="X297" s="216" t="s">
        <v>315</v>
      </c>
      <c r="Y297" s="198" t="n">
        <v>5</v>
      </c>
      <c r="Z297" s="221" t="n">
        <v>45822</v>
      </c>
      <c r="AA297" s="198"/>
      <c r="AB297" s="198"/>
      <c r="AC297" s="198" t="s">
        <v>302</v>
      </c>
      <c r="AD297" s="198" t="s">
        <v>746</v>
      </c>
      <c r="AE297" s="198" t="n">
        <v>393</v>
      </c>
      <c r="AF297" s="200" t="n">
        <v>45822</v>
      </c>
      <c r="AG297" s="198" t="s">
        <v>906</v>
      </c>
      <c r="AH297" s="198" t="n">
        <f aca="false">VLOOKUP(Таблица310[[#This Row],[№ акта]],'Степень зрелости 2025'!$H$13:$I$583,2,FALSE())</f>
        <v>56</v>
      </c>
      <c r="AI297" s="198" t="n">
        <f aca="false">VLOOKUP(Таблица310[[#This Row],[№ акта]],$AQ$1:$AT$594,2,FALSE())</f>
        <v>50</v>
      </c>
      <c r="AJ297" s="198" t="str">
        <f aca="false">Таблица310[[#This Row],[Регистратор.Номенклатура]]</f>
        <v>Вольф</v>
      </c>
      <c r="AK297" s="198" t="str">
        <f aca="false">VLOOKUP(Таблица310[[#This Row],[№ акта]],$AQ$1:$AT$594,4,FALSE())</f>
        <v>Братковский (полив)</v>
      </c>
      <c r="AL297" s="230" t="n">
        <f aca="false">VLOOKUP(Таблица310[[#This Row],[№ акта]],$AQ$1:$AT$594,3,FALSE())</f>
        <v>2.13090433913678</v>
      </c>
      <c r="AM297" s="198" t="str">
        <f aca="false">IF(Таблица310[[#This Row],[Площадь уборки, га]]=Таблица310[[#This Row],[Площадь уборки до корр]],"нет","да")</f>
        <v>нет</v>
      </c>
      <c r="AN297" s="230" t="n">
        <f aca="false">Таблица310[[#This Row],[Площадь уборки до корр]]-Таблица310[[#This Row],[Площадь уборки, га]]</f>
        <v>0</v>
      </c>
      <c r="AQ297" s="0" t="n">
        <v>393</v>
      </c>
      <c r="AR297" s="0" t="n">
        <v>50</v>
      </c>
      <c r="AS297" s="0" t="n">
        <v>2.13090433913678</v>
      </c>
      <c r="AT297" s="0" t="s">
        <v>326</v>
      </c>
      <c r="XEM297" s="216"/>
      <c r="XEN297" s="217"/>
      <c r="XEO297" s="243"/>
      <c r="XEP297" s="218"/>
      <c r="XEQ297" s="244"/>
      <c r="XER297" s="217"/>
    </row>
    <row r="298" customFormat="false" ht="25.5" hidden="false" customHeight="true" outlineLevel="0" collapsed="false">
      <c r="A298" s="216"/>
      <c r="B298" s="217"/>
      <c r="C298" s="241" t="n">
        <f aca="false">Таблица310[[#This Row],[Степень зрелости вспом]]</f>
        <v>63</v>
      </c>
      <c r="D298" s="218" t="n">
        <v>394</v>
      </c>
      <c r="E298" s="219" t="n">
        <v>45822</v>
      </c>
      <c r="F298" s="217" t="n">
        <v>28050</v>
      </c>
      <c r="G298" s="217" t="n">
        <v>13320</v>
      </c>
      <c r="H298" s="220" t="n">
        <v>14730</v>
      </c>
      <c r="I298" s="217" t="n">
        <v>11854.8</v>
      </c>
      <c r="J298" s="216" t="s">
        <v>899</v>
      </c>
      <c r="K298" s="216" t="s">
        <v>909</v>
      </c>
      <c r="L298" s="216" t="n">
        <v>43</v>
      </c>
      <c r="M298" s="189" t="s">
        <v>457</v>
      </c>
      <c r="N298" s="198"/>
      <c r="O298" s="216"/>
      <c r="P298" s="216"/>
      <c r="Q298" s="216"/>
      <c r="R298" s="216" t="s">
        <v>366</v>
      </c>
      <c r="S298" s="198"/>
      <c r="T298" s="246" t="n">
        <v>41</v>
      </c>
      <c r="U298" s="195" t="str">
        <f aca="false">Таблица310[[#This Row],[Регистратор.Номенклатура]]</f>
        <v>Вольф</v>
      </c>
      <c r="V298" s="230" t="n">
        <f aca="false">37.9*Таблица310[[#This Row],[Регистратор.Вес нетто]]/315870</f>
        <v>1.5982144553139</v>
      </c>
      <c r="W298" s="216" t="s">
        <v>326</v>
      </c>
      <c r="X298" s="216" t="s">
        <v>315</v>
      </c>
      <c r="Y298" s="198" t="n">
        <v>5</v>
      </c>
      <c r="Z298" s="221" t="n">
        <v>45822</v>
      </c>
      <c r="AA298" s="198"/>
      <c r="AB298" s="198"/>
      <c r="AC298" s="198" t="s">
        <v>305</v>
      </c>
      <c r="AD298" s="198" t="s">
        <v>746</v>
      </c>
      <c r="AE298" s="198" t="n">
        <v>394</v>
      </c>
      <c r="AF298" s="200" t="n">
        <v>45822</v>
      </c>
      <c r="AG298" s="198" t="s">
        <v>906</v>
      </c>
      <c r="AH298" s="198" t="n">
        <f aca="false">VLOOKUP(Таблица310[[#This Row],[№ акта]],'Степень зрелости 2025'!$H$13:$I$583,2,FALSE())</f>
        <v>63</v>
      </c>
      <c r="AI298" s="198" t="n">
        <f aca="false">VLOOKUP(Таблица310[[#This Row],[№ акта]],$AQ$1:$AT$594,2,FALSE())</f>
        <v>41</v>
      </c>
      <c r="AJ298" s="198" t="str">
        <f aca="false">Таблица310[[#This Row],[Регистратор.Номенклатура]]</f>
        <v>Вольф</v>
      </c>
      <c r="AK298" s="198" t="str">
        <f aca="false">VLOOKUP(Таблица310[[#This Row],[№ акта]],$AQ$1:$AT$594,4,FALSE())</f>
        <v>Братковский (полив)</v>
      </c>
      <c r="AL298" s="230" t="n">
        <f aca="false">VLOOKUP(Таблица310[[#This Row],[№ акта]],$AQ$1:$AT$594,3,FALSE())</f>
        <v>1.5982144553139</v>
      </c>
      <c r="AM298" s="198" t="str">
        <f aca="false">IF(Таблица310[[#This Row],[Площадь уборки, га]]=Таблица310[[#This Row],[Площадь уборки до корр]],"нет","да")</f>
        <v>нет</v>
      </c>
      <c r="AN298" s="230" t="n">
        <f aca="false">Таблица310[[#This Row],[Площадь уборки до корр]]-Таблица310[[#This Row],[Площадь уборки, га]]</f>
        <v>0</v>
      </c>
      <c r="AQ298" s="0" t="n">
        <v>394</v>
      </c>
      <c r="AR298" s="0" t="n">
        <v>41</v>
      </c>
      <c r="AS298" s="0" t="n">
        <v>1.5982144553139</v>
      </c>
      <c r="AT298" s="0" t="s">
        <v>326</v>
      </c>
      <c r="XEM298" s="216"/>
      <c r="XEN298" s="217"/>
      <c r="XEO298" s="243"/>
      <c r="XEP298" s="218"/>
      <c r="XEQ298" s="244"/>
      <c r="XER298" s="217"/>
    </row>
    <row r="299" customFormat="false" ht="25.5" hidden="false" customHeight="true" outlineLevel="0" collapsed="false">
      <c r="A299" s="216"/>
      <c r="B299" s="217"/>
      <c r="C299" s="241" t="n">
        <f aca="false">Таблица310[[#This Row],[Степень зрелости вспом]]</f>
        <v>65</v>
      </c>
      <c r="D299" s="218" t="n">
        <v>395</v>
      </c>
      <c r="E299" s="219" t="n">
        <v>45822</v>
      </c>
      <c r="F299" s="217" t="n">
        <v>27780</v>
      </c>
      <c r="G299" s="217" t="n">
        <v>13210</v>
      </c>
      <c r="H299" s="220" t="n">
        <v>14570</v>
      </c>
      <c r="I299" s="217" t="n">
        <v>12021.1</v>
      </c>
      <c r="J299" s="216" t="s">
        <v>899</v>
      </c>
      <c r="K299" s="216" t="s">
        <v>909</v>
      </c>
      <c r="L299" s="216" t="n">
        <v>43</v>
      </c>
      <c r="M299" s="189" t="s">
        <v>547</v>
      </c>
      <c r="N299" s="198"/>
      <c r="O299" s="216"/>
      <c r="P299" s="216"/>
      <c r="Q299" s="216"/>
      <c r="R299" s="216" t="s">
        <v>551</v>
      </c>
      <c r="S299" s="198"/>
      <c r="T299" s="246" t="n">
        <v>41</v>
      </c>
      <c r="U299" s="195" t="str">
        <f aca="false">Таблица310[[#This Row],[Регистратор.Номенклатура]]</f>
        <v>Вольф</v>
      </c>
      <c r="V299" s="230" t="n">
        <f aca="false">37.9*Таблица310[[#This Row],[Регистратор.Вес нетто]]/315870</f>
        <v>1.58501598758983</v>
      </c>
      <c r="W299" s="216" t="s">
        <v>326</v>
      </c>
      <c r="X299" s="216" t="s">
        <v>315</v>
      </c>
      <c r="Y299" s="198" t="n">
        <v>5</v>
      </c>
      <c r="Z299" s="221" t="n">
        <v>45822</v>
      </c>
      <c r="AA299" s="198"/>
      <c r="AB299" s="198"/>
      <c r="AC299" s="198" t="s">
        <v>304</v>
      </c>
      <c r="AD299" s="198" t="s">
        <v>746</v>
      </c>
      <c r="AE299" s="198" t="n">
        <v>395</v>
      </c>
      <c r="AF299" s="200" t="n">
        <v>45822</v>
      </c>
      <c r="AG299" s="198" t="s">
        <v>906</v>
      </c>
      <c r="AH299" s="198" t="n">
        <f aca="false">VLOOKUP(Таблица310[[#This Row],[№ акта]],'Степень зрелости 2025'!$H$13:$I$583,2,FALSE())</f>
        <v>65</v>
      </c>
      <c r="AI299" s="198" t="n">
        <f aca="false">VLOOKUP(Таблица310[[#This Row],[№ акта]],$AQ$1:$AT$594,2,FALSE())</f>
        <v>41</v>
      </c>
      <c r="AJ299" s="198" t="str">
        <f aca="false">Таблица310[[#This Row],[Регистратор.Номенклатура]]</f>
        <v>Вольф</v>
      </c>
      <c r="AK299" s="198" t="str">
        <f aca="false">VLOOKUP(Таблица310[[#This Row],[№ акта]],$AQ$1:$AT$594,4,FALSE())</f>
        <v>Братковский (полив)</v>
      </c>
      <c r="AL299" s="230" t="n">
        <f aca="false">VLOOKUP(Таблица310[[#This Row],[№ акта]],$AQ$1:$AT$594,3,FALSE())</f>
        <v>1.58501598758983</v>
      </c>
      <c r="AM299" s="198" t="str">
        <f aca="false">IF(Таблица310[[#This Row],[Площадь уборки, га]]=Таблица310[[#This Row],[Площадь уборки до корр]],"нет","да")</f>
        <v>нет</v>
      </c>
      <c r="AN299" s="230" t="n">
        <f aca="false">Таблица310[[#This Row],[Площадь уборки до корр]]-Таблица310[[#This Row],[Площадь уборки, га]]</f>
        <v>0</v>
      </c>
      <c r="AQ299" s="0" t="n">
        <v>395</v>
      </c>
      <c r="AR299" s="0" t="n">
        <v>41</v>
      </c>
      <c r="AS299" s="0" t="n">
        <v>1.58501598758983</v>
      </c>
      <c r="AT299" s="0" t="s">
        <v>326</v>
      </c>
      <c r="XEM299" s="216"/>
      <c r="XEN299" s="217"/>
      <c r="XEO299" s="243"/>
      <c r="XEP299" s="218"/>
      <c r="XEQ299" s="244"/>
      <c r="XER299" s="217"/>
    </row>
    <row r="300" customFormat="false" ht="25.5" hidden="false" customHeight="true" outlineLevel="0" collapsed="false">
      <c r="A300" s="216"/>
      <c r="B300" s="217"/>
      <c r="C300" s="241" t="n">
        <f aca="false">Таблица310[[#This Row],[Степень зрелости вспом]]</f>
        <v>59</v>
      </c>
      <c r="D300" s="218" t="n">
        <v>396</v>
      </c>
      <c r="E300" s="219" t="n">
        <v>45822</v>
      </c>
      <c r="F300" s="217" t="n">
        <v>27970</v>
      </c>
      <c r="G300" s="217" t="n">
        <v>13210</v>
      </c>
      <c r="H300" s="220" t="n">
        <v>14760</v>
      </c>
      <c r="I300" s="217" t="n">
        <v>11690.8</v>
      </c>
      <c r="J300" s="216" t="s">
        <v>899</v>
      </c>
      <c r="K300" s="216" t="s">
        <v>909</v>
      </c>
      <c r="L300" s="216" t="n">
        <v>43</v>
      </c>
      <c r="M300" s="189" t="s">
        <v>553</v>
      </c>
      <c r="N300" s="198"/>
      <c r="O300" s="216"/>
      <c r="P300" s="216"/>
      <c r="Q300" s="216"/>
      <c r="R300" s="216" t="s">
        <v>557</v>
      </c>
      <c r="S300" s="198"/>
      <c r="T300" s="246" t="n">
        <v>41</v>
      </c>
      <c r="U300" s="195" t="str">
        <f aca="false">Таблица310[[#This Row],[Регистратор.Номенклатура]]</f>
        <v>Вольф</v>
      </c>
      <c r="V300" s="230" t="n">
        <f aca="false">37.9*Таблица310[[#This Row],[Регистратор.Вес нетто]]/315870</f>
        <v>1.58501598758983</v>
      </c>
      <c r="W300" s="216" t="s">
        <v>326</v>
      </c>
      <c r="X300" s="216" t="s">
        <v>315</v>
      </c>
      <c r="Y300" s="198" t="n">
        <v>5</v>
      </c>
      <c r="Z300" s="221" t="n">
        <v>45822</v>
      </c>
      <c r="AA300" s="198"/>
      <c r="AB300" s="198"/>
      <c r="AC300" s="198" t="s">
        <v>302</v>
      </c>
      <c r="AD300" s="198" t="s">
        <v>417</v>
      </c>
      <c r="AE300" s="198" t="n">
        <v>396</v>
      </c>
      <c r="AF300" s="200" t="n">
        <v>45822</v>
      </c>
      <c r="AG300" s="198" t="s">
        <v>906</v>
      </c>
      <c r="AH300" s="198" t="n">
        <f aca="false">VLOOKUP(Таблица310[[#This Row],[№ акта]],'Степень зрелости 2025'!$H$13:$I$583,2,FALSE())</f>
        <v>59</v>
      </c>
      <c r="AI300" s="198" t="n">
        <f aca="false">VLOOKUP(Таблица310[[#This Row],[№ акта]],$AQ$1:$AT$594,2,FALSE())</f>
        <v>41</v>
      </c>
      <c r="AJ300" s="198" t="str">
        <f aca="false">Таблица310[[#This Row],[Регистратор.Номенклатура]]</f>
        <v>Вольф</v>
      </c>
      <c r="AK300" s="198" t="str">
        <f aca="false">VLOOKUP(Таблица310[[#This Row],[№ акта]],$AQ$1:$AT$594,4,FALSE())</f>
        <v>Братковский (полив)</v>
      </c>
      <c r="AL300" s="230" t="n">
        <f aca="false">VLOOKUP(Таблица310[[#This Row],[№ акта]],$AQ$1:$AT$594,3,FALSE())</f>
        <v>1.58501598758983</v>
      </c>
      <c r="AM300" s="198" t="str">
        <f aca="false">IF(Таблица310[[#This Row],[Площадь уборки, га]]=Таблица310[[#This Row],[Площадь уборки до корр]],"нет","да")</f>
        <v>нет</v>
      </c>
      <c r="AN300" s="230" t="n">
        <f aca="false">Таблица310[[#This Row],[Площадь уборки до корр]]-Таблица310[[#This Row],[Площадь уборки, га]]</f>
        <v>0</v>
      </c>
      <c r="AQ300" s="0" t="n">
        <v>396</v>
      </c>
      <c r="AR300" s="0" t="n">
        <v>41</v>
      </c>
      <c r="AS300" s="0" t="n">
        <v>1.58501598758983</v>
      </c>
      <c r="AT300" s="0" t="s">
        <v>326</v>
      </c>
      <c r="XEM300" s="216"/>
      <c r="XEN300" s="217"/>
      <c r="XEO300" s="243"/>
      <c r="XEP300" s="218"/>
      <c r="XEQ300" s="244"/>
      <c r="XER300" s="217"/>
    </row>
    <row r="301" customFormat="false" ht="25.5" hidden="false" customHeight="true" outlineLevel="0" collapsed="false">
      <c r="A301" s="216"/>
      <c r="B301" s="217"/>
      <c r="C301" s="241" t="n">
        <f aca="false">Таблица310[[#This Row],[Степень зрелости вспом]]</f>
        <v>65</v>
      </c>
      <c r="D301" s="218" t="n">
        <v>397</v>
      </c>
      <c r="E301" s="219" t="n">
        <v>45822</v>
      </c>
      <c r="F301" s="217" t="n">
        <v>27860</v>
      </c>
      <c r="G301" s="217" t="n">
        <v>13270</v>
      </c>
      <c r="H301" s="220" t="n">
        <v>14590</v>
      </c>
      <c r="I301" s="217" t="n">
        <v>11345.8</v>
      </c>
      <c r="J301" s="216" t="s">
        <v>899</v>
      </c>
      <c r="K301" s="216" t="s">
        <v>909</v>
      </c>
      <c r="L301" s="216" t="n">
        <v>43</v>
      </c>
      <c r="M301" s="189" t="s">
        <v>363</v>
      </c>
      <c r="N301" s="198"/>
      <c r="O301" s="216"/>
      <c r="P301" s="216"/>
      <c r="Q301" s="216"/>
      <c r="R301" s="216" t="s">
        <v>364</v>
      </c>
      <c r="S301" s="198"/>
      <c r="T301" s="246" t="n">
        <v>41</v>
      </c>
      <c r="U301" s="195" t="str">
        <f aca="false">Таблица310[[#This Row],[Регистратор.Номенклатура]]</f>
        <v>Вольф</v>
      </c>
      <c r="V301" s="230" t="n">
        <f aca="false">37.9*Таблица310[[#This Row],[Регистратор.Вес нетто]]/315870</f>
        <v>1.59221515180296</v>
      </c>
      <c r="W301" s="216" t="s">
        <v>326</v>
      </c>
      <c r="X301" s="216" t="s">
        <v>315</v>
      </c>
      <c r="Y301" s="198" t="n">
        <v>5</v>
      </c>
      <c r="Z301" s="221" t="n">
        <v>45822</v>
      </c>
      <c r="AA301" s="198"/>
      <c r="AB301" s="198"/>
      <c r="AC301" s="198" t="s">
        <v>304</v>
      </c>
      <c r="AD301" s="198" t="s">
        <v>746</v>
      </c>
      <c r="AE301" s="198" t="n">
        <v>397</v>
      </c>
      <c r="AF301" s="200" t="n">
        <v>45822</v>
      </c>
      <c r="AG301" s="198" t="s">
        <v>906</v>
      </c>
      <c r="AH301" s="198" t="n">
        <f aca="false">VLOOKUP(Таблица310[[#This Row],[№ акта]],'Степень зрелости 2025'!$H$13:$I$583,2,FALSE())</f>
        <v>65</v>
      </c>
      <c r="AI301" s="198" t="n">
        <f aca="false">VLOOKUP(Таблица310[[#This Row],[№ акта]],$AQ$1:$AT$594,2,FALSE())</f>
        <v>41</v>
      </c>
      <c r="AJ301" s="198" t="str">
        <f aca="false">Таблица310[[#This Row],[Регистратор.Номенклатура]]</f>
        <v>Вольф</v>
      </c>
      <c r="AK301" s="198" t="str">
        <f aca="false">VLOOKUP(Таблица310[[#This Row],[№ акта]],$AQ$1:$AT$594,4,FALSE())</f>
        <v>Братковский (полив)</v>
      </c>
      <c r="AL301" s="230" t="n">
        <f aca="false">VLOOKUP(Таблица310[[#This Row],[№ акта]],$AQ$1:$AT$594,3,FALSE())</f>
        <v>1.59221515180296</v>
      </c>
      <c r="AM301" s="198" t="str">
        <f aca="false">IF(Таблица310[[#This Row],[Площадь уборки, га]]=Таблица310[[#This Row],[Площадь уборки до корр]],"нет","да")</f>
        <v>нет</v>
      </c>
      <c r="AN301" s="230" t="n">
        <f aca="false">Таблица310[[#This Row],[Площадь уборки до корр]]-Таблица310[[#This Row],[Площадь уборки, га]]</f>
        <v>0</v>
      </c>
      <c r="AQ301" s="0" t="n">
        <v>397</v>
      </c>
      <c r="AR301" s="0" t="n">
        <v>41</v>
      </c>
      <c r="AS301" s="0" t="n">
        <v>1.59221515180296</v>
      </c>
      <c r="AT301" s="0" t="s">
        <v>326</v>
      </c>
      <c r="XEM301" s="216"/>
      <c r="XEN301" s="217"/>
      <c r="XEO301" s="243"/>
      <c r="XEP301" s="218"/>
      <c r="XEQ301" s="244"/>
      <c r="XER301" s="217"/>
    </row>
    <row r="302" customFormat="false" ht="25.5" hidden="false" customHeight="true" outlineLevel="0" collapsed="false">
      <c r="A302" s="216"/>
      <c r="B302" s="217"/>
      <c r="C302" s="241" t="n">
        <f aca="false">Таблица310[[#This Row],[Степень зрелости вспом]]</f>
        <v>62</v>
      </c>
      <c r="D302" s="218" t="n">
        <v>398</v>
      </c>
      <c r="E302" s="219" t="n">
        <v>45822</v>
      </c>
      <c r="F302" s="217" t="n">
        <v>28040</v>
      </c>
      <c r="G302" s="217" t="n">
        <v>13350</v>
      </c>
      <c r="H302" s="220" t="n">
        <v>14690</v>
      </c>
      <c r="I302" s="217" t="n">
        <v>10746.7</v>
      </c>
      <c r="J302" s="216" t="s">
        <v>899</v>
      </c>
      <c r="K302" s="216" t="s">
        <v>909</v>
      </c>
      <c r="L302" s="216" t="n">
        <v>43</v>
      </c>
      <c r="M302" s="189" t="s">
        <v>361</v>
      </c>
      <c r="N302" s="198"/>
      <c r="O302" s="216"/>
      <c r="P302" s="216"/>
      <c r="Q302" s="216"/>
      <c r="R302" s="216" t="s">
        <v>362</v>
      </c>
      <c r="S302" s="198"/>
      <c r="T302" s="246" t="n">
        <v>41</v>
      </c>
      <c r="U302" s="195" t="str">
        <f aca="false">Таблица310[[#This Row],[Регистратор.Номенклатура]]</f>
        <v>Вольф</v>
      </c>
      <c r="V302" s="230" t="n">
        <f aca="false">37.9*Таблица310[[#This Row],[Регистратор.Вес нетто]]/315870</f>
        <v>1.60181403742046</v>
      </c>
      <c r="W302" s="216" t="s">
        <v>326</v>
      </c>
      <c r="X302" s="216" t="s">
        <v>315</v>
      </c>
      <c r="Y302" s="198" t="n">
        <v>5</v>
      </c>
      <c r="Z302" s="221" t="n">
        <v>45822</v>
      </c>
      <c r="AA302" s="198"/>
      <c r="AB302" s="198"/>
      <c r="AC302" s="198" t="s">
        <v>302</v>
      </c>
      <c r="AD302" s="198" t="s">
        <v>417</v>
      </c>
      <c r="AE302" s="198" t="n">
        <v>398</v>
      </c>
      <c r="AF302" s="200" t="n">
        <v>45822</v>
      </c>
      <c r="AG302" s="198" t="s">
        <v>906</v>
      </c>
      <c r="AH302" s="198" t="n">
        <f aca="false">VLOOKUP(Таблица310[[#This Row],[№ акта]],'Степень зрелости 2025'!$H$13:$I$583,2,FALSE())</f>
        <v>62</v>
      </c>
      <c r="AI302" s="198" t="n">
        <f aca="false">VLOOKUP(Таблица310[[#This Row],[№ акта]],$AQ$1:$AT$594,2,FALSE())</f>
        <v>41</v>
      </c>
      <c r="AJ302" s="198" t="str">
        <f aca="false">Таблица310[[#This Row],[Регистратор.Номенклатура]]</f>
        <v>Вольф</v>
      </c>
      <c r="AK302" s="198" t="str">
        <f aca="false">VLOOKUP(Таблица310[[#This Row],[№ акта]],$AQ$1:$AT$594,4,FALSE())</f>
        <v>Братковский (полив)</v>
      </c>
      <c r="AL302" s="230" t="n">
        <f aca="false">VLOOKUP(Таблица310[[#This Row],[№ акта]],$AQ$1:$AT$594,3,FALSE())</f>
        <v>1.60181403742046</v>
      </c>
      <c r="AM302" s="198" t="str">
        <f aca="false">IF(Таблица310[[#This Row],[Площадь уборки, га]]=Таблица310[[#This Row],[Площадь уборки до корр]],"нет","да")</f>
        <v>нет</v>
      </c>
      <c r="AN302" s="230" t="n">
        <f aca="false">Таблица310[[#This Row],[Площадь уборки до корр]]-Таблица310[[#This Row],[Площадь уборки, га]]</f>
        <v>0</v>
      </c>
      <c r="AQ302" s="0" t="n">
        <v>398</v>
      </c>
      <c r="AR302" s="0" t="n">
        <v>41</v>
      </c>
      <c r="AS302" s="0" t="n">
        <v>1.60181403742046</v>
      </c>
      <c r="AT302" s="0" t="s">
        <v>326</v>
      </c>
      <c r="XEM302" s="216"/>
      <c r="XEN302" s="217"/>
      <c r="XEO302" s="243"/>
      <c r="XEP302" s="218"/>
      <c r="XEQ302" s="244"/>
      <c r="XER302" s="217"/>
    </row>
    <row r="303" customFormat="false" ht="25.5" hidden="false" customHeight="true" outlineLevel="0" collapsed="false">
      <c r="A303" s="216"/>
      <c r="B303" s="217"/>
      <c r="C303" s="241" t="n">
        <f aca="false">Таблица310[[#This Row],[Степень зрелости вспом]]</f>
        <v>63</v>
      </c>
      <c r="D303" s="218" t="n">
        <v>399</v>
      </c>
      <c r="E303" s="219" t="n">
        <v>45822</v>
      </c>
      <c r="F303" s="217" t="n">
        <v>28180</v>
      </c>
      <c r="G303" s="217" t="n">
        <v>13320</v>
      </c>
      <c r="H303" s="220" t="n">
        <v>14860</v>
      </c>
      <c r="I303" s="217" t="n">
        <v>11854.8</v>
      </c>
      <c r="J303" s="216" t="s">
        <v>899</v>
      </c>
      <c r="K303" s="216" t="s">
        <v>909</v>
      </c>
      <c r="L303" s="216" t="n">
        <v>43</v>
      </c>
      <c r="M303" s="189" t="s">
        <v>451</v>
      </c>
      <c r="N303" s="198"/>
      <c r="O303" s="216"/>
      <c r="P303" s="216"/>
      <c r="Q303" s="216"/>
      <c r="R303" s="216" t="s">
        <v>455</v>
      </c>
      <c r="S303" s="198"/>
      <c r="T303" s="246" t="n">
        <v>41</v>
      </c>
      <c r="U303" s="195" t="str">
        <f aca="false">Таблица310[[#This Row],[Регистратор.Номенклатура]]</f>
        <v>Вольф</v>
      </c>
      <c r="V303" s="230" t="n">
        <f aca="false">37.9*Таблица310[[#This Row],[Регистратор.Вес нетто]]/315870</f>
        <v>1.5982144553139</v>
      </c>
      <c r="W303" s="216" t="s">
        <v>326</v>
      </c>
      <c r="X303" s="216" t="s">
        <v>315</v>
      </c>
      <c r="Y303" s="198" t="n">
        <v>5</v>
      </c>
      <c r="Z303" s="221" t="n">
        <v>45822</v>
      </c>
      <c r="AA303" s="198"/>
      <c r="AB303" s="198"/>
      <c r="AC303" s="198" t="s">
        <v>305</v>
      </c>
      <c r="AD303" s="198" t="s">
        <v>746</v>
      </c>
      <c r="AE303" s="198" t="n">
        <v>399</v>
      </c>
      <c r="AF303" s="200" t="n">
        <v>45822</v>
      </c>
      <c r="AG303" s="198" t="s">
        <v>906</v>
      </c>
      <c r="AH303" s="198" t="n">
        <f aca="false">VLOOKUP(Таблица310[[#This Row],[№ акта]],'Степень зрелости 2025'!$H$13:$I$583,2,FALSE())</f>
        <v>63</v>
      </c>
      <c r="AI303" s="198" t="n">
        <f aca="false">VLOOKUP(Таблица310[[#This Row],[№ акта]],$AQ$1:$AT$594,2,FALSE())</f>
        <v>41</v>
      </c>
      <c r="AJ303" s="198" t="str">
        <f aca="false">Таблица310[[#This Row],[Регистратор.Номенклатура]]</f>
        <v>Вольф</v>
      </c>
      <c r="AK303" s="198" t="str">
        <f aca="false">VLOOKUP(Таблица310[[#This Row],[№ акта]],$AQ$1:$AT$594,4,FALSE())</f>
        <v>Братковский (полив)</v>
      </c>
      <c r="AL303" s="230" t="n">
        <f aca="false">VLOOKUP(Таблица310[[#This Row],[№ акта]],$AQ$1:$AT$594,3,FALSE())</f>
        <v>1.5982144553139</v>
      </c>
      <c r="AM303" s="198" t="str">
        <f aca="false">IF(Таблица310[[#This Row],[Площадь уборки, га]]=Таблица310[[#This Row],[Площадь уборки до корр]],"нет","да")</f>
        <v>нет</v>
      </c>
      <c r="AN303" s="230" t="n">
        <f aca="false">Таблица310[[#This Row],[Площадь уборки до корр]]-Таблица310[[#This Row],[Площадь уборки, га]]</f>
        <v>0</v>
      </c>
      <c r="AQ303" s="0" t="n">
        <v>399</v>
      </c>
      <c r="AR303" s="0" t="n">
        <v>41</v>
      </c>
      <c r="AS303" s="0" t="n">
        <v>1.5982144553139</v>
      </c>
      <c r="AT303" s="0" t="s">
        <v>326</v>
      </c>
      <c r="XEM303" s="216"/>
      <c r="XEN303" s="217"/>
      <c r="XEO303" s="243"/>
      <c r="XEP303" s="218"/>
      <c r="XEQ303" s="244"/>
      <c r="XER303" s="217"/>
    </row>
    <row r="304" customFormat="false" ht="25.5" hidden="false" customHeight="true" outlineLevel="0" collapsed="false">
      <c r="A304" s="216"/>
      <c r="B304" s="217"/>
      <c r="C304" s="241" t="n">
        <f aca="false">Таблица310[[#This Row],[Степень зрелости вспом]]</f>
        <v>62</v>
      </c>
      <c r="D304" s="218" t="n">
        <v>400</v>
      </c>
      <c r="E304" s="219" t="n">
        <v>45822</v>
      </c>
      <c r="F304" s="217" t="n">
        <v>29070</v>
      </c>
      <c r="G304" s="217" t="n">
        <v>13550</v>
      </c>
      <c r="H304" s="220" t="n">
        <v>15520</v>
      </c>
      <c r="I304" s="217" t="n">
        <v>12195</v>
      </c>
      <c r="J304" s="216" t="s">
        <v>899</v>
      </c>
      <c r="K304" s="216" t="s">
        <v>909</v>
      </c>
      <c r="L304" s="216" t="n">
        <v>44</v>
      </c>
      <c r="M304" s="189" t="s">
        <v>445</v>
      </c>
      <c r="N304" s="198"/>
      <c r="O304" s="216"/>
      <c r="P304" s="216"/>
      <c r="Q304" s="216"/>
      <c r="R304" s="216" t="s">
        <v>449</v>
      </c>
      <c r="S304" s="198"/>
      <c r="T304" s="246" t="n">
        <v>50</v>
      </c>
      <c r="U304" s="195" t="str">
        <f aca="false">Таблица310[[#This Row],[Регистратор.Номенклатура]]</f>
        <v>Вольф</v>
      </c>
      <c r="V304" s="230" t="n">
        <f aca="false">41.5*Таблица310[[#This Row],[Регистратор.Вес нетто]]/260190</f>
        <v>2.16120911641493</v>
      </c>
      <c r="W304" s="216" t="s">
        <v>326</v>
      </c>
      <c r="X304" s="216" t="s">
        <v>315</v>
      </c>
      <c r="Y304" s="198" t="n">
        <v>5</v>
      </c>
      <c r="Z304" s="221" t="n">
        <v>45822</v>
      </c>
      <c r="AA304" s="198"/>
      <c r="AB304" s="198"/>
      <c r="AC304" s="198" t="s">
        <v>299</v>
      </c>
      <c r="AD304" s="198" t="s">
        <v>417</v>
      </c>
      <c r="AE304" s="198" t="n">
        <v>400</v>
      </c>
      <c r="AF304" s="200" t="n">
        <v>45822</v>
      </c>
      <c r="AG304" s="198" t="s">
        <v>906</v>
      </c>
      <c r="AH304" s="198" t="n">
        <f aca="false">VLOOKUP(Таблица310[[#This Row],[№ акта]],'Степень зрелости 2025'!$H$13:$I$583,2,FALSE())</f>
        <v>62</v>
      </c>
      <c r="AI304" s="198" t="n">
        <f aca="false">VLOOKUP(Таблица310[[#This Row],[№ акта]],$AQ$1:$AT$594,2,FALSE())</f>
        <v>50</v>
      </c>
      <c r="AJ304" s="198" t="str">
        <f aca="false">Таблица310[[#This Row],[Регистратор.Номенклатура]]</f>
        <v>Вольф</v>
      </c>
      <c r="AK304" s="198" t="str">
        <f aca="false">VLOOKUP(Таблица310[[#This Row],[№ акта]],$AQ$1:$AT$594,4,FALSE())</f>
        <v>Братковский (полив)</v>
      </c>
      <c r="AL304" s="230" t="n">
        <f aca="false">VLOOKUP(Таблица310[[#This Row],[№ акта]],$AQ$1:$AT$594,3,FALSE())</f>
        <v>2.16120911641493</v>
      </c>
      <c r="AM304" s="198" t="str">
        <f aca="false">IF(Таблица310[[#This Row],[Площадь уборки, га]]=Таблица310[[#This Row],[Площадь уборки до корр]],"нет","да")</f>
        <v>нет</v>
      </c>
      <c r="AN304" s="230" t="n">
        <f aca="false">Таблица310[[#This Row],[Площадь уборки до корр]]-Таблица310[[#This Row],[Площадь уборки, га]]</f>
        <v>0</v>
      </c>
      <c r="AQ304" s="0" t="n">
        <v>400</v>
      </c>
      <c r="AR304" s="0" t="n">
        <v>50</v>
      </c>
      <c r="AS304" s="0" t="n">
        <v>2.16120911641493</v>
      </c>
      <c r="AT304" s="0" t="s">
        <v>326</v>
      </c>
      <c r="XEM304" s="216"/>
      <c r="XEN304" s="217"/>
      <c r="XEO304" s="243"/>
      <c r="XEP304" s="218"/>
      <c r="XEQ304" s="244"/>
      <c r="XER304" s="217"/>
    </row>
    <row r="305" customFormat="false" ht="25.5" hidden="false" customHeight="true" outlineLevel="0" collapsed="false">
      <c r="A305" s="216"/>
      <c r="B305" s="217"/>
      <c r="C305" s="241" t="n">
        <f aca="false">Таблица310[[#This Row],[Степень зрелости вспом]]</f>
        <v>65</v>
      </c>
      <c r="D305" s="218" t="n">
        <v>401</v>
      </c>
      <c r="E305" s="219" t="n">
        <v>45822</v>
      </c>
      <c r="F305" s="217" t="n">
        <v>27420</v>
      </c>
      <c r="G305" s="217" t="n">
        <v>13000</v>
      </c>
      <c r="H305" s="220" t="n">
        <v>14420</v>
      </c>
      <c r="I305" s="217" t="n">
        <v>11180</v>
      </c>
      <c r="J305" s="216" t="s">
        <v>899</v>
      </c>
      <c r="K305" s="216" t="s">
        <v>909</v>
      </c>
      <c r="L305" s="216" t="n">
        <v>43</v>
      </c>
      <c r="M305" s="189" t="s">
        <v>395</v>
      </c>
      <c r="N305" s="198"/>
      <c r="O305" s="216"/>
      <c r="P305" s="216"/>
      <c r="Q305" s="216"/>
      <c r="R305" s="216" t="s">
        <v>566</v>
      </c>
      <c r="S305" s="198"/>
      <c r="T305" s="246" t="n">
        <v>41</v>
      </c>
      <c r="U305" s="195" t="str">
        <f aca="false">Таблица310[[#This Row],[Регистратор.Номенклатура]]</f>
        <v>Вольф</v>
      </c>
      <c r="V305" s="230" t="n">
        <f aca="false">37.9*Таблица310[[#This Row],[Регистратор.Вес нетто]]/315870</f>
        <v>1.55981891284389</v>
      </c>
      <c r="W305" s="216" t="s">
        <v>326</v>
      </c>
      <c r="X305" s="216" t="s">
        <v>315</v>
      </c>
      <c r="Y305" s="198" t="n">
        <v>5</v>
      </c>
      <c r="Z305" s="221" t="n">
        <v>45822</v>
      </c>
      <c r="AA305" s="198"/>
      <c r="AB305" s="198"/>
      <c r="AC305" s="198" t="s">
        <v>304</v>
      </c>
      <c r="AD305" s="198" t="s">
        <v>746</v>
      </c>
      <c r="AE305" s="198" t="n">
        <v>401</v>
      </c>
      <c r="AF305" s="200" t="n">
        <v>45822</v>
      </c>
      <c r="AG305" s="198" t="s">
        <v>906</v>
      </c>
      <c r="AH305" s="198" t="n">
        <f aca="false">VLOOKUP(Таблица310[[#This Row],[№ акта]],'Степень зрелости 2025'!$H$13:$I$583,2,FALSE())</f>
        <v>65</v>
      </c>
      <c r="AI305" s="198" t="n">
        <f aca="false">VLOOKUP(Таблица310[[#This Row],[№ акта]],$AQ$1:$AT$594,2,FALSE())</f>
        <v>41</v>
      </c>
      <c r="AJ305" s="198" t="str">
        <f aca="false">Таблица310[[#This Row],[Регистратор.Номенклатура]]</f>
        <v>Вольф</v>
      </c>
      <c r="AK305" s="198" t="str">
        <f aca="false">VLOOKUP(Таблица310[[#This Row],[№ акта]],$AQ$1:$AT$594,4,FALSE())</f>
        <v>Братковский (полив)</v>
      </c>
      <c r="AL305" s="230" t="n">
        <f aca="false">VLOOKUP(Таблица310[[#This Row],[№ акта]],$AQ$1:$AT$594,3,FALSE())</f>
        <v>1.55981891284389</v>
      </c>
      <c r="AM305" s="198" t="str">
        <f aca="false">IF(Таблица310[[#This Row],[Площадь уборки, га]]=Таблица310[[#This Row],[Площадь уборки до корр]],"нет","да")</f>
        <v>нет</v>
      </c>
      <c r="AN305" s="230" t="n">
        <f aca="false">Таблица310[[#This Row],[Площадь уборки до корр]]-Таблица310[[#This Row],[Площадь уборки, га]]</f>
        <v>0</v>
      </c>
      <c r="AQ305" s="0" t="n">
        <v>401</v>
      </c>
      <c r="AR305" s="0" t="n">
        <v>41</v>
      </c>
      <c r="AS305" s="0" t="n">
        <v>1.55981891284389</v>
      </c>
      <c r="AT305" s="0" t="s">
        <v>326</v>
      </c>
      <c r="XEM305" s="216"/>
      <c r="XEN305" s="217"/>
      <c r="XEO305" s="243"/>
      <c r="XEP305" s="218"/>
      <c r="XEQ305" s="244"/>
      <c r="XER305" s="217"/>
    </row>
    <row r="306" customFormat="false" ht="25.5" hidden="false" customHeight="true" outlineLevel="0" collapsed="false">
      <c r="A306" s="216"/>
      <c r="B306" s="217"/>
      <c r="C306" s="241" t="n">
        <f aca="false">Таблица310[[#This Row],[Степень зрелости вспом]]</f>
        <v>64</v>
      </c>
      <c r="D306" s="218" t="n">
        <v>402</v>
      </c>
      <c r="E306" s="219" t="n">
        <v>45822</v>
      </c>
      <c r="F306" s="217" t="n">
        <v>28390</v>
      </c>
      <c r="G306" s="217" t="n">
        <v>13500</v>
      </c>
      <c r="H306" s="220" t="n">
        <v>14890</v>
      </c>
      <c r="I306" s="217" t="n">
        <v>12150</v>
      </c>
      <c r="J306" s="216" t="s">
        <v>899</v>
      </c>
      <c r="K306" s="216" t="s">
        <v>909</v>
      </c>
      <c r="L306" s="216" t="n">
        <v>44</v>
      </c>
      <c r="M306" s="189" t="s">
        <v>48</v>
      </c>
      <c r="N306" s="198"/>
      <c r="O306" s="216"/>
      <c r="P306" s="216"/>
      <c r="Q306" s="216"/>
      <c r="R306" s="216" t="s">
        <v>49</v>
      </c>
      <c r="S306" s="198"/>
      <c r="T306" s="246" t="n">
        <v>50</v>
      </c>
      <c r="U306" s="195" t="str">
        <f aca="false">Таблица310[[#This Row],[Регистратор.Номенклатура]]</f>
        <v>Вольф</v>
      </c>
      <c r="V306" s="230" t="n">
        <f aca="false">41.5*Таблица310[[#This Row],[Регистратор.Вес нетто]]/260190</f>
        <v>2.15323417502594</v>
      </c>
      <c r="W306" s="216" t="s">
        <v>326</v>
      </c>
      <c r="X306" s="216" t="s">
        <v>315</v>
      </c>
      <c r="Y306" s="198" t="n">
        <v>5</v>
      </c>
      <c r="Z306" s="221" t="n">
        <v>45822</v>
      </c>
      <c r="AA306" s="198"/>
      <c r="AB306" s="198"/>
      <c r="AC306" s="198" t="s">
        <v>305</v>
      </c>
      <c r="AD306" s="198" t="s">
        <v>746</v>
      </c>
      <c r="AE306" s="198" t="n">
        <v>402</v>
      </c>
      <c r="AF306" s="200" t="n">
        <v>45822</v>
      </c>
      <c r="AG306" s="198" t="s">
        <v>906</v>
      </c>
      <c r="AH306" s="198" t="n">
        <f aca="false">VLOOKUP(Таблица310[[#This Row],[№ акта]],'Степень зрелости 2025'!$H$13:$I$583,2,FALSE())</f>
        <v>64</v>
      </c>
      <c r="AI306" s="198" t="n">
        <f aca="false">VLOOKUP(Таблица310[[#This Row],[№ акта]],$AQ$1:$AT$594,2,FALSE())</f>
        <v>50</v>
      </c>
      <c r="AJ306" s="198" t="str">
        <f aca="false">Таблица310[[#This Row],[Регистратор.Номенклатура]]</f>
        <v>Вольф</v>
      </c>
      <c r="AK306" s="198" t="str">
        <f aca="false">VLOOKUP(Таблица310[[#This Row],[№ акта]],$AQ$1:$AT$594,4,FALSE())</f>
        <v>Братковский (полив)</v>
      </c>
      <c r="AL306" s="230" t="n">
        <f aca="false">VLOOKUP(Таблица310[[#This Row],[№ акта]],$AQ$1:$AT$594,3,FALSE())</f>
        <v>2.15323417502594</v>
      </c>
      <c r="AM306" s="198" t="str">
        <f aca="false">IF(Таблица310[[#This Row],[Площадь уборки, га]]=Таблица310[[#This Row],[Площадь уборки до корр]],"нет","да")</f>
        <v>нет</v>
      </c>
      <c r="AN306" s="230" t="n">
        <f aca="false">Таблица310[[#This Row],[Площадь уборки до корр]]-Таблица310[[#This Row],[Площадь уборки, га]]</f>
        <v>0</v>
      </c>
      <c r="AQ306" s="0" t="n">
        <v>402</v>
      </c>
      <c r="AR306" s="0" t="n">
        <v>50</v>
      </c>
      <c r="AS306" s="0" t="n">
        <v>2.15323417502594</v>
      </c>
      <c r="AT306" s="0" t="s">
        <v>326</v>
      </c>
      <c r="XEM306" s="216"/>
      <c r="XEN306" s="217"/>
      <c r="XEO306" s="243"/>
      <c r="XEP306" s="218"/>
      <c r="XEQ306" s="244"/>
      <c r="XER306" s="217"/>
    </row>
    <row r="307" customFormat="false" ht="25.5" hidden="false" customHeight="true" outlineLevel="0" collapsed="false">
      <c r="A307" s="216"/>
      <c r="B307" s="217"/>
      <c r="C307" s="241" t="n">
        <f aca="false">Таблица310[[#This Row],[Степень зрелости вспом]]</f>
        <v>67</v>
      </c>
      <c r="D307" s="218" t="n">
        <v>403</v>
      </c>
      <c r="E307" s="219" t="n">
        <v>45822</v>
      </c>
      <c r="F307" s="217" t="n">
        <v>27550</v>
      </c>
      <c r="G307" s="217" t="n">
        <v>12850</v>
      </c>
      <c r="H307" s="220" t="n">
        <v>14700</v>
      </c>
      <c r="I307" s="217" t="n">
        <v>11693.5</v>
      </c>
      <c r="J307" s="216" t="s">
        <v>899</v>
      </c>
      <c r="K307" s="216" t="s">
        <v>909</v>
      </c>
      <c r="L307" s="216" t="n">
        <v>43</v>
      </c>
      <c r="M307" s="189" t="s">
        <v>55</v>
      </c>
      <c r="N307" s="198"/>
      <c r="O307" s="216"/>
      <c r="P307" s="216"/>
      <c r="Q307" s="216"/>
      <c r="R307" s="216" t="s">
        <v>56</v>
      </c>
      <c r="S307" s="198"/>
      <c r="T307" s="246" t="n">
        <v>41</v>
      </c>
      <c r="U307" s="195" t="str">
        <f aca="false">Таблица310[[#This Row],[Регистратор.Номенклатура]]</f>
        <v>Вольф</v>
      </c>
      <c r="V307" s="230" t="n">
        <f aca="false">37.9*Таблица310[[#This Row],[Регистратор.Вес нетто]]/315870</f>
        <v>1.54182100231108</v>
      </c>
      <c r="W307" s="216" t="s">
        <v>326</v>
      </c>
      <c r="X307" s="216" t="s">
        <v>315</v>
      </c>
      <c r="Y307" s="198" t="n">
        <v>5</v>
      </c>
      <c r="Z307" s="221" t="n">
        <v>45822</v>
      </c>
      <c r="AA307" s="198"/>
      <c r="AB307" s="198"/>
      <c r="AC307" s="198" t="s">
        <v>305</v>
      </c>
      <c r="AD307" s="198" t="s">
        <v>746</v>
      </c>
      <c r="AE307" s="198" t="n">
        <v>403</v>
      </c>
      <c r="AF307" s="200" t="n">
        <v>45822</v>
      </c>
      <c r="AG307" s="198" t="s">
        <v>906</v>
      </c>
      <c r="AH307" s="198" t="n">
        <f aca="false">VLOOKUP(Таблица310[[#This Row],[№ акта]],'Степень зрелости 2025'!$H$13:$I$583,2,FALSE())</f>
        <v>67</v>
      </c>
      <c r="AI307" s="198" t="n">
        <f aca="false">VLOOKUP(Таблица310[[#This Row],[№ акта]],$AQ$1:$AT$594,2,FALSE())</f>
        <v>41</v>
      </c>
      <c r="AJ307" s="198" t="str">
        <f aca="false">Таблица310[[#This Row],[Регистратор.Номенклатура]]</f>
        <v>Вольф</v>
      </c>
      <c r="AK307" s="198" t="str">
        <f aca="false">VLOOKUP(Таблица310[[#This Row],[№ акта]],$AQ$1:$AT$594,4,FALSE())</f>
        <v>Братковский (полив)</v>
      </c>
      <c r="AL307" s="230" t="n">
        <f aca="false">VLOOKUP(Таблица310[[#This Row],[№ акта]],$AQ$1:$AT$594,3,FALSE())</f>
        <v>1.54182100231108</v>
      </c>
      <c r="AM307" s="198" t="str">
        <f aca="false">IF(Таблица310[[#This Row],[Площадь уборки, га]]=Таблица310[[#This Row],[Площадь уборки до корр]],"нет","да")</f>
        <v>нет</v>
      </c>
      <c r="AN307" s="230" t="n">
        <f aca="false">Таблица310[[#This Row],[Площадь уборки до корр]]-Таблица310[[#This Row],[Площадь уборки, га]]</f>
        <v>0</v>
      </c>
      <c r="AQ307" s="0" t="n">
        <v>403</v>
      </c>
      <c r="AR307" s="0" t="n">
        <v>41</v>
      </c>
      <c r="AS307" s="0" t="n">
        <v>1.54182100231108</v>
      </c>
      <c r="AT307" s="0" t="s">
        <v>326</v>
      </c>
      <c r="XEM307" s="216"/>
      <c r="XEN307" s="217"/>
      <c r="XEO307" s="243"/>
      <c r="XEP307" s="218"/>
      <c r="XEQ307" s="244"/>
      <c r="XER307" s="217"/>
    </row>
    <row r="308" customFormat="false" ht="25.5" hidden="false" customHeight="true" outlineLevel="0" collapsed="false">
      <c r="A308" s="216"/>
      <c r="B308" s="217"/>
      <c r="C308" s="241" t="n">
        <f aca="false">Таблица310[[#This Row],[Степень зрелости вспом]]</f>
        <v>66</v>
      </c>
      <c r="D308" s="218" t="n">
        <v>404</v>
      </c>
      <c r="E308" s="219" t="n">
        <v>45822</v>
      </c>
      <c r="F308" s="217" t="n">
        <v>32500</v>
      </c>
      <c r="G308" s="217" t="n">
        <v>13850</v>
      </c>
      <c r="H308" s="220" t="n">
        <v>18650</v>
      </c>
      <c r="I308" s="217" t="n">
        <v>12395.7</v>
      </c>
      <c r="J308" s="216" t="s">
        <v>899</v>
      </c>
      <c r="K308" s="216" t="s">
        <v>909</v>
      </c>
      <c r="L308" s="216" t="n">
        <v>44</v>
      </c>
      <c r="M308" s="189" t="s">
        <v>365</v>
      </c>
      <c r="N308" s="198"/>
      <c r="O308" s="216"/>
      <c r="P308" s="216"/>
      <c r="Q308" s="216"/>
      <c r="R308" s="216" t="s">
        <v>373</v>
      </c>
      <c r="S308" s="198"/>
      <c r="T308" s="246" t="n">
        <v>50</v>
      </c>
      <c r="U308" s="195" t="str">
        <f aca="false">Таблица310[[#This Row],[Регистратор.Номенклатура]]</f>
        <v>Вольф</v>
      </c>
      <c r="V308" s="230" t="n">
        <f aca="false">41.5*Таблица310[[#This Row],[Регистратор.Вес нетто]]/260190</f>
        <v>2.20905876474884</v>
      </c>
      <c r="W308" s="216" t="s">
        <v>326</v>
      </c>
      <c r="X308" s="216" t="s">
        <v>315</v>
      </c>
      <c r="Y308" s="198" t="n">
        <v>5</v>
      </c>
      <c r="Z308" s="221" t="n">
        <v>45822</v>
      </c>
      <c r="AA308" s="198"/>
      <c r="AB308" s="198"/>
      <c r="AC308" s="198" t="s">
        <v>304</v>
      </c>
      <c r="AD308" s="198" t="s">
        <v>746</v>
      </c>
      <c r="AE308" s="198" t="n">
        <v>404</v>
      </c>
      <c r="AF308" s="200" t="n">
        <v>45822</v>
      </c>
      <c r="AG308" s="198" t="s">
        <v>906</v>
      </c>
      <c r="AH308" s="198" t="n">
        <f aca="false">VLOOKUP(Таблица310[[#This Row],[№ акта]],'Степень зрелости 2025'!$H$13:$I$583,2,FALSE())</f>
        <v>66</v>
      </c>
      <c r="AI308" s="198" t="n">
        <f aca="false">VLOOKUP(Таблица310[[#This Row],[№ акта]],$AQ$1:$AT$594,2,FALSE())</f>
        <v>50</v>
      </c>
      <c r="AJ308" s="198" t="str">
        <f aca="false">Таблица310[[#This Row],[Регистратор.Номенклатура]]</f>
        <v>Вольф</v>
      </c>
      <c r="AK308" s="198" t="str">
        <f aca="false">VLOOKUP(Таблица310[[#This Row],[№ акта]],$AQ$1:$AT$594,4,FALSE())</f>
        <v>Братковский (полив)</v>
      </c>
      <c r="AL308" s="230" t="n">
        <f aca="false">VLOOKUP(Таблица310[[#This Row],[№ акта]],$AQ$1:$AT$594,3,FALSE())</f>
        <v>2.20905876474884</v>
      </c>
      <c r="AM308" s="198" t="str">
        <f aca="false">IF(Таблица310[[#This Row],[Площадь уборки, га]]=Таблица310[[#This Row],[Площадь уборки до корр]],"нет","да")</f>
        <v>нет</v>
      </c>
      <c r="AN308" s="230" t="n">
        <f aca="false">Таблица310[[#This Row],[Площадь уборки до корр]]-Таблица310[[#This Row],[Площадь уборки, га]]</f>
        <v>0</v>
      </c>
      <c r="AQ308" s="0" t="n">
        <v>404</v>
      </c>
      <c r="AR308" s="0" t="n">
        <v>50</v>
      </c>
      <c r="AS308" s="0" t="n">
        <v>2.20905876474884</v>
      </c>
      <c r="AT308" s="0" t="s">
        <v>326</v>
      </c>
      <c r="XEM308" s="216"/>
      <c r="XEN308" s="217"/>
      <c r="XEO308" s="243"/>
      <c r="XEP308" s="218"/>
      <c r="XEQ308" s="244"/>
      <c r="XER308" s="217"/>
    </row>
    <row r="309" customFormat="false" ht="25.5" hidden="false" customHeight="true" outlineLevel="0" collapsed="false">
      <c r="A309" s="216"/>
      <c r="B309" s="217"/>
      <c r="C309" s="241" t="n">
        <f aca="false">Таблица310[[#This Row],[Степень зрелости вспом]]</f>
        <v>64</v>
      </c>
      <c r="D309" s="218" t="n">
        <v>405</v>
      </c>
      <c r="E309" s="219" t="n">
        <v>45823</v>
      </c>
      <c r="F309" s="217" t="n">
        <v>28590</v>
      </c>
      <c r="G309" s="217" t="n">
        <v>13600</v>
      </c>
      <c r="H309" s="220" t="n">
        <v>14990</v>
      </c>
      <c r="I309" s="217" t="n">
        <v>11900</v>
      </c>
      <c r="J309" s="216" t="s">
        <v>899</v>
      </c>
      <c r="K309" s="216" t="s">
        <v>909</v>
      </c>
      <c r="L309" s="216" t="n">
        <v>44</v>
      </c>
      <c r="M309" s="189" t="s">
        <v>371</v>
      </c>
      <c r="N309" s="198"/>
      <c r="O309" s="216"/>
      <c r="P309" s="216"/>
      <c r="Q309" s="216"/>
      <c r="R309" s="216" t="s">
        <v>372</v>
      </c>
      <c r="S309" s="198"/>
      <c r="T309" s="246" t="n">
        <v>50</v>
      </c>
      <c r="U309" s="195" t="str">
        <f aca="false">Таблица310[[#This Row],[Регистратор.Номенклатура]]</f>
        <v>Вольф</v>
      </c>
      <c r="V309" s="230" t="n">
        <f aca="false">41.5*Таблица310[[#This Row],[Регистратор.Вес нетто]]/260190</f>
        <v>2.16918405780391</v>
      </c>
      <c r="W309" s="216" t="s">
        <v>326</v>
      </c>
      <c r="X309" s="216" t="s">
        <v>315</v>
      </c>
      <c r="Y309" s="198" t="n">
        <v>5</v>
      </c>
      <c r="Z309" s="221" t="n">
        <v>45822</v>
      </c>
      <c r="AA309" s="198"/>
      <c r="AB309" s="198"/>
      <c r="AC309" s="198" t="s">
        <v>305</v>
      </c>
      <c r="AD309" s="198" t="s">
        <v>746</v>
      </c>
      <c r="AE309" s="198" t="n">
        <v>405</v>
      </c>
      <c r="AF309" s="200" t="n">
        <v>45823</v>
      </c>
      <c r="AG309" s="198" t="s">
        <v>906</v>
      </c>
      <c r="AH309" s="198" t="n">
        <f aca="false">VLOOKUP(Таблица310[[#This Row],[№ акта]],'Степень зрелости 2025'!$H$13:$I$583,2,FALSE())</f>
        <v>64</v>
      </c>
      <c r="AI309" s="198" t="n">
        <f aca="false">VLOOKUP(Таблица310[[#This Row],[№ акта]],$AQ$1:$AT$594,2,FALSE())</f>
        <v>50</v>
      </c>
      <c r="AJ309" s="198" t="str">
        <f aca="false">Таблица310[[#This Row],[Регистратор.Номенклатура]]</f>
        <v>Вольф</v>
      </c>
      <c r="AK309" s="198" t="str">
        <f aca="false">VLOOKUP(Таблица310[[#This Row],[№ акта]],$AQ$1:$AT$594,4,FALSE())</f>
        <v>Братковский (полив)</v>
      </c>
      <c r="AL309" s="230" t="n">
        <f aca="false">VLOOKUP(Таблица310[[#This Row],[№ акта]],$AQ$1:$AT$594,3,FALSE())</f>
        <v>2.16918405780391</v>
      </c>
      <c r="AM309" s="198" t="str">
        <f aca="false">IF(Таблица310[[#This Row],[Площадь уборки, га]]=Таблица310[[#This Row],[Площадь уборки до корр]],"нет","да")</f>
        <v>нет</v>
      </c>
      <c r="AN309" s="230" t="n">
        <f aca="false">Таблица310[[#This Row],[Площадь уборки до корр]]-Таблица310[[#This Row],[Площадь уборки, га]]</f>
        <v>0</v>
      </c>
      <c r="AQ309" s="0" t="n">
        <v>405</v>
      </c>
      <c r="AR309" s="0" t="n">
        <v>50</v>
      </c>
      <c r="AS309" s="0" t="n">
        <v>2.16918405780391</v>
      </c>
      <c r="AT309" s="0" t="s">
        <v>326</v>
      </c>
      <c r="XEM309" s="216"/>
      <c r="XEN309" s="217"/>
      <c r="XEO309" s="243"/>
      <c r="XEP309" s="218"/>
      <c r="XEQ309" s="244"/>
      <c r="XER309" s="217"/>
    </row>
    <row r="310" customFormat="false" ht="25.5" hidden="false" customHeight="true" outlineLevel="0" collapsed="false">
      <c r="A310" s="216"/>
      <c r="B310" s="217"/>
      <c r="C310" s="241" t="n">
        <f aca="false">Таблица310[[#This Row],[Степень зрелости вспом]]</f>
        <v>67</v>
      </c>
      <c r="D310" s="218" t="n">
        <v>406</v>
      </c>
      <c r="E310" s="219" t="n">
        <v>45822</v>
      </c>
      <c r="F310" s="217" t="n">
        <v>28720</v>
      </c>
      <c r="G310" s="217" t="n">
        <v>13100</v>
      </c>
      <c r="H310" s="220" t="n">
        <v>15620</v>
      </c>
      <c r="I310" s="217" t="n">
        <v>11331.5</v>
      </c>
      <c r="J310" s="216" t="s">
        <v>899</v>
      </c>
      <c r="K310" s="216" t="s">
        <v>909</v>
      </c>
      <c r="L310" s="216" t="n">
        <v>43</v>
      </c>
      <c r="M310" s="189" t="s">
        <v>57</v>
      </c>
      <c r="N310" s="198"/>
      <c r="O310" s="216"/>
      <c r="P310" s="216"/>
      <c r="Q310" s="216"/>
      <c r="R310" s="216" t="s">
        <v>58</v>
      </c>
      <c r="S310" s="198"/>
      <c r="T310" s="246" t="n">
        <v>41</v>
      </c>
      <c r="U310" s="195" t="str">
        <f aca="false">Таблица310[[#This Row],[Регистратор.Номенклатура]]</f>
        <v>Вольф</v>
      </c>
      <c r="V310" s="230" t="n">
        <f aca="false">37.9*Таблица310[[#This Row],[Регистратор.Вес нетто]]/315870</f>
        <v>1.57181751986577</v>
      </c>
      <c r="W310" s="216" t="s">
        <v>326</v>
      </c>
      <c r="X310" s="216" t="s">
        <v>315</v>
      </c>
      <c r="Y310" s="198" t="n">
        <v>5</v>
      </c>
      <c r="Z310" s="221" t="n">
        <v>45822</v>
      </c>
      <c r="AA310" s="198"/>
      <c r="AB310" s="198"/>
      <c r="AC310" s="198" t="s">
        <v>305</v>
      </c>
      <c r="AD310" s="198" t="s">
        <v>746</v>
      </c>
      <c r="AE310" s="198" t="n">
        <v>406</v>
      </c>
      <c r="AF310" s="200" t="n">
        <v>45822</v>
      </c>
      <c r="AG310" s="198" t="s">
        <v>906</v>
      </c>
      <c r="AH310" s="198" t="n">
        <f aca="false">VLOOKUP(Таблица310[[#This Row],[№ акта]],'Степень зрелости 2025'!$H$13:$I$583,2,FALSE())</f>
        <v>67</v>
      </c>
      <c r="AI310" s="198" t="n">
        <f aca="false">VLOOKUP(Таблица310[[#This Row],[№ акта]],$AQ$1:$AT$594,2,FALSE())</f>
        <v>41</v>
      </c>
      <c r="AJ310" s="198" t="str">
        <f aca="false">Таблица310[[#This Row],[Регистратор.Номенклатура]]</f>
        <v>Вольф</v>
      </c>
      <c r="AK310" s="198" t="str">
        <f aca="false">VLOOKUP(Таблица310[[#This Row],[№ акта]],$AQ$1:$AT$594,4,FALSE())</f>
        <v>Братковский (полив)</v>
      </c>
      <c r="AL310" s="230" t="n">
        <f aca="false">VLOOKUP(Таблица310[[#This Row],[№ акта]],$AQ$1:$AT$594,3,FALSE())</f>
        <v>1.57181751986577</v>
      </c>
      <c r="AM310" s="198" t="str">
        <f aca="false">IF(Таблица310[[#This Row],[Площадь уборки, га]]=Таблица310[[#This Row],[Площадь уборки до корр]],"нет","да")</f>
        <v>нет</v>
      </c>
      <c r="AN310" s="230" t="n">
        <f aca="false">Таблица310[[#This Row],[Площадь уборки до корр]]-Таблица310[[#This Row],[Площадь уборки, га]]</f>
        <v>0</v>
      </c>
      <c r="AQ310" s="0" t="n">
        <v>406</v>
      </c>
      <c r="AR310" s="0" t="n">
        <v>41</v>
      </c>
      <c r="AS310" s="0" t="n">
        <v>1.57181751986577</v>
      </c>
      <c r="AT310" s="0" t="s">
        <v>326</v>
      </c>
      <c r="XEM310" s="216"/>
      <c r="XEN310" s="217"/>
      <c r="XEO310" s="243"/>
      <c r="XEP310" s="218"/>
      <c r="XEQ310" s="244"/>
      <c r="XER310" s="217"/>
    </row>
    <row r="311" customFormat="false" ht="25.5" hidden="false" customHeight="true" outlineLevel="0" collapsed="false">
      <c r="A311" s="216"/>
      <c r="B311" s="217"/>
      <c r="C311" s="241" t="n">
        <f aca="false">Таблица310[[#This Row],[Степень зрелости вспом]]</f>
        <v>66</v>
      </c>
      <c r="D311" s="218" t="n">
        <v>407</v>
      </c>
      <c r="E311" s="219" t="n">
        <v>45823</v>
      </c>
      <c r="F311" s="217" t="n">
        <v>27660</v>
      </c>
      <c r="G311" s="217" t="n">
        <v>13000</v>
      </c>
      <c r="H311" s="220" t="n">
        <v>14660</v>
      </c>
      <c r="I311" s="217" t="n">
        <v>11570</v>
      </c>
      <c r="J311" s="216" t="s">
        <v>899</v>
      </c>
      <c r="K311" s="216" t="s">
        <v>909</v>
      </c>
      <c r="L311" s="216" t="n">
        <v>43</v>
      </c>
      <c r="M311" s="189" t="s">
        <v>511</v>
      </c>
      <c r="N311" s="198"/>
      <c r="O311" s="216"/>
      <c r="P311" s="216"/>
      <c r="Q311" s="216"/>
      <c r="R311" s="216" t="s">
        <v>515</v>
      </c>
      <c r="S311" s="198"/>
      <c r="T311" s="246" t="n">
        <v>41</v>
      </c>
      <c r="U311" s="195" t="str">
        <f aca="false">Таблица310[[#This Row],[Регистратор.Номенклатура]]</f>
        <v>Вольф</v>
      </c>
      <c r="V311" s="230" t="n">
        <f aca="false">37.9*Таблица310[[#This Row],[Регистратор.Вес нетто]]/315870</f>
        <v>1.55981891284389</v>
      </c>
      <c r="W311" s="216" t="s">
        <v>326</v>
      </c>
      <c r="X311" s="216" t="s">
        <v>315</v>
      </c>
      <c r="Y311" s="198" t="n">
        <v>5</v>
      </c>
      <c r="Z311" s="221" t="n">
        <v>45822</v>
      </c>
      <c r="AA311" s="198"/>
      <c r="AB311" s="198"/>
      <c r="AC311" s="198" t="s">
        <v>304</v>
      </c>
      <c r="AD311" s="198" t="s">
        <v>746</v>
      </c>
      <c r="AE311" s="198" t="n">
        <v>407</v>
      </c>
      <c r="AF311" s="200" t="n">
        <v>45823</v>
      </c>
      <c r="AG311" s="198" t="s">
        <v>906</v>
      </c>
      <c r="AH311" s="198" t="n">
        <f aca="false">VLOOKUP(Таблица310[[#This Row],[№ акта]],'Степень зрелости 2025'!$H$13:$I$583,2,FALSE())</f>
        <v>66</v>
      </c>
      <c r="AI311" s="198" t="n">
        <f aca="false">VLOOKUP(Таблица310[[#This Row],[№ акта]],$AQ$1:$AT$594,2,FALSE())</f>
        <v>41</v>
      </c>
      <c r="AJ311" s="198" t="str">
        <f aca="false">Таблица310[[#This Row],[Регистратор.Номенклатура]]</f>
        <v>Вольф</v>
      </c>
      <c r="AK311" s="198" t="str">
        <f aca="false">VLOOKUP(Таблица310[[#This Row],[№ акта]],$AQ$1:$AT$594,4,FALSE())</f>
        <v>Братковский (полив)</v>
      </c>
      <c r="AL311" s="230" t="n">
        <f aca="false">VLOOKUP(Таблица310[[#This Row],[№ акта]],$AQ$1:$AT$594,3,FALSE())</f>
        <v>1.55981891284389</v>
      </c>
      <c r="AM311" s="198" t="str">
        <f aca="false">IF(Таблица310[[#This Row],[Площадь уборки, га]]=Таблица310[[#This Row],[Площадь уборки до корр]],"нет","да")</f>
        <v>нет</v>
      </c>
      <c r="AN311" s="230" t="n">
        <f aca="false">Таблица310[[#This Row],[Площадь уборки до корр]]-Таблица310[[#This Row],[Площадь уборки, га]]</f>
        <v>0</v>
      </c>
      <c r="AQ311" s="0" t="n">
        <v>407</v>
      </c>
      <c r="AR311" s="0" t="n">
        <v>41</v>
      </c>
      <c r="AS311" s="0" t="n">
        <v>1.55981891284389</v>
      </c>
      <c r="AT311" s="0" t="s">
        <v>326</v>
      </c>
      <c r="XEM311" s="216"/>
      <c r="XEN311" s="217"/>
      <c r="XEO311" s="243"/>
      <c r="XEP311" s="218"/>
      <c r="XEQ311" s="244"/>
      <c r="XER311" s="217"/>
    </row>
    <row r="312" customFormat="false" ht="25.5" hidden="false" customHeight="true" outlineLevel="0" collapsed="false">
      <c r="A312" s="216"/>
      <c r="B312" s="217"/>
      <c r="C312" s="241" t="n">
        <f aca="false">Таблица310[[#This Row],[Степень зрелости вспом]]</f>
        <v>68</v>
      </c>
      <c r="D312" s="218" t="n">
        <v>408</v>
      </c>
      <c r="E312" s="219" t="n">
        <v>45823</v>
      </c>
      <c r="F312" s="217" t="n">
        <v>37400</v>
      </c>
      <c r="G312" s="217" t="n">
        <v>13510</v>
      </c>
      <c r="H312" s="220" t="n">
        <v>23890</v>
      </c>
      <c r="I312" s="217" t="n">
        <v>12361.6</v>
      </c>
      <c r="J312" s="216" t="s">
        <v>899</v>
      </c>
      <c r="K312" s="216" t="s">
        <v>909</v>
      </c>
      <c r="L312" s="216" t="n">
        <v>44</v>
      </c>
      <c r="M312" s="189" t="s">
        <v>439</v>
      </c>
      <c r="N312" s="198"/>
      <c r="O312" s="216"/>
      <c r="P312" s="216"/>
      <c r="Q312" s="216"/>
      <c r="R312" s="216" t="s">
        <v>443</v>
      </c>
      <c r="S312" s="198"/>
      <c r="T312" s="246" t="n">
        <v>50</v>
      </c>
      <c r="U312" s="195" t="str">
        <f aca="false">Таблица310[[#This Row],[Регистратор.Номенклатура]]</f>
        <v>Вольф</v>
      </c>
      <c r="V312" s="230" t="n">
        <f aca="false">41.5*Таблица310[[#This Row],[Регистратор.Вес нетто]]/260190</f>
        <v>2.15482916330374</v>
      </c>
      <c r="W312" s="216" t="s">
        <v>326</v>
      </c>
      <c r="X312" s="216" t="s">
        <v>315</v>
      </c>
      <c r="Y312" s="198" t="n">
        <v>5</v>
      </c>
      <c r="Z312" s="221" t="n">
        <v>45822</v>
      </c>
      <c r="AA312" s="198"/>
      <c r="AB312" s="198"/>
      <c r="AC312" s="198" t="s">
        <v>305</v>
      </c>
      <c r="AD312" s="198" t="s">
        <v>746</v>
      </c>
      <c r="AE312" s="198" t="n">
        <v>408</v>
      </c>
      <c r="AF312" s="200" t="n">
        <v>45823</v>
      </c>
      <c r="AG312" s="198" t="s">
        <v>906</v>
      </c>
      <c r="AH312" s="198" t="n">
        <f aca="false">VLOOKUP(Таблица310[[#This Row],[№ акта]],'Степень зрелости 2025'!$H$13:$I$583,2,FALSE())</f>
        <v>68</v>
      </c>
      <c r="AI312" s="198" t="n">
        <f aca="false">VLOOKUP(Таблица310[[#This Row],[№ акта]],$AQ$1:$AT$594,2,FALSE())</f>
        <v>50</v>
      </c>
      <c r="AJ312" s="198" t="str">
        <f aca="false">Таблица310[[#This Row],[Регистратор.Номенклатура]]</f>
        <v>Вольф</v>
      </c>
      <c r="AK312" s="198" t="str">
        <f aca="false">VLOOKUP(Таблица310[[#This Row],[№ акта]],$AQ$1:$AT$594,4,FALSE())</f>
        <v>Братковский (полив)</v>
      </c>
      <c r="AL312" s="230" t="n">
        <f aca="false">VLOOKUP(Таблица310[[#This Row],[№ акта]],$AQ$1:$AT$594,3,FALSE())</f>
        <v>2.15482916330374</v>
      </c>
      <c r="AM312" s="198" t="str">
        <f aca="false">IF(Таблица310[[#This Row],[Площадь уборки, га]]=Таблица310[[#This Row],[Площадь уборки до корр]],"нет","да")</f>
        <v>нет</v>
      </c>
      <c r="AN312" s="230" t="n">
        <f aca="false">Таблица310[[#This Row],[Площадь уборки до корр]]-Таблица310[[#This Row],[Площадь уборки, га]]</f>
        <v>0</v>
      </c>
      <c r="AQ312" s="0" t="n">
        <v>408</v>
      </c>
      <c r="AR312" s="0" t="n">
        <v>50</v>
      </c>
      <c r="AS312" s="0" t="n">
        <v>2.15482916330374</v>
      </c>
      <c r="AT312" s="0" t="s">
        <v>326</v>
      </c>
      <c r="XEM312" s="216"/>
      <c r="XEN312" s="217"/>
      <c r="XEO312" s="243"/>
      <c r="XEP312" s="218"/>
      <c r="XEQ312" s="244"/>
      <c r="XER312" s="217"/>
    </row>
    <row r="313" customFormat="false" ht="25.5" hidden="false" customHeight="true" outlineLevel="0" collapsed="false">
      <c r="A313" s="216"/>
      <c r="B313" s="217"/>
      <c r="C313" s="241" t="n">
        <f aca="false">Таблица310[[#This Row],[Степень зрелости вспом]]</f>
        <v>69</v>
      </c>
      <c r="D313" s="218" t="n">
        <v>409</v>
      </c>
      <c r="E313" s="219" t="n">
        <v>45823</v>
      </c>
      <c r="F313" s="217" t="n">
        <v>28240</v>
      </c>
      <c r="G313" s="217" t="n">
        <v>13300</v>
      </c>
      <c r="H313" s="220" t="n">
        <v>14940</v>
      </c>
      <c r="I313" s="217" t="n">
        <v>12103</v>
      </c>
      <c r="J313" s="216" t="s">
        <v>899</v>
      </c>
      <c r="K313" s="216" t="s">
        <v>909</v>
      </c>
      <c r="L313" s="216" t="n">
        <v>43</v>
      </c>
      <c r="M313" s="189" t="s">
        <v>433</v>
      </c>
      <c r="N313" s="198"/>
      <c r="O313" s="216"/>
      <c r="P313" s="216"/>
      <c r="Q313" s="216"/>
      <c r="R313" s="216" t="s">
        <v>437</v>
      </c>
      <c r="S313" s="198"/>
      <c r="T313" s="246" t="n">
        <v>41</v>
      </c>
      <c r="U313" s="195" t="str">
        <f aca="false">Таблица310[[#This Row],[Регистратор.Номенклатура]]</f>
        <v>Вольф</v>
      </c>
      <c r="V313" s="230" t="n">
        <f aca="false">37.9*Таблица310[[#This Row],[Регистратор.Вес нетто]]/315870</f>
        <v>1.59581473390952</v>
      </c>
      <c r="W313" s="216" t="s">
        <v>326</v>
      </c>
      <c r="X313" s="216" t="s">
        <v>315</v>
      </c>
      <c r="Y313" s="198" t="n">
        <v>5</v>
      </c>
      <c r="Z313" s="221" t="n">
        <v>45822</v>
      </c>
      <c r="AA313" s="198"/>
      <c r="AB313" s="198"/>
      <c r="AC313" s="198" t="s">
        <v>305</v>
      </c>
      <c r="AD313" s="198" t="s">
        <v>746</v>
      </c>
      <c r="AE313" s="198" t="n">
        <v>409</v>
      </c>
      <c r="AF313" s="200" t="n">
        <v>45823</v>
      </c>
      <c r="AG313" s="198" t="s">
        <v>906</v>
      </c>
      <c r="AH313" s="198" t="n">
        <f aca="false">VLOOKUP(Таблица310[[#This Row],[№ акта]],'Степень зрелости 2025'!$H$13:$I$583,2,FALSE())</f>
        <v>69</v>
      </c>
      <c r="AI313" s="198" t="n">
        <f aca="false">VLOOKUP(Таблица310[[#This Row],[№ акта]],$AQ$1:$AT$594,2,FALSE())</f>
        <v>41</v>
      </c>
      <c r="AJ313" s="198" t="str">
        <f aca="false">Таблица310[[#This Row],[Регистратор.Номенклатура]]</f>
        <v>Вольф</v>
      </c>
      <c r="AK313" s="198" t="str">
        <f aca="false">VLOOKUP(Таблица310[[#This Row],[№ акта]],$AQ$1:$AT$594,4,FALSE())</f>
        <v>Братковский (полив)</v>
      </c>
      <c r="AL313" s="230" t="n">
        <f aca="false">VLOOKUP(Таблица310[[#This Row],[№ акта]],$AQ$1:$AT$594,3,FALSE())</f>
        <v>1.59581473390952</v>
      </c>
      <c r="AM313" s="198" t="str">
        <f aca="false">IF(Таблица310[[#This Row],[Площадь уборки, га]]=Таблица310[[#This Row],[Площадь уборки до корр]],"нет","да")</f>
        <v>нет</v>
      </c>
      <c r="AN313" s="230" t="n">
        <f aca="false">Таблица310[[#This Row],[Площадь уборки до корр]]-Таблица310[[#This Row],[Площадь уборки, га]]</f>
        <v>0</v>
      </c>
      <c r="AQ313" s="0" t="n">
        <v>409</v>
      </c>
      <c r="AR313" s="0" t="n">
        <v>41</v>
      </c>
      <c r="AS313" s="0" t="n">
        <v>1.59581473390952</v>
      </c>
      <c r="AT313" s="0" t="s">
        <v>326</v>
      </c>
      <c r="XEM313" s="216"/>
      <c r="XEN313" s="217"/>
      <c r="XEO313" s="243"/>
      <c r="XEP313" s="218"/>
      <c r="XEQ313" s="244"/>
      <c r="XER313" s="217"/>
    </row>
    <row r="314" customFormat="false" ht="25.5" hidden="false" customHeight="true" outlineLevel="0" collapsed="false">
      <c r="A314" s="216"/>
      <c r="B314" s="217"/>
      <c r="C314" s="241" t="n">
        <f aca="false">Таблица310[[#This Row],[Степень зрелости вспом]]</f>
        <v>66</v>
      </c>
      <c r="D314" s="218" t="n">
        <v>410</v>
      </c>
      <c r="E314" s="219" t="n">
        <v>45823</v>
      </c>
      <c r="F314" s="217" t="n">
        <v>34370</v>
      </c>
      <c r="G314" s="217" t="n">
        <v>13420</v>
      </c>
      <c r="H314" s="220" t="n">
        <v>20950</v>
      </c>
      <c r="I314" s="217" t="n">
        <v>11675.4</v>
      </c>
      <c r="J314" s="216" t="s">
        <v>899</v>
      </c>
      <c r="K314" s="216" t="s">
        <v>909</v>
      </c>
      <c r="L314" s="216" t="n">
        <v>44</v>
      </c>
      <c r="M314" s="189" t="s">
        <v>427</v>
      </c>
      <c r="N314" s="198"/>
      <c r="O314" s="216"/>
      <c r="P314" s="216"/>
      <c r="Q314" s="216"/>
      <c r="R314" s="216" t="s">
        <v>431</v>
      </c>
      <c r="S314" s="198"/>
      <c r="T314" s="246" t="n">
        <v>50</v>
      </c>
      <c r="U314" s="195" t="str">
        <f aca="false">Таблица310[[#This Row],[Регистратор.Номенклатура]]</f>
        <v>Вольф</v>
      </c>
      <c r="V314" s="230" t="n">
        <f aca="false">41.5*Таблица310[[#This Row],[Регистратор.Вес нетто]]/260190</f>
        <v>2.14047426880357</v>
      </c>
      <c r="W314" s="216" t="s">
        <v>326</v>
      </c>
      <c r="X314" s="216" t="s">
        <v>315</v>
      </c>
      <c r="Y314" s="198" t="n">
        <v>5</v>
      </c>
      <c r="Z314" s="221" t="n">
        <v>45822</v>
      </c>
      <c r="AA314" s="198"/>
      <c r="AB314" s="198"/>
      <c r="AC314" s="198" t="s">
        <v>304</v>
      </c>
      <c r="AD314" s="198" t="s">
        <v>746</v>
      </c>
      <c r="AE314" s="198" t="n">
        <v>410</v>
      </c>
      <c r="AF314" s="200" t="n">
        <v>45823</v>
      </c>
      <c r="AG314" s="198" t="n">
        <v>67</v>
      </c>
      <c r="AH314" s="198" t="n">
        <f aca="false">VLOOKUP(Таблица310[[#This Row],[№ акта]],'Степень зрелости 2025'!$H$13:$I$583,2,FALSE())</f>
        <v>66</v>
      </c>
      <c r="AI314" s="198" t="n">
        <f aca="false">VLOOKUP(Таблица310[[#This Row],[№ акта]],$AQ$1:$AT$594,2,FALSE())</f>
        <v>50</v>
      </c>
      <c r="AJ314" s="198" t="str">
        <f aca="false">Таблица310[[#This Row],[Регистратор.Номенклатура]]</f>
        <v>Вольф</v>
      </c>
      <c r="AK314" s="198" t="str">
        <f aca="false">VLOOKUP(Таблица310[[#This Row],[№ акта]],$AQ$1:$AT$594,4,FALSE())</f>
        <v>Братковский (полив)</v>
      </c>
      <c r="AL314" s="230" t="n">
        <f aca="false">VLOOKUP(Таблица310[[#This Row],[№ акта]],$AQ$1:$AT$594,3,FALSE())</f>
        <v>2.14047426880357</v>
      </c>
      <c r="AM314" s="198" t="str">
        <f aca="false">IF(Таблица310[[#This Row],[Площадь уборки, га]]=Таблица310[[#This Row],[Площадь уборки до корр]],"нет","да")</f>
        <v>нет</v>
      </c>
      <c r="AN314" s="230" t="n">
        <f aca="false">Таблица310[[#This Row],[Площадь уборки до корр]]-Таблица310[[#This Row],[Площадь уборки, га]]</f>
        <v>0</v>
      </c>
      <c r="AQ314" s="0" t="n">
        <v>410</v>
      </c>
      <c r="AR314" s="0" t="n">
        <v>50</v>
      </c>
      <c r="AS314" s="0" t="n">
        <v>2.14047426880357</v>
      </c>
      <c r="AT314" s="0" t="s">
        <v>326</v>
      </c>
      <c r="XEM314" s="216"/>
      <c r="XEN314" s="217"/>
      <c r="XEO314" s="243"/>
      <c r="XEP314" s="218"/>
      <c r="XEQ314" s="244"/>
      <c r="XER314" s="217"/>
    </row>
    <row r="315" customFormat="false" ht="25.5" hidden="false" customHeight="true" outlineLevel="0" collapsed="false">
      <c r="A315" s="216"/>
      <c r="B315" s="217"/>
      <c r="C315" s="241" t="n">
        <f aca="false">Таблица310[[#This Row],[Степень зрелости вспом]]</f>
        <v>57</v>
      </c>
      <c r="D315" s="218" t="n">
        <v>411</v>
      </c>
      <c r="E315" s="219" t="n">
        <v>45823</v>
      </c>
      <c r="F315" s="217" t="n">
        <v>27800</v>
      </c>
      <c r="G315" s="217" t="n">
        <v>12980</v>
      </c>
      <c r="H315" s="220" t="n">
        <v>14820</v>
      </c>
      <c r="I315" s="217" t="n">
        <v>11033</v>
      </c>
      <c r="J315" s="216" t="s">
        <v>899</v>
      </c>
      <c r="K315" s="216" t="s">
        <v>909</v>
      </c>
      <c r="L315" s="216" t="n">
        <v>45</v>
      </c>
      <c r="M315" s="189" t="s">
        <v>457</v>
      </c>
      <c r="N315" s="198"/>
      <c r="O315" s="216"/>
      <c r="P315" s="216"/>
      <c r="Q315" s="216"/>
      <c r="R315" s="216" t="s">
        <v>366</v>
      </c>
      <c r="S315" s="198"/>
      <c r="T315" s="246" t="n">
        <v>50</v>
      </c>
      <c r="U315" s="195" t="str">
        <f aca="false">Таблица310[[#This Row],[Регистратор.Номенклатура]]</f>
        <v>Вольф</v>
      </c>
      <c r="V315" s="230" t="n">
        <f aca="false">Таблица310[[#This Row],[Регистратор.Вес нетто]]/(192870/46.5)</f>
        <v>3.12941359464925</v>
      </c>
      <c r="W315" s="216" t="s">
        <v>326</v>
      </c>
      <c r="X315" s="216" t="s">
        <v>315</v>
      </c>
      <c r="Y315" s="198" t="n">
        <v>6</v>
      </c>
      <c r="Z315" s="221" t="n">
        <v>45823</v>
      </c>
      <c r="AA315" s="198"/>
      <c r="AB315" s="198"/>
      <c r="AC315" s="198" t="s">
        <v>302</v>
      </c>
      <c r="AD315" s="198" t="s">
        <v>417</v>
      </c>
      <c r="AE315" s="198" t="n">
        <v>411</v>
      </c>
      <c r="AF315" s="200" t="n">
        <v>45823</v>
      </c>
      <c r="AG315" s="198" t="n">
        <v>68</v>
      </c>
      <c r="AH315" s="198" t="n">
        <f aca="false">VLOOKUP(Таблица310[[#This Row],[№ акта]],'Степень зрелости 2025'!$H$13:$I$583,2,FALSE())</f>
        <v>57</v>
      </c>
      <c r="AI315" s="198" t="n">
        <f aca="false">VLOOKUP(Таблица310[[#This Row],[№ акта]],$AQ$1:$AT$594,2,FALSE())</f>
        <v>50</v>
      </c>
      <c r="AJ315" s="198" t="str">
        <f aca="false">Таблица310[[#This Row],[Регистратор.Номенклатура]]</f>
        <v>Вольф</v>
      </c>
      <c r="AK315" s="198" t="str">
        <f aca="false">VLOOKUP(Таблица310[[#This Row],[№ акта]],$AQ$1:$AT$594,4,FALSE())</f>
        <v>Братковский (полив)</v>
      </c>
      <c r="AL315" s="230" t="n">
        <f aca="false">VLOOKUP(Таблица310[[#This Row],[№ акта]],$AQ$1:$AT$594,3,FALSE())</f>
        <v>3.12941359464925</v>
      </c>
      <c r="AM315" s="198" t="str">
        <f aca="false">IF(Таблица310[[#This Row],[Площадь уборки, га]]=Таблица310[[#This Row],[Площадь уборки до корр]],"нет","да")</f>
        <v>нет</v>
      </c>
      <c r="AN315" s="230" t="n">
        <f aca="false">Таблица310[[#This Row],[Площадь уборки до корр]]-Таблица310[[#This Row],[Площадь уборки, га]]</f>
        <v>0</v>
      </c>
      <c r="AQ315" s="0" t="n">
        <v>411</v>
      </c>
      <c r="AR315" s="0" t="n">
        <v>50</v>
      </c>
      <c r="AS315" s="0" t="n">
        <v>3.12941359464925</v>
      </c>
      <c r="AT315" s="0" t="s">
        <v>326</v>
      </c>
      <c r="XEM315" s="216"/>
      <c r="XEN315" s="217"/>
      <c r="XEO315" s="243"/>
      <c r="XEP315" s="218"/>
      <c r="XEQ315" s="244"/>
      <c r="XER315" s="217"/>
    </row>
    <row r="316" customFormat="false" ht="25.5" hidden="false" customHeight="true" outlineLevel="0" collapsed="false">
      <c r="A316" s="216"/>
      <c r="B316" s="217"/>
      <c r="C316" s="241" t="n">
        <f aca="false">Таблица310[[#This Row],[Степень зрелости вспом]]</f>
        <v>61</v>
      </c>
      <c r="D316" s="218" t="n">
        <v>412</v>
      </c>
      <c r="E316" s="219" t="n">
        <v>45823</v>
      </c>
      <c r="F316" s="217" t="n">
        <v>28260</v>
      </c>
      <c r="G316" s="217" t="n">
        <v>13490</v>
      </c>
      <c r="H316" s="220" t="n">
        <v>14770</v>
      </c>
      <c r="I316" s="217" t="n">
        <v>11601.4</v>
      </c>
      <c r="J316" s="216" t="s">
        <v>899</v>
      </c>
      <c r="K316" s="216" t="s">
        <v>909</v>
      </c>
      <c r="L316" s="216" t="n">
        <v>45</v>
      </c>
      <c r="M316" s="189" t="s">
        <v>553</v>
      </c>
      <c r="N316" s="198"/>
      <c r="O316" s="216"/>
      <c r="P316" s="216"/>
      <c r="Q316" s="216"/>
      <c r="R316" s="216" t="s">
        <v>557</v>
      </c>
      <c r="S316" s="198"/>
      <c r="T316" s="246" t="n">
        <v>50</v>
      </c>
      <c r="U316" s="195" t="str">
        <f aca="false">Таблица310[[#This Row],[Регистратор.Номенклатура]]</f>
        <v>Вольф</v>
      </c>
      <c r="V316" s="230" t="n">
        <f aca="false">Таблица310[[#This Row],[Регистратор.Вес нетто]]/(192870/46.5)</f>
        <v>3.25237206408462</v>
      </c>
      <c r="W316" s="216" t="s">
        <v>326</v>
      </c>
      <c r="X316" s="216" t="s">
        <v>315</v>
      </c>
      <c r="Y316" s="198" t="n">
        <v>6</v>
      </c>
      <c r="Z316" s="200" t="n">
        <v>45823</v>
      </c>
      <c r="AA316" s="198"/>
      <c r="AB316" s="198"/>
      <c r="AC316" s="198" t="s">
        <v>302</v>
      </c>
      <c r="AD316" s="198" t="s">
        <v>417</v>
      </c>
      <c r="AE316" s="198" t="n">
        <v>412</v>
      </c>
      <c r="AF316" s="200" t="n">
        <v>45823</v>
      </c>
      <c r="AG316" s="198" t="n">
        <v>69</v>
      </c>
      <c r="AH316" s="198" t="n">
        <f aca="false">VLOOKUP(Таблица310[[#This Row],[№ акта]],'Степень зрелости 2025'!$H$13:$I$583,2,FALSE())</f>
        <v>61</v>
      </c>
      <c r="AI316" s="198" t="n">
        <f aca="false">VLOOKUP(Таблица310[[#This Row],[№ акта]],$AQ$1:$AT$594,2,FALSE())</f>
        <v>50</v>
      </c>
      <c r="AJ316" s="198" t="str">
        <f aca="false">Таблица310[[#This Row],[Регистратор.Номенклатура]]</f>
        <v>Вольф</v>
      </c>
      <c r="AK316" s="198" t="str">
        <f aca="false">VLOOKUP(Таблица310[[#This Row],[№ акта]],$AQ$1:$AT$594,4,FALSE())</f>
        <v>Братковский (полив)</v>
      </c>
      <c r="AL316" s="230" t="n">
        <f aca="false">VLOOKUP(Таблица310[[#This Row],[№ акта]],$AQ$1:$AT$594,3,FALSE())</f>
        <v>3.25237206408462</v>
      </c>
      <c r="AM316" s="198" t="str">
        <f aca="false">IF(Таблица310[[#This Row],[Площадь уборки, га]]=Таблица310[[#This Row],[Площадь уборки до корр]],"нет","да")</f>
        <v>нет</v>
      </c>
      <c r="AN316" s="230" t="n">
        <f aca="false">Таблица310[[#This Row],[Площадь уборки до корр]]-Таблица310[[#This Row],[Площадь уборки, га]]</f>
        <v>0</v>
      </c>
      <c r="AQ316" s="0" t="n">
        <v>412</v>
      </c>
      <c r="AR316" s="0" t="n">
        <v>50</v>
      </c>
      <c r="AS316" s="0" t="n">
        <v>3.25237206408462</v>
      </c>
      <c r="AT316" s="0" t="s">
        <v>326</v>
      </c>
      <c r="XEM316" s="216"/>
      <c r="XEN316" s="217"/>
      <c r="XEO316" s="243"/>
      <c r="XEP316" s="218"/>
      <c r="XEQ316" s="244"/>
      <c r="XER316" s="217"/>
    </row>
    <row r="317" customFormat="false" ht="25.5" hidden="false" customHeight="true" outlineLevel="0" collapsed="false">
      <c r="A317" s="216"/>
      <c r="B317" s="217"/>
      <c r="C317" s="241" t="n">
        <f aca="false">Таблица310[[#This Row],[Степень зрелости вспом]]</f>
        <v>59</v>
      </c>
      <c r="D317" s="218" t="n">
        <v>413</v>
      </c>
      <c r="E317" s="219" t="n">
        <v>45823</v>
      </c>
      <c r="F317" s="217" t="n">
        <v>27760</v>
      </c>
      <c r="G317" s="217" t="n">
        <v>13090</v>
      </c>
      <c r="H317" s="220" t="n">
        <v>14670</v>
      </c>
      <c r="I317" s="217" t="n">
        <v>10733.8</v>
      </c>
      <c r="J317" s="216" t="s">
        <v>899</v>
      </c>
      <c r="K317" s="216" t="s">
        <v>909</v>
      </c>
      <c r="L317" s="216" t="n">
        <v>45</v>
      </c>
      <c r="M317" s="189" t="s">
        <v>547</v>
      </c>
      <c r="N317" s="198"/>
      <c r="O317" s="216"/>
      <c r="P317" s="216"/>
      <c r="Q317" s="216"/>
      <c r="R317" s="216" t="s">
        <v>551</v>
      </c>
      <c r="S317" s="198"/>
      <c r="T317" s="246" t="n">
        <v>50</v>
      </c>
      <c r="U317" s="195" t="str">
        <f aca="false">Таблица310[[#This Row],[Регистратор.Номенклатура]]</f>
        <v>Вольф</v>
      </c>
      <c r="V317" s="230" t="n">
        <f aca="false">Таблица310[[#This Row],[Регистратор.Вес нетто]]/(192870/46.5)</f>
        <v>3.15593404884119</v>
      </c>
      <c r="W317" s="216" t="s">
        <v>326</v>
      </c>
      <c r="X317" s="216" t="s">
        <v>315</v>
      </c>
      <c r="Y317" s="198" t="n">
        <v>6</v>
      </c>
      <c r="Z317" s="200" t="n">
        <v>45823</v>
      </c>
      <c r="AA317" s="198"/>
      <c r="AB317" s="198"/>
      <c r="AC317" s="198" t="s">
        <v>302</v>
      </c>
      <c r="AD317" s="198" t="s">
        <v>417</v>
      </c>
      <c r="AE317" s="198" t="n">
        <v>413</v>
      </c>
      <c r="AF317" s="200" t="n">
        <v>45823</v>
      </c>
      <c r="AG317" s="198" t="n">
        <v>70</v>
      </c>
      <c r="AH317" s="198" t="n">
        <f aca="false">VLOOKUP(Таблица310[[#This Row],[№ акта]],'Степень зрелости 2025'!$H$13:$I$583,2,FALSE())</f>
        <v>59</v>
      </c>
      <c r="AI317" s="198" t="n">
        <f aca="false">VLOOKUP(Таблица310[[#This Row],[№ акта]],$AQ$1:$AT$594,2,FALSE())</f>
        <v>50</v>
      </c>
      <c r="AJ317" s="198" t="str">
        <f aca="false">Таблица310[[#This Row],[Регистратор.Номенклатура]]</f>
        <v>Вольф</v>
      </c>
      <c r="AK317" s="198" t="str">
        <f aca="false">VLOOKUP(Таблица310[[#This Row],[№ акта]],$AQ$1:$AT$594,4,FALSE())</f>
        <v>Братковский (полив)</v>
      </c>
      <c r="AL317" s="230" t="n">
        <f aca="false">VLOOKUP(Таблица310[[#This Row],[№ акта]],$AQ$1:$AT$594,3,FALSE())</f>
        <v>3.15593404884119</v>
      </c>
      <c r="AM317" s="198" t="str">
        <f aca="false">IF(Таблица310[[#This Row],[Площадь уборки, га]]=Таблица310[[#This Row],[Площадь уборки до корр]],"нет","да")</f>
        <v>нет</v>
      </c>
      <c r="AN317" s="230" t="n">
        <f aca="false">Таблица310[[#This Row],[Площадь уборки до корр]]-Таблица310[[#This Row],[Площадь уборки, га]]</f>
        <v>0</v>
      </c>
      <c r="AQ317" s="0" t="n">
        <v>413</v>
      </c>
      <c r="AR317" s="0" t="n">
        <v>50</v>
      </c>
      <c r="AS317" s="0" t="n">
        <v>3.15593404884119</v>
      </c>
      <c r="AT317" s="0" t="s">
        <v>326</v>
      </c>
      <c r="XEM317" s="216"/>
      <c r="XEN317" s="217"/>
      <c r="XEO317" s="243"/>
      <c r="XEP317" s="218"/>
      <c r="XEQ317" s="244"/>
      <c r="XER317" s="217"/>
    </row>
    <row r="318" customFormat="false" ht="25.5" hidden="false" customHeight="true" outlineLevel="0" collapsed="false">
      <c r="A318" s="216"/>
      <c r="B318" s="217"/>
      <c r="C318" s="241" t="n">
        <f aca="false">Таблица310[[#This Row],[Степень зрелости вспом]]</f>
        <v>63</v>
      </c>
      <c r="D318" s="218" t="n">
        <v>414</v>
      </c>
      <c r="E318" s="219" t="n">
        <v>45823</v>
      </c>
      <c r="F318" s="217" t="n">
        <v>27960</v>
      </c>
      <c r="G318" s="217" t="n">
        <v>13360</v>
      </c>
      <c r="H318" s="220" t="n">
        <v>14600</v>
      </c>
      <c r="I318" s="217" t="n">
        <v>11088.8</v>
      </c>
      <c r="J318" s="216" t="s">
        <v>899</v>
      </c>
      <c r="K318" s="216" t="s">
        <v>909</v>
      </c>
      <c r="L318" s="216" t="n">
        <v>45</v>
      </c>
      <c r="M318" s="189" t="s">
        <v>363</v>
      </c>
      <c r="N318" s="198"/>
      <c r="O318" s="216"/>
      <c r="P318" s="216"/>
      <c r="Q318" s="216"/>
      <c r="R318" s="216" t="s">
        <v>364</v>
      </c>
      <c r="S318" s="198"/>
      <c r="T318" s="246" t="n">
        <v>50</v>
      </c>
      <c r="U318" s="195" t="str">
        <f aca="false">Таблица310[[#This Row],[Регистратор.Номенклатура]]</f>
        <v>Вольф</v>
      </c>
      <c r="V318" s="230" t="n">
        <f aca="false">Таблица310[[#This Row],[Регистратор.Вес нетто]]/(192870/46.5)</f>
        <v>3.2210297091305</v>
      </c>
      <c r="W318" s="216" t="s">
        <v>326</v>
      </c>
      <c r="X318" s="216" t="s">
        <v>315</v>
      </c>
      <c r="Y318" s="198" t="n">
        <v>6</v>
      </c>
      <c r="Z318" s="200" t="n">
        <v>45823</v>
      </c>
      <c r="AA318" s="198"/>
      <c r="AB318" s="198"/>
      <c r="AC318" s="198" t="s">
        <v>305</v>
      </c>
      <c r="AD318" s="198" t="s">
        <v>417</v>
      </c>
      <c r="AE318" s="198" t="n">
        <v>414</v>
      </c>
      <c r="AF318" s="200" t="n">
        <v>45823</v>
      </c>
      <c r="AG318" s="198" t="n">
        <v>71</v>
      </c>
      <c r="AH318" s="198" t="n">
        <f aca="false">VLOOKUP(Таблица310[[#This Row],[№ акта]],'Степень зрелости 2025'!$H$13:$I$583,2,FALSE())</f>
        <v>63</v>
      </c>
      <c r="AI318" s="198" t="n">
        <f aca="false">VLOOKUP(Таблица310[[#This Row],[№ акта]],$AQ$1:$AT$594,2,FALSE())</f>
        <v>50</v>
      </c>
      <c r="AJ318" s="198" t="str">
        <f aca="false">Таблица310[[#This Row],[Регистратор.Номенклатура]]</f>
        <v>Вольф</v>
      </c>
      <c r="AK318" s="198" t="str">
        <f aca="false">VLOOKUP(Таблица310[[#This Row],[№ акта]],$AQ$1:$AT$594,4,FALSE())</f>
        <v>Братковский (полив)</v>
      </c>
      <c r="AL318" s="230" t="n">
        <f aca="false">VLOOKUP(Таблица310[[#This Row],[№ акта]],$AQ$1:$AT$594,3,FALSE())</f>
        <v>3.2210297091305</v>
      </c>
      <c r="AM318" s="198" t="str">
        <f aca="false">IF(Таблица310[[#This Row],[Площадь уборки, га]]=Таблица310[[#This Row],[Площадь уборки до корр]],"нет","да")</f>
        <v>нет</v>
      </c>
      <c r="AN318" s="230" t="n">
        <f aca="false">Таблица310[[#This Row],[Площадь уборки до корр]]-Таблица310[[#This Row],[Площадь уборки, га]]</f>
        <v>0</v>
      </c>
      <c r="AQ318" s="0" t="n">
        <v>414</v>
      </c>
      <c r="AR318" s="0" t="n">
        <v>50</v>
      </c>
      <c r="AS318" s="0" t="n">
        <v>3.2210297091305</v>
      </c>
      <c r="AT318" s="0" t="s">
        <v>326</v>
      </c>
      <c r="XEM318" s="216"/>
      <c r="XEN318" s="217"/>
      <c r="XEO318" s="243"/>
      <c r="XEP318" s="218"/>
      <c r="XEQ318" s="244"/>
      <c r="XER318" s="217"/>
    </row>
    <row r="319" customFormat="false" ht="25.5" hidden="false" customHeight="true" outlineLevel="0" collapsed="false">
      <c r="A319" s="216"/>
      <c r="B319" s="217"/>
      <c r="C319" s="241" t="n">
        <f aca="false">Таблица310[[#This Row],[Степень зрелости вспом]]</f>
        <v>60</v>
      </c>
      <c r="D319" s="218" t="n">
        <v>415</v>
      </c>
      <c r="E319" s="219" t="n">
        <v>45823</v>
      </c>
      <c r="F319" s="217" t="n">
        <v>29200</v>
      </c>
      <c r="G319" s="217" t="n">
        <v>13590</v>
      </c>
      <c r="H319" s="220" t="n">
        <v>15610</v>
      </c>
      <c r="I319" s="217" t="n">
        <v>12434.8</v>
      </c>
      <c r="J319" s="216" t="s">
        <v>899</v>
      </c>
      <c r="K319" s="216" t="s">
        <v>909</v>
      </c>
      <c r="L319" s="216" t="n">
        <v>45</v>
      </c>
      <c r="M319" s="189" t="s">
        <v>445</v>
      </c>
      <c r="N319" s="198"/>
      <c r="O319" s="216"/>
      <c r="P319" s="216"/>
      <c r="Q319" s="216"/>
      <c r="R319" s="216" t="s">
        <v>449</v>
      </c>
      <c r="S319" s="198"/>
      <c r="T319" s="246" t="n">
        <v>50</v>
      </c>
      <c r="U319" s="195" t="str">
        <f aca="false">Таблица310[[#This Row],[Регистратор.Номенклатура]]</f>
        <v>Вольф</v>
      </c>
      <c r="V319" s="230" t="n">
        <f aca="false">Таблица310[[#This Row],[Регистратор.Вес нетто]]/(192870/46.5)</f>
        <v>3.27648156789547</v>
      </c>
      <c r="W319" s="216" t="s">
        <v>326</v>
      </c>
      <c r="X319" s="216" t="s">
        <v>315</v>
      </c>
      <c r="Y319" s="198" t="n">
        <v>6</v>
      </c>
      <c r="Z319" s="200" t="n">
        <v>45823</v>
      </c>
      <c r="AA319" s="198"/>
      <c r="AB319" s="198"/>
      <c r="AC319" s="198" t="s">
        <v>302</v>
      </c>
      <c r="AD319" s="198" t="s">
        <v>417</v>
      </c>
      <c r="AE319" s="198" t="n">
        <v>415</v>
      </c>
      <c r="AF319" s="200" t="n">
        <v>45823</v>
      </c>
      <c r="AG319" s="198" t="n">
        <v>73</v>
      </c>
      <c r="AH319" s="198" t="n">
        <f aca="false">VLOOKUP(Таблица310[[#This Row],[№ акта]],'Степень зрелости 2025'!$H$13:$I$583,2,FALSE())</f>
        <v>60</v>
      </c>
      <c r="AI319" s="198" t="n">
        <f aca="false">VLOOKUP(Таблица310[[#This Row],[№ акта]],$AQ$1:$AT$594,2,FALSE())</f>
        <v>50</v>
      </c>
      <c r="AJ319" s="198" t="str">
        <f aca="false">Таблица310[[#This Row],[Регистратор.Номенклатура]]</f>
        <v>Вольф</v>
      </c>
      <c r="AK319" s="198" t="str">
        <f aca="false">VLOOKUP(Таблица310[[#This Row],[№ акта]],$AQ$1:$AT$594,4,FALSE())</f>
        <v>Братковский (полив)</v>
      </c>
      <c r="AL319" s="230" t="n">
        <f aca="false">VLOOKUP(Таблица310[[#This Row],[№ акта]],$AQ$1:$AT$594,3,FALSE())</f>
        <v>3.27648156789547</v>
      </c>
      <c r="AM319" s="198" t="str">
        <f aca="false">IF(Таблица310[[#This Row],[Площадь уборки, га]]=Таблица310[[#This Row],[Площадь уборки до корр]],"нет","да")</f>
        <v>нет</v>
      </c>
      <c r="AN319" s="230" t="n">
        <f aca="false">Таблица310[[#This Row],[Площадь уборки до корр]]-Таблица310[[#This Row],[Площадь уборки, га]]</f>
        <v>0</v>
      </c>
      <c r="AQ319" s="0" t="n">
        <v>415</v>
      </c>
      <c r="AR319" s="0" t="n">
        <v>50</v>
      </c>
      <c r="AS319" s="0" t="n">
        <v>3.27648156789547</v>
      </c>
      <c r="AT319" s="0" t="s">
        <v>326</v>
      </c>
      <c r="XEM319" s="216"/>
      <c r="XEN319" s="217"/>
      <c r="XEO319" s="243"/>
      <c r="XEP319" s="218"/>
      <c r="XEQ319" s="244"/>
      <c r="XER319" s="217"/>
    </row>
    <row r="320" customFormat="false" ht="25.5" hidden="false" customHeight="true" outlineLevel="0" collapsed="false">
      <c r="A320" s="216"/>
      <c r="B320" s="217"/>
      <c r="C320" s="241" t="n">
        <f aca="false">Таблица310[[#This Row],[Степень зрелости вспом]]</f>
        <v>63</v>
      </c>
      <c r="D320" s="218" t="n">
        <v>416</v>
      </c>
      <c r="E320" s="219" t="n">
        <v>45823</v>
      </c>
      <c r="F320" s="217" t="n">
        <v>28230</v>
      </c>
      <c r="G320" s="217" t="n">
        <v>13240</v>
      </c>
      <c r="H320" s="220" t="n">
        <v>14990</v>
      </c>
      <c r="I320" s="217" t="n">
        <v>11585</v>
      </c>
      <c r="J320" s="216" t="s">
        <v>899</v>
      </c>
      <c r="K320" s="216" t="s">
        <v>909</v>
      </c>
      <c r="L320" s="216" t="n">
        <v>45</v>
      </c>
      <c r="M320" s="189" t="s">
        <v>451</v>
      </c>
      <c r="N320" s="198"/>
      <c r="O320" s="216"/>
      <c r="P320" s="216"/>
      <c r="Q320" s="216"/>
      <c r="R320" s="216" t="s">
        <v>455</v>
      </c>
      <c r="S320" s="198"/>
      <c r="T320" s="246" t="n">
        <v>50</v>
      </c>
      <c r="U320" s="195" t="str">
        <f aca="false">Таблица310[[#This Row],[Регистратор.Номенклатура]]</f>
        <v>Вольф</v>
      </c>
      <c r="V320" s="230" t="n">
        <f aca="false">Таблица310[[#This Row],[Регистратор.Вес нетто]]/(192870/46.5)</f>
        <v>3.19209830455747</v>
      </c>
      <c r="W320" s="216" t="s">
        <v>326</v>
      </c>
      <c r="X320" s="216" t="s">
        <v>315</v>
      </c>
      <c r="Y320" s="198" t="n">
        <v>6</v>
      </c>
      <c r="Z320" s="200" t="n">
        <v>45823</v>
      </c>
      <c r="AA320" s="198"/>
      <c r="AB320" s="198"/>
      <c r="AC320" s="198" t="s">
        <v>305</v>
      </c>
      <c r="AD320" s="198" t="s">
        <v>417</v>
      </c>
      <c r="AE320" s="198" t="n">
        <v>416</v>
      </c>
      <c r="AF320" s="200" t="n">
        <v>45823</v>
      </c>
      <c r="AG320" s="198" t="n">
        <v>72</v>
      </c>
      <c r="AH320" s="198" t="n">
        <f aca="false">VLOOKUP(Таблица310[[#This Row],[№ акта]],'Степень зрелости 2025'!$H$13:$I$583,2,FALSE())</f>
        <v>63</v>
      </c>
      <c r="AI320" s="198" t="n">
        <f aca="false">VLOOKUP(Таблица310[[#This Row],[№ акта]],$AQ$1:$AT$594,2,FALSE())</f>
        <v>50</v>
      </c>
      <c r="AJ320" s="198" t="str">
        <f aca="false">Таблица310[[#This Row],[Регистратор.Номенклатура]]</f>
        <v>Вольф</v>
      </c>
      <c r="AK320" s="198" t="str">
        <f aca="false">VLOOKUP(Таблица310[[#This Row],[№ акта]],$AQ$1:$AT$594,4,FALSE())</f>
        <v>Братковский (полив)</v>
      </c>
      <c r="AL320" s="230" t="n">
        <f aca="false">VLOOKUP(Таблица310[[#This Row],[№ акта]],$AQ$1:$AT$594,3,FALSE())</f>
        <v>3.19209830455747</v>
      </c>
      <c r="AM320" s="198" t="str">
        <f aca="false">IF(Таблица310[[#This Row],[Площадь уборки, га]]=Таблица310[[#This Row],[Площадь уборки до корр]],"нет","да")</f>
        <v>нет</v>
      </c>
      <c r="AN320" s="230" t="n">
        <f aca="false">Таблица310[[#This Row],[Площадь уборки до корр]]-Таблица310[[#This Row],[Площадь уборки, га]]</f>
        <v>0</v>
      </c>
      <c r="AQ320" s="0" t="n">
        <v>416</v>
      </c>
      <c r="AR320" s="0" t="n">
        <v>50</v>
      </c>
      <c r="AS320" s="0" t="n">
        <v>3.19209830455747</v>
      </c>
      <c r="AT320" s="0" t="s">
        <v>326</v>
      </c>
      <c r="XEM320" s="216"/>
      <c r="XEN320" s="217"/>
      <c r="XEO320" s="243"/>
      <c r="XEP320" s="218"/>
      <c r="XEQ320" s="244"/>
      <c r="XER320" s="217"/>
    </row>
    <row r="321" customFormat="false" ht="25.5" hidden="false" customHeight="true" outlineLevel="0" collapsed="false">
      <c r="A321" s="216"/>
      <c r="B321" s="217"/>
      <c r="C321" s="241" t="n">
        <f aca="false">Таблица310[[#This Row],[Степень зрелости вспом]]</f>
        <v>67</v>
      </c>
      <c r="D321" s="218" t="n">
        <v>417</v>
      </c>
      <c r="E321" s="219" t="n">
        <v>45823</v>
      </c>
      <c r="F321" s="217" t="n">
        <v>27820</v>
      </c>
      <c r="G321" s="217" t="n">
        <v>13480</v>
      </c>
      <c r="H321" s="220" t="n">
        <v>14340</v>
      </c>
      <c r="I321" s="217" t="n">
        <v>11997.2</v>
      </c>
      <c r="J321" s="216" t="s">
        <v>899</v>
      </c>
      <c r="K321" s="216" t="s">
        <v>909</v>
      </c>
      <c r="L321" s="216" t="n">
        <v>45</v>
      </c>
      <c r="M321" s="189" t="s">
        <v>395</v>
      </c>
      <c r="N321" s="198"/>
      <c r="O321" s="216"/>
      <c r="P321" s="216"/>
      <c r="Q321" s="216"/>
      <c r="R321" s="216" t="s">
        <v>566</v>
      </c>
      <c r="S321" s="198"/>
      <c r="T321" s="246" t="n">
        <v>50</v>
      </c>
      <c r="U321" s="195" t="str">
        <f aca="false">Таблица310[[#This Row],[Регистратор.Номенклатура]]</f>
        <v>Вольф</v>
      </c>
      <c r="V321" s="230" t="n">
        <f aca="false">Таблица310[[#This Row],[Регистратор.Вес нетто]]/(192870/46.5)</f>
        <v>3.24996111370353</v>
      </c>
      <c r="W321" s="216" t="s">
        <v>326</v>
      </c>
      <c r="X321" s="216" t="s">
        <v>315</v>
      </c>
      <c r="Y321" s="198" t="n">
        <v>6</v>
      </c>
      <c r="Z321" s="200" t="n">
        <v>45823</v>
      </c>
      <c r="AA321" s="198"/>
      <c r="AB321" s="198"/>
      <c r="AC321" s="198" t="s">
        <v>305</v>
      </c>
      <c r="AD321" s="198" t="s">
        <v>746</v>
      </c>
      <c r="AE321" s="198" t="n">
        <v>417</v>
      </c>
      <c r="AF321" s="200" t="n">
        <v>45823</v>
      </c>
      <c r="AG321" s="198" t="s">
        <v>906</v>
      </c>
      <c r="AH321" s="198" t="n">
        <f aca="false">VLOOKUP(Таблица310[[#This Row],[№ акта]],'Степень зрелости 2025'!$H$13:$I$583,2,FALSE())</f>
        <v>67</v>
      </c>
      <c r="AI321" s="198" t="n">
        <f aca="false">VLOOKUP(Таблица310[[#This Row],[№ акта]],$AQ$1:$AT$594,2,FALSE())</f>
        <v>50</v>
      </c>
      <c r="AJ321" s="198" t="str">
        <f aca="false">Таблица310[[#This Row],[Регистратор.Номенклатура]]</f>
        <v>Вольф</v>
      </c>
      <c r="AK321" s="198" t="str">
        <f aca="false">VLOOKUP(Таблица310[[#This Row],[№ акта]],$AQ$1:$AT$594,4,FALSE())</f>
        <v>Братковский (полив)</v>
      </c>
      <c r="AL321" s="230" t="n">
        <f aca="false">VLOOKUP(Таблица310[[#This Row],[№ акта]],$AQ$1:$AT$594,3,FALSE())</f>
        <v>3.24996111370353</v>
      </c>
      <c r="AM321" s="198" t="str">
        <f aca="false">IF(Таблица310[[#This Row],[Площадь уборки, га]]=Таблица310[[#This Row],[Площадь уборки до корр]],"нет","да")</f>
        <v>нет</v>
      </c>
      <c r="AN321" s="230" t="n">
        <f aca="false">Таблица310[[#This Row],[Площадь уборки до корр]]-Таблица310[[#This Row],[Площадь уборки, га]]</f>
        <v>0</v>
      </c>
      <c r="AQ321" s="0" t="n">
        <v>417</v>
      </c>
      <c r="AR321" s="0" t="n">
        <v>50</v>
      </c>
      <c r="AS321" s="0" t="n">
        <v>3.24996111370353</v>
      </c>
      <c r="AT321" s="0" t="s">
        <v>326</v>
      </c>
      <c r="XEM321" s="216"/>
      <c r="XEN321" s="217"/>
      <c r="XEO321" s="243"/>
      <c r="XEP321" s="218"/>
      <c r="XEQ321" s="244"/>
      <c r="XER321" s="217"/>
    </row>
    <row r="322" customFormat="false" ht="25.5" hidden="false" customHeight="true" outlineLevel="0" collapsed="false">
      <c r="A322" s="216"/>
      <c r="B322" s="217"/>
      <c r="C322" s="241" t="n">
        <f aca="false">Таблица310[[#This Row],[Степень зрелости вспом]]</f>
        <v>72</v>
      </c>
      <c r="D322" s="218" t="n">
        <v>418</v>
      </c>
      <c r="E322" s="219" t="n">
        <v>45823</v>
      </c>
      <c r="F322" s="217" t="n">
        <v>28360</v>
      </c>
      <c r="G322" s="217" t="n">
        <v>6670</v>
      </c>
      <c r="H322" s="220" t="n">
        <v>21690</v>
      </c>
      <c r="I322" s="217" t="n">
        <v>6069.7</v>
      </c>
      <c r="J322" s="216" t="s">
        <v>899</v>
      </c>
      <c r="K322" s="216" t="s">
        <v>909</v>
      </c>
      <c r="L322" s="216" t="n">
        <v>44</v>
      </c>
      <c r="M322" s="189" t="s">
        <v>48</v>
      </c>
      <c r="N322" s="198"/>
      <c r="O322" s="216"/>
      <c r="P322" s="216"/>
      <c r="Q322" s="216"/>
      <c r="R322" s="216" t="s">
        <v>49</v>
      </c>
      <c r="S322" s="198"/>
      <c r="T322" s="246" t="n">
        <v>50</v>
      </c>
      <c r="U322" s="195" t="str">
        <f aca="false">Таблица310[[#This Row],[Регистратор.Номенклатура]]</f>
        <v>Вольф</v>
      </c>
      <c r="V322" s="230" t="n">
        <f aca="false">Таблица310[[#This Row],[Регистратор.Вес нетто]]/(192870/46.5)</f>
        <v>1.60810390418417</v>
      </c>
      <c r="W322" s="216" t="s">
        <v>326</v>
      </c>
      <c r="X322" s="216" t="s">
        <v>315</v>
      </c>
      <c r="Y322" s="198" t="n">
        <v>6</v>
      </c>
      <c r="Z322" s="200" t="n">
        <v>45823</v>
      </c>
      <c r="AA322" s="198"/>
      <c r="AB322" s="198"/>
      <c r="AC322" s="198" t="s">
        <v>305</v>
      </c>
      <c r="AD322" s="198" t="s">
        <v>746</v>
      </c>
      <c r="AE322" s="198" t="n">
        <v>418</v>
      </c>
      <c r="AF322" s="200" t="n">
        <v>45823</v>
      </c>
      <c r="AG322" s="198" t="s">
        <v>906</v>
      </c>
      <c r="AH322" s="198" t="n">
        <f aca="false">VLOOKUP(Таблица310[[#This Row],[№ акта]],'Степень зрелости 2025'!$H$13:$I$583,2,FALSE())</f>
        <v>72</v>
      </c>
      <c r="AI322" s="198" t="n">
        <f aca="false">VLOOKUP(Таблица310[[#This Row],[№ акта]],$AQ$1:$AT$594,2,FALSE())</f>
        <v>50</v>
      </c>
      <c r="AJ322" s="198" t="str">
        <f aca="false">Таблица310[[#This Row],[Регистратор.Номенклатура]]</f>
        <v>Вольф</v>
      </c>
      <c r="AK322" s="198" t="str">
        <f aca="false">VLOOKUP(Таблица310[[#This Row],[№ акта]],$AQ$1:$AT$594,4,FALSE())</f>
        <v>Братковский (полив)</v>
      </c>
      <c r="AL322" s="230" t="n">
        <f aca="false">VLOOKUP(Таблица310[[#This Row],[№ акта]],$AQ$1:$AT$594,3,FALSE())</f>
        <v>1.60810390418417</v>
      </c>
      <c r="AM322" s="198" t="str">
        <f aca="false">IF(Таблица310[[#This Row],[Площадь уборки, га]]=Таблица310[[#This Row],[Площадь уборки до корр]],"нет","да")</f>
        <v>нет</v>
      </c>
      <c r="AN322" s="230" t="n">
        <f aca="false">Таблица310[[#This Row],[Площадь уборки до корр]]-Таблица310[[#This Row],[Площадь уборки, га]]</f>
        <v>0</v>
      </c>
      <c r="AQ322" s="0" t="n">
        <v>418</v>
      </c>
      <c r="AR322" s="0" t="n">
        <v>50</v>
      </c>
      <c r="AS322" s="0" t="n">
        <v>1.60810390418417</v>
      </c>
      <c r="AT322" s="0" t="s">
        <v>326</v>
      </c>
      <c r="XEM322" s="216"/>
      <c r="XEN322" s="217"/>
      <c r="XEO322" s="243"/>
      <c r="XEP322" s="218"/>
      <c r="XEQ322" s="244"/>
      <c r="XER322" s="217"/>
    </row>
    <row r="323" customFormat="false" ht="25.5" hidden="false" customHeight="true" outlineLevel="0" collapsed="false">
      <c r="A323" s="216"/>
      <c r="B323" s="217"/>
      <c r="C323" s="241" t="n">
        <f aca="false">Таблица310[[#This Row],[Степень зрелости вспом]]</f>
        <v>64</v>
      </c>
      <c r="D323" s="218" t="n">
        <v>419</v>
      </c>
      <c r="E323" s="219" t="n">
        <v>45823</v>
      </c>
      <c r="F323" s="217" t="n">
        <v>21690</v>
      </c>
      <c r="G323" s="217" t="n">
        <v>6720</v>
      </c>
      <c r="H323" s="220" t="n">
        <v>14970</v>
      </c>
      <c r="I323" s="217" t="n">
        <v>6148.8</v>
      </c>
      <c r="J323" s="216" t="s">
        <v>899</v>
      </c>
      <c r="K323" s="216" t="s">
        <v>909</v>
      </c>
      <c r="L323" s="216" t="n">
        <v>45</v>
      </c>
      <c r="M323" s="189" t="s">
        <v>48</v>
      </c>
      <c r="N323" s="198"/>
      <c r="O323" s="216"/>
      <c r="P323" s="216"/>
      <c r="Q323" s="216"/>
      <c r="R323" s="216" t="s">
        <v>49</v>
      </c>
      <c r="S323" s="198"/>
      <c r="T323" s="246" t="n">
        <v>50</v>
      </c>
      <c r="U323" s="195" t="str">
        <f aca="false">Таблица310[[#This Row],[Регистратор.Номенклатура]]</f>
        <v>Вольф</v>
      </c>
      <c r="V323" s="230" t="n">
        <f aca="false">Таблица310[[#This Row],[Регистратор.Вес нетто]]/(192870/46.5)</f>
        <v>1.62015865608959</v>
      </c>
      <c r="W323" s="216" t="s">
        <v>326</v>
      </c>
      <c r="X323" s="216" t="s">
        <v>315</v>
      </c>
      <c r="Y323" s="198" t="n">
        <v>6</v>
      </c>
      <c r="Z323" s="200" t="n">
        <v>45823</v>
      </c>
      <c r="AA323" s="198"/>
      <c r="AB323" s="198"/>
      <c r="AC323" s="198" t="s">
        <v>305</v>
      </c>
      <c r="AD323" s="198" t="s">
        <v>746</v>
      </c>
      <c r="AE323" s="198" t="n">
        <v>419</v>
      </c>
      <c r="AF323" s="200" t="n">
        <v>45823</v>
      </c>
      <c r="AG323" s="198" t="s">
        <v>906</v>
      </c>
      <c r="AH323" s="198" t="n">
        <f aca="false">VLOOKUP(Таблица310[[#This Row],[№ акта]],'Степень зрелости 2025'!$H$13:$I$583,2,FALSE())</f>
        <v>64</v>
      </c>
      <c r="AI323" s="198" t="n">
        <f aca="false">VLOOKUP(Таблица310[[#This Row],[№ акта]],$AQ$1:$AT$594,2,FALSE())</f>
        <v>50</v>
      </c>
      <c r="AJ323" s="198" t="str">
        <f aca="false">Таблица310[[#This Row],[Регистратор.Номенклатура]]</f>
        <v>Вольф</v>
      </c>
      <c r="AK323" s="198" t="str">
        <f aca="false">VLOOKUP(Таблица310[[#This Row],[№ акта]],$AQ$1:$AT$594,4,FALSE())</f>
        <v>Братковский (полив)</v>
      </c>
      <c r="AL323" s="230" t="n">
        <f aca="false">VLOOKUP(Таблица310[[#This Row],[№ акта]],$AQ$1:$AT$594,3,FALSE())</f>
        <v>1.62015865608959</v>
      </c>
      <c r="AM323" s="198" t="str">
        <f aca="false">IF(Таблица310[[#This Row],[Площадь уборки, га]]=Таблица310[[#This Row],[Площадь уборки до корр]],"нет","да")</f>
        <v>нет</v>
      </c>
      <c r="AN323" s="230" t="n">
        <f aca="false">Таблица310[[#This Row],[Площадь уборки до корр]]-Таблица310[[#This Row],[Площадь уборки, га]]</f>
        <v>0</v>
      </c>
      <c r="AQ323" s="0" t="n">
        <v>419</v>
      </c>
      <c r="AR323" s="0" t="n">
        <v>50</v>
      </c>
      <c r="AS323" s="0" t="n">
        <v>1.62015865608959</v>
      </c>
      <c r="AT323" s="0" t="s">
        <v>326</v>
      </c>
      <c r="XEM323" s="216"/>
      <c r="XEN323" s="217"/>
      <c r="XEO323" s="243"/>
      <c r="XEP323" s="218"/>
      <c r="XEQ323" s="244"/>
      <c r="XER323" s="217"/>
    </row>
    <row r="324" customFormat="false" ht="25.5" hidden="false" customHeight="true" outlineLevel="0" collapsed="false">
      <c r="A324" s="216"/>
      <c r="B324" s="217"/>
      <c r="C324" s="241" t="n">
        <f aca="false">Таблица310[[#This Row],[Степень зрелости вспом]]</f>
        <v>71</v>
      </c>
      <c r="D324" s="218" t="n">
        <v>420</v>
      </c>
      <c r="E324" s="219" t="n">
        <v>45823</v>
      </c>
      <c r="F324" s="217" t="n">
        <v>28140</v>
      </c>
      <c r="G324" s="217" t="n">
        <v>13450</v>
      </c>
      <c r="H324" s="220" t="n">
        <v>14690</v>
      </c>
      <c r="I324" s="217" t="n">
        <v>12374</v>
      </c>
      <c r="J324" s="216" t="s">
        <v>899</v>
      </c>
      <c r="K324" s="216" t="s">
        <v>909</v>
      </c>
      <c r="L324" s="216" t="n">
        <v>44</v>
      </c>
      <c r="M324" s="189" t="s">
        <v>511</v>
      </c>
      <c r="N324" s="198"/>
      <c r="O324" s="216"/>
      <c r="P324" s="216"/>
      <c r="Q324" s="216"/>
      <c r="R324" s="216" t="s">
        <v>515</v>
      </c>
      <c r="S324" s="198"/>
      <c r="T324" s="246" t="n">
        <v>50</v>
      </c>
      <c r="U324" s="195" t="str">
        <f aca="false">Таблица310[[#This Row],[Регистратор.Номенклатура]]</f>
        <v>Вольф</v>
      </c>
      <c r="V324" s="230" t="n">
        <f aca="false">Таблица310[[#This Row],[Регистратор.Вес нетто]]/(192870/46.5)</f>
        <v>3.24272826256027</v>
      </c>
      <c r="W324" s="216" t="s">
        <v>326</v>
      </c>
      <c r="X324" s="216" t="s">
        <v>315</v>
      </c>
      <c r="Y324" s="198" t="n">
        <v>6</v>
      </c>
      <c r="Z324" s="200" t="n">
        <v>45823</v>
      </c>
      <c r="AA324" s="198"/>
      <c r="AB324" s="198"/>
      <c r="AC324" s="198" t="s">
        <v>305</v>
      </c>
      <c r="AD324" s="198" t="s">
        <v>746</v>
      </c>
      <c r="AE324" s="198" t="n">
        <v>420</v>
      </c>
      <c r="AF324" s="200" t="n">
        <v>45823</v>
      </c>
      <c r="AG324" s="198" t="s">
        <v>906</v>
      </c>
      <c r="AH324" s="198" t="n">
        <f aca="false">VLOOKUP(Таблица310[[#This Row],[№ акта]],'Степень зрелости 2025'!$H$13:$I$583,2,FALSE())</f>
        <v>71</v>
      </c>
      <c r="AI324" s="198" t="n">
        <f aca="false">VLOOKUP(Таблица310[[#This Row],[№ акта]],$AQ$1:$AT$594,2,FALSE())</f>
        <v>50</v>
      </c>
      <c r="AJ324" s="198" t="str">
        <f aca="false">Таблица310[[#This Row],[Регистратор.Номенклатура]]</f>
        <v>Вольф</v>
      </c>
      <c r="AK324" s="198" t="str">
        <f aca="false">VLOOKUP(Таблица310[[#This Row],[№ акта]],$AQ$1:$AT$594,4,FALSE())</f>
        <v>Братковский (полив)</v>
      </c>
      <c r="AL324" s="230" t="n">
        <f aca="false">VLOOKUP(Таблица310[[#This Row],[№ акта]],$AQ$1:$AT$594,3,FALSE())</f>
        <v>3.24272826256027</v>
      </c>
      <c r="AM324" s="198" t="str">
        <f aca="false">IF(Таблица310[[#This Row],[Площадь уборки, га]]=Таблица310[[#This Row],[Площадь уборки до корр]],"нет","да")</f>
        <v>нет</v>
      </c>
      <c r="AN324" s="230" t="n">
        <f aca="false">Таблица310[[#This Row],[Площадь уборки до корр]]-Таблица310[[#This Row],[Площадь уборки, га]]</f>
        <v>0</v>
      </c>
      <c r="AQ324" s="0" t="n">
        <v>420</v>
      </c>
      <c r="AR324" s="0" t="n">
        <v>50</v>
      </c>
      <c r="AS324" s="0" t="n">
        <v>3.24272826256027</v>
      </c>
      <c r="AT324" s="0" t="s">
        <v>326</v>
      </c>
      <c r="XEM324" s="216"/>
      <c r="XEN324" s="217"/>
      <c r="XEO324" s="243"/>
      <c r="XEP324" s="218"/>
      <c r="XEQ324" s="244"/>
      <c r="XER324" s="217"/>
    </row>
    <row r="325" customFormat="false" ht="28.35" hidden="false" customHeight="false" outlineLevel="0" collapsed="false">
      <c r="A325" s="198"/>
      <c r="B325" s="223"/>
      <c r="C325" s="241" t="n">
        <f aca="false">Таблица310[[#This Row],[Степень зрелости вспом]]</f>
        <v>68</v>
      </c>
      <c r="D325" s="224" t="n">
        <v>421</v>
      </c>
      <c r="E325" s="225" t="n">
        <v>45823</v>
      </c>
      <c r="F325" s="223" t="n">
        <v>28130</v>
      </c>
      <c r="G325" s="223" t="n">
        <v>13130</v>
      </c>
      <c r="H325" s="226" t="n">
        <v>15000</v>
      </c>
      <c r="I325" s="223" t="n">
        <v>12276.5</v>
      </c>
      <c r="J325" s="198" t="s">
        <v>899</v>
      </c>
      <c r="K325" s="198" t="s">
        <v>909</v>
      </c>
      <c r="L325" s="198" t="n">
        <v>44</v>
      </c>
      <c r="M325" s="189" t="s">
        <v>371</v>
      </c>
      <c r="N325" s="198"/>
      <c r="O325" s="198"/>
      <c r="P325" s="198"/>
      <c r="Q325" s="198"/>
      <c r="R325" s="198" t="s">
        <v>372</v>
      </c>
      <c r="S325" s="198"/>
      <c r="T325" s="246" t="n">
        <v>50</v>
      </c>
      <c r="U325" s="195" t="str">
        <f aca="false">Таблица310[[#This Row],[Регистратор.Номенклатура]]</f>
        <v>Вольф</v>
      </c>
      <c r="V325" s="230" t="n">
        <f aca="false">Таблица310[[#This Row],[Регистратор.Вес нетто]]/(192870/46.5)</f>
        <v>3.16557785036553</v>
      </c>
      <c r="W325" s="198" t="s">
        <v>326</v>
      </c>
      <c r="X325" s="198" t="s">
        <v>315</v>
      </c>
      <c r="Y325" s="198" t="n">
        <v>6</v>
      </c>
      <c r="Z325" s="200" t="n">
        <v>45823</v>
      </c>
      <c r="AA325" s="198"/>
      <c r="AB325" s="198"/>
      <c r="AC325" s="198" t="s">
        <v>305</v>
      </c>
      <c r="AD325" s="198" t="s">
        <v>746</v>
      </c>
      <c r="AE325" s="198" t="n">
        <v>421</v>
      </c>
      <c r="AF325" s="200" t="n">
        <v>45823</v>
      </c>
      <c r="AG325" s="198" t="s">
        <v>906</v>
      </c>
      <c r="AH325" s="198" t="n">
        <f aca="false">VLOOKUP(Таблица310[[#This Row],[№ акта]],'Степень зрелости 2025'!$H$13:$I$583,2,FALSE())</f>
        <v>68</v>
      </c>
      <c r="AI325" s="198" t="n">
        <f aca="false">VLOOKUP(Таблица310[[#This Row],[№ акта]],$AQ$1:$AT$594,2,FALSE())</f>
        <v>50</v>
      </c>
      <c r="AJ325" s="198" t="str">
        <f aca="false">Таблица310[[#This Row],[Регистратор.Номенклатура]]</f>
        <v>Вольф</v>
      </c>
      <c r="AK325" s="198" t="str">
        <f aca="false">VLOOKUP(Таблица310[[#This Row],[№ акта]],$AQ$1:$AT$594,4,FALSE())</f>
        <v>Братковский (полив)</v>
      </c>
      <c r="AL325" s="230" t="n">
        <f aca="false">VLOOKUP(Таблица310[[#This Row],[№ акта]],$AQ$1:$AT$594,3,FALSE())</f>
        <v>3.16557785036553</v>
      </c>
      <c r="AM325" s="198" t="str">
        <f aca="false">IF(Таблица310[[#This Row],[Площадь уборки, га]]=Таблица310[[#This Row],[Площадь уборки до корр]],"нет","да")</f>
        <v>нет</v>
      </c>
      <c r="AN325" s="230" t="n">
        <f aca="false">Таблица310[[#This Row],[Площадь уборки до корр]]-Таблица310[[#This Row],[Площадь уборки, га]]</f>
        <v>0</v>
      </c>
      <c r="AQ325" s="0" t="n">
        <v>421</v>
      </c>
      <c r="AR325" s="0" t="n">
        <v>50</v>
      </c>
      <c r="AS325" s="0" t="n">
        <v>3.16557785036553</v>
      </c>
      <c r="AT325" s="0" t="s">
        <v>326</v>
      </c>
    </row>
    <row r="326" customFormat="false" ht="28.35" hidden="false" customHeight="false" outlineLevel="0" collapsed="false">
      <c r="A326" s="198"/>
      <c r="B326" s="223"/>
      <c r="C326" s="241" t="n">
        <f aca="false">Таблица310[[#This Row],[Степень зрелости вспом]]</f>
        <v>69</v>
      </c>
      <c r="D326" s="224" t="n">
        <v>422</v>
      </c>
      <c r="E326" s="225" t="n">
        <v>45823</v>
      </c>
      <c r="F326" s="223" t="n">
        <v>27790</v>
      </c>
      <c r="G326" s="223" t="n">
        <v>13170</v>
      </c>
      <c r="H326" s="226" t="n">
        <v>14620</v>
      </c>
      <c r="I326" s="223" t="n">
        <v>12182.2</v>
      </c>
      <c r="J326" s="198" t="s">
        <v>899</v>
      </c>
      <c r="K326" s="198" t="s">
        <v>909</v>
      </c>
      <c r="L326" s="198" t="n">
        <v>43</v>
      </c>
      <c r="M326" s="189" t="s">
        <v>55</v>
      </c>
      <c r="N326" s="198"/>
      <c r="O326" s="198"/>
      <c r="P326" s="198"/>
      <c r="Q326" s="198"/>
      <c r="R326" s="198" t="s">
        <v>56</v>
      </c>
      <c r="S326" s="198"/>
      <c r="T326" s="246" t="n">
        <v>41</v>
      </c>
      <c r="U326" s="195" t="str">
        <f aca="false">Таблица310[[#This Row],[Регистратор.Номенклатура]]</f>
        <v>Вольф</v>
      </c>
      <c r="V326" s="230" t="n">
        <f aca="false">37.9*Таблица310[[#This Row],[Регистратор.Вес нетто]]/315870</f>
        <v>1.58021654478108</v>
      </c>
      <c r="W326" s="198" t="s">
        <v>326</v>
      </c>
      <c r="X326" s="198" t="s">
        <v>315</v>
      </c>
      <c r="Y326" s="198" t="n">
        <v>6</v>
      </c>
      <c r="Z326" s="200" t="n">
        <v>45823</v>
      </c>
      <c r="AA326" s="198"/>
      <c r="AB326" s="198"/>
      <c r="AC326" s="198" t="s">
        <v>305</v>
      </c>
      <c r="AD326" s="198" t="s">
        <v>746</v>
      </c>
      <c r="AE326" s="198" t="n">
        <v>422</v>
      </c>
      <c r="AF326" s="200" t="n">
        <v>45823</v>
      </c>
      <c r="AG326" s="198" t="s">
        <v>906</v>
      </c>
      <c r="AH326" s="198" t="n">
        <f aca="false">VLOOKUP(Таблица310[[#This Row],[№ акта]],'Степень зрелости 2025'!$H$13:$I$583,2,FALSE())</f>
        <v>69</v>
      </c>
      <c r="AI326" s="198" t="n">
        <f aca="false">VLOOKUP(Таблица310[[#This Row],[№ акта]],$AQ$1:$AT$594,2,FALSE())</f>
        <v>41</v>
      </c>
      <c r="AJ326" s="198" t="str">
        <f aca="false">Таблица310[[#This Row],[Регистратор.Номенклатура]]</f>
        <v>Вольф</v>
      </c>
      <c r="AK326" s="198" t="str">
        <f aca="false">VLOOKUP(Таблица310[[#This Row],[№ акта]],$AQ$1:$AT$594,4,FALSE())</f>
        <v>Братковский (полив)</v>
      </c>
      <c r="AL326" s="230" t="n">
        <f aca="false">VLOOKUP(Таблица310[[#This Row],[№ акта]],$AQ$1:$AT$594,3,FALSE())</f>
        <v>1.58021654478108</v>
      </c>
      <c r="AM326" s="198" t="str">
        <f aca="false">IF(Таблица310[[#This Row],[Площадь уборки, га]]=Таблица310[[#This Row],[Площадь уборки до корр]],"нет","да")</f>
        <v>нет</v>
      </c>
      <c r="AN326" s="230" t="n">
        <f aca="false">Таблица310[[#This Row],[Площадь уборки до корр]]-Таблица310[[#This Row],[Площадь уборки, га]]</f>
        <v>0</v>
      </c>
      <c r="AQ326" s="0" t="n">
        <v>422</v>
      </c>
      <c r="AR326" s="0" t="n">
        <v>41</v>
      </c>
      <c r="AS326" s="0" t="n">
        <v>1.58021654478108</v>
      </c>
      <c r="AT326" s="0" t="s">
        <v>326</v>
      </c>
    </row>
    <row r="327" customFormat="false" ht="19.4" hidden="false" customHeight="false" outlineLevel="0" collapsed="false">
      <c r="A327" s="198"/>
      <c r="B327" s="223"/>
      <c r="C327" s="241" t="n">
        <f aca="false">Таблица310[[#This Row],[Степень зрелости вспом]]</f>
        <v>70</v>
      </c>
      <c r="D327" s="224" t="n">
        <v>423</v>
      </c>
      <c r="E327" s="225" t="n">
        <v>45823</v>
      </c>
      <c r="F327" s="223" t="n">
        <v>28530</v>
      </c>
      <c r="G327" s="223" t="n">
        <v>12950</v>
      </c>
      <c r="H327" s="226" t="n">
        <v>15580</v>
      </c>
      <c r="I327" s="223" t="n">
        <v>11784.5</v>
      </c>
      <c r="J327" s="198" t="s">
        <v>899</v>
      </c>
      <c r="K327" s="198" t="s">
        <v>909</v>
      </c>
      <c r="L327" s="198" t="n">
        <v>43</v>
      </c>
      <c r="M327" s="189" t="s">
        <v>57</v>
      </c>
      <c r="N327" s="198"/>
      <c r="O327" s="198"/>
      <c r="P327" s="198"/>
      <c r="Q327" s="198"/>
      <c r="R327" s="198" t="s">
        <v>58</v>
      </c>
      <c r="S327" s="198"/>
      <c r="T327" s="246" t="n">
        <v>41</v>
      </c>
      <c r="U327" s="195" t="str">
        <f aca="false">Таблица310[[#This Row],[Регистратор.Номенклатура]]</f>
        <v>Вольф</v>
      </c>
      <c r="V327" s="230" t="n">
        <f aca="false">37.9*Таблица310[[#This Row],[Регистратор.Вес нетто]]/315870</f>
        <v>1.55381960933295</v>
      </c>
      <c r="W327" s="198" t="s">
        <v>326</v>
      </c>
      <c r="X327" s="198" t="s">
        <v>315</v>
      </c>
      <c r="Y327" s="198" t="n">
        <v>6</v>
      </c>
      <c r="Z327" s="200" t="n">
        <v>45823</v>
      </c>
      <c r="AA327" s="198"/>
      <c r="AB327" s="198"/>
      <c r="AC327" s="198" t="s">
        <v>305</v>
      </c>
      <c r="AD327" s="198" t="s">
        <v>746</v>
      </c>
      <c r="AE327" s="198" t="n">
        <v>423</v>
      </c>
      <c r="AF327" s="200" t="n">
        <v>45823</v>
      </c>
      <c r="AG327" s="198" t="s">
        <v>906</v>
      </c>
      <c r="AH327" s="198" t="n">
        <f aca="false">VLOOKUP(Таблица310[[#This Row],[№ акта]],'Степень зрелости 2025'!$H$13:$I$583,2,FALSE())</f>
        <v>70</v>
      </c>
      <c r="AI327" s="198" t="n">
        <f aca="false">VLOOKUP(Таблица310[[#This Row],[№ акта]],$AQ$1:$AT$594,2,FALSE())</f>
        <v>41</v>
      </c>
      <c r="AJ327" s="198" t="str">
        <f aca="false">Таблица310[[#This Row],[Регистратор.Номенклатура]]</f>
        <v>Вольф</v>
      </c>
      <c r="AK327" s="198" t="str">
        <f aca="false">VLOOKUP(Таблица310[[#This Row],[№ акта]],$AQ$1:$AT$594,4,FALSE())</f>
        <v>Братковский (полив)</v>
      </c>
      <c r="AL327" s="230" t="n">
        <f aca="false">VLOOKUP(Таблица310[[#This Row],[№ акта]],$AQ$1:$AT$594,3,FALSE())</f>
        <v>1.55381960933295</v>
      </c>
      <c r="AM327" s="198" t="str">
        <f aca="false">IF(Таблица310[[#This Row],[Площадь уборки, га]]=Таблица310[[#This Row],[Площадь уборки до корр]],"нет","да")</f>
        <v>нет</v>
      </c>
      <c r="AN327" s="230" t="n">
        <f aca="false">Таблица310[[#This Row],[Площадь уборки до корр]]-Таблица310[[#This Row],[Площадь уборки, га]]</f>
        <v>0</v>
      </c>
      <c r="AQ327" s="0" t="n">
        <v>423</v>
      </c>
      <c r="AR327" s="0" t="n">
        <v>41</v>
      </c>
      <c r="AS327" s="0" t="n">
        <v>1.55381960933295</v>
      </c>
      <c r="AT327" s="0" t="s">
        <v>326</v>
      </c>
    </row>
    <row r="328" customFormat="false" ht="19.4" hidden="false" customHeight="false" outlineLevel="0" collapsed="false">
      <c r="A328" s="198"/>
      <c r="B328" s="223"/>
      <c r="C328" s="241" t="n">
        <f aca="false">Таблица310[[#This Row],[Степень зрелости вспом]]</f>
        <v>72</v>
      </c>
      <c r="D328" s="224" t="n">
        <v>424</v>
      </c>
      <c r="E328" s="225" t="n">
        <v>45823</v>
      </c>
      <c r="F328" s="223" t="n">
        <v>28040</v>
      </c>
      <c r="G328" s="223" t="n">
        <v>13150</v>
      </c>
      <c r="H328" s="226" t="n">
        <v>14890</v>
      </c>
      <c r="I328" s="223" t="n">
        <v>12229.5</v>
      </c>
      <c r="J328" s="198" t="s">
        <v>899</v>
      </c>
      <c r="K328" s="198" t="s">
        <v>909</v>
      </c>
      <c r="L328" s="198" t="n">
        <v>43</v>
      </c>
      <c r="M328" s="189" t="s">
        <v>382</v>
      </c>
      <c r="N328" s="198"/>
      <c r="O328" s="198"/>
      <c r="P328" s="198"/>
      <c r="Q328" s="198"/>
      <c r="R328" s="198" t="s">
        <v>383</v>
      </c>
      <c r="S328" s="198"/>
      <c r="T328" s="246" t="n">
        <v>41</v>
      </c>
      <c r="U328" s="195" t="str">
        <f aca="false">Таблица310[[#This Row],[Регистратор.Номенклатура]]</f>
        <v>Вольф</v>
      </c>
      <c r="V328" s="230" t="n">
        <f aca="false">37.9*Таблица310[[#This Row],[Регистратор.Вес нетто]]/315870</f>
        <v>1.57781682337671</v>
      </c>
      <c r="W328" s="198" t="s">
        <v>326</v>
      </c>
      <c r="X328" s="198" t="s">
        <v>315</v>
      </c>
      <c r="Y328" s="198" t="n">
        <v>6</v>
      </c>
      <c r="Z328" s="200" t="n">
        <v>45823</v>
      </c>
      <c r="AA328" s="198"/>
      <c r="AB328" s="198"/>
      <c r="AC328" s="198" t="s">
        <v>305</v>
      </c>
      <c r="AD328" s="198" t="s">
        <v>746</v>
      </c>
      <c r="AE328" s="198" t="n">
        <v>424</v>
      </c>
      <c r="AF328" s="200" t="n">
        <v>45823</v>
      </c>
      <c r="AG328" s="198" t="s">
        <v>906</v>
      </c>
      <c r="AH328" s="198" t="n">
        <f aca="false">VLOOKUP(Таблица310[[#This Row],[№ акта]],'Степень зрелости 2025'!$H$13:$I$583,2,FALSE())</f>
        <v>72</v>
      </c>
      <c r="AI328" s="198" t="n">
        <f aca="false">VLOOKUP(Таблица310[[#This Row],[№ акта]],$AQ$1:$AT$594,2,FALSE())</f>
        <v>41</v>
      </c>
      <c r="AJ328" s="198" t="str">
        <f aca="false">Таблица310[[#This Row],[Регистратор.Номенклатура]]</f>
        <v>Вольф</v>
      </c>
      <c r="AK328" s="198" t="str">
        <f aca="false">VLOOKUP(Таблица310[[#This Row],[№ акта]],$AQ$1:$AT$594,4,FALSE())</f>
        <v>Братковский (полив)</v>
      </c>
      <c r="AL328" s="230" t="n">
        <f aca="false">VLOOKUP(Таблица310[[#This Row],[№ акта]],$AQ$1:$AT$594,3,FALSE())</f>
        <v>1.57781682337671</v>
      </c>
      <c r="AM328" s="198" t="str">
        <f aca="false">IF(Таблица310[[#This Row],[Площадь уборки, га]]=Таблица310[[#This Row],[Площадь уборки до корр]],"нет","да")</f>
        <v>нет</v>
      </c>
      <c r="AN328" s="230" t="n">
        <f aca="false">Таблица310[[#This Row],[Площадь уборки до корр]]-Таблица310[[#This Row],[Площадь уборки, га]]</f>
        <v>0</v>
      </c>
      <c r="AQ328" s="0" t="n">
        <v>424</v>
      </c>
      <c r="AR328" s="0" t="n">
        <v>41</v>
      </c>
      <c r="AS328" s="0" t="n">
        <v>1.57781682337671</v>
      </c>
      <c r="AT328" s="0" t="s">
        <v>326</v>
      </c>
    </row>
    <row r="329" customFormat="false" ht="19.4" hidden="false" customHeight="false" outlineLevel="0" collapsed="false">
      <c r="A329" s="198"/>
      <c r="B329" s="223"/>
      <c r="C329" s="241" t="n">
        <f aca="false">Таблица310[[#This Row],[Степень зрелости вспом]]</f>
        <v>72</v>
      </c>
      <c r="D329" s="224" t="n">
        <v>425</v>
      </c>
      <c r="E329" s="225" t="n">
        <v>45824</v>
      </c>
      <c r="F329" s="223" t="n">
        <v>27690</v>
      </c>
      <c r="G329" s="223" t="n">
        <v>12990</v>
      </c>
      <c r="H329" s="226" t="n">
        <v>14700</v>
      </c>
      <c r="I329" s="223" t="n">
        <v>11755.9</v>
      </c>
      <c r="J329" s="198" t="s">
        <v>899</v>
      </c>
      <c r="K329" s="198" t="s">
        <v>909</v>
      </c>
      <c r="L329" s="198" t="n">
        <v>43</v>
      </c>
      <c r="M329" s="189" t="s">
        <v>457</v>
      </c>
      <c r="N329" s="198"/>
      <c r="O329" s="198"/>
      <c r="P329" s="198"/>
      <c r="Q329" s="198"/>
      <c r="R329" s="198" t="s">
        <v>366</v>
      </c>
      <c r="S329" s="198"/>
      <c r="T329" s="246" t="n">
        <v>41</v>
      </c>
      <c r="U329" s="195" t="str">
        <f aca="false">Таблица310[[#This Row],[Регистратор.Номенклатура]]</f>
        <v>Вольф</v>
      </c>
      <c r="V329" s="230" t="n">
        <f aca="false">37.9*Таблица310[[#This Row],[Регистратор.Вес нетто]]/315870</f>
        <v>1.5586190521417</v>
      </c>
      <c r="W329" s="198" t="s">
        <v>326</v>
      </c>
      <c r="X329" s="198" t="s">
        <v>315</v>
      </c>
      <c r="Y329" s="198" t="n">
        <v>6</v>
      </c>
      <c r="Z329" s="200" t="n">
        <v>45823</v>
      </c>
      <c r="AA329" s="198"/>
      <c r="AB329" s="198"/>
      <c r="AC329" s="198" t="s">
        <v>305</v>
      </c>
      <c r="AD329" s="198" t="s">
        <v>746</v>
      </c>
      <c r="AE329" s="198" t="n">
        <v>425</v>
      </c>
      <c r="AF329" s="200" t="n">
        <v>45824</v>
      </c>
      <c r="AG329" s="198" t="s">
        <v>906</v>
      </c>
      <c r="AH329" s="198" t="n">
        <f aca="false">VLOOKUP(Таблица310[[#This Row],[№ акта]],'Степень зрелости 2025'!$H$13:$I$583,2,FALSE())</f>
        <v>72</v>
      </c>
      <c r="AI329" s="198" t="n">
        <f aca="false">VLOOKUP(Таблица310[[#This Row],[№ акта]],$AQ$1:$AT$594,2,FALSE())</f>
        <v>41</v>
      </c>
      <c r="AJ329" s="198" t="str">
        <f aca="false">Таблица310[[#This Row],[Регистратор.Номенклатура]]</f>
        <v>Вольф</v>
      </c>
      <c r="AK329" s="198" t="str">
        <f aca="false">VLOOKUP(Таблица310[[#This Row],[№ акта]],$AQ$1:$AT$594,4,FALSE())</f>
        <v>Братковский (полив)</v>
      </c>
      <c r="AL329" s="230" t="n">
        <f aca="false">VLOOKUP(Таблица310[[#This Row],[№ акта]],$AQ$1:$AT$594,3,FALSE())</f>
        <v>1.5586190521417</v>
      </c>
      <c r="AM329" s="198" t="str">
        <f aca="false">IF(Таблица310[[#This Row],[Площадь уборки, га]]=Таблица310[[#This Row],[Площадь уборки до корр]],"нет","да")</f>
        <v>нет</v>
      </c>
      <c r="AN329" s="230" t="n">
        <f aca="false">Таблица310[[#This Row],[Площадь уборки до корр]]-Таблица310[[#This Row],[Площадь уборки, га]]</f>
        <v>0</v>
      </c>
      <c r="AQ329" s="0" t="n">
        <v>425</v>
      </c>
      <c r="AR329" s="0" t="n">
        <v>41</v>
      </c>
      <c r="AS329" s="0" t="n">
        <v>1.5586190521417</v>
      </c>
      <c r="AT329" s="0" t="s">
        <v>326</v>
      </c>
    </row>
    <row r="330" customFormat="false" ht="19.4" hidden="false" customHeight="false" outlineLevel="0" collapsed="false">
      <c r="A330" s="198"/>
      <c r="B330" s="223"/>
      <c r="C330" s="241" t="n">
        <f aca="false">Таблица310[[#This Row],[Степень зрелости вспом]]</f>
        <v>71</v>
      </c>
      <c r="D330" s="224" t="n">
        <v>426</v>
      </c>
      <c r="E330" s="225" t="n">
        <v>45824</v>
      </c>
      <c r="F330" s="223" t="n">
        <v>27340</v>
      </c>
      <c r="G330" s="223" t="n">
        <v>12910</v>
      </c>
      <c r="H330" s="226" t="n">
        <v>14430</v>
      </c>
      <c r="I330" s="223" t="n">
        <v>11683.5</v>
      </c>
      <c r="J330" s="198" t="s">
        <v>899</v>
      </c>
      <c r="K330" s="198" t="s">
        <v>909</v>
      </c>
      <c r="L330" s="198" t="n">
        <v>43</v>
      </c>
      <c r="M330" s="189" t="s">
        <v>384</v>
      </c>
      <c r="N330" s="198"/>
      <c r="O330" s="198"/>
      <c r="P330" s="198"/>
      <c r="Q330" s="198"/>
      <c r="R330" s="198" t="s">
        <v>385</v>
      </c>
      <c r="S330" s="198"/>
      <c r="T330" s="246" t="n">
        <v>41</v>
      </c>
      <c r="U330" s="195" t="str">
        <f aca="false">Таблица310[[#This Row],[Регистратор.Номенклатура]]</f>
        <v>Вольф</v>
      </c>
      <c r="V330" s="230" t="n">
        <f aca="false">37.9*Таблица310[[#This Row],[Регистратор.Вес нетто]]/315870</f>
        <v>1.5490201665242</v>
      </c>
      <c r="W330" s="198" t="s">
        <v>326</v>
      </c>
      <c r="X330" s="198" t="s">
        <v>315</v>
      </c>
      <c r="Y330" s="198" t="n">
        <v>6</v>
      </c>
      <c r="Z330" s="200" t="n">
        <v>45823</v>
      </c>
      <c r="AA330" s="198"/>
      <c r="AB330" s="198"/>
      <c r="AC330" s="198" t="s">
        <v>305</v>
      </c>
      <c r="AD330" s="198" t="s">
        <v>746</v>
      </c>
      <c r="AE330" s="198" t="n">
        <v>426</v>
      </c>
      <c r="AF330" s="200" t="n">
        <v>45824</v>
      </c>
      <c r="AG330" s="198" t="s">
        <v>906</v>
      </c>
      <c r="AH330" s="198" t="n">
        <f aca="false">VLOOKUP(Таблица310[[#This Row],[№ акта]],'Степень зрелости 2025'!$H$13:$I$583,2,FALSE())</f>
        <v>71</v>
      </c>
      <c r="AI330" s="198" t="n">
        <f aca="false">VLOOKUP(Таблица310[[#This Row],[№ акта]],$AQ$1:$AT$594,2,FALSE())</f>
        <v>41</v>
      </c>
      <c r="AJ330" s="198" t="str">
        <f aca="false">Таблица310[[#This Row],[Регистратор.Номенклатура]]</f>
        <v>Вольф</v>
      </c>
      <c r="AK330" s="198" t="str">
        <f aca="false">VLOOKUP(Таблица310[[#This Row],[№ акта]],$AQ$1:$AT$594,4,FALSE())</f>
        <v>Братковский (полив)</v>
      </c>
      <c r="AL330" s="230" t="n">
        <f aca="false">VLOOKUP(Таблица310[[#This Row],[№ акта]],$AQ$1:$AT$594,3,FALSE())</f>
        <v>1.5490201665242</v>
      </c>
      <c r="AM330" s="198" t="str">
        <f aca="false">IF(Таблица310[[#This Row],[Площадь уборки, га]]=Таблица310[[#This Row],[Площадь уборки до корр]],"нет","да")</f>
        <v>нет</v>
      </c>
      <c r="AN330" s="230" t="n">
        <f aca="false">Таблица310[[#This Row],[Площадь уборки до корр]]-Таблица310[[#This Row],[Площадь уборки, га]]</f>
        <v>0</v>
      </c>
      <c r="AQ330" s="0" t="n">
        <v>426</v>
      </c>
      <c r="AR330" s="0" t="n">
        <v>41</v>
      </c>
      <c r="AS330" s="0" t="n">
        <v>1.5490201665242</v>
      </c>
      <c r="AT330" s="0" t="s">
        <v>326</v>
      </c>
    </row>
    <row r="331" customFormat="false" ht="19.4" hidden="false" customHeight="false" outlineLevel="0" collapsed="false">
      <c r="A331" s="198"/>
      <c r="B331" s="223"/>
      <c r="C331" s="241" t="n">
        <v>72</v>
      </c>
      <c r="D331" s="224" t="n">
        <v>427</v>
      </c>
      <c r="E331" s="225" t="n">
        <v>45824</v>
      </c>
      <c r="F331" s="223" t="n">
        <v>28260</v>
      </c>
      <c r="G331" s="223" t="n">
        <v>13330</v>
      </c>
      <c r="H331" s="226" t="n">
        <v>14930</v>
      </c>
      <c r="I331" s="223" t="n">
        <v>12196.9</v>
      </c>
      <c r="J331" s="198" t="s">
        <v>899</v>
      </c>
      <c r="K331" s="198" t="s">
        <v>909</v>
      </c>
      <c r="L331" s="198" t="n">
        <v>43</v>
      </c>
      <c r="M331" s="189" t="s">
        <v>433</v>
      </c>
      <c r="N331" s="198"/>
      <c r="O331" s="198"/>
      <c r="P331" s="198"/>
      <c r="Q331" s="198"/>
      <c r="R331" s="198" t="s">
        <v>437</v>
      </c>
      <c r="S331" s="198"/>
      <c r="T331" s="246" t="n">
        <v>41</v>
      </c>
      <c r="U331" s="195" t="str">
        <f aca="false">Таблица310[[#This Row],[Регистратор.Номенклатура]]</f>
        <v>Вольф</v>
      </c>
      <c r="V331" s="230" t="n">
        <f aca="false">37.9*Таблица310[[#This Row],[Регистратор.Вес нетто]]/315870</f>
        <v>1.59941431601608</v>
      </c>
      <c r="W331" s="198" t="s">
        <v>326</v>
      </c>
      <c r="X331" s="198" t="s">
        <v>315</v>
      </c>
      <c r="Y331" s="198" t="n">
        <v>6</v>
      </c>
      <c r="Z331" s="200" t="n">
        <v>45823</v>
      </c>
      <c r="AA331" s="198"/>
      <c r="AB331" s="198"/>
      <c r="AC331" s="198" t="s">
        <v>305</v>
      </c>
      <c r="AD331" s="198" t="s">
        <v>886</v>
      </c>
      <c r="AE331" s="198" t="n">
        <v>427</v>
      </c>
      <c r="AF331" s="200" t="n">
        <v>45824</v>
      </c>
      <c r="AG331" s="198" t="s">
        <v>906</v>
      </c>
      <c r="AH331" s="198" t="n">
        <f aca="false">VLOOKUP(Таблица310[[#This Row],[№ акта]],'Степень зрелости 2025'!$H$13:$I$583,2,FALSE())</f>
        <v>72</v>
      </c>
      <c r="AI331" s="198" t="n">
        <f aca="false">VLOOKUP(Таблица310[[#This Row],[№ акта]],$AQ$1:$AT$594,2,FALSE())</f>
        <v>41</v>
      </c>
      <c r="AJ331" s="198" t="str">
        <f aca="false">Таблица310[[#This Row],[Регистратор.Номенклатура]]</f>
        <v>Вольф</v>
      </c>
      <c r="AK331" s="198" t="str">
        <f aca="false">VLOOKUP(Таблица310[[#This Row],[№ акта]],$AQ$1:$AT$594,4,FALSE())</f>
        <v>Братковский (полив)</v>
      </c>
      <c r="AL331" s="230" t="n">
        <f aca="false">VLOOKUP(Таблица310[[#This Row],[№ акта]],$AQ$1:$AT$594,3,FALSE())</f>
        <v>1.59941431601608</v>
      </c>
      <c r="AM331" s="198" t="str">
        <f aca="false">IF(Таблица310[[#This Row],[Площадь уборки, га]]=Таблица310[[#This Row],[Площадь уборки до корр]],"нет","да")</f>
        <v>нет</v>
      </c>
      <c r="AN331" s="230" t="n">
        <f aca="false">Таблица310[[#This Row],[Площадь уборки до корр]]-Таблица310[[#This Row],[Площадь уборки, га]]</f>
        <v>0</v>
      </c>
      <c r="AQ331" s="0" t="n">
        <v>427</v>
      </c>
      <c r="AR331" s="0" t="n">
        <v>41</v>
      </c>
      <c r="AS331" s="0" t="n">
        <v>1.59941431601608</v>
      </c>
      <c r="AT331" s="0" t="s">
        <v>326</v>
      </c>
    </row>
    <row r="332" customFormat="false" ht="19.4" hidden="false" customHeight="false" outlineLevel="0" collapsed="false">
      <c r="A332" s="198"/>
      <c r="B332" s="223"/>
      <c r="C332" s="241" t="n">
        <v>72</v>
      </c>
      <c r="D332" s="224" t="n">
        <v>428</v>
      </c>
      <c r="E332" s="225" t="n">
        <v>45824</v>
      </c>
      <c r="F332" s="223" t="n">
        <v>31920</v>
      </c>
      <c r="G332" s="223" t="n">
        <v>13120</v>
      </c>
      <c r="H332" s="226" t="n">
        <v>18800</v>
      </c>
      <c r="I332" s="223" t="n">
        <v>12398.4</v>
      </c>
      <c r="J332" s="198" t="s">
        <v>899</v>
      </c>
      <c r="K332" s="198" t="s">
        <v>909</v>
      </c>
      <c r="L332" s="198" t="n">
        <v>43</v>
      </c>
      <c r="M332" s="189" t="s">
        <v>365</v>
      </c>
      <c r="N332" s="198"/>
      <c r="O332" s="198"/>
      <c r="P332" s="198"/>
      <c r="Q332" s="198"/>
      <c r="R332" s="198" t="s">
        <v>373</v>
      </c>
      <c r="S332" s="198"/>
      <c r="T332" s="246" t="n">
        <v>41</v>
      </c>
      <c r="U332" s="195" t="str">
        <f aca="false">Таблица310[[#This Row],[Регистратор.Номенклатура]]</f>
        <v>Вольф</v>
      </c>
      <c r="V332" s="230" t="n">
        <f aca="false">37.9*Таблица310[[#This Row],[Регистратор.Вес нетто]]/315870</f>
        <v>1.57421724127014</v>
      </c>
      <c r="W332" s="198" t="s">
        <v>326</v>
      </c>
      <c r="X332" s="198" t="s">
        <v>315</v>
      </c>
      <c r="Y332" s="198" t="n">
        <v>6</v>
      </c>
      <c r="Z332" s="200" t="n">
        <v>45823</v>
      </c>
      <c r="AA332" s="198"/>
      <c r="AB332" s="198"/>
      <c r="AC332" s="198" t="s">
        <v>305</v>
      </c>
      <c r="AD332" s="198" t="s">
        <v>886</v>
      </c>
      <c r="AE332" s="198" t="n">
        <v>428</v>
      </c>
      <c r="AF332" s="200" t="n">
        <v>45824</v>
      </c>
      <c r="AG332" s="198" t="s">
        <v>906</v>
      </c>
      <c r="AH332" s="198" t="n">
        <f aca="false">VLOOKUP(Таблица310[[#This Row],[№ акта]],'Степень зрелости 2025'!$H$13:$I$583,2,FALSE())</f>
        <v>72</v>
      </c>
      <c r="AI332" s="198" t="n">
        <f aca="false">VLOOKUP(Таблица310[[#This Row],[№ акта]],$AQ$1:$AT$594,2,FALSE())</f>
        <v>41</v>
      </c>
      <c r="AJ332" s="198" t="str">
        <f aca="false">Таблица310[[#This Row],[Регистратор.Номенклатура]]</f>
        <v>Вольф</v>
      </c>
      <c r="AK332" s="198" t="str">
        <f aca="false">VLOOKUP(Таблица310[[#This Row],[№ акта]],$AQ$1:$AT$594,4,FALSE())</f>
        <v>Братковский (полив)</v>
      </c>
      <c r="AL332" s="230" t="n">
        <f aca="false">VLOOKUP(Таблица310[[#This Row],[№ акта]],$AQ$1:$AT$594,3,FALSE())</f>
        <v>1.57421724127014</v>
      </c>
      <c r="AM332" s="198" t="str">
        <f aca="false">IF(Таблица310[[#This Row],[Площадь уборки, га]]=Таблица310[[#This Row],[Площадь уборки до корр]],"нет","да")</f>
        <v>нет</v>
      </c>
      <c r="AN332" s="230" t="n">
        <f aca="false">Таблица310[[#This Row],[Площадь уборки до корр]]-Таблица310[[#This Row],[Площадь уборки, га]]</f>
        <v>0</v>
      </c>
      <c r="AQ332" s="0" t="n">
        <v>428</v>
      </c>
      <c r="AR332" s="0" t="n">
        <v>41</v>
      </c>
      <c r="AS332" s="0" t="n">
        <v>1.57421724127014</v>
      </c>
      <c r="AT332" s="0" t="s">
        <v>326</v>
      </c>
    </row>
    <row r="333" customFormat="false" ht="19.4" hidden="false" customHeight="false" outlineLevel="0" collapsed="false">
      <c r="A333" s="198"/>
      <c r="B333" s="223"/>
      <c r="C333" s="241" t="n">
        <v>73</v>
      </c>
      <c r="D333" s="224" t="n">
        <v>429</v>
      </c>
      <c r="E333" s="225" t="n">
        <v>45824</v>
      </c>
      <c r="F333" s="223" t="n">
        <v>37340</v>
      </c>
      <c r="G333" s="223" t="n">
        <v>13310</v>
      </c>
      <c r="H333" s="226" t="n">
        <v>24030</v>
      </c>
      <c r="I333" s="223" t="n">
        <v>12245.2</v>
      </c>
      <c r="J333" s="198" t="s">
        <v>899</v>
      </c>
      <c r="K333" s="198" t="s">
        <v>909</v>
      </c>
      <c r="L333" s="198" t="n">
        <v>43</v>
      </c>
      <c r="M333" s="189" t="s">
        <v>439</v>
      </c>
      <c r="N333" s="198"/>
      <c r="O333" s="198"/>
      <c r="P333" s="198"/>
      <c r="Q333" s="198"/>
      <c r="R333" s="198" t="s">
        <v>443</v>
      </c>
      <c r="S333" s="198"/>
      <c r="T333" s="246" t="n">
        <v>41</v>
      </c>
      <c r="U333" s="195" t="str">
        <f aca="false">Таблица310[[#This Row],[Регистратор.Номенклатура]]</f>
        <v>Вольф</v>
      </c>
      <c r="V333" s="230" t="n">
        <f aca="false">37.9*Таблица310[[#This Row],[Регистратор.Вес нетто]]/315870</f>
        <v>1.59701459461171</v>
      </c>
      <c r="W333" s="198" t="s">
        <v>326</v>
      </c>
      <c r="X333" s="198" t="s">
        <v>315</v>
      </c>
      <c r="Y333" s="198" t="n">
        <v>6</v>
      </c>
      <c r="Z333" s="200" t="n">
        <v>45823</v>
      </c>
      <c r="AA333" s="198"/>
      <c r="AB333" s="198"/>
      <c r="AC333" s="198" t="s">
        <v>305</v>
      </c>
      <c r="AD333" s="198" t="s">
        <v>886</v>
      </c>
      <c r="AE333" s="198" t="n">
        <v>429</v>
      </c>
      <c r="AF333" s="200" t="n">
        <v>45824</v>
      </c>
      <c r="AG333" s="198" t="s">
        <v>906</v>
      </c>
      <c r="AH333" s="198" t="n">
        <f aca="false">VLOOKUP(Таблица310[[#This Row],[№ акта]],'Степень зрелости 2025'!$H$13:$I$583,2,FALSE())</f>
        <v>73</v>
      </c>
      <c r="AI333" s="198" t="n">
        <f aca="false">VLOOKUP(Таблица310[[#This Row],[№ акта]],$AQ$1:$AT$594,2,FALSE())</f>
        <v>41</v>
      </c>
      <c r="AJ333" s="198" t="str">
        <f aca="false">Таблица310[[#This Row],[Регистратор.Номенклатура]]</f>
        <v>Вольф</v>
      </c>
      <c r="AK333" s="198" t="str">
        <f aca="false">VLOOKUP(Таблица310[[#This Row],[№ акта]],$AQ$1:$AT$594,4,FALSE())</f>
        <v>Братковский (полив)</v>
      </c>
      <c r="AL333" s="230" t="n">
        <f aca="false">VLOOKUP(Таблица310[[#This Row],[№ акта]],$AQ$1:$AT$594,3,FALSE())</f>
        <v>1.59701459461171</v>
      </c>
      <c r="AM333" s="198" t="str">
        <f aca="false">IF(Таблица310[[#This Row],[Площадь уборки, га]]=Таблица310[[#This Row],[Площадь уборки до корр]],"нет","да")</f>
        <v>нет</v>
      </c>
      <c r="AN333" s="230" t="n">
        <f aca="false">Таблица310[[#This Row],[Площадь уборки до корр]]-Таблица310[[#This Row],[Площадь уборки, га]]</f>
        <v>0</v>
      </c>
      <c r="AQ333" s="0" t="n">
        <v>429</v>
      </c>
      <c r="AR333" s="0" t="n">
        <v>41</v>
      </c>
      <c r="AS333" s="0" t="n">
        <v>1.59701459461171</v>
      </c>
      <c r="AT333" s="0" t="s">
        <v>326</v>
      </c>
    </row>
    <row r="334" customFormat="false" ht="19.4" hidden="false" customHeight="false" outlineLevel="0" collapsed="false">
      <c r="A334" s="198"/>
      <c r="B334" s="223"/>
      <c r="C334" s="241" t="n">
        <f aca="false">Таблица310[[#This Row],[Степень зрелости вспом]]</f>
        <v>69</v>
      </c>
      <c r="D334" s="224" t="n">
        <v>430</v>
      </c>
      <c r="E334" s="225" t="n">
        <v>45824</v>
      </c>
      <c r="F334" s="223" t="n">
        <v>28270</v>
      </c>
      <c r="G334" s="223" t="n">
        <v>6850</v>
      </c>
      <c r="H334" s="226" t="n">
        <v>21420</v>
      </c>
      <c r="I334" s="223" t="n">
        <v>6130.7</v>
      </c>
      <c r="J334" s="198" t="s">
        <v>899</v>
      </c>
      <c r="K334" s="198" t="s">
        <v>909</v>
      </c>
      <c r="L334" s="198" t="s">
        <v>133</v>
      </c>
      <c r="M334" s="189" t="s">
        <v>361</v>
      </c>
      <c r="N334" s="198"/>
      <c r="O334" s="198"/>
      <c r="P334" s="198"/>
      <c r="Q334" s="198"/>
      <c r="R334" s="198" t="s">
        <v>362</v>
      </c>
      <c r="S334" s="198"/>
      <c r="T334" s="246" t="n">
        <v>50</v>
      </c>
      <c r="U334" s="195" t="str">
        <f aca="false">Таблица310[[#This Row],[Регистратор.Номенклатура]]</f>
        <v>Вольф</v>
      </c>
      <c r="V334" s="230" t="n">
        <f aca="false">Таблица310[[#This Row],[Регистратор.Вес нетто]]/(192870/46.5)</f>
        <v>1.65150101104371</v>
      </c>
      <c r="W334" s="198" t="s">
        <v>326</v>
      </c>
      <c r="X334" s="198" t="s">
        <v>315</v>
      </c>
      <c r="Y334" s="198" t="n">
        <v>6</v>
      </c>
      <c r="Z334" s="200" t="n">
        <v>45823</v>
      </c>
      <c r="AA334" s="198"/>
      <c r="AB334" s="198"/>
      <c r="AC334" s="198" t="s">
        <v>305</v>
      </c>
      <c r="AD334" s="198" t="s">
        <v>746</v>
      </c>
      <c r="AE334" s="198" t="n">
        <v>430</v>
      </c>
      <c r="AF334" s="200" t="n">
        <v>45824</v>
      </c>
      <c r="AG334" s="198" t="s">
        <v>906</v>
      </c>
      <c r="AH334" s="198" t="n">
        <f aca="false">VLOOKUP(Таблица310[[#This Row],[№ акта]],'Степень зрелости 2025'!$H$13:$I$583,2,FALSE())</f>
        <v>69</v>
      </c>
      <c r="AI334" s="198" t="n">
        <f aca="false">VLOOKUP(Таблица310[[#This Row],[№ акта]],$AQ$1:$AT$594,2,FALSE())</f>
        <v>50</v>
      </c>
      <c r="AJ334" s="198" t="str">
        <f aca="false">Таблица310[[#This Row],[Регистратор.Номенклатура]]</f>
        <v>Вольф</v>
      </c>
      <c r="AK334" s="198" t="str">
        <f aca="false">VLOOKUP(Таблица310[[#This Row],[№ акта]],$AQ$1:$AT$594,4,FALSE())</f>
        <v>Братковский (полив)</v>
      </c>
      <c r="AL334" s="230" t="n">
        <f aca="false">VLOOKUP(Таблица310[[#This Row],[№ акта]],$AQ$1:$AT$594,3,FALSE())</f>
        <v>1.65150101104371</v>
      </c>
      <c r="AM334" s="198" t="str">
        <f aca="false">IF(Таблица310[[#This Row],[Площадь уборки, га]]=Таблица310[[#This Row],[Площадь уборки до корр]],"нет","да")</f>
        <v>нет</v>
      </c>
      <c r="AN334" s="230" t="n">
        <f aca="false">Таблица310[[#This Row],[Площадь уборки до корр]]-Таблица310[[#This Row],[Площадь уборки, га]]</f>
        <v>0</v>
      </c>
      <c r="AQ334" s="0" t="n">
        <v>430</v>
      </c>
      <c r="AR334" s="0" t="n">
        <v>50</v>
      </c>
      <c r="AS334" s="0" t="n">
        <v>1.65150101104371</v>
      </c>
      <c r="AT334" s="0" t="s">
        <v>326</v>
      </c>
    </row>
    <row r="335" customFormat="false" ht="19.4" hidden="false" customHeight="false" outlineLevel="0" collapsed="false">
      <c r="A335" s="198"/>
      <c r="B335" s="223"/>
      <c r="C335" s="241" t="n">
        <f aca="false">Таблица310[[#This Row],[Степень зрелости вспом]]</f>
        <v>64</v>
      </c>
      <c r="D335" s="224" t="n">
        <v>431</v>
      </c>
      <c r="E335" s="225" t="n">
        <v>45824</v>
      </c>
      <c r="F335" s="223" t="n">
        <v>21420</v>
      </c>
      <c r="G335" s="223" t="n">
        <v>6650</v>
      </c>
      <c r="H335" s="226" t="n">
        <v>14770</v>
      </c>
      <c r="I335" s="223" t="n">
        <v>5685.7</v>
      </c>
      <c r="J335" s="198" t="s">
        <v>899</v>
      </c>
      <c r="K335" s="198" t="s">
        <v>909</v>
      </c>
      <c r="L335" s="198" t="n">
        <v>43</v>
      </c>
      <c r="M335" s="189" t="s">
        <v>361</v>
      </c>
      <c r="N335" s="198"/>
      <c r="O335" s="198"/>
      <c r="P335" s="198"/>
      <c r="Q335" s="198"/>
      <c r="R335" s="198" t="s">
        <v>362</v>
      </c>
      <c r="S335" s="198"/>
      <c r="T335" s="246" t="n">
        <v>41</v>
      </c>
      <c r="U335" s="195" t="str">
        <f aca="false">Таблица310[[#This Row],[Регистратор.Номенклатура]]</f>
        <v>Вольф</v>
      </c>
      <c r="V335" s="230" t="n">
        <f aca="false">37.9*Таблица310[[#This Row],[Регистратор.Вес нетто]]/315870</f>
        <v>0.79790736695476</v>
      </c>
      <c r="W335" s="198" t="s">
        <v>326</v>
      </c>
      <c r="X335" s="198" t="s">
        <v>315</v>
      </c>
      <c r="Y335" s="198" t="n">
        <v>6</v>
      </c>
      <c r="Z335" s="200" t="n">
        <v>45823</v>
      </c>
      <c r="AA335" s="198"/>
      <c r="AB335" s="198"/>
      <c r="AC335" s="198" t="s">
        <v>305</v>
      </c>
      <c r="AD335" s="198" t="s">
        <v>746</v>
      </c>
      <c r="AE335" s="198" t="n">
        <v>431</v>
      </c>
      <c r="AF335" s="200" t="n">
        <v>45824</v>
      </c>
      <c r="AG335" s="198" t="s">
        <v>906</v>
      </c>
      <c r="AH335" s="198" t="n">
        <f aca="false">VLOOKUP(Таблица310[[#This Row],[№ акта]],'Степень зрелости 2025'!$H$13:$I$583,2,FALSE())</f>
        <v>64</v>
      </c>
      <c r="AI335" s="198" t="n">
        <f aca="false">VLOOKUP(Таблица310[[#This Row],[№ акта]],$AQ$1:$AT$594,2,FALSE())</f>
        <v>41</v>
      </c>
      <c r="AJ335" s="198" t="str">
        <f aca="false">Таблица310[[#This Row],[Регистратор.Номенклатура]]</f>
        <v>Вольф</v>
      </c>
      <c r="AK335" s="198" t="str">
        <f aca="false">VLOOKUP(Таблица310[[#This Row],[№ акта]],$AQ$1:$AT$594,4,FALSE())</f>
        <v>Братковский (полив)</v>
      </c>
      <c r="AL335" s="230" t="n">
        <f aca="false">VLOOKUP(Таблица310[[#This Row],[№ акта]],$AQ$1:$AT$594,3,FALSE())</f>
        <v>0.79790736695476</v>
      </c>
      <c r="AM335" s="198" t="str">
        <f aca="false">IF(Таблица310[[#This Row],[Площадь уборки, га]]=Таблица310[[#This Row],[Площадь уборки до корр]],"нет","да")</f>
        <v>нет</v>
      </c>
      <c r="AN335" s="230" t="n">
        <f aca="false">Таблица310[[#This Row],[Площадь уборки до корр]]-Таблица310[[#This Row],[Площадь уборки, га]]</f>
        <v>0</v>
      </c>
      <c r="AQ335" s="0" t="n">
        <v>431</v>
      </c>
      <c r="AR335" s="0" t="n">
        <v>41</v>
      </c>
      <c r="AS335" s="0" t="n">
        <v>0.79790736695476</v>
      </c>
      <c r="AT335" s="0" t="s">
        <v>326</v>
      </c>
    </row>
    <row r="336" customFormat="false" ht="19.4" hidden="false" customHeight="false" outlineLevel="0" collapsed="false">
      <c r="A336" s="198"/>
      <c r="B336" s="223"/>
      <c r="C336" s="241" t="n">
        <f aca="false">Таблица310[[#This Row],[Степень зрелости вспом]]</f>
        <v>44</v>
      </c>
      <c r="D336" s="224" t="n">
        <v>432</v>
      </c>
      <c r="E336" s="225" t="n">
        <v>45824</v>
      </c>
      <c r="F336" s="223" t="n">
        <v>6630</v>
      </c>
      <c r="G336" s="223" t="n">
        <v>2070</v>
      </c>
      <c r="H336" s="226" t="n">
        <v>4560</v>
      </c>
      <c r="I336" s="223" t="n">
        <v>1769.8</v>
      </c>
      <c r="J336" s="198" t="s">
        <v>908</v>
      </c>
      <c r="K336" s="198" t="s">
        <v>904</v>
      </c>
      <c r="L336" s="198" t="n">
        <v>15</v>
      </c>
      <c r="M336" s="189" t="s">
        <v>374</v>
      </c>
      <c r="N336" s="198"/>
      <c r="O336" s="198"/>
      <c r="P336" s="198"/>
      <c r="Q336" s="198"/>
      <c r="R336" s="198" t="s">
        <v>375</v>
      </c>
      <c r="S336" s="198"/>
      <c r="T336" s="198" t="n">
        <v>15</v>
      </c>
      <c r="U336" s="195" t="str">
        <f aca="false">Таблица310[[#This Row],[Регистратор.Номенклатура]]</f>
        <v>Тристар</v>
      </c>
      <c r="V336" s="230" t="n">
        <f aca="false">5*Таблица310[[#This Row],[Регистратор.Вес нетто]]/28730</f>
        <v>0.360250609119387</v>
      </c>
      <c r="W336" s="198" t="s">
        <v>278</v>
      </c>
      <c r="X336" s="198" t="s">
        <v>315</v>
      </c>
      <c r="Y336" s="198" t="n">
        <v>1</v>
      </c>
      <c r="Z336" s="221" t="n">
        <v>45821</v>
      </c>
      <c r="AA336" s="198"/>
      <c r="AB336" s="198"/>
      <c r="AC336" s="198" t="s">
        <v>53</v>
      </c>
      <c r="AD336" s="198" t="s">
        <v>417</v>
      </c>
      <c r="AE336" s="198" t="n">
        <v>432</v>
      </c>
      <c r="AF336" s="200" t="n">
        <v>45824</v>
      </c>
      <c r="AG336" s="198" t="s">
        <v>906</v>
      </c>
      <c r="AH336" s="198" t="n">
        <f aca="false">VLOOKUP(Таблица310[[#This Row],[№ акта]],'Степень зрелости 2025'!$H$13:$I$583,2,FALSE())</f>
        <v>44</v>
      </c>
      <c r="AI336" s="198" t="n">
        <f aca="false">VLOOKUP(Таблица310[[#This Row],[№ акта]],$AQ$1:$AT$594,2,FALSE())</f>
        <v>15</v>
      </c>
      <c r="AJ336" s="198" t="str">
        <f aca="false">Таблица310[[#This Row],[Регистратор.Номенклатура]]</f>
        <v>Тристар</v>
      </c>
      <c r="AK336" s="198" t="str">
        <f aca="false">VLOOKUP(Таблица310[[#This Row],[№ акта]],$AQ$1:$AT$594,4,FALSE())</f>
        <v>Агролидер (полив)</v>
      </c>
      <c r="AL336" s="230" t="n">
        <f aca="false">VLOOKUP(Таблица310[[#This Row],[№ акта]],$AQ$1:$AT$594,3,FALSE())</f>
        <v>0.360250609119387</v>
      </c>
      <c r="AM336" s="198" t="str">
        <f aca="false">IF(Таблица310[[#This Row],[Площадь уборки, га]]=Таблица310[[#This Row],[Площадь уборки до корр]],"нет","да")</f>
        <v>нет</v>
      </c>
      <c r="AN336" s="230" t="n">
        <f aca="false">Таблица310[[#This Row],[Площадь уборки до корр]]-Таблица310[[#This Row],[Площадь уборки, га]]</f>
        <v>0</v>
      </c>
      <c r="AQ336" s="0" t="n">
        <v>432</v>
      </c>
      <c r="AR336" s="0" t="n">
        <v>15</v>
      </c>
      <c r="AS336" s="0" t="n">
        <v>0.360250609119387</v>
      </c>
      <c r="AT336" s="0" t="s">
        <v>278</v>
      </c>
    </row>
    <row r="337" customFormat="false" ht="28.35" hidden="false" customHeight="false" outlineLevel="0" collapsed="false">
      <c r="A337" s="198"/>
      <c r="B337" s="223"/>
      <c r="C337" s="241" t="n">
        <f aca="false">Таблица310[[#This Row],[Степень зрелости вспом]]</f>
        <v>69</v>
      </c>
      <c r="D337" s="224" t="n">
        <v>434</v>
      </c>
      <c r="E337" s="225" t="n">
        <v>45824</v>
      </c>
      <c r="F337" s="223" t="n">
        <v>27820</v>
      </c>
      <c r="G337" s="223" t="n">
        <v>6650</v>
      </c>
      <c r="H337" s="226" t="n">
        <v>21170</v>
      </c>
      <c r="I337" s="223" t="n">
        <v>5818.7</v>
      </c>
      <c r="J337" s="198" t="s">
        <v>899</v>
      </c>
      <c r="K337" s="198" t="s">
        <v>909</v>
      </c>
      <c r="L337" s="198" t="n">
        <v>44</v>
      </c>
      <c r="M337" s="189" t="s">
        <v>553</v>
      </c>
      <c r="N337" s="198"/>
      <c r="O337" s="198"/>
      <c r="P337" s="198"/>
      <c r="Q337" s="198"/>
      <c r="R337" s="198" t="s">
        <v>557</v>
      </c>
      <c r="S337" s="198"/>
      <c r="T337" s="228" t="s">
        <v>905</v>
      </c>
      <c r="U337" s="195" t="str">
        <f aca="false">Таблица310[[#This Row],[Регистратор.Номенклатура]]</f>
        <v>Вольф</v>
      </c>
      <c r="V337" s="230" t="n">
        <f aca="false">30.4*Таблица310[[#This Row],[Регистратор.Вес нетто]]/67190</f>
        <v>3.0087810686114</v>
      </c>
      <c r="W337" s="198" t="s">
        <v>327</v>
      </c>
      <c r="X337" s="198" t="s">
        <v>315</v>
      </c>
      <c r="Y337" s="198" t="n">
        <v>7</v>
      </c>
      <c r="Z337" s="200" t="n">
        <v>45824</v>
      </c>
      <c r="AA337" s="198"/>
      <c r="AB337" s="198"/>
      <c r="AC337" s="198" t="s">
        <v>305</v>
      </c>
      <c r="AD337" s="198" t="s">
        <v>746</v>
      </c>
      <c r="AE337" s="198" t="n">
        <v>434</v>
      </c>
      <c r="AF337" s="200" t="n">
        <v>45824</v>
      </c>
      <c r="AG337" s="198" t="n">
        <v>87</v>
      </c>
      <c r="AH337" s="198" t="n">
        <f aca="false">VLOOKUP(Таблица310[[#This Row],[№ акта]],'Степень зрелости 2025'!$H$13:$I$583,2,FALSE())</f>
        <v>69</v>
      </c>
      <c r="AI337" s="198" t="str">
        <f aca="false">VLOOKUP(Таблица310[[#This Row],[№ акта]],$AQ$1:$AT$594,2,FALSE())</f>
        <v>закупка</v>
      </c>
      <c r="AJ337" s="198" t="str">
        <f aca="false">Таблица310[[#This Row],[Регистратор.Номенклатура]]</f>
        <v>Вольф</v>
      </c>
      <c r="AK337" s="198" t="str">
        <f aca="false">VLOOKUP(Таблица310[[#This Row],[№ акта]],$AQ$1:$AT$594,4,FALSE())</f>
        <v>Братковский закупка (полив)</v>
      </c>
      <c r="AL337" s="230" t="n">
        <f aca="false">VLOOKUP(Таблица310[[#This Row],[№ акта]],$AQ$1:$AT$594,3,FALSE())</f>
        <v>3.0087810686114</v>
      </c>
      <c r="AM337" s="198" t="str">
        <f aca="false">IF(Таблица310[[#This Row],[Площадь уборки, га]]=Таблица310[[#This Row],[Площадь уборки до корр]],"нет","да")</f>
        <v>нет</v>
      </c>
      <c r="AN337" s="230" t="n">
        <f aca="false">Таблица310[[#This Row],[Площадь уборки до корр]]-Таблица310[[#This Row],[Площадь уборки, га]]</f>
        <v>0</v>
      </c>
      <c r="AQ337" s="0" t="n">
        <v>434</v>
      </c>
      <c r="AR337" s="0" t="s">
        <v>905</v>
      </c>
      <c r="AS337" s="0" t="n">
        <v>3.0087810686114</v>
      </c>
      <c r="AT337" s="0" t="s">
        <v>327</v>
      </c>
    </row>
    <row r="338" customFormat="false" ht="28.35" hidden="false" customHeight="false" outlineLevel="0" collapsed="false">
      <c r="A338" s="198"/>
      <c r="B338" s="223"/>
      <c r="C338" s="241" t="n">
        <f aca="false">Таблица310[[#This Row],[Степень зрелости вспом]]</f>
        <v>68</v>
      </c>
      <c r="D338" s="224" t="n">
        <v>435</v>
      </c>
      <c r="E338" s="225" t="n">
        <v>45824</v>
      </c>
      <c r="F338" s="223" t="n">
        <v>27950</v>
      </c>
      <c r="G338" s="223" t="n">
        <v>13280</v>
      </c>
      <c r="H338" s="226" t="n">
        <v>14670</v>
      </c>
      <c r="I338" s="223" t="n">
        <v>11885.6</v>
      </c>
      <c r="J338" s="198" t="s">
        <v>899</v>
      </c>
      <c r="K338" s="198" t="s">
        <v>909</v>
      </c>
      <c r="L338" s="198" t="n">
        <v>44</v>
      </c>
      <c r="M338" s="189" t="s">
        <v>547</v>
      </c>
      <c r="N338" s="198"/>
      <c r="O338" s="198"/>
      <c r="P338" s="198"/>
      <c r="Q338" s="198"/>
      <c r="R338" s="198" t="s">
        <v>551</v>
      </c>
      <c r="S338" s="198"/>
      <c r="T338" s="228" t="s">
        <v>905</v>
      </c>
      <c r="U338" s="195" t="str">
        <f aca="false">Таблица310[[#This Row],[Регистратор.Номенклатура]]</f>
        <v>Вольф</v>
      </c>
      <c r="V338" s="230" t="n">
        <f aca="false">30.4*Таблица310[[#This Row],[Регистратор.Вес нетто]]/67190</f>
        <v>6.00851317160292</v>
      </c>
      <c r="W338" s="198" t="s">
        <v>327</v>
      </c>
      <c r="X338" s="198" t="s">
        <v>315</v>
      </c>
      <c r="Y338" s="198" t="n">
        <v>7</v>
      </c>
      <c r="Z338" s="200" t="n">
        <v>45824</v>
      </c>
      <c r="AA338" s="198"/>
      <c r="AB338" s="198"/>
      <c r="AC338" s="198" t="s">
        <v>305</v>
      </c>
      <c r="AD338" s="198" t="s">
        <v>746</v>
      </c>
      <c r="AE338" s="198" t="n">
        <v>435</v>
      </c>
      <c r="AF338" s="200" t="n">
        <v>45824</v>
      </c>
      <c r="AG338" s="198" t="n">
        <v>47</v>
      </c>
      <c r="AH338" s="198" t="n">
        <f aca="false">VLOOKUP(Таблица310[[#This Row],[№ акта]],'Степень зрелости 2025'!$H$13:$I$583,2,FALSE())</f>
        <v>68</v>
      </c>
      <c r="AI338" s="198" t="str">
        <f aca="false">VLOOKUP(Таблица310[[#This Row],[№ акта]],$AQ$1:$AT$594,2,FALSE())</f>
        <v>закупка</v>
      </c>
      <c r="AJ338" s="198" t="str">
        <f aca="false">Таблица310[[#This Row],[Регистратор.Номенклатура]]</f>
        <v>Вольф</v>
      </c>
      <c r="AK338" s="198" t="str">
        <f aca="false">VLOOKUP(Таблица310[[#This Row],[№ акта]],$AQ$1:$AT$594,4,FALSE())</f>
        <v>Братковский закупка (полив)</v>
      </c>
      <c r="AL338" s="230" t="n">
        <f aca="false">VLOOKUP(Таблица310[[#This Row],[№ акта]],$AQ$1:$AT$594,3,FALSE())</f>
        <v>6.00851317160292</v>
      </c>
      <c r="AM338" s="198" t="str">
        <f aca="false">IF(Таблица310[[#This Row],[Площадь уборки, га]]=Таблица310[[#This Row],[Площадь уборки до корр]],"нет","да")</f>
        <v>нет</v>
      </c>
      <c r="AN338" s="230" t="n">
        <f aca="false">Таблица310[[#This Row],[Площадь уборки до корр]]-Таблица310[[#This Row],[Площадь уборки, га]]</f>
        <v>0</v>
      </c>
      <c r="AQ338" s="0" t="n">
        <v>435</v>
      </c>
      <c r="AR338" s="0" t="s">
        <v>905</v>
      </c>
      <c r="AS338" s="0" t="n">
        <v>6.00851317160292</v>
      </c>
      <c r="AT338" s="0" t="s">
        <v>327</v>
      </c>
    </row>
    <row r="339" customFormat="false" ht="28.35" hidden="false" customHeight="false" outlineLevel="0" collapsed="false">
      <c r="A339" s="198"/>
      <c r="B339" s="223"/>
      <c r="C339" s="241" t="n">
        <f aca="false">Таблица310[[#This Row],[Степень зрелости вспом]]</f>
        <v>47</v>
      </c>
      <c r="D339" s="224" t="n">
        <v>436</v>
      </c>
      <c r="E339" s="225" t="n">
        <v>45824</v>
      </c>
      <c r="F339" s="223" t="n">
        <v>16710</v>
      </c>
      <c r="G339" s="223" t="n">
        <v>7010</v>
      </c>
      <c r="H339" s="226" t="n">
        <v>9700</v>
      </c>
      <c r="I339" s="223" t="n">
        <v>5643</v>
      </c>
      <c r="J339" s="198" t="s">
        <v>908</v>
      </c>
      <c r="K339" s="198" t="s">
        <v>904</v>
      </c>
      <c r="L339" s="198" t="n">
        <v>16</v>
      </c>
      <c r="M339" s="189" t="s">
        <v>371</v>
      </c>
      <c r="N339" s="198"/>
      <c r="O339" s="198"/>
      <c r="P339" s="198"/>
      <c r="Q339" s="198"/>
      <c r="R339" s="198" t="s">
        <v>372</v>
      </c>
      <c r="S339" s="198"/>
      <c r="T339" s="198" t="n">
        <v>16</v>
      </c>
      <c r="U339" s="195" t="str">
        <f aca="false">Таблица310[[#This Row],[Регистратор.Номенклатура]]</f>
        <v>Тристар</v>
      </c>
      <c r="V339" s="230" t="n">
        <f aca="false">10*Таблица310[[#This Row],[Регистратор.Вес нетто]]/36190</f>
        <v>1.93699917104172</v>
      </c>
      <c r="W339" s="198" t="s">
        <v>278</v>
      </c>
      <c r="X339" s="198" t="s">
        <v>315</v>
      </c>
      <c r="Y339" s="198" t="n">
        <v>2</v>
      </c>
      <c r="Z339" s="200" t="n">
        <v>45824</v>
      </c>
      <c r="AA339" s="198"/>
      <c r="AB339" s="198"/>
      <c r="AC339" s="198" t="s">
        <v>53</v>
      </c>
      <c r="AD339" s="198" t="s">
        <v>417</v>
      </c>
      <c r="AE339" s="198" t="n">
        <v>436</v>
      </c>
      <c r="AF339" s="200" t="n">
        <v>45824</v>
      </c>
      <c r="AG339" s="198" t="s">
        <v>906</v>
      </c>
      <c r="AH339" s="198" t="n">
        <f aca="false">VLOOKUP(Таблица310[[#This Row],[№ акта]],'Степень зрелости 2025'!$H$13:$I$583,2,FALSE())</f>
        <v>47</v>
      </c>
      <c r="AI339" s="198" t="n">
        <f aca="false">VLOOKUP(Таблица310[[#This Row],[№ акта]],$AQ$1:$AT$594,2,FALSE())</f>
        <v>16</v>
      </c>
      <c r="AJ339" s="198" t="str">
        <f aca="false">Таблица310[[#This Row],[Регистратор.Номенклатура]]</f>
        <v>Тристар</v>
      </c>
      <c r="AK339" s="198" t="str">
        <f aca="false">VLOOKUP(Таблица310[[#This Row],[№ акта]],$AQ$1:$AT$594,4,FALSE())</f>
        <v>Агролидер (полив)</v>
      </c>
      <c r="AL339" s="230" t="n">
        <f aca="false">VLOOKUP(Таблица310[[#This Row],[№ акта]],$AQ$1:$AT$594,3,FALSE())</f>
        <v>1.93699917104172</v>
      </c>
      <c r="AM339" s="198" t="str">
        <f aca="false">IF(Таблица310[[#This Row],[Площадь уборки, га]]=Таблица310[[#This Row],[Площадь уборки до корр]],"нет","да")</f>
        <v>нет</v>
      </c>
      <c r="AN339" s="230" t="n">
        <f aca="false">Таблица310[[#This Row],[Площадь уборки до корр]]-Таблица310[[#This Row],[Площадь уборки, га]]</f>
        <v>0</v>
      </c>
      <c r="AQ339" s="0" t="n">
        <v>436</v>
      </c>
      <c r="AR339" s="0" t="n">
        <v>16</v>
      </c>
      <c r="AS339" s="0" t="n">
        <v>1.93699917104172</v>
      </c>
      <c r="AT339" s="0" t="s">
        <v>278</v>
      </c>
    </row>
    <row r="340" customFormat="false" ht="28.35" hidden="false" customHeight="false" outlineLevel="0" collapsed="false">
      <c r="A340" s="198"/>
      <c r="B340" s="223"/>
      <c r="C340" s="241" t="n">
        <f aca="false">Таблица310[[#This Row],[Степень зрелости вспом]]</f>
        <v>59</v>
      </c>
      <c r="D340" s="224" t="n">
        <v>437</v>
      </c>
      <c r="E340" s="225" t="n">
        <v>45825</v>
      </c>
      <c r="F340" s="223" t="n">
        <v>29220</v>
      </c>
      <c r="G340" s="223" t="n">
        <v>13730</v>
      </c>
      <c r="H340" s="226" t="n">
        <v>15490</v>
      </c>
      <c r="I340" s="223" t="n">
        <v>11601.8</v>
      </c>
      <c r="J340" s="198" t="s">
        <v>899</v>
      </c>
      <c r="K340" s="198" t="s">
        <v>904</v>
      </c>
      <c r="L340" s="198" t="n">
        <v>46</v>
      </c>
      <c r="M340" s="189" t="s">
        <v>57</v>
      </c>
      <c r="N340" s="198"/>
      <c r="O340" s="198"/>
      <c r="P340" s="198"/>
      <c r="Q340" s="198"/>
      <c r="R340" s="198" t="s">
        <v>58</v>
      </c>
      <c r="S340" s="198"/>
      <c r="T340" s="198" t="s">
        <v>905</v>
      </c>
      <c r="U340" s="195" t="str">
        <f aca="false">Таблица310[[#This Row],[Регистратор.Номенклатура]]</f>
        <v>Тристар</v>
      </c>
      <c r="V340" s="230" t="n">
        <f aca="false">30.4*Таблица310[[#This Row],[Регистратор.Вес нетто]]/67190</f>
        <v>6.21211489805031</v>
      </c>
      <c r="W340" s="198" t="s">
        <v>327</v>
      </c>
      <c r="X340" s="198" t="s">
        <v>315</v>
      </c>
      <c r="Y340" s="198" t="n">
        <v>7</v>
      </c>
      <c r="Z340" s="200" t="n">
        <v>45824</v>
      </c>
      <c r="AA340" s="198"/>
      <c r="AB340" s="198"/>
      <c r="AC340" s="198" t="s">
        <v>302</v>
      </c>
      <c r="AD340" s="198" t="s">
        <v>417</v>
      </c>
      <c r="AE340" s="198" t="n">
        <v>437</v>
      </c>
      <c r="AF340" s="200" t="n">
        <v>45825</v>
      </c>
      <c r="AG340" s="198" t="n">
        <v>95</v>
      </c>
      <c r="AH340" s="198" t="n">
        <f aca="false">VLOOKUP(Таблица310[[#This Row],[№ акта]],'Степень зрелости 2025'!$H$13:$I$583,2,FALSE())</f>
        <v>59</v>
      </c>
      <c r="AI340" s="198" t="str">
        <f aca="false">VLOOKUP(Таблица310[[#This Row],[№ акта]],$AQ$1:$AT$594,2,FALSE())</f>
        <v>закупка</v>
      </c>
      <c r="AJ340" s="198" t="str">
        <f aca="false">Таблица310[[#This Row],[Регистратор.Номенклатура]]</f>
        <v>Тристар</v>
      </c>
      <c r="AK340" s="198" t="str">
        <f aca="false">VLOOKUP(Таблица310[[#This Row],[№ акта]],$AQ$1:$AT$594,4,FALSE())</f>
        <v>Братковский закупка (полив)</v>
      </c>
      <c r="AL340" s="230" t="n">
        <f aca="false">VLOOKUP(Таблица310[[#This Row],[№ акта]],$AQ$1:$AT$594,3,FALSE())</f>
        <v>6.21211489805031</v>
      </c>
      <c r="AM340" s="198" t="str">
        <f aca="false">IF(Таблица310[[#This Row],[Площадь уборки, га]]=Таблица310[[#This Row],[Площадь уборки до корр]],"нет","да")</f>
        <v>нет</v>
      </c>
      <c r="AN340" s="230" t="n">
        <f aca="false">Таблица310[[#This Row],[Площадь уборки до корр]]-Таблица310[[#This Row],[Площадь уборки, га]]</f>
        <v>0</v>
      </c>
      <c r="AQ340" s="0" t="n">
        <v>437</v>
      </c>
      <c r="AR340" s="0" t="s">
        <v>905</v>
      </c>
      <c r="AS340" s="0" t="n">
        <v>6.21211489805031</v>
      </c>
      <c r="AT340" s="0" t="s">
        <v>327</v>
      </c>
    </row>
    <row r="341" customFormat="false" ht="19.4" hidden="false" customHeight="false" outlineLevel="0" collapsed="false">
      <c r="A341" s="198"/>
      <c r="B341" s="223"/>
      <c r="C341" s="241" t="n">
        <f aca="false">Таблица310[[#This Row],[Степень зрелости вспом]]</f>
        <v>49</v>
      </c>
      <c r="D341" s="224" t="n">
        <v>438</v>
      </c>
      <c r="E341" s="225" t="n">
        <v>45825</v>
      </c>
      <c r="F341" s="223" t="n">
        <v>9640</v>
      </c>
      <c r="G341" s="223" t="n">
        <v>4990</v>
      </c>
      <c r="H341" s="226" t="n">
        <v>4650</v>
      </c>
      <c r="I341" s="223" t="n">
        <v>4565.8</v>
      </c>
      <c r="J341" s="198" t="s">
        <v>908</v>
      </c>
      <c r="K341" s="198" t="s">
        <v>904</v>
      </c>
      <c r="L341" s="198" t="n">
        <v>16</v>
      </c>
      <c r="M341" s="189" t="s">
        <v>378</v>
      </c>
      <c r="N341" s="198"/>
      <c r="O341" s="198"/>
      <c r="P341" s="198"/>
      <c r="Q341" s="198"/>
      <c r="R341" s="198" t="s">
        <v>379</v>
      </c>
      <c r="S341" s="198"/>
      <c r="T341" s="198" t="n">
        <v>16</v>
      </c>
      <c r="U341" s="195" t="str">
        <f aca="false">Таблица310[[#This Row],[Регистратор.Номенклатура]]</f>
        <v>Тристар</v>
      </c>
      <c r="V341" s="230" t="n">
        <f aca="false">10*Таблица310[[#This Row],[Регистратор.Вес нетто]]/36190</f>
        <v>1.37883393202542</v>
      </c>
      <c r="W341" s="198" t="s">
        <v>278</v>
      </c>
      <c r="X341" s="198" t="s">
        <v>315</v>
      </c>
      <c r="Y341" s="198" t="n">
        <v>2</v>
      </c>
      <c r="Z341" s="200" t="n">
        <v>45824</v>
      </c>
      <c r="AA341" s="198"/>
      <c r="AB341" s="198"/>
      <c r="AC341" s="198" t="s">
        <v>53</v>
      </c>
      <c r="AD341" s="198" t="s">
        <v>417</v>
      </c>
      <c r="AE341" s="198" t="n">
        <v>438</v>
      </c>
      <c r="AF341" s="200" t="n">
        <v>45825</v>
      </c>
      <c r="AG341" s="198" t="s">
        <v>906</v>
      </c>
      <c r="AH341" s="198" t="n">
        <f aca="false">VLOOKUP(Таблица310[[#This Row],[№ акта]],'Степень зрелости 2025'!$H$13:$I$583,2,FALSE())</f>
        <v>49</v>
      </c>
      <c r="AI341" s="198" t="n">
        <f aca="false">VLOOKUP(Таблица310[[#This Row],[№ акта]],$AQ$1:$AT$594,2,FALSE())</f>
        <v>16</v>
      </c>
      <c r="AJ341" s="198" t="str">
        <f aca="false">Таблица310[[#This Row],[Регистратор.Номенклатура]]</f>
        <v>Тристар</v>
      </c>
      <c r="AK341" s="198" t="str">
        <f aca="false">VLOOKUP(Таблица310[[#This Row],[№ акта]],$AQ$1:$AT$594,4,FALSE())</f>
        <v>Агролидер (полив)</v>
      </c>
      <c r="AL341" s="230" t="n">
        <f aca="false">VLOOKUP(Таблица310[[#This Row],[№ акта]],$AQ$1:$AT$594,3,FALSE())</f>
        <v>1.37883393202542</v>
      </c>
      <c r="AM341" s="198" t="str">
        <f aca="false">IF(Таблица310[[#This Row],[Площадь уборки, га]]=Таблица310[[#This Row],[Площадь уборки до корр]],"нет","да")</f>
        <v>нет</v>
      </c>
      <c r="AN341" s="230" t="n">
        <f aca="false">Таблица310[[#This Row],[Площадь уборки до корр]]-Таблица310[[#This Row],[Площадь уборки, га]]</f>
        <v>0</v>
      </c>
      <c r="AQ341" s="0" t="n">
        <v>438</v>
      </c>
      <c r="AR341" s="0" t="n">
        <v>16</v>
      </c>
      <c r="AS341" s="0" t="n">
        <v>1.37883393202542</v>
      </c>
      <c r="AT341" s="0" t="s">
        <v>278</v>
      </c>
    </row>
    <row r="342" customFormat="false" ht="28.35" hidden="false" customHeight="false" outlineLevel="0" collapsed="false">
      <c r="A342" s="198"/>
      <c r="B342" s="223"/>
      <c r="C342" s="241" t="n">
        <f aca="false">Таблица310[[#This Row],[Степень зрелости вспом]]</f>
        <v>48</v>
      </c>
      <c r="D342" s="224" t="n">
        <v>439</v>
      </c>
      <c r="E342" s="225" t="n">
        <v>45825</v>
      </c>
      <c r="F342" s="223" t="n">
        <v>27130</v>
      </c>
      <c r="G342" s="223" t="n">
        <v>13310</v>
      </c>
      <c r="H342" s="226" t="n">
        <v>13820</v>
      </c>
      <c r="I342" s="223" t="n">
        <v>10514.9</v>
      </c>
      <c r="J342" s="198" t="s">
        <v>899</v>
      </c>
      <c r="K342" s="198" t="s">
        <v>904</v>
      </c>
      <c r="L342" s="198" t="n">
        <v>46</v>
      </c>
      <c r="M342" s="189" t="s">
        <v>359</v>
      </c>
      <c r="N342" s="198"/>
      <c r="O342" s="198"/>
      <c r="P342" s="198"/>
      <c r="Q342" s="198"/>
      <c r="R342" s="198" t="s">
        <v>426</v>
      </c>
      <c r="S342" s="198"/>
      <c r="T342" s="198" t="s">
        <v>905</v>
      </c>
      <c r="U342" s="195" t="str">
        <f aca="false">Таблица310[[#This Row],[Регистратор.Номенклатура]]</f>
        <v>Тристар</v>
      </c>
      <c r="V342" s="230" t="n">
        <f aca="false">6.7*Таблица310[[#This Row],[Регистратор.Вес нетто]]/28100</f>
        <v>3.17355871886121</v>
      </c>
      <c r="W342" s="198" t="s">
        <v>327</v>
      </c>
      <c r="X342" s="198" t="s">
        <v>315</v>
      </c>
      <c r="Y342" s="198" t="n">
        <v>8</v>
      </c>
      <c r="Z342" s="200" t="n">
        <v>45825</v>
      </c>
      <c r="AA342" s="198"/>
      <c r="AB342" s="198"/>
      <c r="AC342" s="198" t="s">
        <v>53</v>
      </c>
      <c r="AD342" s="198" t="s">
        <v>417</v>
      </c>
      <c r="AE342" s="198" t="n">
        <v>439</v>
      </c>
      <c r="AF342" s="200" t="n">
        <v>45825</v>
      </c>
      <c r="AG342" s="198" t="s">
        <v>906</v>
      </c>
      <c r="AH342" s="198" t="n">
        <f aca="false">VLOOKUP(Таблица310[[#This Row],[№ акта]],'Степень зрелости 2025'!$H$13:$I$583,2,FALSE())</f>
        <v>48</v>
      </c>
      <c r="AI342" s="198" t="str">
        <f aca="false">VLOOKUP(Таблица310[[#This Row],[№ акта]],$AQ$1:$AT$594,2,FALSE())</f>
        <v>закупка</v>
      </c>
      <c r="AJ342" s="198" t="str">
        <f aca="false">Таблица310[[#This Row],[Регистратор.Номенклатура]]</f>
        <v>Тристар</v>
      </c>
      <c r="AK342" s="198" t="str">
        <f aca="false">VLOOKUP(Таблица310[[#This Row],[№ акта]],$AQ$1:$AT$594,4,FALSE())</f>
        <v>Братковский закупка (полив)</v>
      </c>
      <c r="AL342" s="230" t="n">
        <f aca="false">VLOOKUP(Таблица310[[#This Row],[№ акта]],$AQ$1:$AT$594,3,FALSE())</f>
        <v>3.17355871886121</v>
      </c>
      <c r="AM342" s="198" t="str">
        <f aca="false">IF(Таблица310[[#This Row],[Площадь уборки, га]]=Таблица310[[#This Row],[Площадь уборки до корр]],"нет","да")</f>
        <v>нет</v>
      </c>
      <c r="AN342" s="230" t="n">
        <f aca="false">Таблица310[[#This Row],[Площадь уборки до корр]]-Таблица310[[#This Row],[Площадь уборки, га]]</f>
        <v>0</v>
      </c>
      <c r="AQ342" s="0" t="n">
        <v>439</v>
      </c>
      <c r="AR342" s="0" t="s">
        <v>905</v>
      </c>
      <c r="AS342" s="0" t="n">
        <v>3.17355871886121</v>
      </c>
      <c r="AT342" s="0" t="s">
        <v>327</v>
      </c>
    </row>
    <row r="343" customFormat="false" ht="28.35" hidden="false" customHeight="false" outlineLevel="0" collapsed="false">
      <c r="A343" s="198"/>
      <c r="B343" s="223"/>
      <c r="C343" s="241" t="n">
        <f aca="false">Таблица310[[#This Row],[Степень зрелости вспом]]</f>
        <v>52</v>
      </c>
      <c r="D343" s="224" t="n">
        <v>440</v>
      </c>
      <c r="E343" s="225" t="n">
        <v>45825</v>
      </c>
      <c r="F343" s="223" t="n">
        <v>30100</v>
      </c>
      <c r="G343" s="223" t="n">
        <v>14790</v>
      </c>
      <c r="H343" s="226" t="n">
        <v>15310</v>
      </c>
      <c r="I343" s="223" t="n">
        <v>12645.4</v>
      </c>
      <c r="J343" s="198" t="s">
        <v>899</v>
      </c>
      <c r="K343" s="198" t="s">
        <v>904</v>
      </c>
      <c r="L343" s="198" t="n">
        <v>46</v>
      </c>
      <c r="M343" s="189" t="s">
        <v>386</v>
      </c>
      <c r="N343" s="198"/>
      <c r="O343" s="198"/>
      <c r="P343" s="198"/>
      <c r="Q343" s="198"/>
      <c r="R343" s="198" t="s">
        <v>387</v>
      </c>
      <c r="S343" s="198"/>
      <c r="T343" s="198" t="s">
        <v>905</v>
      </c>
      <c r="U343" s="195" t="str">
        <f aca="false">Таблица310[[#This Row],[Регистратор.Номенклатура]]</f>
        <v>Тристар</v>
      </c>
      <c r="V343" s="230" t="n">
        <f aca="false">6.7*Таблица310[[#This Row],[Регистратор.Вес нетто]]/28100</f>
        <v>3.52644128113879</v>
      </c>
      <c r="W343" s="198" t="s">
        <v>327</v>
      </c>
      <c r="X343" s="198" t="s">
        <v>315</v>
      </c>
      <c r="Y343" s="198" t="n">
        <v>8</v>
      </c>
      <c r="Z343" s="200" t="n">
        <v>45825</v>
      </c>
      <c r="AA343" s="198"/>
      <c r="AB343" s="198"/>
      <c r="AC343" s="198" t="s">
        <v>305</v>
      </c>
      <c r="AD343" s="198" t="s">
        <v>417</v>
      </c>
      <c r="AE343" s="198" t="n">
        <v>440</v>
      </c>
      <c r="AF343" s="200" t="n">
        <v>45825</v>
      </c>
      <c r="AG343" s="198" t="s">
        <v>906</v>
      </c>
      <c r="AH343" s="198" t="n">
        <f aca="false">VLOOKUP(Таблица310[[#This Row],[№ акта]],'Степень зрелости 2025'!$H$13:$I$583,2,FALSE())</f>
        <v>52</v>
      </c>
      <c r="AI343" s="198" t="str">
        <f aca="false">VLOOKUP(Таблица310[[#This Row],[№ акта]],$AQ$1:$AT$594,2,FALSE())</f>
        <v>закупка</v>
      </c>
      <c r="AJ343" s="198" t="str">
        <f aca="false">Таблица310[[#This Row],[Регистратор.Номенклатура]]</f>
        <v>Тристар</v>
      </c>
      <c r="AK343" s="198" t="str">
        <f aca="false">VLOOKUP(Таблица310[[#This Row],[№ акта]],$AQ$1:$AT$594,4,FALSE())</f>
        <v>Братковский закупка (полив)</v>
      </c>
      <c r="AL343" s="230" t="n">
        <f aca="false">VLOOKUP(Таблица310[[#This Row],[№ акта]],$AQ$1:$AT$594,3,FALSE())</f>
        <v>3.52644128113879</v>
      </c>
      <c r="AM343" s="198" t="str">
        <f aca="false">IF(Таблица310[[#This Row],[Площадь уборки, га]]=Таблица310[[#This Row],[Площадь уборки до корр]],"нет","да")</f>
        <v>нет</v>
      </c>
      <c r="AN343" s="230" t="n">
        <f aca="false">Таблица310[[#This Row],[Площадь уборки до корр]]-Таблица310[[#This Row],[Площадь уборки, га]]</f>
        <v>0</v>
      </c>
      <c r="AQ343" s="0" t="n">
        <v>440</v>
      </c>
      <c r="AR343" s="0" t="s">
        <v>905</v>
      </c>
      <c r="AS343" s="0" t="n">
        <v>3.52644128113879</v>
      </c>
      <c r="AT343" s="0" t="s">
        <v>327</v>
      </c>
    </row>
    <row r="344" customFormat="false" ht="19.4" hidden="false" customHeight="false" outlineLevel="0" collapsed="false">
      <c r="A344" s="198"/>
      <c r="B344" s="223"/>
      <c r="C344" s="241" t="n">
        <f aca="false">Таблица310[[#This Row],[Степень зрелости вспом]]</f>
        <v>52</v>
      </c>
      <c r="D344" s="224" t="n">
        <v>441</v>
      </c>
      <c r="E344" s="225" t="n">
        <v>45825</v>
      </c>
      <c r="F344" s="223" t="n">
        <v>8350</v>
      </c>
      <c r="G344" s="223" t="n">
        <v>3770</v>
      </c>
      <c r="H344" s="226" t="n">
        <v>4580</v>
      </c>
      <c r="I344" s="223" t="n">
        <v>3411.8</v>
      </c>
      <c r="J344" s="198" t="s">
        <v>908</v>
      </c>
      <c r="K344" s="198" t="s">
        <v>904</v>
      </c>
      <c r="L344" s="198" t="n">
        <v>16</v>
      </c>
      <c r="M344" s="189" t="s">
        <v>374</v>
      </c>
      <c r="N344" s="198"/>
      <c r="O344" s="198"/>
      <c r="P344" s="198"/>
      <c r="Q344" s="198"/>
      <c r="R344" s="198" t="s">
        <v>375</v>
      </c>
      <c r="S344" s="198"/>
      <c r="T344" s="198" t="n">
        <v>16</v>
      </c>
      <c r="U344" s="195" t="str">
        <f aca="false">Таблица310[[#This Row],[Регистратор.Номенклатура]]</f>
        <v>Тристар</v>
      </c>
      <c r="V344" s="230" t="n">
        <f aca="false">10*Таблица310[[#This Row],[Регистратор.Вес нетто]]/36190</f>
        <v>1.0417242332136</v>
      </c>
      <c r="W344" s="198" t="s">
        <v>278</v>
      </c>
      <c r="X344" s="198" t="s">
        <v>315</v>
      </c>
      <c r="Y344" s="198" t="n">
        <v>2</v>
      </c>
      <c r="Z344" s="200" t="n">
        <v>45824</v>
      </c>
      <c r="AA344" s="198"/>
      <c r="AB344" s="198"/>
      <c r="AC344" s="198" t="s">
        <v>305</v>
      </c>
      <c r="AD344" s="198" t="s">
        <v>417</v>
      </c>
      <c r="AE344" s="198" t="n">
        <v>441</v>
      </c>
      <c r="AF344" s="200" t="n">
        <v>45825</v>
      </c>
      <c r="AG344" s="198" t="s">
        <v>906</v>
      </c>
      <c r="AH344" s="198" t="n">
        <f aca="false">VLOOKUP(Таблица310[[#This Row],[№ акта]],'Степень зрелости 2025'!$H$13:$I$583,2,FALSE())</f>
        <v>52</v>
      </c>
      <c r="AI344" s="198" t="n">
        <f aca="false">VLOOKUP(Таблица310[[#This Row],[№ акта]],$AQ$1:$AT$594,2,FALSE())</f>
        <v>16</v>
      </c>
      <c r="AJ344" s="198" t="str">
        <f aca="false">Таблица310[[#This Row],[Регистратор.Номенклатура]]</f>
        <v>Тристар</v>
      </c>
      <c r="AK344" s="198" t="str">
        <f aca="false">VLOOKUP(Таблица310[[#This Row],[№ акта]],$AQ$1:$AT$594,4,FALSE())</f>
        <v>Агролидер (полив)</v>
      </c>
      <c r="AL344" s="230" t="n">
        <f aca="false">VLOOKUP(Таблица310[[#This Row],[№ акта]],$AQ$1:$AT$594,3,FALSE())</f>
        <v>1.0417242332136</v>
      </c>
      <c r="AM344" s="198" t="str">
        <f aca="false">IF(Таблица310[[#This Row],[Площадь уборки, га]]=Таблица310[[#This Row],[Площадь уборки до корр]],"нет","да")</f>
        <v>нет</v>
      </c>
      <c r="AN344" s="230" t="n">
        <f aca="false">Таблица310[[#This Row],[Площадь уборки до корр]]-Таблица310[[#This Row],[Площадь уборки, га]]</f>
        <v>0</v>
      </c>
      <c r="AQ344" s="0" t="n">
        <v>441</v>
      </c>
      <c r="AR344" s="0" t="n">
        <v>16</v>
      </c>
      <c r="AS344" s="0" t="n">
        <v>1.0417242332136</v>
      </c>
      <c r="AT344" s="0" t="s">
        <v>278</v>
      </c>
    </row>
    <row r="345" customFormat="false" ht="19.4" hidden="false" customHeight="false" outlineLevel="0" collapsed="false">
      <c r="A345" s="198"/>
      <c r="B345" s="223"/>
      <c r="C345" s="241" t="n">
        <f aca="false">Таблица310[[#This Row],[Степень зрелости вспом]]</f>
        <v>54</v>
      </c>
      <c r="D345" s="224" t="n">
        <v>442</v>
      </c>
      <c r="E345" s="225" t="n">
        <v>45825</v>
      </c>
      <c r="F345" s="223" t="n">
        <v>6950</v>
      </c>
      <c r="G345" s="223" t="n">
        <v>2350</v>
      </c>
      <c r="H345" s="226" t="n">
        <v>4600</v>
      </c>
      <c r="I345" s="223" t="n">
        <v>2056.2</v>
      </c>
      <c r="J345" s="198" t="s">
        <v>908</v>
      </c>
      <c r="K345" s="198" t="s">
        <v>904</v>
      </c>
      <c r="L345" s="198" t="n">
        <v>15</v>
      </c>
      <c r="M345" s="189" t="s">
        <v>378</v>
      </c>
      <c r="N345" s="198"/>
      <c r="O345" s="198"/>
      <c r="P345" s="198"/>
      <c r="Q345" s="198"/>
      <c r="R345" s="198" t="s">
        <v>379</v>
      </c>
      <c r="S345" s="198"/>
      <c r="T345" s="198" t="n">
        <v>15</v>
      </c>
      <c r="U345" s="195" t="str">
        <f aca="false">Таблица310[[#This Row],[Регистратор.Номенклатура]]</f>
        <v>Тристар</v>
      </c>
      <c r="V345" s="230" t="n">
        <f aca="false">10*Таблица310[[#This Row],[Регистратор.Вес нетто]]/36190+0.7</f>
        <v>1.34935064935065</v>
      </c>
      <c r="W345" s="198" t="s">
        <v>278</v>
      </c>
      <c r="X345" s="198" t="s">
        <v>315</v>
      </c>
      <c r="Y345" s="198" t="n">
        <v>2</v>
      </c>
      <c r="Z345" s="200" t="n">
        <v>45824</v>
      </c>
      <c r="AA345" s="198"/>
      <c r="AB345" s="198"/>
      <c r="AC345" s="198" t="s">
        <v>302</v>
      </c>
      <c r="AD345" s="198" t="s">
        <v>417</v>
      </c>
      <c r="AE345" s="198" t="n">
        <v>442</v>
      </c>
      <c r="AF345" s="200" t="n">
        <v>45825</v>
      </c>
      <c r="AG345" s="198" t="s">
        <v>906</v>
      </c>
      <c r="AH345" s="198" t="n">
        <f aca="false">VLOOKUP(Таблица310[[#This Row],[№ акта]],'Степень зрелости 2025'!$H$13:$I$583,2,FALSE())</f>
        <v>54</v>
      </c>
      <c r="AI345" s="198" t="n">
        <f aca="false">VLOOKUP(Таблица310[[#This Row],[№ акта]],$AQ$1:$AT$594,2,FALSE())</f>
        <v>15</v>
      </c>
      <c r="AJ345" s="198" t="str">
        <f aca="false">Таблица310[[#This Row],[Регистратор.Номенклатура]]</f>
        <v>Тристар</v>
      </c>
      <c r="AK345" s="198" t="str">
        <f aca="false">VLOOKUP(Таблица310[[#This Row],[№ акта]],$AQ$1:$AT$594,4,FALSE())</f>
        <v>Агролидер (полив)</v>
      </c>
      <c r="AL345" s="230" t="n">
        <f aca="false">VLOOKUP(Таблица310[[#This Row],[№ акта]],$AQ$1:$AT$594,3,FALSE())</f>
        <v>1.34935064935065</v>
      </c>
      <c r="AM345" s="198" t="str">
        <f aca="false">IF(Таблица310[[#This Row],[Площадь уборки, га]]=Таблица310[[#This Row],[Площадь уборки до корр]],"нет","да")</f>
        <v>нет</v>
      </c>
      <c r="AN345" s="230" t="n">
        <f aca="false">Таблица310[[#This Row],[Площадь уборки до корр]]-Таблица310[[#This Row],[Площадь уборки, га]]</f>
        <v>0</v>
      </c>
      <c r="AQ345" s="0" t="n">
        <v>442</v>
      </c>
      <c r="AR345" s="0" t="n">
        <v>15</v>
      </c>
      <c r="AS345" s="0" t="n">
        <v>1.34935064935065</v>
      </c>
      <c r="AT345" s="0" t="s">
        <v>278</v>
      </c>
    </row>
    <row r="346" customFormat="false" ht="19.4" hidden="false" customHeight="false" outlineLevel="0" collapsed="false">
      <c r="A346" s="198"/>
      <c r="B346" s="223"/>
      <c r="C346" s="241" t="n">
        <f aca="false">Таблица310[[#This Row],[Степень зрелости вспом]]</f>
        <v>53</v>
      </c>
      <c r="D346" s="224" t="n">
        <v>443</v>
      </c>
      <c r="E346" s="225" t="n">
        <v>45825</v>
      </c>
      <c r="F346" s="223" t="n">
        <v>9060</v>
      </c>
      <c r="G346" s="223" t="n">
        <v>4510</v>
      </c>
      <c r="H346" s="226" t="n">
        <v>4550</v>
      </c>
      <c r="I346" s="223" t="n">
        <v>3585.4</v>
      </c>
      <c r="J346" s="198" t="s">
        <v>908</v>
      </c>
      <c r="K346" s="198" t="s">
        <v>904</v>
      </c>
      <c r="L346" s="198" t="n">
        <v>15</v>
      </c>
      <c r="M346" s="189" t="s">
        <v>374</v>
      </c>
      <c r="N346" s="198"/>
      <c r="O346" s="198"/>
      <c r="P346" s="198"/>
      <c r="Q346" s="198"/>
      <c r="R346" s="198" t="s">
        <v>375</v>
      </c>
      <c r="S346" s="198"/>
      <c r="T346" s="198" t="n">
        <v>15</v>
      </c>
      <c r="U346" s="195" t="str">
        <f aca="false">Таблица310[[#This Row],[Регистратор.Номенклатура]]</f>
        <v>Тристар</v>
      </c>
      <c r="V346" s="230" t="n">
        <f aca="false">10*Таблица310[[#This Row],[Регистратор.Вес нетто]]/36190</f>
        <v>1.24620060790274</v>
      </c>
      <c r="W346" s="198" t="s">
        <v>278</v>
      </c>
      <c r="X346" s="198" t="s">
        <v>315</v>
      </c>
      <c r="Y346" s="198" t="n">
        <v>2</v>
      </c>
      <c r="Z346" s="200" t="n">
        <v>45824</v>
      </c>
      <c r="AA346" s="198"/>
      <c r="AB346" s="198"/>
      <c r="AC346" s="198" t="s">
        <v>305</v>
      </c>
      <c r="AD346" s="198" t="s">
        <v>417</v>
      </c>
      <c r="AE346" s="198" t="n">
        <v>443</v>
      </c>
      <c r="AF346" s="200" t="n">
        <v>45825</v>
      </c>
      <c r="AG346" s="198" t="s">
        <v>906</v>
      </c>
      <c r="AH346" s="198" t="n">
        <f aca="false">VLOOKUP(Таблица310[[#This Row],[№ акта]],'Степень зрелости 2025'!$H$13:$I$583,2,FALSE())</f>
        <v>53</v>
      </c>
      <c r="AI346" s="198" t="n">
        <f aca="false">VLOOKUP(Таблица310[[#This Row],[№ акта]],$AQ$1:$AT$594,2,FALSE())</f>
        <v>15</v>
      </c>
      <c r="AJ346" s="198" t="str">
        <f aca="false">Таблица310[[#This Row],[Регистратор.Номенклатура]]</f>
        <v>Тристар</v>
      </c>
      <c r="AK346" s="198" t="str">
        <f aca="false">VLOOKUP(Таблица310[[#This Row],[№ акта]],$AQ$1:$AT$594,4,FALSE())</f>
        <v>Агролидер (полив)</v>
      </c>
      <c r="AL346" s="230" t="n">
        <f aca="false">VLOOKUP(Таблица310[[#This Row],[№ акта]],$AQ$1:$AT$594,3,FALSE())</f>
        <v>1.24620060790274</v>
      </c>
      <c r="AM346" s="198" t="str">
        <f aca="false">IF(Таблица310[[#This Row],[Площадь уборки, га]]=Таблица310[[#This Row],[Площадь уборки до корр]],"нет","да")</f>
        <v>нет</v>
      </c>
      <c r="AN346" s="230" t="n">
        <f aca="false">Таблица310[[#This Row],[Площадь уборки до корр]]-Таблица310[[#This Row],[Площадь уборки, га]]</f>
        <v>0</v>
      </c>
      <c r="AQ346" s="0" t="n">
        <v>443</v>
      </c>
      <c r="AR346" s="0" t="n">
        <v>15</v>
      </c>
      <c r="AS346" s="0" t="n">
        <v>1.24620060790274</v>
      </c>
      <c r="AT346" s="0" t="s">
        <v>278</v>
      </c>
    </row>
    <row r="347" customFormat="false" ht="28.35" hidden="false" customHeight="false" outlineLevel="0" collapsed="false">
      <c r="A347" s="198"/>
      <c r="B347" s="223"/>
      <c r="C347" s="241" t="n">
        <f aca="false">Таблица310[[#This Row],[Степень зрелости вспом]]</f>
        <v>57</v>
      </c>
      <c r="D347" s="224" t="n">
        <v>444</v>
      </c>
      <c r="E347" s="225" t="n">
        <v>45825</v>
      </c>
      <c r="F347" s="223" t="n">
        <v>28310</v>
      </c>
      <c r="G347" s="223" t="n">
        <v>13560</v>
      </c>
      <c r="H347" s="226" t="n">
        <v>14750</v>
      </c>
      <c r="I347" s="223" t="n">
        <v>11593.8</v>
      </c>
      <c r="J347" s="198" t="s">
        <v>908</v>
      </c>
      <c r="K347" s="198" t="s">
        <v>904</v>
      </c>
      <c r="L347" s="198" t="n">
        <v>15</v>
      </c>
      <c r="M347" s="189" t="s">
        <v>55</v>
      </c>
      <c r="N347" s="198"/>
      <c r="O347" s="198"/>
      <c r="P347" s="198"/>
      <c r="Q347" s="198"/>
      <c r="R347" s="198" t="s">
        <v>56</v>
      </c>
      <c r="S347" s="198"/>
      <c r="T347" s="198" t="n">
        <v>15</v>
      </c>
      <c r="U347" s="195" t="str">
        <f aca="false">Таблица310[[#This Row],[Регистратор.Номенклатура]]</f>
        <v>Тристар</v>
      </c>
      <c r="V347" s="230" t="n">
        <f aca="false">10*Таблица310[[#This Row],[Регистратор.Вес нетто]]/36190</f>
        <v>3.74689140646587</v>
      </c>
      <c r="W347" s="198" t="s">
        <v>278</v>
      </c>
      <c r="X347" s="198" t="s">
        <v>315</v>
      </c>
      <c r="Y347" s="198" t="n">
        <v>2</v>
      </c>
      <c r="Z347" s="200" t="n">
        <v>45824</v>
      </c>
      <c r="AA347" s="198"/>
      <c r="AB347" s="198"/>
      <c r="AC347" s="198" t="s">
        <v>302</v>
      </c>
      <c r="AD347" s="198" t="s">
        <v>417</v>
      </c>
      <c r="AE347" s="198" t="n">
        <v>444</v>
      </c>
      <c r="AF347" s="200" t="n">
        <v>45825</v>
      </c>
      <c r="AG347" s="198" t="s">
        <v>906</v>
      </c>
      <c r="AH347" s="198" t="n">
        <f aca="false">VLOOKUP(Таблица310[[#This Row],[№ акта]],'Степень зрелости 2025'!$H$13:$I$583,2,FALSE())</f>
        <v>57</v>
      </c>
      <c r="AI347" s="198" t="n">
        <f aca="false">VLOOKUP(Таблица310[[#This Row],[№ акта]],$AQ$1:$AT$594,2,FALSE())</f>
        <v>15</v>
      </c>
      <c r="AJ347" s="198" t="str">
        <f aca="false">Таблица310[[#This Row],[Регистратор.Номенклатура]]</f>
        <v>Тристар</v>
      </c>
      <c r="AK347" s="198" t="str">
        <f aca="false">VLOOKUP(Таблица310[[#This Row],[№ акта]],$AQ$1:$AT$594,4,FALSE())</f>
        <v>Агролидер (полив)</v>
      </c>
      <c r="AL347" s="230" t="n">
        <f aca="false">VLOOKUP(Таблица310[[#This Row],[№ акта]],$AQ$1:$AT$594,3,FALSE())</f>
        <v>3.74689140646587</v>
      </c>
      <c r="AM347" s="198" t="str">
        <f aca="false">IF(Таблица310[[#This Row],[Площадь уборки, га]]=Таблица310[[#This Row],[Площадь уборки до корр]],"нет","да")</f>
        <v>нет</v>
      </c>
      <c r="AN347" s="230" t="n">
        <f aca="false">Таблица310[[#This Row],[Площадь уборки до корр]]-Таблица310[[#This Row],[Площадь уборки, га]]</f>
        <v>0</v>
      </c>
      <c r="AQ347" s="0" t="n">
        <v>444</v>
      </c>
      <c r="AR347" s="0" t="n">
        <v>15</v>
      </c>
      <c r="AS347" s="0" t="n">
        <v>3.74689140646587</v>
      </c>
      <c r="AT347" s="0" t="s">
        <v>278</v>
      </c>
    </row>
    <row r="348" customFormat="false" ht="28.35" hidden="false" customHeight="false" outlineLevel="0" collapsed="false">
      <c r="A348" s="198"/>
      <c r="B348" s="223"/>
      <c r="C348" s="241" t="n">
        <f aca="false">Таблица310[[#This Row],[Степень зрелости вспом]]</f>
        <v>54</v>
      </c>
      <c r="D348" s="224" t="n">
        <v>445</v>
      </c>
      <c r="E348" s="225" t="n">
        <v>45826</v>
      </c>
      <c r="F348" s="223" t="n">
        <v>28060</v>
      </c>
      <c r="G348" s="223" t="n">
        <v>13390</v>
      </c>
      <c r="H348" s="226" t="n">
        <v>14670</v>
      </c>
      <c r="I348" s="223" t="n">
        <v>11582.3</v>
      </c>
      <c r="J348" s="198" t="s">
        <v>908</v>
      </c>
      <c r="K348" s="198" t="s">
        <v>904</v>
      </c>
      <c r="L348" s="198" t="n">
        <v>15</v>
      </c>
      <c r="M348" s="189" t="s">
        <v>363</v>
      </c>
      <c r="N348" s="198"/>
      <c r="O348" s="198"/>
      <c r="P348" s="198"/>
      <c r="Q348" s="198"/>
      <c r="R348" s="198" t="s">
        <v>364</v>
      </c>
      <c r="S348" s="198"/>
      <c r="T348" s="198" t="n">
        <v>15</v>
      </c>
      <c r="U348" s="195" t="str">
        <f aca="false">Таблица310[[#This Row],[Регистратор.Номенклатура]]</f>
        <v>Тристар</v>
      </c>
      <c r="V348" s="230" t="n">
        <f aca="false">36*Таблица310[[#This Row],[Регистратор.Вес нетто]]/277060</f>
        <v>1.73983974590341</v>
      </c>
      <c r="W348" s="198" t="s">
        <v>278</v>
      </c>
      <c r="X348" s="198" t="s">
        <v>315</v>
      </c>
      <c r="Y348" s="198" t="n">
        <v>3</v>
      </c>
      <c r="Z348" s="200" t="n">
        <v>45825</v>
      </c>
      <c r="AA348" s="198"/>
      <c r="AB348" s="198"/>
      <c r="AC348" s="198" t="s">
        <v>302</v>
      </c>
      <c r="AD348" s="198" t="s">
        <v>417</v>
      </c>
      <c r="AE348" s="198" t="n">
        <v>445</v>
      </c>
      <c r="AF348" s="200" t="n">
        <v>45826</v>
      </c>
      <c r="AG348" s="198" t="s">
        <v>906</v>
      </c>
      <c r="AH348" s="198" t="n">
        <f aca="false">VLOOKUP(Таблица310[[#This Row],[№ акта]],'Степень зрелости 2025'!$H$13:$I$583,2,FALSE())</f>
        <v>54</v>
      </c>
      <c r="AI348" s="198" t="n">
        <f aca="false">VLOOKUP(Таблица310[[#This Row],[№ акта]],$AQ$1:$AT$594,2,FALSE())</f>
        <v>15</v>
      </c>
      <c r="AJ348" s="198" t="str">
        <f aca="false">Таблица310[[#This Row],[Регистратор.Номенклатура]]</f>
        <v>Тристар</v>
      </c>
      <c r="AK348" s="198" t="str">
        <f aca="false">VLOOKUP(Таблица310[[#This Row],[№ акта]],$AQ$1:$AT$594,4,FALSE())</f>
        <v>Агролидер (полив)</v>
      </c>
      <c r="AL348" s="230" t="n">
        <f aca="false">VLOOKUP(Таблица310[[#This Row],[№ акта]],$AQ$1:$AT$594,3,FALSE())</f>
        <v>1.73983974590341</v>
      </c>
      <c r="AM348" s="198" t="str">
        <f aca="false">IF(Таблица310[[#This Row],[Площадь уборки, га]]=Таблица310[[#This Row],[Площадь уборки до корр]],"нет","да")</f>
        <v>нет</v>
      </c>
      <c r="AN348" s="230" t="n">
        <f aca="false">Таблица310[[#This Row],[Площадь уборки до корр]]-Таблица310[[#This Row],[Площадь уборки, га]]</f>
        <v>0</v>
      </c>
      <c r="AQ348" s="0" t="n">
        <v>445</v>
      </c>
      <c r="AR348" s="0" t="n">
        <v>15</v>
      </c>
      <c r="AS348" s="0" t="n">
        <v>1.73983974590341</v>
      </c>
      <c r="AT348" s="0" t="s">
        <v>278</v>
      </c>
    </row>
    <row r="349" customFormat="false" ht="28.35" hidden="false" customHeight="false" outlineLevel="0" collapsed="false">
      <c r="A349" s="198"/>
      <c r="B349" s="223"/>
      <c r="C349" s="241" t="n">
        <f aca="false">Таблица310[[#This Row],[Степень зрелости вспом]]</f>
        <v>54</v>
      </c>
      <c r="D349" s="224" t="n">
        <v>446</v>
      </c>
      <c r="E349" s="225" t="n">
        <v>45826</v>
      </c>
      <c r="F349" s="223" t="n">
        <v>29120</v>
      </c>
      <c r="G349" s="223" t="n">
        <v>13470</v>
      </c>
      <c r="H349" s="226" t="n">
        <v>15650</v>
      </c>
      <c r="I349" s="223" t="n">
        <v>11651.5</v>
      </c>
      <c r="J349" s="198" t="s">
        <v>908</v>
      </c>
      <c r="K349" s="198" t="s">
        <v>904</v>
      </c>
      <c r="L349" s="198" t="n">
        <v>15</v>
      </c>
      <c r="M349" s="189" t="s">
        <v>519</v>
      </c>
      <c r="N349" s="198"/>
      <c r="O349" s="198"/>
      <c r="P349" s="198"/>
      <c r="Q349" s="198"/>
      <c r="R349" s="198" t="s">
        <v>523</v>
      </c>
      <c r="S349" s="198"/>
      <c r="T349" s="198" t="n">
        <v>15</v>
      </c>
      <c r="U349" s="195" t="str">
        <f aca="false">Таблица310[[#This Row],[Регистратор.Номенклатура]]</f>
        <v>Тристар</v>
      </c>
      <c r="V349" s="230" t="n">
        <f aca="false">36*Таблица310[[#This Row],[Регистратор.Вес нетто]]/277060</f>
        <v>1.75023460622248</v>
      </c>
      <c r="W349" s="198" t="s">
        <v>278</v>
      </c>
      <c r="X349" s="198" t="s">
        <v>315</v>
      </c>
      <c r="Y349" s="198" t="n">
        <v>3</v>
      </c>
      <c r="Z349" s="200" t="n">
        <v>45825</v>
      </c>
      <c r="AA349" s="198"/>
      <c r="AB349" s="198"/>
      <c r="AC349" s="198" t="s">
        <v>302</v>
      </c>
      <c r="AD349" s="198" t="s">
        <v>417</v>
      </c>
      <c r="AE349" s="198" t="n">
        <v>446</v>
      </c>
      <c r="AF349" s="200" t="n">
        <v>45826</v>
      </c>
      <c r="AG349" s="198" t="s">
        <v>906</v>
      </c>
      <c r="AH349" s="198" t="n">
        <f aca="false">VLOOKUP(Таблица310[[#This Row],[№ акта]],'Степень зрелости 2025'!$H$13:$I$583,2,FALSE())</f>
        <v>54</v>
      </c>
      <c r="AI349" s="198" t="n">
        <f aca="false">VLOOKUP(Таблица310[[#This Row],[№ акта]],$AQ$1:$AT$594,2,FALSE())</f>
        <v>15</v>
      </c>
      <c r="AJ349" s="198" t="str">
        <f aca="false">Таблица310[[#This Row],[Регистратор.Номенклатура]]</f>
        <v>Тристар</v>
      </c>
      <c r="AK349" s="198" t="str">
        <f aca="false">VLOOKUP(Таблица310[[#This Row],[№ акта]],$AQ$1:$AT$594,4,FALSE())</f>
        <v>Агролидер (полив)</v>
      </c>
      <c r="AL349" s="230" t="n">
        <f aca="false">VLOOKUP(Таблица310[[#This Row],[№ акта]],$AQ$1:$AT$594,3,FALSE())</f>
        <v>1.75023460622248</v>
      </c>
      <c r="AM349" s="198" t="str">
        <f aca="false">IF(Таблица310[[#This Row],[Площадь уборки, га]]=Таблица310[[#This Row],[Площадь уборки до корр]],"нет","да")</f>
        <v>нет</v>
      </c>
      <c r="AN349" s="230" t="n">
        <f aca="false">Таблица310[[#This Row],[Площадь уборки до корр]]-Таблица310[[#This Row],[Площадь уборки, га]]</f>
        <v>0</v>
      </c>
      <c r="AQ349" s="0" t="n">
        <v>446</v>
      </c>
      <c r="AR349" s="0" t="n">
        <v>15</v>
      </c>
      <c r="AS349" s="0" t="n">
        <v>1.75023460622248</v>
      </c>
      <c r="AT349" s="0" t="s">
        <v>278</v>
      </c>
    </row>
    <row r="350" customFormat="false" ht="19.4" hidden="false" customHeight="false" outlineLevel="0" collapsed="false">
      <c r="A350" s="198"/>
      <c r="B350" s="223"/>
      <c r="C350" s="241" t="n">
        <f aca="false">Таблица310[[#This Row],[Степень зрелости вспом]]</f>
        <v>53</v>
      </c>
      <c r="D350" s="224" t="n">
        <v>447</v>
      </c>
      <c r="E350" s="225" t="n">
        <v>45826</v>
      </c>
      <c r="F350" s="223" t="n">
        <v>27390</v>
      </c>
      <c r="G350" s="223" t="n">
        <v>13520</v>
      </c>
      <c r="H350" s="226" t="n">
        <v>13870</v>
      </c>
      <c r="I350" s="223" t="n">
        <v>11830</v>
      </c>
      <c r="J350" s="198" t="s">
        <v>908</v>
      </c>
      <c r="K350" s="198" t="s">
        <v>904</v>
      </c>
      <c r="L350" s="198" t="n">
        <v>15</v>
      </c>
      <c r="M350" s="189" t="s">
        <v>359</v>
      </c>
      <c r="N350" s="198"/>
      <c r="O350" s="198"/>
      <c r="P350" s="198"/>
      <c r="Q350" s="198"/>
      <c r="R350" s="198" t="s">
        <v>426</v>
      </c>
      <c r="S350" s="198"/>
      <c r="T350" s="198" t="n">
        <v>15</v>
      </c>
      <c r="U350" s="195" t="str">
        <f aca="false">Таблица310[[#This Row],[Регистратор.Номенклатура]]</f>
        <v>Тристар</v>
      </c>
      <c r="V350" s="230" t="n">
        <f aca="false">36*Таблица310[[#This Row],[Регистратор.Вес нетто]]/277060</f>
        <v>1.75673139392189</v>
      </c>
      <c r="W350" s="198" t="s">
        <v>278</v>
      </c>
      <c r="X350" s="198" t="s">
        <v>315</v>
      </c>
      <c r="Y350" s="198" t="n">
        <v>3</v>
      </c>
      <c r="Z350" s="200" t="n">
        <v>45825</v>
      </c>
      <c r="AA350" s="198"/>
      <c r="AB350" s="198"/>
      <c r="AC350" s="198" t="s">
        <v>305</v>
      </c>
      <c r="AD350" s="198" t="s">
        <v>417</v>
      </c>
      <c r="AE350" s="198" t="n">
        <v>447</v>
      </c>
      <c r="AF350" s="200" t="n">
        <v>45826</v>
      </c>
      <c r="AG350" s="198" t="s">
        <v>906</v>
      </c>
      <c r="AH350" s="198" t="n">
        <f aca="false">VLOOKUP(Таблица310[[#This Row],[№ акта]],'Степень зрелости 2025'!$H$13:$I$583,2,FALSE())</f>
        <v>53</v>
      </c>
      <c r="AI350" s="198" t="n">
        <f aca="false">VLOOKUP(Таблица310[[#This Row],[№ акта]],$AQ$1:$AT$594,2,FALSE())</f>
        <v>15</v>
      </c>
      <c r="AJ350" s="198" t="str">
        <f aca="false">Таблица310[[#This Row],[Регистратор.Номенклатура]]</f>
        <v>Тристар</v>
      </c>
      <c r="AK350" s="198" t="str">
        <f aca="false">VLOOKUP(Таблица310[[#This Row],[№ акта]],$AQ$1:$AT$594,4,FALSE())</f>
        <v>Агролидер (полив)</v>
      </c>
      <c r="AL350" s="230" t="n">
        <f aca="false">VLOOKUP(Таблица310[[#This Row],[№ акта]],$AQ$1:$AT$594,3,FALSE())</f>
        <v>1.75673139392189</v>
      </c>
      <c r="AM350" s="198" t="str">
        <f aca="false">IF(Таблица310[[#This Row],[Площадь уборки, га]]=Таблица310[[#This Row],[Площадь уборки до корр]],"нет","да")</f>
        <v>нет</v>
      </c>
      <c r="AN350" s="230" t="n">
        <f aca="false">Таблица310[[#This Row],[Площадь уборки до корр]]-Таблица310[[#This Row],[Площадь уборки, га]]</f>
        <v>0</v>
      </c>
      <c r="AQ350" s="0" t="n">
        <v>447</v>
      </c>
      <c r="AR350" s="0" t="n">
        <v>15</v>
      </c>
      <c r="AS350" s="0" t="n">
        <v>1.75673139392189</v>
      </c>
      <c r="AT350" s="0" t="s">
        <v>278</v>
      </c>
    </row>
    <row r="351" customFormat="false" ht="19.4" hidden="false" customHeight="false" outlineLevel="0" collapsed="false">
      <c r="A351" s="198"/>
      <c r="B351" s="223"/>
      <c r="C351" s="241" t="n">
        <v>55</v>
      </c>
      <c r="D351" s="224" t="n">
        <v>448</v>
      </c>
      <c r="E351" s="225" t="n">
        <v>45826</v>
      </c>
      <c r="F351" s="223" t="n">
        <v>37650</v>
      </c>
      <c r="G351" s="223" t="n">
        <v>13480</v>
      </c>
      <c r="H351" s="226" t="n">
        <v>24170</v>
      </c>
      <c r="I351" s="223" t="n">
        <v>11929.8</v>
      </c>
      <c r="J351" s="198" t="s">
        <v>908</v>
      </c>
      <c r="K351" s="198" t="s">
        <v>904</v>
      </c>
      <c r="L351" s="198" t="n">
        <v>15</v>
      </c>
      <c r="M351" s="189" t="s">
        <v>439</v>
      </c>
      <c r="N351" s="198"/>
      <c r="O351" s="198"/>
      <c r="P351" s="198"/>
      <c r="Q351" s="198"/>
      <c r="R351" s="198" t="s">
        <v>443</v>
      </c>
      <c r="S351" s="198"/>
      <c r="T351" s="198" t="n">
        <v>15</v>
      </c>
      <c r="U351" s="195" t="str">
        <f aca="false">Таблица310[[#This Row],[Регистратор.Номенклатура]]</f>
        <v>Тристар</v>
      </c>
      <c r="V351" s="230" t="n">
        <f aca="false">36*Таблица310[[#This Row],[Регистратор.Вес нетто]]/277060</f>
        <v>1.75153396376236</v>
      </c>
      <c r="W351" s="198" t="s">
        <v>278</v>
      </c>
      <c r="X351" s="198" t="s">
        <v>315</v>
      </c>
      <c r="Y351" s="198" t="n">
        <v>3</v>
      </c>
      <c r="Z351" s="200" t="n">
        <v>45825</v>
      </c>
      <c r="AA351" s="198"/>
      <c r="AB351" s="198"/>
      <c r="AC351" s="198" t="s">
        <v>302</v>
      </c>
      <c r="AD351" s="198" t="s">
        <v>417</v>
      </c>
      <c r="AE351" s="198" t="n">
        <v>448</v>
      </c>
      <c r="AF351" s="200" t="n">
        <v>45826</v>
      </c>
      <c r="AG351" s="198" t="s">
        <v>906</v>
      </c>
      <c r="AH351" s="198" t="e">
        <f aca="false">VLOOKUP(Таблица310[[#This Row],[№ акта]],'Степень зрелости 2025'!$H$13:$I$583,2,FALSE())</f>
        <v>#N/A</v>
      </c>
      <c r="AI351" s="198" t="n">
        <f aca="false">VLOOKUP(Таблица310[[#This Row],[№ акта]],$AQ$1:$AT$594,2,FALSE())</f>
        <v>15</v>
      </c>
      <c r="AJ351" s="198" t="str">
        <f aca="false">Таблица310[[#This Row],[Регистратор.Номенклатура]]</f>
        <v>Тристар</v>
      </c>
      <c r="AK351" s="198" t="str">
        <f aca="false">VLOOKUP(Таблица310[[#This Row],[№ акта]],$AQ$1:$AT$594,4,FALSE())</f>
        <v>Агролидер (полив)</v>
      </c>
      <c r="AL351" s="230" t="n">
        <f aca="false">VLOOKUP(Таблица310[[#This Row],[№ акта]],$AQ$1:$AT$594,3,FALSE())</f>
        <v>1.75153396376236</v>
      </c>
      <c r="AM351" s="198" t="str">
        <f aca="false">IF(Таблица310[[#This Row],[Площадь уборки, га]]=Таблица310[[#This Row],[Площадь уборки до корр]],"нет","да")</f>
        <v>нет</v>
      </c>
      <c r="AN351" s="230" t="n">
        <f aca="false">Таблица310[[#This Row],[Площадь уборки до корр]]-Таблица310[[#This Row],[Площадь уборки, га]]</f>
        <v>0</v>
      </c>
      <c r="AQ351" s="0" t="n">
        <v>448</v>
      </c>
      <c r="AR351" s="0" t="n">
        <v>15</v>
      </c>
      <c r="AS351" s="0" t="n">
        <v>1.75153396376236</v>
      </c>
      <c r="AT351" s="0" t="s">
        <v>278</v>
      </c>
    </row>
    <row r="352" customFormat="false" ht="28.35" hidden="false" customHeight="false" outlineLevel="0" collapsed="false">
      <c r="A352" s="198"/>
      <c r="B352" s="223"/>
      <c r="C352" s="241"/>
      <c r="D352" s="224" t="n">
        <v>449</v>
      </c>
      <c r="E352" s="225" t="n">
        <v>45824</v>
      </c>
      <c r="F352" s="223" t="n">
        <v>21170</v>
      </c>
      <c r="G352" s="223" t="n">
        <v>6330</v>
      </c>
      <c r="H352" s="226" t="n">
        <v>14840</v>
      </c>
      <c r="I352" s="223" t="n">
        <v>6330</v>
      </c>
      <c r="J352" s="198" t="s">
        <v>899</v>
      </c>
      <c r="K352" s="198" t="s">
        <v>909</v>
      </c>
      <c r="L352" s="198" t="s">
        <v>133</v>
      </c>
      <c r="M352" s="189" t="s">
        <v>553</v>
      </c>
      <c r="N352" s="198"/>
      <c r="O352" s="198"/>
      <c r="P352" s="198"/>
      <c r="Q352" s="198"/>
      <c r="R352" s="198" t="s">
        <v>557</v>
      </c>
      <c r="S352" s="198"/>
      <c r="T352" s="246" t="n">
        <v>50</v>
      </c>
      <c r="U352" s="195" t="str">
        <f aca="false">Таблица310[[#This Row],[Регистратор.Номенклатура]]</f>
        <v>Вольф</v>
      </c>
      <c r="V352" s="230" t="n">
        <f aca="false">12.7*Таблица310[[#This Row],[Регистратор.Вес нетто]]/78700</f>
        <v>1.02148665819568</v>
      </c>
      <c r="W352" s="198" t="s">
        <v>326</v>
      </c>
      <c r="X352" s="198" t="s">
        <v>315</v>
      </c>
      <c r="Y352" s="198" t="n">
        <v>7</v>
      </c>
      <c r="Z352" s="200" t="n">
        <v>45824</v>
      </c>
      <c r="AA352" s="198"/>
      <c r="AB352" s="198"/>
      <c r="AC352" s="198" t="s">
        <v>276</v>
      </c>
      <c r="AD352" s="198" t="s">
        <v>886</v>
      </c>
      <c r="AE352" s="198" t="n">
        <v>449</v>
      </c>
      <c r="AF352" s="200" t="n">
        <v>45824</v>
      </c>
      <c r="AG352" s="198" t="s">
        <v>911</v>
      </c>
      <c r="AH352" s="198" t="n">
        <f aca="false">VLOOKUP(Таблица310[[#This Row],[№ акта]],'Степень зрелости 2025'!$H$13:$I$583,2,FALSE())</f>
        <v>0</v>
      </c>
      <c r="AI352" s="198" t="n">
        <f aca="false">VLOOKUP(Таблица310[[#This Row],[№ акта]],$AQ$1:$AT$594,2,FALSE())</f>
        <v>50</v>
      </c>
      <c r="AJ352" s="198" t="str">
        <f aca="false">Таблица310[[#This Row],[Регистратор.Номенклатура]]</f>
        <v>Вольф</v>
      </c>
      <c r="AK352" s="198" t="str">
        <f aca="false">VLOOKUP(Таблица310[[#This Row],[№ акта]],$AQ$1:$AT$594,4,FALSE())</f>
        <v>Братковский (полив)</v>
      </c>
      <c r="AL352" s="230" t="n">
        <f aca="false">VLOOKUP(Таблица310[[#This Row],[№ акта]],$AQ$1:$AT$594,3,FALSE())</f>
        <v>1.02148665819568</v>
      </c>
      <c r="AM352" s="198" t="str">
        <f aca="false">IF(Таблица310[[#This Row],[Площадь уборки, га]]=Таблица310[[#This Row],[Площадь уборки до корр]],"нет","да")</f>
        <v>нет</v>
      </c>
      <c r="AN352" s="230" t="n">
        <f aca="false">Таблица310[[#This Row],[Площадь уборки до корр]]-Таблица310[[#This Row],[Площадь уборки, га]]</f>
        <v>0</v>
      </c>
      <c r="AQ352" s="0" t="n">
        <v>449</v>
      </c>
      <c r="AR352" s="0" t="n">
        <v>50</v>
      </c>
      <c r="AS352" s="0" t="n">
        <v>1.02148665819568</v>
      </c>
      <c r="AT352" s="0" t="s">
        <v>326</v>
      </c>
    </row>
    <row r="353" customFormat="false" ht="28.35" hidden="false" customHeight="false" outlineLevel="0" collapsed="false">
      <c r="A353" s="198"/>
      <c r="B353" s="223"/>
      <c r="C353" s="241"/>
      <c r="D353" s="224" t="n">
        <v>450</v>
      </c>
      <c r="E353" s="225" t="n">
        <v>45824</v>
      </c>
      <c r="F353" s="223" t="n">
        <v>21160</v>
      </c>
      <c r="G353" s="223" t="n">
        <v>6620</v>
      </c>
      <c r="H353" s="226" t="n">
        <v>14540</v>
      </c>
      <c r="I353" s="223" t="n">
        <v>6620</v>
      </c>
      <c r="J353" s="198" t="s">
        <v>899</v>
      </c>
      <c r="K353" s="198" t="s">
        <v>909</v>
      </c>
      <c r="L353" s="198" t="n">
        <v>44</v>
      </c>
      <c r="M353" s="189" t="s">
        <v>363</v>
      </c>
      <c r="N353" s="198"/>
      <c r="O353" s="198"/>
      <c r="P353" s="198"/>
      <c r="Q353" s="198"/>
      <c r="R353" s="198" t="s">
        <v>364</v>
      </c>
      <c r="S353" s="198"/>
      <c r="T353" s="246" t="n">
        <v>50</v>
      </c>
      <c r="U353" s="195" t="str">
        <f aca="false">Таблица310[[#This Row],[Регистратор.Номенклатура]]</f>
        <v>Вольф</v>
      </c>
      <c r="V353" s="230" t="n">
        <f aca="false">12.7*Таблица310[[#This Row],[Регистратор.Вес нетто]]/78700</f>
        <v>1.06828462515883</v>
      </c>
      <c r="W353" s="198" t="s">
        <v>326</v>
      </c>
      <c r="X353" s="198" t="s">
        <v>315</v>
      </c>
      <c r="Y353" s="198" t="n">
        <v>7</v>
      </c>
      <c r="Z353" s="200" t="n">
        <v>45824</v>
      </c>
      <c r="AA353" s="198"/>
      <c r="AB353" s="198"/>
      <c r="AC353" s="198" t="s">
        <v>276</v>
      </c>
      <c r="AD353" s="198" t="s">
        <v>886</v>
      </c>
      <c r="AE353" s="198" t="n">
        <v>450</v>
      </c>
      <c r="AF353" s="200" t="n">
        <v>45824</v>
      </c>
      <c r="AG353" s="198" t="s">
        <v>912</v>
      </c>
      <c r="AH353" s="198" t="n">
        <f aca="false">VLOOKUP(Таблица310[[#This Row],[№ акта]],'Степень зрелости 2025'!$H$13:$I$583,2,FALSE())</f>
        <v>0</v>
      </c>
      <c r="AI353" s="198" t="n">
        <f aca="false">VLOOKUP(Таблица310[[#This Row],[№ акта]],$AQ$1:$AT$594,2,FALSE())</f>
        <v>50</v>
      </c>
      <c r="AJ353" s="198" t="str">
        <f aca="false">Таблица310[[#This Row],[Регистратор.Номенклатура]]</f>
        <v>Вольф</v>
      </c>
      <c r="AK353" s="198" t="str">
        <f aca="false">VLOOKUP(Таблица310[[#This Row],[№ акта]],$AQ$1:$AT$594,4,FALSE())</f>
        <v>Братковский (полив)</v>
      </c>
      <c r="AL353" s="230" t="n">
        <f aca="false">VLOOKUP(Таблица310[[#This Row],[№ акта]],$AQ$1:$AT$594,3,FALSE())</f>
        <v>1.06828462515883</v>
      </c>
      <c r="AM353" s="198" t="str">
        <f aca="false">IF(Таблица310[[#This Row],[Площадь уборки, га]]=Таблица310[[#This Row],[Площадь уборки до корр]],"нет","да")</f>
        <v>нет</v>
      </c>
      <c r="AN353" s="230" t="n">
        <f aca="false">Таблица310[[#This Row],[Площадь уборки до корр]]-Таблица310[[#This Row],[Площадь уборки, га]]</f>
        <v>0</v>
      </c>
      <c r="AQ353" s="0" t="n">
        <v>450</v>
      </c>
      <c r="AR353" s="0" t="n">
        <v>50</v>
      </c>
      <c r="AS353" s="0" t="n">
        <v>1.06828462515883</v>
      </c>
      <c r="AT353" s="0" t="s">
        <v>326</v>
      </c>
    </row>
    <row r="354" customFormat="false" ht="19.4" hidden="false" customHeight="false" outlineLevel="0" collapsed="false">
      <c r="A354" s="198"/>
      <c r="B354" s="223"/>
      <c r="C354" s="241"/>
      <c r="D354" s="224" t="n">
        <v>451</v>
      </c>
      <c r="E354" s="225" t="n">
        <v>45824</v>
      </c>
      <c r="F354" s="223" t="n">
        <v>27440</v>
      </c>
      <c r="G354" s="223" t="n">
        <v>6410</v>
      </c>
      <c r="H354" s="226" t="n">
        <v>21030</v>
      </c>
      <c r="I354" s="223" t="n">
        <v>6410</v>
      </c>
      <c r="J354" s="198" t="s">
        <v>899</v>
      </c>
      <c r="K354" s="198" t="s">
        <v>909</v>
      </c>
      <c r="L354" s="198" t="n">
        <v>44</v>
      </c>
      <c r="M354" s="189" t="s">
        <v>427</v>
      </c>
      <c r="N354" s="198"/>
      <c r="O354" s="198"/>
      <c r="P354" s="198"/>
      <c r="Q354" s="198"/>
      <c r="R354" s="198" t="s">
        <v>431</v>
      </c>
      <c r="S354" s="198"/>
      <c r="T354" s="246" t="n">
        <v>50</v>
      </c>
      <c r="U354" s="195" t="str">
        <f aca="false">Таблица310[[#This Row],[Регистратор.Номенклатура]]</f>
        <v>Вольф</v>
      </c>
      <c r="V354" s="230" t="n">
        <f aca="false">12.7*Таблица310[[#This Row],[Регистратор.Вес нетто]]/78700</f>
        <v>1.03439644218551</v>
      </c>
      <c r="W354" s="198" t="s">
        <v>326</v>
      </c>
      <c r="X354" s="198" t="s">
        <v>315</v>
      </c>
      <c r="Y354" s="198" t="n">
        <v>7</v>
      </c>
      <c r="Z354" s="200" t="n">
        <v>45824</v>
      </c>
      <c r="AA354" s="198"/>
      <c r="AB354" s="198"/>
      <c r="AC354" s="198" t="s">
        <v>276</v>
      </c>
      <c r="AD354" s="198" t="s">
        <v>886</v>
      </c>
      <c r="AE354" s="198" t="n">
        <v>451</v>
      </c>
      <c r="AF354" s="200" t="n">
        <v>45824</v>
      </c>
      <c r="AG354" s="198" t="s">
        <v>913</v>
      </c>
      <c r="AH354" s="198" t="n">
        <f aca="false">VLOOKUP(Таблица310[[#This Row],[№ акта]],'Степень зрелости 2025'!$H$13:$I$583,2,FALSE())</f>
        <v>0</v>
      </c>
      <c r="AI354" s="198" t="n">
        <f aca="false">VLOOKUP(Таблица310[[#This Row],[№ акта]],$AQ$1:$AT$594,2,FALSE())</f>
        <v>50</v>
      </c>
      <c r="AJ354" s="198" t="str">
        <f aca="false">Таблица310[[#This Row],[Регистратор.Номенклатура]]</f>
        <v>Вольф</v>
      </c>
      <c r="AK354" s="198" t="str">
        <f aca="false">VLOOKUP(Таблица310[[#This Row],[№ акта]],$AQ$1:$AT$594,4,FALSE())</f>
        <v>Братковский (полив)</v>
      </c>
      <c r="AL354" s="230" t="n">
        <f aca="false">VLOOKUP(Таблица310[[#This Row],[№ акта]],$AQ$1:$AT$594,3,FALSE())</f>
        <v>1.03439644218551</v>
      </c>
      <c r="AM354" s="198" t="str">
        <f aca="false">IF(Таблица310[[#This Row],[Площадь уборки, га]]=Таблица310[[#This Row],[Площадь уборки до корр]],"нет","да")</f>
        <v>нет</v>
      </c>
      <c r="AN354" s="230" t="n">
        <f aca="false">Таблица310[[#This Row],[Площадь уборки до корр]]-Таблица310[[#This Row],[Площадь уборки, га]]</f>
        <v>0</v>
      </c>
      <c r="AQ354" s="0" t="n">
        <v>451</v>
      </c>
      <c r="AR354" s="0" t="n">
        <v>50</v>
      </c>
      <c r="AS354" s="0" t="n">
        <v>1.03439644218551</v>
      </c>
      <c r="AT354" s="0" t="s">
        <v>326</v>
      </c>
    </row>
    <row r="355" customFormat="false" ht="28.35" hidden="false" customHeight="false" outlineLevel="0" collapsed="false">
      <c r="A355" s="198"/>
      <c r="B355" s="223"/>
      <c r="C355" s="241"/>
      <c r="D355" s="224" t="n">
        <v>452</v>
      </c>
      <c r="E355" s="225" t="n">
        <v>45824</v>
      </c>
      <c r="F355" s="223" t="n">
        <v>29040</v>
      </c>
      <c r="G355" s="223" t="n">
        <v>13510</v>
      </c>
      <c r="H355" s="226" t="n">
        <v>15530</v>
      </c>
      <c r="I355" s="223" t="n">
        <v>13510</v>
      </c>
      <c r="J355" s="198" t="s">
        <v>899</v>
      </c>
      <c r="K355" s="198" t="s">
        <v>909</v>
      </c>
      <c r="L355" s="198" t="n">
        <v>44</v>
      </c>
      <c r="M355" s="189" t="s">
        <v>445</v>
      </c>
      <c r="N355" s="198"/>
      <c r="O355" s="198"/>
      <c r="P355" s="198"/>
      <c r="Q355" s="198"/>
      <c r="R355" s="198" t="s">
        <v>449</v>
      </c>
      <c r="S355" s="198"/>
      <c r="T355" s="228" t="s">
        <v>905</v>
      </c>
      <c r="U355" s="195" t="str">
        <f aca="false">Таблица310[[#This Row],[Регистратор.Номенклатура]]</f>
        <v>Вольф</v>
      </c>
      <c r="V355" s="230" t="n">
        <f aca="false">30.4*Таблица310[[#This Row],[Регистратор.Вес нетто]]/67190</f>
        <v>6.11257627623158</v>
      </c>
      <c r="W355" s="198" t="s">
        <v>327</v>
      </c>
      <c r="X355" s="198" t="s">
        <v>315</v>
      </c>
      <c r="Y355" s="198" t="n">
        <v>7</v>
      </c>
      <c r="Z355" s="200" t="n">
        <v>45824</v>
      </c>
      <c r="AA355" s="198"/>
      <c r="AB355" s="198"/>
      <c r="AC355" s="198" t="s">
        <v>276</v>
      </c>
      <c r="AD355" s="198" t="s">
        <v>886</v>
      </c>
      <c r="AE355" s="198" t="n">
        <v>452</v>
      </c>
      <c r="AF355" s="200" t="n">
        <v>45824</v>
      </c>
      <c r="AG355" s="198" t="s">
        <v>914</v>
      </c>
      <c r="AH355" s="198" t="n">
        <f aca="false">VLOOKUP(Таблица310[[#This Row],[№ акта]],'Степень зрелости 2025'!$H$13:$I$583,2,FALSE())</f>
        <v>0</v>
      </c>
      <c r="AI355" s="198" t="str">
        <f aca="false">VLOOKUP(Таблица310[[#This Row],[№ акта]],$AQ$1:$AT$594,2,FALSE())</f>
        <v>закупка</v>
      </c>
      <c r="AJ355" s="198" t="str">
        <f aca="false">Таблица310[[#This Row],[Регистратор.Номенклатура]]</f>
        <v>Вольф</v>
      </c>
      <c r="AK355" s="198" t="str">
        <f aca="false">VLOOKUP(Таблица310[[#This Row],[№ акта]],$AQ$1:$AT$594,4,FALSE())</f>
        <v>Братковский закупка (полив)</v>
      </c>
      <c r="AL355" s="230" t="n">
        <f aca="false">VLOOKUP(Таблица310[[#This Row],[№ акта]],$AQ$1:$AT$594,3,FALSE())</f>
        <v>6.11257627623158</v>
      </c>
      <c r="AM355" s="198" t="str">
        <f aca="false">IF(Таблица310[[#This Row],[Площадь уборки, га]]=Таблица310[[#This Row],[Площадь уборки до корр]],"нет","да")</f>
        <v>нет</v>
      </c>
      <c r="AN355" s="230" t="n">
        <f aca="false">Таблица310[[#This Row],[Площадь уборки до корр]]-Таблица310[[#This Row],[Площадь уборки, га]]</f>
        <v>0</v>
      </c>
      <c r="AQ355" s="0" t="n">
        <v>452</v>
      </c>
      <c r="AR355" s="0" t="s">
        <v>905</v>
      </c>
      <c r="AS355" s="0" t="n">
        <v>6.11257627623158</v>
      </c>
      <c r="AT355" s="0" t="s">
        <v>327</v>
      </c>
    </row>
    <row r="356" customFormat="false" ht="19.4" hidden="false" customHeight="false" outlineLevel="0" collapsed="false">
      <c r="A356" s="198"/>
      <c r="B356" s="223"/>
      <c r="C356" s="241"/>
      <c r="D356" s="224" t="n">
        <v>453</v>
      </c>
      <c r="E356" s="225" t="n">
        <v>45824</v>
      </c>
      <c r="F356" s="223" t="n">
        <v>21600</v>
      </c>
      <c r="G356" s="223" t="n">
        <v>6520</v>
      </c>
      <c r="H356" s="226" t="n">
        <v>15080</v>
      </c>
      <c r="I356" s="223" t="n">
        <v>6520</v>
      </c>
      <c r="J356" s="198" t="s">
        <v>899</v>
      </c>
      <c r="K356" s="198" t="s">
        <v>909</v>
      </c>
      <c r="L356" s="198" t="n">
        <v>44</v>
      </c>
      <c r="M356" s="189" t="s">
        <v>451</v>
      </c>
      <c r="N356" s="198"/>
      <c r="O356" s="198"/>
      <c r="P356" s="198"/>
      <c r="Q356" s="198"/>
      <c r="R356" s="198" t="s">
        <v>455</v>
      </c>
      <c r="S356" s="198"/>
      <c r="T356" s="246" t="n">
        <v>50</v>
      </c>
      <c r="U356" s="195" t="str">
        <f aca="false">Таблица310[[#This Row],[Регистратор.Номенклатура]]</f>
        <v>Вольф</v>
      </c>
      <c r="V356" s="230" t="n">
        <f aca="false">12.7*Таблица310[[#This Row],[Регистратор.Вес нетто]]/78700</f>
        <v>1.05214739517154</v>
      </c>
      <c r="W356" s="198" t="s">
        <v>326</v>
      </c>
      <c r="X356" s="198" t="s">
        <v>315</v>
      </c>
      <c r="Y356" s="198" t="n">
        <v>7</v>
      </c>
      <c r="Z356" s="200" t="n">
        <v>45824</v>
      </c>
      <c r="AA356" s="198"/>
      <c r="AB356" s="198"/>
      <c r="AC356" s="198" t="s">
        <v>276</v>
      </c>
      <c r="AD356" s="198" t="s">
        <v>886</v>
      </c>
      <c r="AE356" s="198" t="n">
        <v>453</v>
      </c>
      <c r="AF356" s="200" t="n">
        <v>45824</v>
      </c>
      <c r="AG356" s="198" t="s">
        <v>915</v>
      </c>
      <c r="AH356" s="198" t="n">
        <f aca="false">VLOOKUP(Таблица310[[#This Row],[№ акта]],'Степень зрелости 2025'!$H$13:$I$583,2,FALSE())</f>
        <v>0</v>
      </c>
      <c r="AI356" s="198" t="n">
        <f aca="false">VLOOKUP(Таблица310[[#This Row],[№ акта]],$AQ$1:$AT$594,2,FALSE())</f>
        <v>50</v>
      </c>
      <c r="AJ356" s="198" t="str">
        <f aca="false">Таблица310[[#This Row],[Регистратор.Номенклатура]]</f>
        <v>Вольф</v>
      </c>
      <c r="AK356" s="198" t="str">
        <f aca="false">VLOOKUP(Таблица310[[#This Row],[№ акта]],$AQ$1:$AT$594,4,FALSE())</f>
        <v>Братковский (полив)</v>
      </c>
      <c r="AL356" s="230" t="n">
        <f aca="false">VLOOKUP(Таблица310[[#This Row],[№ акта]],$AQ$1:$AT$594,3,FALSE())</f>
        <v>1.05214739517154</v>
      </c>
      <c r="AM356" s="198" t="str">
        <f aca="false">IF(Таблица310[[#This Row],[Площадь уборки, га]]=Таблица310[[#This Row],[Площадь уборки до корр]],"нет","да")</f>
        <v>нет</v>
      </c>
      <c r="AN356" s="230" t="n">
        <f aca="false">Таблица310[[#This Row],[Площадь уборки до корр]]-Таблица310[[#This Row],[Площадь уборки, га]]</f>
        <v>0</v>
      </c>
      <c r="AQ356" s="0" t="n">
        <v>453</v>
      </c>
      <c r="AR356" s="0" t="n">
        <v>50</v>
      </c>
      <c r="AS356" s="0" t="n">
        <v>1.05214739517154</v>
      </c>
      <c r="AT356" s="0" t="s">
        <v>326</v>
      </c>
    </row>
    <row r="357" customFormat="false" ht="19.4" hidden="false" customHeight="false" outlineLevel="0" collapsed="false">
      <c r="A357" s="198"/>
      <c r="B357" s="223"/>
      <c r="C357" s="241" t="n">
        <f aca="false">Таблица310[[#This Row],[Степень зрелости вспом]]</f>
        <v>51</v>
      </c>
      <c r="D357" s="224" t="n">
        <v>454</v>
      </c>
      <c r="E357" s="225" t="n">
        <v>45826</v>
      </c>
      <c r="F357" s="223" t="n">
        <v>28510</v>
      </c>
      <c r="G357" s="223" t="n">
        <v>13520</v>
      </c>
      <c r="H357" s="226" t="n">
        <v>14990</v>
      </c>
      <c r="I357" s="223" t="n">
        <v>12641.2</v>
      </c>
      <c r="J357" s="198" t="s">
        <v>908</v>
      </c>
      <c r="K357" s="198" t="s">
        <v>904</v>
      </c>
      <c r="L357" s="198" t="n">
        <v>15</v>
      </c>
      <c r="M357" s="189" t="s">
        <v>433</v>
      </c>
      <c r="N357" s="198"/>
      <c r="O357" s="198"/>
      <c r="P357" s="198"/>
      <c r="Q357" s="198"/>
      <c r="R357" s="198" t="s">
        <v>437</v>
      </c>
      <c r="S357" s="198"/>
      <c r="T357" s="198" t="n">
        <v>15</v>
      </c>
      <c r="U357" s="195" t="str">
        <f aca="false">Таблица310[[#This Row],[Регистратор.Номенклатура]]</f>
        <v>Тристар</v>
      </c>
      <c r="V357" s="230" t="n">
        <f aca="false">36*Таблица310[[#This Row],[Регистратор.Вес нетто]]/277060</f>
        <v>1.75673139392189</v>
      </c>
      <c r="W357" s="198" t="s">
        <v>278</v>
      </c>
      <c r="X357" s="198" t="s">
        <v>315</v>
      </c>
      <c r="Y357" s="198" t="n">
        <v>3</v>
      </c>
      <c r="Z357" s="200" t="n">
        <v>45825</v>
      </c>
      <c r="AA357" s="198"/>
      <c r="AB357" s="198"/>
      <c r="AC357" s="198" t="s">
        <v>53</v>
      </c>
      <c r="AD357" s="198" t="s">
        <v>417</v>
      </c>
      <c r="AE357" s="198" t="n">
        <v>454</v>
      </c>
      <c r="AF357" s="200" t="n">
        <v>45826</v>
      </c>
      <c r="AG357" s="198" t="s">
        <v>906</v>
      </c>
      <c r="AH357" s="198" t="n">
        <f aca="false">VLOOKUP(Таблица310[[#This Row],[№ акта]],'Степень зрелости 2025'!$H$13:$I$583,2,FALSE())</f>
        <v>51</v>
      </c>
      <c r="AI357" s="198" t="n">
        <f aca="false">VLOOKUP(Таблица310[[#This Row],[№ акта]],$AQ$1:$AT$594,2,FALSE())</f>
        <v>15</v>
      </c>
      <c r="AJ357" s="198" t="str">
        <f aca="false">Таблица310[[#This Row],[Регистратор.Номенклатура]]</f>
        <v>Тристар</v>
      </c>
      <c r="AK357" s="198" t="str">
        <f aca="false">VLOOKUP(Таблица310[[#This Row],[№ акта]],$AQ$1:$AT$594,4,FALSE())</f>
        <v>Агролидер (полив)</v>
      </c>
      <c r="AL357" s="230" t="n">
        <f aca="false">VLOOKUP(Таблица310[[#This Row],[№ акта]],$AQ$1:$AT$594,3,FALSE())</f>
        <v>1.75673139392189</v>
      </c>
      <c r="AM357" s="198" t="str">
        <f aca="false">IF(Таблица310[[#This Row],[Площадь уборки, га]]=Таблица310[[#This Row],[Площадь уборки до корр]],"нет","да")</f>
        <v>нет</v>
      </c>
      <c r="AN357" s="230" t="n">
        <f aca="false">Таблица310[[#This Row],[Площадь уборки до корр]]-Таблица310[[#This Row],[Площадь уборки, га]]</f>
        <v>0</v>
      </c>
      <c r="AQ357" s="0" t="n">
        <v>454</v>
      </c>
      <c r="AR357" s="0" t="n">
        <v>15</v>
      </c>
      <c r="AS357" s="0" t="n">
        <v>1.75673139392189</v>
      </c>
      <c r="AT357" s="0" t="s">
        <v>278</v>
      </c>
    </row>
    <row r="358" customFormat="false" ht="28.35" hidden="false" customHeight="false" outlineLevel="0" collapsed="false">
      <c r="A358" s="198"/>
      <c r="B358" s="223"/>
      <c r="C358" s="241" t="n">
        <f aca="false">Таблица310[[#This Row],[Степень зрелости вспом]]</f>
        <v>68</v>
      </c>
      <c r="D358" s="224" t="n">
        <v>455</v>
      </c>
      <c r="E358" s="225" t="n">
        <v>45824</v>
      </c>
      <c r="F358" s="223" t="n">
        <v>27790</v>
      </c>
      <c r="G358" s="223" t="n">
        <v>6630</v>
      </c>
      <c r="H358" s="226" t="n">
        <v>21160</v>
      </c>
      <c r="I358" s="223" t="n">
        <v>5668.6</v>
      </c>
      <c r="J358" s="198" t="s">
        <v>899</v>
      </c>
      <c r="K358" s="198" t="s">
        <v>909</v>
      </c>
      <c r="L358" s="198" t="n">
        <v>44</v>
      </c>
      <c r="M358" s="189" t="s">
        <v>363</v>
      </c>
      <c r="N358" s="198"/>
      <c r="O358" s="198"/>
      <c r="P358" s="198"/>
      <c r="Q358" s="198"/>
      <c r="R358" s="198" t="s">
        <v>364</v>
      </c>
      <c r="S358" s="198"/>
      <c r="T358" s="228" t="s">
        <v>905</v>
      </c>
      <c r="U358" s="195" t="str">
        <f aca="false">Таблица310[[#This Row],[Регистратор.Номенклатура]]</f>
        <v>Вольф</v>
      </c>
      <c r="V358" s="230" t="n">
        <f aca="false">30.4*Таблица310[[#This Row],[Регистратор.Вес нетто]]/67190</f>
        <v>2.99973210299152</v>
      </c>
      <c r="W358" s="198" t="s">
        <v>327</v>
      </c>
      <c r="X358" s="198" t="s">
        <v>315</v>
      </c>
      <c r="Y358" s="198" t="n">
        <v>7</v>
      </c>
      <c r="Z358" s="200" t="n">
        <v>45824</v>
      </c>
      <c r="AA358" s="198"/>
      <c r="AB358" s="198"/>
      <c r="AC358" s="198" t="s">
        <v>305</v>
      </c>
      <c r="AD358" s="198" t="s">
        <v>746</v>
      </c>
      <c r="AE358" s="198" t="n">
        <v>455</v>
      </c>
      <c r="AF358" s="200" t="n">
        <v>45824</v>
      </c>
      <c r="AG358" s="198" t="s">
        <v>906</v>
      </c>
      <c r="AH358" s="198" t="n">
        <f aca="false">VLOOKUP(Таблица310[[#This Row],[№ акта]],'Степень зрелости 2025'!$H$13:$I$583,2,FALSE())</f>
        <v>68</v>
      </c>
      <c r="AI358" s="198" t="str">
        <f aca="false">VLOOKUP(Таблица310[[#This Row],[№ акта]],$AQ$1:$AT$594,2,FALSE())</f>
        <v>закупка</v>
      </c>
      <c r="AJ358" s="198" t="str">
        <f aca="false">Таблица310[[#This Row],[Регистратор.Номенклатура]]</f>
        <v>Вольф</v>
      </c>
      <c r="AK358" s="198" t="str">
        <f aca="false">VLOOKUP(Таблица310[[#This Row],[№ акта]],$AQ$1:$AT$594,4,FALSE())</f>
        <v>Братковский закупка (полив)</v>
      </c>
      <c r="AL358" s="230" t="n">
        <f aca="false">VLOOKUP(Таблица310[[#This Row],[№ акта]],$AQ$1:$AT$594,3,FALSE())</f>
        <v>2.99973210299152</v>
      </c>
      <c r="AM358" s="198" t="str">
        <f aca="false">IF(Таблица310[[#This Row],[Площадь уборки, га]]=Таблица310[[#This Row],[Площадь уборки до корр]],"нет","да")</f>
        <v>нет</v>
      </c>
      <c r="AN358" s="230" t="n">
        <f aca="false">Таблица310[[#This Row],[Площадь уборки до корр]]-Таблица310[[#This Row],[Площадь уборки, га]]</f>
        <v>0</v>
      </c>
      <c r="AQ358" s="0" t="n">
        <v>455</v>
      </c>
      <c r="AR358" s="0" t="s">
        <v>905</v>
      </c>
      <c r="AS358" s="0" t="n">
        <v>2.99973210299152</v>
      </c>
      <c r="AT358" s="0" t="s">
        <v>327</v>
      </c>
    </row>
    <row r="359" customFormat="false" ht="28.35" hidden="false" customHeight="false" outlineLevel="0" collapsed="false">
      <c r="A359" s="198"/>
      <c r="B359" s="223"/>
      <c r="C359" s="241" t="n">
        <f aca="false">Таблица310[[#This Row],[Степень зрелости вспом]]</f>
        <v>68</v>
      </c>
      <c r="D359" s="224" t="n">
        <v>456</v>
      </c>
      <c r="E359" s="225" t="n">
        <v>45824</v>
      </c>
      <c r="F359" s="223" t="n">
        <v>28260</v>
      </c>
      <c r="G359" s="223" t="n">
        <v>6650</v>
      </c>
      <c r="H359" s="226" t="n">
        <v>21610</v>
      </c>
      <c r="I359" s="223" t="n">
        <v>6151.2</v>
      </c>
      <c r="J359" s="198" t="s">
        <v>899</v>
      </c>
      <c r="K359" s="198" t="s">
        <v>909</v>
      </c>
      <c r="L359" s="198" t="n">
        <v>44</v>
      </c>
      <c r="M359" s="189" t="s">
        <v>451</v>
      </c>
      <c r="N359" s="198"/>
      <c r="O359" s="198"/>
      <c r="P359" s="198"/>
      <c r="Q359" s="198"/>
      <c r="R359" s="198" t="s">
        <v>455</v>
      </c>
      <c r="S359" s="198"/>
      <c r="T359" s="228" t="s">
        <v>905</v>
      </c>
      <c r="U359" s="195" t="str">
        <f aca="false">Таблица310[[#This Row],[Регистратор.Номенклатура]]</f>
        <v>Вольф</v>
      </c>
      <c r="V359" s="230" t="n">
        <f aca="false">30.4*Таблица310[[#This Row],[Регистратор.Вес нетто]]/67190</f>
        <v>3.0087810686114</v>
      </c>
      <c r="W359" s="198" t="s">
        <v>327</v>
      </c>
      <c r="X359" s="198" t="s">
        <v>315</v>
      </c>
      <c r="Y359" s="198" t="n">
        <v>7</v>
      </c>
      <c r="Z359" s="200" t="n">
        <v>45824</v>
      </c>
      <c r="AA359" s="198"/>
      <c r="AB359" s="198"/>
      <c r="AC359" s="198" t="s">
        <v>305</v>
      </c>
      <c r="AD359" s="198" t="s">
        <v>746</v>
      </c>
      <c r="AE359" s="198" t="n">
        <v>456</v>
      </c>
      <c r="AF359" s="200" t="n">
        <v>45824</v>
      </c>
      <c r="AG359" s="198" t="n">
        <v>90</v>
      </c>
      <c r="AH359" s="198" t="n">
        <f aca="false">VLOOKUP(Таблица310[[#This Row],[№ акта]],'Степень зрелости 2025'!$H$13:$I$583,2,FALSE())</f>
        <v>68</v>
      </c>
      <c r="AI359" s="198" t="str">
        <f aca="false">VLOOKUP(Таблица310[[#This Row],[№ акта]],$AQ$1:$AT$594,2,FALSE())</f>
        <v>закупка</v>
      </c>
      <c r="AJ359" s="198" t="str">
        <f aca="false">Таблица310[[#This Row],[Регистратор.Номенклатура]]</f>
        <v>Вольф</v>
      </c>
      <c r="AK359" s="198" t="str">
        <f aca="false">VLOOKUP(Таблица310[[#This Row],[№ акта]],$AQ$1:$AT$594,4,FALSE())</f>
        <v>Братковский закупка (полив)</v>
      </c>
      <c r="AL359" s="230" t="n">
        <f aca="false">VLOOKUP(Таблица310[[#This Row],[№ акта]],$AQ$1:$AT$594,3,FALSE())</f>
        <v>3.0087810686114</v>
      </c>
      <c r="AM359" s="198" t="str">
        <f aca="false">IF(Таблица310[[#This Row],[Площадь уборки, га]]=Таблица310[[#This Row],[Площадь уборки до корр]],"нет","да")</f>
        <v>нет</v>
      </c>
      <c r="AN359" s="230" t="n">
        <f aca="false">Таблица310[[#This Row],[Площадь уборки до корр]]-Таблица310[[#This Row],[Площадь уборки, га]]</f>
        <v>0</v>
      </c>
      <c r="AQ359" s="0" t="n">
        <v>456</v>
      </c>
      <c r="AR359" s="0" t="s">
        <v>905</v>
      </c>
      <c r="AS359" s="0" t="n">
        <v>3.0087810686114</v>
      </c>
      <c r="AT359" s="0" t="s">
        <v>327</v>
      </c>
    </row>
    <row r="360" customFormat="false" ht="28.35" hidden="false" customHeight="false" outlineLevel="0" collapsed="false">
      <c r="A360" s="198"/>
      <c r="B360" s="223"/>
      <c r="C360" s="241" t="n">
        <f aca="false">Таблица310[[#This Row],[Степень зрелости вспом]]</f>
        <v>66</v>
      </c>
      <c r="D360" s="224" t="n">
        <v>457</v>
      </c>
      <c r="E360" s="225" t="n">
        <v>45824</v>
      </c>
      <c r="F360" s="223" t="n">
        <v>34230</v>
      </c>
      <c r="G360" s="223" t="n">
        <v>6740</v>
      </c>
      <c r="H360" s="226" t="n">
        <v>27490</v>
      </c>
      <c r="I360" s="223" t="n">
        <v>5830.1</v>
      </c>
      <c r="J360" s="198" t="s">
        <v>899</v>
      </c>
      <c r="K360" s="198" t="s">
        <v>909</v>
      </c>
      <c r="L360" s="198" t="n">
        <v>44</v>
      </c>
      <c r="M360" s="189" t="s">
        <v>427</v>
      </c>
      <c r="N360" s="198"/>
      <c r="O360" s="198"/>
      <c r="P360" s="198"/>
      <c r="Q360" s="198"/>
      <c r="R360" s="198" t="s">
        <v>431</v>
      </c>
      <c r="S360" s="198"/>
      <c r="T360" s="228" t="s">
        <v>905</v>
      </c>
      <c r="U360" s="195" t="str">
        <f aca="false">Таблица310[[#This Row],[Регистратор.Номенклатура]]</f>
        <v>Вольф</v>
      </c>
      <c r="V360" s="230" t="n">
        <f aca="false">30.4*Таблица310[[#This Row],[Регистратор.Вес нетто]]/67190</f>
        <v>3.04950141390088</v>
      </c>
      <c r="W360" s="198" t="s">
        <v>327</v>
      </c>
      <c r="X360" s="198" t="s">
        <v>315</v>
      </c>
      <c r="Y360" s="198" t="n">
        <v>7</v>
      </c>
      <c r="Z360" s="200" t="n">
        <v>45824</v>
      </c>
      <c r="AA360" s="198"/>
      <c r="AB360" s="198"/>
      <c r="AC360" s="198" t="s">
        <v>304</v>
      </c>
      <c r="AD360" s="198" t="s">
        <v>746</v>
      </c>
      <c r="AE360" s="198" t="n">
        <v>457</v>
      </c>
      <c r="AF360" s="200" t="n">
        <v>45824</v>
      </c>
      <c r="AG360" s="198" t="n">
        <v>92</v>
      </c>
      <c r="AH360" s="198" t="n">
        <f aca="false">VLOOKUP(Таблица310[[#This Row],[№ акта]],'Степень зрелости 2025'!$H$13:$I$583,2,FALSE())</f>
        <v>66</v>
      </c>
      <c r="AI360" s="198" t="str">
        <f aca="false">VLOOKUP(Таблица310[[#This Row],[№ акта]],$AQ$1:$AT$594,2,FALSE())</f>
        <v>закупка</v>
      </c>
      <c r="AJ360" s="198" t="str">
        <f aca="false">Таблица310[[#This Row],[Регистратор.Номенклатура]]</f>
        <v>Вольф</v>
      </c>
      <c r="AK360" s="198" t="str">
        <f aca="false">VLOOKUP(Таблица310[[#This Row],[№ акта]],$AQ$1:$AT$594,4,FALSE())</f>
        <v>Братковский закупка (полив)</v>
      </c>
      <c r="AL360" s="230" t="n">
        <f aca="false">VLOOKUP(Таблица310[[#This Row],[№ акта]],$AQ$1:$AT$594,3,FALSE())</f>
        <v>3.04950141390088</v>
      </c>
      <c r="AM360" s="198" t="str">
        <f aca="false">IF(Таблица310[[#This Row],[Площадь уборки, га]]=Таблица310[[#This Row],[Площадь уборки до корр]],"нет","да")</f>
        <v>нет</v>
      </c>
      <c r="AN360" s="230" t="n">
        <f aca="false">Таблица310[[#This Row],[Площадь уборки до корр]]-Таблица310[[#This Row],[Площадь уборки, га]]</f>
        <v>0</v>
      </c>
      <c r="AQ360" s="0" t="n">
        <v>457</v>
      </c>
      <c r="AR360" s="0" t="s">
        <v>905</v>
      </c>
      <c r="AS360" s="0" t="n">
        <v>3.04950141390088</v>
      </c>
      <c r="AT360" s="0" t="s">
        <v>327</v>
      </c>
    </row>
    <row r="361" customFormat="false" ht="28.35" hidden="false" customHeight="false" outlineLevel="0" collapsed="false">
      <c r="A361" s="198"/>
      <c r="B361" s="223"/>
      <c r="C361" s="241" t="n">
        <v>53</v>
      </c>
      <c r="D361" s="224" t="n">
        <v>458</v>
      </c>
      <c r="E361" s="225" t="n">
        <v>45826</v>
      </c>
      <c r="F361" s="223" t="n">
        <v>28350</v>
      </c>
      <c r="G361" s="223" t="n">
        <v>13310</v>
      </c>
      <c r="H361" s="226" t="n">
        <v>15040</v>
      </c>
      <c r="I361" s="223" t="n">
        <v>11646.2</v>
      </c>
      <c r="J361" s="198" t="s">
        <v>908</v>
      </c>
      <c r="K361" s="198" t="s">
        <v>904</v>
      </c>
      <c r="L361" s="198" t="n">
        <v>15</v>
      </c>
      <c r="M361" s="189" t="s">
        <v>371</v>
      </c>
      <c r="N361" s="198"/>
      <c r="O361" s="198"/>
      <c r="P361" s="198"/>
      <c r="Q361" s="198"/>
      <c r="R361" s="198" t="s">
        <v>372</v>
      </c>
      <c r="S361" s="198"/>
      <c r="T361" s="198" t="n">
        <v>15</v>
      </c>
      <c r="U361" s="195" t="str">
        <f aca="false">Таблица310[[#This Row],[Регистратор.Номенклатура]]</f>
        <v>Тристар</v>
      </c>
      <c r="V361" s="230" t="n">
        <f aca="false">36*Таблица310[[#This Row],[Регистратор.Вес нетто]]/277060</f>
        <v>1.72944488558435</v>
      </c>
      <c r="W361" s="198" t="s">
        <v>278</v>
      </c>
      <c r="X361" s="198" t="s">
        <v>315</v>
      </c>
      <c r="Y361" s="198" t="n">
        <v>3</v>
      </c>
      <c r="Z361" s="200" t="n">
        <v>45825</v>
      </c>
      <c r="AA361" s="198"/>
      <c r="AB361" s="198"/>
      <c r="AC361" s="198" t="s">
        <v>302</v>
      </c>
      <c r="AD361" s="198" t="s">
        <v>417</v>
      </c>
      <c r="AE361" s="198" t="n">
        <v>458</v>
      </c>
      <c r="AF361" s="200" t="n">
        <v>45826</v>
      </c>
      <c r="AG361" s="198" t="s">
        <v>906</v>
      </c>
      <c r="AH361" s="198" t="e">
        <f aca="false">VLOOKUP(Таблица310[[#This Row],[№ акта]],'Степень зрелости 2025'!$H$13:$I$583,2,FALSE())</f>
        <v>#N/A</v>
      </c>
      <c r="AI361" s="198" t="n">
        <f aca="false">VLOOKUP(Таблица310[[#This Row],[№ акта]],$AQ$1:$AT$594,2,FALSE())</f>
        <v>15</v>
      </c>
      <c r="AJ361" s="198" t="str">
        <f aca="false">Таблица310[[#This Row],[Регистратор.Номенклатура]]</f>
        <v>Тристар</v>
      </c>
      <c r="AK361" s="198" t="str">
        <f aca="false">VLOOKUP(Таблица310[[#This Row],[№ акта]],$AQ$1:$AT$594,4,FALSE())</f>
        <v>Агролидер (полив)</v>
      </c>
      <c r="AL361" s="230" t="n">
        <f aca="false">VLOOKUP(Таблица310[[#This Row],[№ акта]],$AQ$1:$AT$594,3,FALSE())</f>
        <v>1.72944488558435</v>
      </c>
      <c r="AM361" s="198" t="str">
        <f aca="false">IF(Таблица310[[#This Row],[Площадь уборки, га]]=Таблица310[[#This Row],[Площадь уборки до корр]],"нет","да")</f>
        <v>нет</v>
      </c>
      <c r="AN361" s="230" t="n">
        <f aca="false">Таблица310[[#This Row],[Площадь уборки до корр]]-Таблица310[[#This Row],[Площадь уборки, га]]</f>
        <v>0</v>
      </c>
      <c r="AQ361" s="0" t="n">
        <v>458</v>
      </c>
      <c r="AR361" s="0" t="n">
        <v>15</v>
      </c>
      <c r="AS361" s="0" t="n">
        <v>1.72944488558435</v>
      </c>
      <c r="AT361" s="0" t="s">
        <v>278</v>
      </c>
    </row>
    <row r="362" customFormat="false" ht="28.35" hidden="false" customHeight="false" outlineLevel="0" collapsed="false">
      <c r="A362" s="198"/>
      <c r="B362" s="223"/>
      <c r="C362" s="241" t="n">
        <v>60</v>
      </c>
      <c r="D362" s="224" t="n">
        <v>459</v>
      </c>
      <c r="E362" s="225" t="n">
        <v>45824</v>
      </c>
      <c r="F362" s="223" t="n">
        <v>27700</v>
      </c>
      <c r="G362" s="223" t="n">
        <v>13260</v>
      </c>
      <c r="H362" s="226" t="n">
        <v>14440</v>
      </c>
      <c r="I362" s="223" t="n">
        <v>11669</v>
      </c>
      <c r="J362" s="198" t="s">
        <v>899</v>
      </c>
      <c r="K362" s="198" t="s">
        <v>909</v>
      </c>
      <c r="L362" s="198" t="n">
        <v>44</v>
      </c>
      <c r="M362" s="189" t="s">
        <v>395</v>
      </c>
      <c r="N362" s="198"/>
      <c r="O362" s="198"/>
      <c r="P362" s="198"/>
      <c r="Q362" s="198"/>
      <c r="R362" s="198" t="s">
        <v>566</v>
      </c>
      <c r="S362" s="198"/>
      <c r="T362" s="246" t="n">
        <v>50</v>
      </c>
      <c r="U362" s="195" t="str">
        <f aca="false">Таблица310[[#This Row],[Регистратор.Номенклатура]]</f>
        <v>Вольф</v>
      </c>
      <c r="V362" s="230" t="n">
        <f aca="false">12.7*Таблица310[[#This Row],[Регистратор.Вес нетто]]/78700</f>
        <v>2.13979669631512</v>
      </c>
      <c r="W362" s="198" t="s">
        <v>326</v>
      </c>
      <c r="X362" s="198" t="s">
        <v>315</v>
      </c>
      <c r="Y362" s="198" t="n">
        <v>7</v>
      </c>
      <c r="Z362" s="200" t="n">
        <v>45824</v>
      </c>
      <c r="AA362" s="231" t="n">
        <f aca="false">Таблица310[[#This Row],[Регистратор.Вес нетто]]</f>
        <v>13260</v>
      </c>
      <c r="AB362" s="198" t="s">
        <v>916</v>
      </c>
      <c r="AC362" s="198" t="s">
        <v>302</v>
      </c>
      <c r="AD362" s="198" t="s">
        <v>886</v>
      </c>
      <c r="AE362" s="198" t="n">
        <v>459</v>
      </c>
      <c r="AF362" s="200" t="n">
        <v>45824</v>
      </c>
      <c r="AG362" s="198" t="s">
        <v>917</v>
      </c>
      <c r="AH362" s="198" t="n">
        <f aca="false">VLOOKUP(Таблица310[[#This Row],[№ акта]],'Степень зрелости 2025'!$H$13:$I$583,2,FALSE())</f>
        <v>0</v>
      </c>
      <c r="AI362" s="198" t="n">
        <f aca="false">VLOOKUP(Таблица310[[#This Row],[№ акта]],$AQ$1:$AT$594,2,FALSE())</f>
        <v>50</v>
      </c>
      <c r="AJ362" s="198" t="str">
        <f aca="false">Таблица310[[#This Row],[Регистратор.Номенклатура]]</f>
        <v>Вольф</v>
      </c>
      <c r="AK362" s="198" t="str">
        <f aca="false">VLOOKUP(Таблица310[[#This Row],[№ акта]],$AQ$1:$AT$594,4,FALSE())</f>
        <v>Братковский (полив)</v>
      </c>
      <c r="AL362" s="230" t="n">
        <f aca="false">VLOOKUP(Таблица310[[#This Row],[№ акта]],$AQ$1:$AT$594,3,FALSE())</f>
        <v>2.13979669631512</v>
      </c>
      <c r="AM362" s="198" t="str">
        <f aca="false">IF(Таблица310[[#This Row],[Площадь уборки, га]]=Таблица310[[#This Row],[Площадь уборки до корр]],"нет","да")</f>
        <v>нет</v>
      </c>
      <c r="AN362" s="230" t="n">
        <f aca="false">Таблица310[[#This Row],[Площадь уборки до корр]]-Таблица310[[#This Row],[Площадь уборки, га]]</f>
        <v>0</v>
      </c>
      <c r="AQ362" s="0" t="n">
        <v>459</v>
      </c>
      <c r="AR362" s="0" t="n">
        <v>50</v>
      </c>
      <c r="AS362" s="0" t="n">
        <v>2.13979669631512</v>
      </c>
      <c r="AT362" s="0" t="s">
        <v>326</v>
      </c>
    </row>
    <row r="363" customFormat="false" ht="19.4" hidden="false" customHeight="false" outlineLevel="0" collapsed="false">
      <c r="A363" s="198"/>
      <c r="B363" s="223"/>
      <c r="C363" s="241" t="n">
        <v>71</v>
      </c>
      <c r="D363" s="224" t="n">
        <v>460</v>
      </c>
      <c r="E363" s="225" t="n">
        <v>45824</v>
      </c>
      <c r="F363" s="223" t="n">
        <v>28260</v>
      </c>
      <c r="G363" s="223" t="n">
        <v>13200</v>
      </c>
      <c r="H363" s="226" t="n">
        <v>15060</v>
      </c>
      <c r="I363" s="223" t="n">
        <v>11564</v>
      </c>
      <c r="J363" s="198" t="s">
        <v>899</v>
      </c>
      <c r="K363" s="198" t="s">
        <v>909</v>
      </c>
      <c r="L363" s="198" t="n">
        <v>44</v>
      </c>
      <c r="M363" s="189" t="s">
        <v>48</v>
      </c>
      <c r="N363" s="198"/>
      <c r="O363" s="198"/>
      <c r="P363" s="198"/>
      <c r="Q363" s="198"/>
      <c r="R363" s="198" t="s">
        <v>918</v>
      </c>
      <c r="S363" s="198"/>
      <c r="T363" s="246" t="n">
        <v>50</v>
      </c>
      <c r="U363" s="195" t="str">
        <f aca="false">Таблица310[[#This Row],[Регистратор.Номенклатура]]</f>
        <v>Вольф</v>
      </c>
      <c r="V363" s="230" t="n">
        <f aca="false">12.7*Таблица310[[#This Row],[Регистратор.Вес нетто]]/78700</f>
        <v>2.13011435832274</v>
      </c>
      <c r="W363" s="198" t="s">
        <v>326</v>
      </c>
      <c r="X363" s="198" t="s">
        <v>315</v>
      </c>
      <c r="Y363" s="198" t="n">
        <v>7</v>
      </c>
      <c r="Z363" s="200" t="n">
        <v>45824</v>
      </c>
      <c r="AA363" s="231" t="n">
        <f aca="false">Таблица310[[#This Row],[Регистратор.Вес нетто]]</f>
        <v>13200</v>
      </c>
      <c r="AB363" s="198" t="s">
        <v>916</v>
      </c>
      <c r="AC363" s="198" t="s">
        <v>305</v>
      </c>
      <c r="AD363" s="198" t="s">
        <v>886</v>
      </c>
      <c r="AE363" s="198" t="n">
        <v>460</v>
      </c>
      <c r="AF363" s="200" t="n">
        <v>45824</v>
      </c>
      <c r="AG363" s="198" t="s">
        <v>919</v>
      </c>
      <c r="AH363" s="198" t="n">
        <f aca="false">VLOOKUP(Таблица310[[#This Row],[№ акта]],'Степень зрелости 2025'!$H$13:$I$583,2,FALSE())</f>
        <v>0</v>
      </c>
      <c r="AI363" s="198" t="n">
        <f aca="false">VLOOKUP(Таблица310[[#This Row],[№ акта]],$AQ$1:$AT$594,2,FALSE())</f>
        <v>50</v>
      </c>
      <c r="AJ363" s="198" t="str">
        <f aca="false">Таблица310[[#This Row],[Регистратор.Номенклатура]]</f>
        <v>Вольф</v>
      </c>
      <c r="AK363" s="198" t="str">
        <f aca="false">VLOOKUP(Таблица310[[#This Row],[№ акта]],$AQ$1:$AT$594,4,FALSE())</f>
        <v>Братковский (полив)</v>
      </c>
      <c r="AL363" s="230" t="n">
        <f aca="false">VLOOKUP(Таблица310[[#This Row],[№ акта]],$AQ$1:$AT$594,3,FALSE())</f>
        <v>2.13011435832274</v>
      </c>
      <c r="AM363" s="198" t="str">
        <f aca="false">IF(Таблица310[[#This Row],[Площадь уборки, га]]=Таблица310[[#This Row],[Площадь уборки до корр]],"нет","да")</f>
        <v>нет</v>
      </c>
      <c r="AN363" s="230" t="n">
        <f aca="false">Таблица310[[#This Row],[Площадь уборки до корр]]-Таблица310[[#This Row],[Площадь уборки, га]]</f>
        <v>0</v>
      </c>
      <c r="AQ363" s="0" t="n">
        <v>460</v>
      </c>
      <c r="AR363" s="0" t="n">
        <v>50</v>
      </c>
      <c r="AS363" s="0" t="n">
        <v>2.13011435832274</v>
      </c>
      <c r="AT363" s="0" t="s">
        <v>326</v>
      </c>
    </row>
    <row r="364" customFormat="false" ht="28.35" hidden="false" customHeight="false" outlineLevel="0" collapsed="false">
      <c r="A364" s="198"/>
      <c r="B364" s="223"/>
      <c r="C364" s="241" t="n">
        <v>71</v>
      </c>
      <c r="D364" s="224" t="n">
        <v>461</v>
      </c>
      <c r="E364" s="225" t="n">
        <v>45825</v>
      </c>
      <c r="F364" s="223" t="n">
        <v>27900</v>
      </c>
      <c r="G364" s="223" t="n">
        <v>13440</v>
      </c>
      <c r="H364" s="226" t="n">
        <v>14460</v>
      </c>
      <c r="I364" s="223" t="n">
        <v>11397</v>
      </c>
      <c r="J364" s="198" t="s">
        <v>899</v>
      </c>
      <c r="K364" s="198" t="s">
        <v>909</v>
      </c>
      <c r="L364" s="198" t="n">
        <v>44</v>
      </c>
      <c r="M364" s="189" t="s">
        <v>395</v>
      </c>
      <c r="N364" s="198"/>
      <c r="O364" s="198"/>
      <c r="P364" s="198"/>
      <c r="Q364" s="198"/>
      <c r="R364" s="198" t="s">
        <v>566</v>
      </c>
      <c r="S364" s="198"/>
      <c r="T364" s="246" t="n">
        <v>50</v>
      </c>
      <c r="U364" s="195" t="str">
        <f aca="false">Таблица310[[#This Row],[Регистратор.Номенклатура]]</f>
        <v>Вольф</v>
      </c>
      <c r="V364" s="230" t="n">
        <f aca="false">12.7*Таблица310[[#This Row],[Регистратор.Вес нетто]]/78700</f>
        <v>2.16884371029225</v>
      </c>
      <c r="W364" s="198" t="s">
        <v>326</v>
      </c>
      <c r="X364" s="198" t="s">
        <v>315</v>
      </c>
      <c r="Y364" s="198" t="n">
        <v>7</v>
      </c>
      <c r="Z364" s="200" t="n">
        <v>45824</v>
      </c>
      <c r="AA364" s="231" t="n">
        <f aca="false">Таблица310[[#This Row],[Регистратор.Вес нетто]]</f>
        <v>13440</v>
      </c>
      <c r="AB364" s="198" t="s">
        <v>916</v>
      </c>
      <c r="AC364" s="198" t="s">
        <v>305</v>
      </c>
      <c r="AD364" s="198" t="s">
        <v>886</v>
      </c>
      <c r="AE364" s="198" t="n">
        <v>461</v>
      </c>
      <c r="AF364" s="200" t="n">
        <v>45825</v>
      </c>
      <c r="AG364" s="198" t="s">
        <v>920</v>
      </c>
      <c r="AH364" s="198" t="n">
        <f aca="false">VLOOKUP(Таблица310[[#This Row],[№ акта]],'Степень зрелости 2025'!$H$13:$I$583,2,FALSE())</f>
        <v>0</v>
      </c>
      <c r="AI364" s="198" t="n">
        <f aca="false">VLOOKUP(Таблица310[[#This Row],[№ акта]],$AQ$1:$AT$594,2,FALSE())</f>
        <v>50</v>
      </c>
      <c r="AJ364" s="198" t="str">
        <f aca="false">Таблица310[[#This Row],[Регистратор.Номенклатура]]</f>
        <v>Вольф</v>
      </c>
      <c r="AK364" s="198" t="str">
        <f aca="false">VLOOKUP(Таблица310[[#This Row],[№ акта]],$AQ$1:$AT$594,4,FALSE())</f>
        <v>Братковский (полив)</v>
      </c>
      <c r="AL364" s="230" t="n">
        <f aca="false">VLOOKUP(Таблица310[[#This Row],[№ акта]],$AQ$1:$AT$594,3,FALSE())</f>
        <v>2.16884371029225</v>
      </c>
      <c r="AM364" s="198" t="str">
        <f aca="false">IF(Таблица310[[#This Row],[Площадь уборки, га]]=Таблица310[[#This Row],[Площадь уборки до корр]],"нет","да")</f>
        <v>нет</v>
      </c>
      <c r="AN364" s="230" t="n">
        <f aca="false">Таблица310[[#This Row],[Площадь уборки до корр]]-Таблица310[[#This Row],[Площадь уборки, га]]</f>
        <v>0</v>
      </c>
      <c r="AQ364" s="0" t="n">
        <v>461</v>
      </c>
      <c r="AR364" s="0" t="n">
        <v>50</v>
      </c>
      <c r="AS364" s="0" t="n">
        <v>2.16884371029225</v>
      </c>
      <c r="AT364" s="0" t="s">
        <v>326</v>
      </c>
    </row>
    <row r="365" customFormat="false" ht="19.4" hidden="false" customHeight="false" outlineLevel="0" collapsed="false">
      <c r="A365" s="198"/>
      <c r="B365" s="223"/>
      <c r="C365" s="241" t="n">
        <v>53</v>
      </c>
      <c r="D365" s="224" t="n">
        <v>462</v>
      </c>
      <c r="E365" s="225" t="n">
        <v>45826</v>
      </c>
      <c r="F365" s="223" t="n">
        <v>27510</v>
      </c>
      <c r="G365" s="223" t="n">
        <v>12860</v>
      </c>
      <c r="H365" s="226" t="n">
        <v>14650</v>
      </c>
      <c r="I365" s="223" t="n">
        <v>12024.1</v>
      </c>
      <c r="J365" s="198" t="s">
        <v>908</v>
      </c>
      <c r="K365" s="198" t="s">
        <v>904</v>
      </c>
      <c r="L365" s="198" t="n">
        <v>15</v>
      </c>
      <c r="M365" s="189" t="s">
        <v>384</v>
      </c>
      <c r="N365" s="198"/>
      <c r="O365" s="198"/>
      <c r="P365" s="198"/>
      <c r="Q365" s="198"/>
      <c r="R365" s="198" t="s">
        <v>385</v>
      </c>
      <c r="S365" s="198"/>
      <c r="T365" s="198" t="n">
        <v>15</v>
      </c>
      <c r="U365" s="195" t="str">
        <f aca="false">Таблица310[[#This Row],[Регистратор.Номенклатура]]</f>
        <v>Тристар</v>
      </c>
      <c r="V365" s="230" t="n">
        <f aca="false">36*Таблица310[[#This Row],[Регистратор.Вес нетто]]/277060</f>
        <v>1.67097379628961</v>
      </c>
      <c r="W365" s="198" t="s">
        <v>278</v>
      </c>
      <c r="X365" s="198" t="s">
        <v>315</v>
      </c>
      <c r="Y365" s="198" t="n">
        <v>3</v>
      </c>
      <c r="Z365" s="200" t="n">
        <v>45825</v>
      </c>
      <c r="AA365" s="198"/>
      <c r="AB365" s="198"/>
      <c r="AC365" s="198" t="s">
        <v>302</v>
      </c>
      <c r="AD365" s="198" t="s">
        <v>417</v>
      </c>
      <c r="AE365" s="198" t="n">
        <v>462</v>
      </c>
      <c r="AF365" s="200" t="n">
        <v>45826</v>
      </c>
      <c r="AG365" s="198" t="s">
        <v>906</v>
      </c>
      <c r="AH365" s="198" t="e">
        <f aca="false">VLOOKUP(Таблица310[[#This Row],[№ акта]],'Степень зрелости 2025'!$H$13:$I$583,2,FALSE())</f>
        <v>#N/A</v>
      </c>
      <c r="AI365" s="198" t="n">
        <f aca="false">VLOOKUP(Таблица310[[#This Row],[№ акта]],$AQ$1:$AT$594,2,FALSE())</f>
        <v>15</v>
      </c>
      <c r="AJ365" s="198" t="str">
        <f aca="false">Таблица310[[#This Row],[Регистратор.Номенклатура]]</f>
        <v>Тристар</v>
      </c>
      <c r="AK365" s="198" t="str">
        <f aca="false">VLOOKUP(Таблица310[[#This Row],[№ акта]],$AQ$1:$AT$594,4,FALSE())</f>
        <v>Агролидер (полив)</v>
      </c>
      <c r="AL365" s="230" t="n">
        <f aca="false">VLOOKUP(Таблица310[[#This Row],[№ акта]],$AQ$1:$AT$594,3,FALSE())</f>
        <v>1.67097379628961</v>
      </c>
      <c r="AM365" s="198" t="str">
        <f aca="false">IF(Таблица310[[#This Row],[Площадь уборки, га]]=Таблица310[[#This Row],[Площадь уборки до корр]],"нет","да")</f>
        <v>нет</v>
      </c>
      <c r="AN365" s="230" t="n">
        <f aca="false">Таблица310[[#This Row],[Площадь уборки до корр]]-Таблица310[[#This Row],[Площадь уборки, га]]</f>
        <v>0</v>
      </c>
      <c r="AQ365" s="0" t="n">
        <v>462</v>
      </c>
      <c r="AR365" s="0" t="n">
        <v>15</v>
      </c>
      <c r="AS365" s="0" t="n">
        <v>1.67097379628961</v>
      </c>
      <c r="AT365" s="0" t="s">
        <v>278</v>
      </c>
    </row>
    <row r="366" customFormat="false" ht="19.4" hidden="false" customHeight="false" outlineLevel="0" collapsed="false">
      <c r="A366" s="198"/>
      <c r="B366" s="223"/>
      <c r="C366" s="241" t="n">
        <v>70</v>
      </c>
      <c r="D366" s="224" t="n">
        <v>463</v>
      </c>
      <c r="E366" s="225" t="n">
        <v>45825</v>
      </c>
      <c r="F366" s="223" t="n">
        <v>27960</v>
      </c>
      <c r="G366" s="223" t="n">
        <v>12920</v>
      </c>
      <c r="H366" s="226" t="n">
        <v>15040</v>
      </c>
      <c r="I366" s="223" t="n">
        <v>11479</v>
      </c>
      <c r="J366" s="198" t="s">
        <v>899</v>
      </c>
      <c r="K366" s="198" t="s">
        <v>909</v>
      </c>
      <c r="L366" s="198" t="n">
        <v>44</v>
      </c>
      <c r="M366" s="189" t="s">
        <v>511</v>
      </c>
      <c r="N366" s="198"/>
      <c r="O366" s="198"/>
      <c r="P366" s="198"/>
      <c r="Q366" s="198"/>
      <c r="R366" s="198" t="s">
        <v>515</v>
      </c>
      <c r="S366" s="198"/>
      <c r="T366" s="246" t="n">
        <v>50</v>
      </c>
      <c r="U366" s="195" t="str">
        <f aca="false">Таблица310[[#This Row],[Регистратор.Номенклатура]]</f>
        <v>Вольф</v>
      </c>
      <c r="V366" s="230" t="n">
        <f aca="false">12.7*Таблица310[[#This Row],[Регистратор.Вес нетто]]/78700+0.1</f>
        <v>2.18493011435832</v>
      </c>
      <c r="W366" s="198" t="s">
        <v>326</v>
      </c>
      <c r="X366" s="198" t="s">
        <v>315</v>
      </c>
      <c r="Y366" s="198" t="n">
        <v>7</v>
      </c>
      <c r="Z366" s="200" t="n">
        <v>45824</v>
      </c>
      <c r="AA366" s="231" t="n">
        <f aca="false">Таблица310[[#This Row],[Регистратор.Вес нетто]]</f>
        <v>12920</v>
      </c>
      <c r="AB366" s="198" t="s">
        <v>916</v>
      </c>
      <c r="AC366" s="198" t="s">
        <v>305</v>
      </c>
      <c r="AD366" s="198" t="s">
        <v>886</v>
      </c>
      <c r="AE366" s="198" t="n">
        <v>463</v>
      </c>
      <c r="AF366" s="200" t="n">
        <v>45825</v>
      </c>
      <c r="AG366" s="198" t="s">
        <v>921</v>
      </c>
      <c r="AH366" s="198" t="n">
        <f aca="false">VLOOKUP(Таблица310[[#This Row],[№ акта]],'Степень зрелости 2025'!$H$13:$I$583,2,FALSE())</f>
        <v>0</v>
      </c>
      <c r="AI366" s="198" t="n">
        <f aca="false">VLOOKUP(Таблица310[[#This Row],[№ акта]],$AQ$1:$AT$594,2,FALSE())</f>
        <v>50</v>
      </c>
      <c r="AJ366" s="198" t="str">
        <f aca="false">Таблица310[[#This Row],[Регистратор.Номенклатура]]</f>
        <v>Вольф</v>
      </c>
      <c r="AK366" s="198" t="str">
        <f aca="false">VLOOKUP(Таблица310[[#This Row],[№ акта]],$AQ$1:$AT$594,4,FALSE())</f>
        <v>Братковский (полив)</v>
      </c>
      <c r="AL366" s="230" t="n">
        <f aca="false">VLOOKUP(Таблица310[[#This Row],[№ акта]],$AQ$1:$AT$594,3,FALSE())</f>
        <v>2.18493011435832</v>
      </c>
      <c r="AM366" s="198" t="str">
        <f aca="false">IF(Таблица310[[#This Row],[Площадь уборки, га]]=Таблица310[[#This Row],[Площадь уборки до корр]],"нет","да")</f>
        <v>нет</v>
      </c>
      <c r="AN366" s="230" t="n">
        <f aca="false">Таблица310[[#This Row],[Площадь уборки до корр]]-Таблица310[[#This Row],[Площадь уборки, га]]</f>
        <v>0</v>
      </c>
      <c r="AQ366" s="0" t="n">
        <v>463</v>
      </c>
      <c r="AR366" s="0" t="n">
        <v>50</v>
      </c>
      <c r="AS366" s="0" t="n">
        <v>2.18493011435832</v>
      </c>
      <c r="AT366" s="0" t="s">
        <v>326</v>
      </c>
    </row>
    <row r="367" customFormat="false" ht="28.35" hidden="false" customHeight="false" outlineLevel="0" collapsed="false">
      <c r="A367" s="198"/>
      <c r="B367" s="223"/>
      <c r="C367" s="241" t="n">
        <v>71</v>
      </c>
      <c r="D367" s="224" t="s">
        <v>922</v>
      </c>
      <c r="E367" s="225" t="n">
        <v>45825</v>
      </c>
      <c r="F367" s="223" t="n">
        <v>27600</v>
      </c>
      <c r="G367" s="223" t="n">
        <v>13020</v>
      </c>
      <c r="H367" s="226" t="n">
        <v>14580</v>
      </c>
      <c r="I367" s="223" t="n">
        <v>11406</v>
      </c>
      <c r="J367" s="198" t="s">
        <v>899</v>
      </c>
      <c r="K367" s="198" t="s">
        <v>909</v>
      </c>
      <c r="L367" s="198" t="n">
        <v>44</v>
      </c>
      <c r="M367" s="189" t="s">
        <v>395</v>
      </c>
      <c r="N367" s="198"/>
      <c r="O367" s="198"/>
      <c r="P367" s="198"/>
      <c r="Q367" s="198"/>
      <c r="R367" s="198" t="s">
        <v>566</v>
      </c>
      <c r="S367" s="198"/>
      <c r="T367" s="246" t="n">
        <v>50</v>
      </c>
      <c r="U367" s="195" t="str">
        <f aca="false">Таблица310[[#This Row],[Регистратор.Номенклатура]]</f>
        <v>Вольф</v>
      </c>
      <c r="V367" s="230" t="n">
        <f aca="false">20*Таблица310[[#This Row],[Регистратор.Вес нетто]]/125060</f>
        <v>2.08220054373901</v>
      </c>
      <c r="W367" s="198" t="s">
        <v>326</v>
      </c>
      <c r="X367" s="198" t="s">
        <v>315</v>
      </c>
      <c r="Y367" s="198" t="n">
        <v>8</v>
      </c>
      <c r="Z367" s="200" t="n">
        <v>45825</v>
      </c>
      <c r="AA367" s="231" t="n">
        <f aca="false">Таблица310[[#This Row],[Регистратор.Вес нетто]]</f>
        <v>13020</v>
      </c>
      <c r="AB367" s="198" t="s">
        <v>916</v>
      </c>
      <c r="AC367" s="198" t="s">
        <v>305</v>
      </c>
      <c r="AD367" s="198" t="s">
        <v>886</v>
      </c>
      <c r="AE367" s="198" t="s">
        <v>922</v>
      </c>
      <c r="AF367" s="200" t="n">
        <v>45825</v>
      </c>
      <c r="AG367" s="198" t="s">
        <v>923</v>
      </c>
      <c r="AH367" s="198" t="n">
        <f aca="false">VLOOKUP(Таблица310[[#This Row],[№ акта]],'Степень зрелости 2025'!$H$13:$I$583,2,FALSE())</f>
        <v>0</v>
      </c>
      <c r="AI367" s="198" t="n">
        <f aca="false">VLOOKUP(Таблица310[[#This Row],[№ акта]],$AQ$1:$AT$594,2,FALSE())</f>
        <v>50</v>
      </c>
      <c r="AJ367" s="198" t="str">
        <f aca="false">Таблица310[[#This Row],[Регистратор.Номенклатура]]</f>
        <v>Вольф</v>
      </c>
      <c r="AK367" s="198" t="str">
        <f aca="false">VLOOKUP(Таблица310[[#This Row],[№ акта]],$AQ$1:$AT$594,4,FALSE())</f>
        <v>Братковский (полив)</v>
      </c>
      <c r="AL367" s="230" t="n">
        <f aca="false">VLOOKUP(Таблица310[[#This Row],[№ акта]],$AQ$1:$AT$594,3,FALSE())</f>
        <v>2.08220054373901</v>
      </c>
      <c r="AM367" s="198" t="str">
        <f aca="false">IF(Таблица310[[#This Row],[Площадь уборки, га]]=Таблица310[[#This Row],[Площадь уборки до корр]],"нет","да")</f>
        <v>нет</v>
      </c>
      <c r="AN367" s="230" t="n">
        <f aca="false">Таблица310[[#This Row],[Площадь уборки до корр]]-Таблица310[[#This Row],[Площадь уборки, га]]</f>
        <v>0</v>
      </c>
      <c r="AQ367" s="0" t="s">
        <v>922</v>
      </c>
      <c r="AR367" s="0" t="n">
        <v>50</v>
      </c>
      <c r="AS367" s="0" t="n">
        <v>2.08220054373901</v>
      </c>
      <c r="AT367" s="0" t="s">
        <v>326</v>
      </c>
    </row>
    <row r="368" customFormat="false" ht="19.4" hidden="false" customHeight="false" outlineLevel="0" collapsed="false">
      <c r="A368" s="198"/>
      <c r="B368" s="223"/>
      <c r="C368" s="241" t="n">
        <v>72</v>
      </c>
      <c r="D368" s="224" t="s">
        <v>924</v>
      </c>
      <c r="E368" s="225" t="n">
        <v>45825</v>
      </c>
      <c r="F368" s="223" t="n">
        <v>28340</v>
      </c>
      <c r="G368" s="223" t="n">
        <v>13240</v>
      </c>
      <c r="H368" s="226" t="n">
        <v>15100</v>
      </c>
      <c r="I368" s="223" t="n">
        <v>11907</v>
      </c>
      <c r="J368" s="198" t="s">
        <v>899</v>
      </c>
      <c r="K368" s="198" t="s">
        <v>909</v>
      </c>
      <c r="L368" s="198" t="n">
        <v>44</v>
      </c>
      <c r="M368" s="189" t="s">
        <v>48</v>
      </c>
      <c r="N368" s="198"/>
      <c r="O368" s="198"/>
      <c r="P368" s="198"/>
      <c r="Q368" s="198"/>
      <c r="R368" s="198" t="s">
        <v>918</v>
      </c>
      <c r="S368" s="198"/>
      <c r="T368" s="246" t="n">
        <v>50</v>
      </c>
      <c r="U368" s="195" t="str">
        <f aca="false">Таблица310[[#This Row],[Регистратор.Номенклатура]]</f>
        <v>Вольф</v>
      </c>
      <c r="V368" s="230" t="n">
        <f aca="false">20*Таблица310[[#This Row],[Регистратор.Вес нетто]]/125060</f>
        <v>2.11738365584519</v>
      </c>
      <c r="W368" s="198" t="s">
        <v>326</v>
      </c>
      <c r="X368" s="198" t="s">
        <v>315</v>
      </c>
      <c r="Y368" s="198" t="n">
        <v>8</v>
      </c>
      <c r="Z368" s="200" t="n">
        <v>45825</v>
      </c>
      <c r="AA368" s="231" t="n">
        <f aca="false">Таблица310[[#This Row],[Регистратор.Вес нетто]]</f>
        <v>13240</v>
      </c>
      <c r="AB368" s="198" t="s">
        <v>916</v>
      </c>
      <c r="AC368" s="198" t="s">
        <v>305</v>
      </c>
      <c r="AD368" s="198" t="s">
        <v>886</v>
      </c>
      <c r="AE368" s="198" t="s">
        <v>924</v>
      </c>
      <c r="AF368" s="200" t="n">
        <v>45825</v>
      </c>
      <c r="AG368" s="198" t="s">
        <v>925</v>
      </c>
      <c r="AH368" s="198" t="n">
        <f aca="false">VLOOKUP(Таблица310[[#This Row],[№ акта]],'Степень зрелости 2025'!$H$13:$I$583,2,FALSE())</f>
        <v>0</v>
      </c>
      <c r="AI368" s="198" t="n">
        <f aca="false">VLOOKUP(Таблица310[[#This Row],[№ акта]],$AQ$1:$AT$594,2,FALSE())</f>
        <v>50</v>
      </c>
      <c r="AJ368" s="198" t="str">
        <f aca="false">Таблица310[[#This Row],[Регистратор.Номенклатура]]</f>
        <v>Вольф</v>
      </c>
      <c r="AK368" s="198" t="str">
        <f aca="false">VLOOKUP(Таблица310[[#This Row],[№ акта]],$AQ$1:$AT$594,4,FALSE())</f>
        <v>Братковский (полив)</v>
      </c>
      <c r="AL368" s="230" t="n">
        <f aca="false">VLOOKUP(Таблица310[[#This Row],[№ акта]],$AQ$1:$AT$594,3,FALSE())</f>
        <v>2.11738365584519</v>
      </c>
      <c r="AM368" s="198" t="str">
        <f aca="false">IF(Таблица310[[#This Row],[Площадь уборки, га]]=Таблица310[[#This Row],[Площадь уборки до корр]],"нет","да")</f>
        <v>нет</v>
      </c>
      <c r="AN368" s="230" t="n">
        <f aca="false">Таблица310[[#This Row],[Площадь уборки до корр]]-Таблица310[[#This Row],[Площадь уборки, га]]</f>
        <v>0</v>
      </c>
      <c r="AQ368" s="0" t="s">
        <v>924</v>
      </c>
      <c r="AR368" s="0" t="n">
        <v>50</v>
      </c>
      <c r="AS368" s="0" t="n">
        <v>2.11738365584519</v>
      </c>
      <c r="AT368" s="0" t="s">
        <v>326</v>
      </c>
    </row>
    <row r="369" customFormat="false" ht="19.4" hidden="false" customHeight="false" outlineLevel="0" collapsed="false">
      <c r="A369" s="198"/>
      <c r="B369" s="223"/>
      <c r="C369" s="241" t="n">
        <v>63</v>
      </c>
      <c r="D369" s="224" t="s">
        <v>926</v>
      </c>
      <c r="E369" s="225" t="n">
        <v>45825</v>
      </c>
      <c r="F369" s="223" t="n">
        <v>28460</v>
      </c>
      <c r="G369" s="223" t="n">
        <v>13340</v>
      </c>
      <c r="H369" s="226" t="n">
        <v>15120</v>
      </c>
      <c r="I369" s="223" t="n">
        <v>10979</v>
      </c>
      <c r="J369" s="198" t="s">
        <v>899</v>
      </c>
      <c r="K369" s="198" t="s">
        <v>909</v>
      </c>
      <c r="L369" s="198" t="n">
        <v>44</v>
      </c>
      <c r="M369" s="189" t="s">
        <v>48</v>
      </c>
      <c r="N369" s="198"/>
      <c r="O369" s="198"/>
      <c r="P369" s="198"/>
      <c r="Q369" s="198"/>
      <c r="R369" s="198" t="s">
        <v>918</v>
      </c>
      <c r="S369" s="198"/>
      <c r="T369" s="246" t="n">
        <v>50</v>
      </c>
      <c r="U369" s="195" t="str">
        <f aca="false">Таблица310[[#This Row],[Регистратор.Номенклатура]]</f>
        <v>Вольф</v>
      </c>
      <c r="V369" s="230" t="n">
        <f aca="false">20*Таблица310[[#This Row],[Регистратор.Вес нетто]]/125060</f>
        <v>2.13337597952983</v>
      </c>
      <c r="W369" s="198" t="s">
        <v>326</v>
      </c>
      <c r="X369" s="198" t="s">
        <v>315</v>
      </c>
      <c r="Y369" s="198" t="n">
        <v>8</v>
      </c>
      <c r="Z369" s="200" t="n">
        <v>45825</v>
      </c>
      <c r="AA369" s="231" t="n">
        <f aca="false">Таблица310[[#This Row],[Регистратор.Вес нетто]]</f>
        <v>13340</v>
      </c>
      <c r="AB369" s="198" t="s">
        <v>916</v>
      </c>
      <c r="AC369" s="198" t="s">
        <v>302</v>
      </c>
      <c r="AD369" s="198" t="s">
        <v>886</v>
      </c>
      <c r="AE369" s="198" t="s">
        <v>926</v>
      </c>
      <c r="AF369" s="200" t="n">
        <v>45825</v>
      </c>
      <c r="AG369" s="198" t="s">
        <v>927</v>
      </c>
      <c r="AH369" s="198" t="n">
        <f aca="false">VLOOKUP(Таблица310[[#This Row],[№ акта]],'Степень зрелости 2025'!$H$13:$I$583,2,FALSE())</f>
        <v>0</v>
      </c>
      <c r="AI369" s="198" t="n">
        <f aca="false">VLOOKUP(Таблица310[[#This Row],[№ акта]],$AQ$1:$AT$594,2,FALSE())</f>
        <v>50</v>
      </c>
      <c r="AJ369" s="198" t="str">
        <f aca="false">Таблица310[[#This Row],[Регистратор.Номенклатура]]</f>
        <v>Вольф</v>
      </c>
      <c r="AK369" s="198" t="str">
        <f aca="false">VLOOKUP(Таблица310[[#This Row],[№ акта]],$AQ$1:$AT$594,4,FALSE())</f>
        <v>Братковский (полив)</v>
      </c>
      <c r="AL369" s="230" t="n">
        <f aca="false">VLOOKUP(Таблица310[[#This Row],[№ акта]],$AQ$1:$AT$594,3,FALSE())</f>
        <v>2.13337597952983</v>
      </c>
      <c r="AM369" s="198" t="str">
        <f aca="false">IF(Таблица310[[#This Row],[Площадь уборки, га]]=Таблица310[[#This Row],[Площадь уборки до корр]],"нет","да")</f>
        <v>нет</v>
      </c>
      <c r="AN369" s="230" t="n">
        <f aca="false">Таблица310[[#This Row],[Площадь уборки до корр]]-Таблица310[[#This Row],[Площадь уборки, га]]</f>
        <v>0</v>
      </c>
      <c r="AQ369" s="0" t="s">
        <v>926</v>
      </c>
      <c r="AR369" s="0" t="n">
        <v>50</v>
      </c>
      <c r="AS369" s="0" t="n">
        <v>2.13337597952983</v>
      </c>
      <c r="AT369" s="0" t="s">
        <v>326</v>
      </c>
    </row>
    <row r="370" customFormat="false" ht="19.4" hidden="false" customHeight="false" outlineLevel="0" collapsed="false">
      <c r="A370" s="198"/>
      <c r="B370" s="223"/>
      <c r="C370" s="241" t="n">
        <v>71</v>
      </c>
      <c r="D370" s="224" t="s">
        <v>928</v>
      </c>
      <c r="E370" s="225" t="n">
        <v>45825</v>
      </c>
      <c r="F370" s="223" t="n">
        <v>32380</v>
      </c>
      <c r="G370" s="223" t="n">
        <v>17380</v>
      </c>
      <c r="H370" s="226" t="n">
        <v>15000</v>
      </c>
      <c r="I370" s="223" t="n">
        <v>15396</v>
      </c>
      <c r="J370" s="198" t="s">
        <v>899</v>
      </c>
      <c r="K370" s="198" t="s">
        <v>909</v>
      </c>
      <c r="L370" s="198" t="n">
        <v>44</v>
      </c>
      <c r="M370" s="189" t="s">
        <v>511</v>
      </c>
      <c r="N370" s="198"/>
      <c r="O370" s="198"/>
      <c r="P370" s="198"/>
      <c r="Q370" s="198"/>
      <c r="R370" s="198" t="s">
        <v>515</v>
      </c>
      <c r="S370" s="198"/>
      <c r="T370" s="246" t="n">
        <v>50</v>
      </c>
      <c r="U370" s="195" t="str">
        <f aca="false">Таблица310[[#This Row],[Регистратор.Номенклатура]]</f>
        <v>Вольф</v>
      </c>
      <c r="V370" s="230" t="n">
        <f aca="false">20*Таблица310[[#This Row],[Регистратор.Вес нетто]]/125060</f>
        <v>2.77946585638893</v>
      </c>
      <c r="W370" s="198" t="s">
        <v>326</v>
      </c>
      <c r="X370" s="198" t="s">
        <v>315</v>
      </c>
      <c r="Y370" s="198" t="n">
        <v>8</v>
      </c>
      <c r="Z370" s="200" t="n">
        <v>45825</v>
      </c>
      <c r="AA370" s="231" t="n">
        <f aca="false">Таблица310[[#This Row],[Регистратор.Вес нетто]]</f>
        <v>17380</v>
      </c>
      <c r="AB370" s="198" t="s">
        <v>916</v>
      </c>
      <c r="AC370" s="198" t="s">
        <v>305</v>
      </c>
      <c r="AD370" s="198" t="s">
        <v>886</v>
      </c>
      <c r="AE370" s="198" t="s">
        <v>928</v>
      </c>
      <c r="AF370" s="200" t="n">
        <v>45825</v>
      </c>
      <c r="AG370" s="198" t="s">
        <v>929</v>
      </c>
      <c r="AH370" s="198" t="n">
        <f aca="false">VLOOKUP(Таблица310[[#This Row],[№ акта]],'Степень зрелости 2025'!$H$13:$I$583,2,FALSE())</f>
        <v>0</v>
      </c>
      <c r="AI370" s="198" t="n">
        <f aca="false">VLOOKUP(Таблица310[[#This Row],[№ акта]],$AQ$1:$AT$594,2,FALSE())</f>
        <v>50</v>
      </c>
      <c r="AJ370" s="198" t="str">
        <f aca="false">Таблица310[[#This Row],[Регистратор.Номенклатура]]</f>
        <v>Вольф</v>
      </c>
      <c r="AK370" s="198" t="str">
        <f aca="false">VLOOKUP(Таблица310[[#This Row],[№ акта]],$AQ$1:$AT$594,4,FALSE())</f>
        <v>Братковский (полив)</v>
      </c>
      <c r="AL370" s="230" t="n">
        <f aca="false">VLOOKUP(Таблица310[[#This Row],[№ акта]],$AQ$1:$AT$594,3,FALSE())</f>
        <v>2.77946585638893</v>
      </c>
      <c r="AM370" s="198" t="str">
        <f aca="false">IF(Таблица310[[#This Row],[Площадь уборки, га]]=Таблица310[[#This Row],[Площадь уборки до корр]],"нет","да")</f>
        <v>нет</v>
      </c>
      <c r="AN370" s="230" t="n">
        <f aca="false">Таблица310[[#This Row],[Площадь уборки до корр]]-Таблица310[[#This Row],[Площадь уборки, га]]</f>
        <v>0</v>
      </c>
      <c r="AQ370" s="0" t="s">
        <v>928</v>
      </c>
      <c r="AR370" s="0" t="n">
        <v>50</v>
      </c>
      <c r="AS370" s="0" t="n">
        <v>2.77946585638893</v>
      </c>
      <c r="AT370" s="0" t="s">
        <v>326</v>
      </c>
    </row>
    <row r="371" customFormat="false" ht="19.4" hidden="false" customHeight="false" outlineLevel="0" collapsed="false">
      <c r="A371" s="198"/>
      <c r="B371" s="223"/>
      <c r="C371" s="241" t="n">
        <v>66</v>
      </c>
      <c r="D371" s="224" t="s">
        <v>930</v>
      </c>
      <c r="E371" s="225" t="n">
        <v>45825</v>
      </c>
      <c r="F371" s="223" t="n">
        <v>28240</v>
      </c>
      <c r="G371" s="223" t="n">
        <v>13500</v>
      </c>
      <c r="H371" s="226" t="n">
        <v>14740</v>
      </c>
      <c r="I371" s="223" t="n">
        <v>11634</v>
      </c>
      <c r="J371" s="198" t="s">
        <v>899</v>
      </c>
      <c r="K371" s="198" t="s">
        <v>909</v>
      </c>
      <c r="L371" s="198" t="n">
        <v>44</v>
      </c>
      <c r="M371" s="189" t="s">
        <v>511</v>
      </c>
      <c r="N371" s="198"/>
      <c r="O371" s="198"/>
      <c r="P371" s="198"/>
      <c r="Q371" s="198"/>
      <c r="R371" s="198" t="s">
        <v>515</v>
      </c>
      <c r="S371" s="198"/>
      <c r="T371" s="246" t="n">
        <v>50</v>
      </c>
      <c r="U371" s="195" t="str">
        <f aca="false">Таблица310[[#This Row],[Регистратор.Номенклатура]]</f>
        <v>Вольф</v>
      </c>
      <c r="V371" s="230" t="n">
        <f aca="false">20*Таблица310[[#This Row],[Регистратор.Вес нетто]]/125060</f>
        <v>2.15896369742524</v>
      </c>
      <c r="W371" s="198" t="s">
        <v>326</v>
      </c>
      <c r="X371" s="198" t="s">
        <v>315</v>
      </c>
      <c r="Y371" s="198" t="n">
        <v>8</v>
      </c>
      <c r="Z371" s="200" t="n">
        <v>45825</v>
      </c>
      <c r="AA371" s="231" t="n">
        <f aca="false">Таблица310[[#This Row],[Регистратор.Вес нетто]]</f>
        <v>13500</v>
      </c>
      <c r="AB371" s="198" t="s">
        <v>916</v>
      </c>
      <c r="AC371" s="198" t="s">
        <v>304</v>
      </c>
      <c r="AD371" s="198" t="s">
        <v>886</v>
      </c>
      <c r="AE371" s="198" t="s">
        <v>930</v>
      </c>
      <c r="AF371" s="200" t="n">
        <v>45825</v>
      </c>
      <c r="AG371" s="198" t="s">
        <v>931</v>
      </c>
      <c r="AH371" s="198" t="n">
        <f aca="false">VLOOKUP(Таблица310[[#This Row],[№ акта]],'Степень зрелости 2025'!$H$13:$I$583,2,FALSE())</f>
        <v>0</v>
      </c>
      <c r="AI371" s="198" t="n">
        <f aca="false">VLOOKUP(Таблица310[[#This Row],[№ акта]],$AQ$1:$AT$594,2,FALSE())</f>
        <v>50</v>
      </c>
      <c r="AJ371" s="198" t="str">
        <f aca="false">Таблица310[[#This Row],[Регистратор.Номенклатура]]</f>
        <v>Вольф</v>
      </c>
      <c r="AK371" s="198" t="str">
        <f aca="false">VLOOKUP(Таблица310[[#This Row],[№ акта]],$AQ$1:$AT$594,4,FALSE())</f>
        <v>Братковский (полив)</v>
      </c>
      <c r="AL371" s="230" t="n">
        <f aca="false">VLOOKUP(Таблица310[[#This Row],[№ акта]],$AQ$1:$AT$594,3,FALSE())</f>
        <v>2.15896369742524</v>
      </c>
      <c r="AM371" s="198" t="str">
        <f aca="false">IF(Таблица310[[#This Row],[Площадь уборки, га]]=Таблица310[[#This Row],[Площадь уборки до корр]],"нет","да")</f>
        <v>нет</v>
      </c>
      <c r="AN371" s="230" t="n">
        <f aca="false">Таблица310[[#This Row],[Площадь уборки до корр]]-Таблица310[[#This Row],[Площадь уборки, га]]</f>
        <v>0</v>
      </c>
      <c r="AQ371" s="0" t="s">
        <v>930</v>
      </c>
      <c r="AR371" s="0" t="n">
        <v>50</v>
      </c>
      <c r="AS371" s="0" t="n">
        <v>2.15896369742524</v>
      </c>
      <c r="AT371" s="0" t="s">
        <v>326</v>
      </c>
    </row>
    <row r="372" customFormat="false" ht="19.4" hidden="false" customHeight="false" outlineLevel="0" collapsed="false">
      <c r="A372" s="198"/>
      <c r="B372" s="223"/>
      <c r="C372" s="241" t="n">
        <v>63</v>
      </c>
      <c r="D372" s="224" t="s">
        <v>932</v>
      </c>
      <c r="E372" s="225" t="n">
        <v>45825</v>
      </c>
      <c r="F372" s="223" t="n">
        <v>27900</v>
      </c>
      <c r="G372" s="223" t="n">
        <v>12960</v>
      </c>
      <c r="H372" s="226" t="n">
        <v>14940</v>
      </c>
      <c r="I372" s="223" t="n">
        <v>10897</v>
      </c>
      <c r="J372" s="198" t="s">
        <v>899</v>
      </c>
      <c r="K372" s="198" t="s">
        <v>909</v>
      </c>
      <c r="L372" s="198" t="n">
        <v>44</v>
      </c>
      <c r="M372" s="189" t="s">
        <v>933</v>
      </c>
      <c r="N372" s="198"/>
      <c r="O372" s="198"/>
      <c r="P372" s="198"/>
      <c r="Q372" s="198"/>
      <c r="R372" s="198" t="s">
        <v>470</v>
      </c>
      <c r="S372" s="198"/>
      <c r="T372" s="246" t="n">
        <v>50</v>
      </c>
      <c r="U372" s="195" t="str">
        <f aca="false">Таблица310[[#This Row],[Регистратор.Номенклатура]]</f>
        <v>Вольф</v>
      </c>
      <c r="V372" s="230" t="n">
        <f aca="false">20*Таблица310[[#This Row],[Регистратор.Вес нетто]]/125060</f>
        <v>2.07260514952823</v>
      </c>
      <c r="W372" s="198" t="s">
        <v>326</v>
      </c>
      <c r="X372" s="198" t="s">
        <v>315</v>
      </c>
      <c r="Y372" s="198" t="n">
        <v>8</v>
      </c>
      <c r="Z372" s="200" t="n">
        <v>45825</v>
      </c>
      <c r="AA372" s="231" t="n">
        <f aca="false">Таблица310[[#This Row],[Регистратор.Вес нетто]]</f>
        <v>12960</v>
      </c>
      <c r="AB372" s="198" t="s">
        <v>916</v>
      </c>
      <c r="AC372" s="198" t="s">
        <v>302</v>
      </c>
      <c r="AD372" s="198" t="s">
        <v>886</v>
      </c>
      <c r="AE372" s="198" t="s">
        <v>932</v>
      </c>
      <c r="AF372" s="200" t="n">
        <v>45825</v>
      </c>
      <c r="AG372" s="198" t="s">
        <v>934</v>
      </c>
      <c r="AH372" s="198" t="n">
        <f aca="false">VLOOKUP(Таблица310[[#This Row],[№ акта]],'Степень зрелости 2025'!$H$13:$I$583,2,FALSE())</f>
        <v>0</v>
      </c>
      <c r="AI372" s="198" t="n">
        <f aca="false">VLOOKUP(Таблица310[[#This Row],[№ акта]],$AQ$1:$AT$594,2,FALSE())</f>
        <v>50</v>
      </c>
      <c r="AJ372" s="198" t="str">
        <f aca="false">Таблица310[[#This Row],[Регистратор.Номенклатура]]</f>
        <v>Вольф</v>
      </c>
      <c r="AK372" s="198" t="str">
        <f aca="false">VLOOKUP(Таблица310[[#This Row],[№ акта]],$AQ$1:$AT$594,4,FALSE())</f>
        <v>Братковский (полив)</v>
      </c>
      <c r="AL372" s="230" t="n">
        <f aca="false">VLOOKUP(Таблица310[[#This Row],[№ акта]],$AQ$1:$AT$594,3,FALSE())</f>
        <v>2.07260514952823</v>
      </c>
      <c r="AM372" s="198" t="str">
        <f aca="false">IF(Таблица310[[#This Row],[Площадь уборки, га]]=Таблица310[[#This Row],[Площадь уборки до корр]],"нет","да")</f>
        <v>нет</v>
      </c>
      <c r="AN372" s="230" t="n">
        <f aca="false">Таблица310[[#This Row],[Площадь уборки до корр]]-Таблица310[[#This Row],[Площадь уборки, га]]</f>
        <v>0</v>
      </c>
      <c r="AQ372" s="0" t="s">
        <v>932</v>
      </c>
      <c r="AR372" s="0" t="n">
        <v>50</v>
      </c>
      <c r="AS372" s="0" t="n">
        <v>2.07260514952823</v>
      </c>
      <c r="AT372" s="0" t="s">
        <v>326</v>
      </c>
    </row>
    <row r="373" customFormat="false" ht="19.4" hidden="false" customHeight="false" outlineLevel="0" collapsed="false">
      <c r="A373" s="198"/>
      <c r="B373" s="223"/>
      <c r="C373" s="241" t="n">
        <v>55</v>
      </c>
      <c r="D373" s="224" t="s">
        <v>935</v>
      </c>
      <c r="E373" s="225" t="n">
        <v>45826</v>
      </c>
      <c r="F373" s="223" t="n">
        <v>28110</v>
      </c>
      <c r="G373" s="223" t="n">
        <v>12990</v>
      </c>
      <c r="H373" s="226" t="n">
        <v>15120</v>
      </c>
      <c r="I373" s="223" t="n">
        <v>11236.3</v>
      </c>
      <c r="J373" s="198" t="s">
        <v>908</v>
      </c>
      <c r="K373" s="198" t="s">
        <v>904</v>
      </c>
      <c r="L373" s="198" t="n">
        <v>15</v>
      </c>
      <c r="M373" s="189" t="s">
        <v>382</v>
      </c>
      <c r="N373" s="198"/>
      <c r="O373" s="198"/>
      <c r="P373" s="198"/>
      <c r="Q373" s="198"/>
      <c r="R373" s="198" t="s">
        <v>383</v>
      </c>
      <c r="S373" s="198"/>
      <c r="T373" s="198" t="n">
        <v>15</v>
      </c>
      <c r="U373" s="195" t="str">
        <f aca="false">Таблица310[[#This Row],[Регистратор.Номенклатура]]</f>
        <v>Тристар</v>
      </c>
      <c r="V373" s="230" t="n">
        <f aca="false">36*Таблица310[[#This Row],[Регистратор.Вес нетто]]/277060</f>
        <v>1.68786544430809</v>
      </c>
      <c r="W373" s="198" t="s">
        <v>278</v>
      </c>
      <c r="X373" s="198" t="s">
        <v>315</v>
      </c>
      <c r="Y373" s="198" t="n">
        <v>3</v>
      </c>
      <c r="Z373" s="200" t="n">
        <v>45825</v>
      </c>
      <c r="AA373" s="198"/>
      <c r="AB373" s="198"/>
      <c r="AC373" s="198" t="s">
        <v>302</v>
      </c>
      <c r="AD373" s="198" t="s">
        <v>417</v>
      </c>
      <c r="AE373" s="198" t="s">
        <v>935</v>
      </c>
      <c r="AF373" s="200" t="n">
        <v>45826</v>
      </c>
      <c r="AG373" s="198" t="s">
        <v>906</v>
      </c>
      <c r="AH373" s="198" t="e">
        <f aca="false">VLOOKUP(Таблица310[[#This Row],[№ акта]],'Степень зрелости 2025'!$H$13:$I$583,2,FALSE())</f>
        <v>#N/A</v>
      </c>
      <c r="AI373" s="198" t="n">
        <f aca="false">VLOOKUP(Таблица310[[#This Row],[№ акта]],$AQ$1:$AT$594,2,FALSE())</f>
        <v>15</v>
      </c>
      <c r="AJ373" s="198" t="str">
        <f aca="false">Таблица310[[#This Row],[Регистратор.Номенклатура]]</f>
        <v>Тристар</v>
      </c>
      <c r="AK373" s="198" t="str">
        <f aca="false">VLOOKUP(Таблица310[[#This Row],[№ акта]],$AQ$1:$AT$594,4,FALSE())</f>
        <v>Агролидер (полив)</v>
      </c>
      <c r="AL373" s="230" t="n">
        <f aca="false">VLOOKUP(Таблица310[[#This Row],[№ акта]],$AQ$1:$AT$594,3,FALSE())</f>
        <v>1.68786544430809</v>
      </c>
      <c r="AM373" s="198" t="str">
        <f aca="false">IF(Таблица310[[#This Row],[Площадь уборки, га]]=Таблица310[[#This Row],[Площадь уборки до корр]],"нет","да")</f>
        <v>нет</v>
      </c>
      <c r="AN373" s="230" t="n">
        <f aca="false">Таблица310[[#This Row],[Площадь уборки до корр]]-Таблица310[[#This Row],[Площадь уборки, га]]</f>
        <v>0</v>
      </c>
      <c r="AQ373" s="0" t="s">
        <v>935</v>
      </c>
      <c r="AR373" s="0" t="n">
        <v>15</v>
      </c>
      <c r="AS373" s="0" t="n">
        <v>1.68786544430809</v>
      </c>
      <c r="AT373" s="0" t="s">
        <v>278</v>
      </c>
    </row>
    <row r="374" customFormat="false" ht="28.35" hidden="false" customHeight="false" outlineLevel="0" collapsed="false">
      <c r="A374" s="198"/>
      <c r="B374" s="223"/>
      <c r="C374" s="241" t="n">
        <v>54</v>
      </c>
      <c r="D374" s="224" t="s">
        <v>936</v>
      </c>
      <c r="E374" s="225" t="n">
        <v>45826</v>
      </c>
      <c r="F374" s="223" t="n">
        <v>27760</v>
      </c>
      <c r="G374" s="223" t="n">
        <v>13070</v>
      </c>
      <c r="H374" s="226" t="n">
        <v>14690</v>
      </c>
      <c r="I374" s="223" t="n">
        <v>11828.3</v>
      </c>
      <c r="J374" s="198" t="s">
        <v>908</v>
      </c>
      <c r="K374" s="198" t="s">
        <v>904</v>
      </c>
      <c r="L374" s="198" t="n">
        <v>15</v>
      </c>
      <c r="M374" s="189" t="s">
        <v>55</v>
      </c>
      <c r="N374" s="198"/>
      <c r="O374" s="198"/>
      <c r="P374" s="198"/>
      <c r="Q374" s="198"/>
      <c r="R374" s="198" t="s">
        <v>56</v>
      </c>
      <c r="S374" s="198"/>
      <c r="T374" s="198" t="n">
        <v>15</v>
      </c>
      <c r="U374" s="195" t="str">
        <f aca="false">Таблица310[[#This Row],[Регистратор.Номенклатура]]</f>
        <v>Тристар</v>
      </c>
      <c r="V374" s="230" t="n">
        <f aca="false">36*Таблица310[[#This Row],[Регистратор.Вес нетто]]/277060</f>
        <v>1.69826030462716</v>
      </c>
      <c r="W374" s="198" t="s">
        <v>278</v>
      </c>
      <c r="X374" s="198" t="s">
        <v>315</v>
      </c>
      <c r="Y374" s="198" t="n">
        <v>3</v>
      </c>
      <c r="Z374" s="200" t="n">
        <v>45825</v>
      </c>
      <c r="AA374" s="198"/>
      <c r="AB374" s="198"/>
      <c r="AC374" s="198" t="s">
        <v>302</v>
      </c>
      <c r="AD374" s="198" t="s">
        <v>417</v>
      </c>
      <c r="AE374" s="198" t="s">
        <v>936</v>
      </c>
      <c r="AF374" s="200" t="n">
        <v>45826</v>
      </c>
      <c r="AG374" s="198" t="s">
        <v>906</v>
      </c>
      <c r="AH374" s="198" t="e">
        <f aca="false">VLOOKUP(Таблица310[[#This Row],[№ акта]],'Степень зрелости 2025'!$H$13:$I$583,2,FALSE())</f>
        <v>#N/A</v>
      </c>
      <c r="AI374" s="198" t="n">
        <f aca="false">VLOOKUP(Таблица310[[#This Row],[№ акта]],$AQ$1:$AT$594,2,FALSE())</f>
        <v>15</v>
      </c>
      <c r="AJ374" s="198" t="str">
        <f aca="false">Таблица310[[#This Row],[Регистратор.Номенклатура]]</f>
        <v>Тристар</v>
      </c>
      <c r="AK374" s="198" t="str">
        <f aca="false">VLOOKUP(Таблица310[[#This Row],[№ акта]],$AQ$1:$AT$594,4,FALSE())</f>
        <v>Агролидер (полив)</v>
      </c>
      <c r="AL374" s="230" t="n">
        <f aca="false">VLOOKUP(Таблица310[[#This Row],[№ акта]],$AQ$1:$AT$594,3,FALSE())</f>
        <v>1.69826030462716</v>
      </c>
      <c r="AM374" s="198" t="str">
        <f aca="false">IF(Таблица310[[#This Row],[Площадь уборки, га]]=Таблица310[[#This Row],[Площадь уборки до корр]],"нет","да")</f>
        <v>нет</v>
      </c>
      <c r="AN374" s="230" t="n">
        <f aca="false">Таблица310[[#This Row],[Площадь уборки до корр]]-Таблица310[[#This Row],[Площадь уборки, га]]</f>
        <v>0</v>
      </c>
      <c r="AQ374" s="0" t="s">
        <v>936</v>
      </c>
      <c r="AR374" s="0" t="n">
        <v>15</v>
      </c>
      <c r="AS374" s="0" t="n">
        <v>1.69826030462716</v>
      </c>
      <c r="AT374" s="0" t="s">
        <v>278</v>
      </c>
    </row>
    <row r="375" customFormat="false" ht="28.35" hidden="false" customHeight="false" outlineLevel="0" collapsed="false">
      <c r="A375" s="198"/>
      <c r="B375" s="223"/>
      <c r="C375" s="241" t="n">
        <v>53</v>
      </c>
      <c r="D375" s="224" t="s">
        <v>937</v>
      </c>
      <c r="E375" s="225" t="n">
        <v>45826</v>
      </c>
      <c r="F375" s="223" t="n">
        <v>27890</v>
      </c>
      <c r="G375" s="223" t="n">
        <v>13270</v>
      </c>
      <c r="H375" s="226" t="n">
        <v>14620</v>
      </c>
      <c r="I375" s="223" t="n">
        <v>11544.9</v>
      </c>
      <c r="J375" s="198" t="s">
        <v>908</v>
      </c>
      <c r="K375" s="198" t="s">
        <v>904</v>
      </c>
      <c r="L375" s="198" t="n">
        <v>15</v>
      </c>
      <c r="M375" s="189" t="s">
        <v>363</v>
      </c>
      <c r="N375" s="198"/>
      <c r="O375" s="198"/>
      <c r="P375" s="198"/>
      <c r="Q375" s="198"/>
      <c r="R375" s="198" t="s">
        <v>364</v>
      </c>
      <c r="S375" s="198"/>
      <c r="T375" s="198" t="n">
        <v>15</v>
      </c>
      <c r="U375" s="195" t="str">
        <f aca="false">Таблица310[[#This Row],[Регистратор.Номенклатура]]</f>
        <v>Тристар</v>
      </c>
      <c r="V375" s="230" t="n">
        <f aca="false">36*Таблица310[[#This Row],[Регистратор.Вес нетто]]/277060</f>
        <v>1.72424745542482</v>
      </c>
      <c r="W375" s="198" t="s">
        <v>278</v>
      </c>
      <c r="X375" s="198" t="s">
        <v>315</v>
      </c>
      <c r="Y375" s="198" t="n">
        <v>4</v>
      </c>
      <c r="Z375" s="200" t="n">
        <v>45826</v>
      </c>
      <c r="AA375" s="198"/>
      <c r="AB375" s="198"/>
      <c r="AC375" s="198" t="s">
        <v>302</v>
      </c>
      <c r="AD375" s="198" t="s">
        <v>417</v>
      </c>
      <c r="AE375" s="198" t="s">
        <v>937</v>
      </c>
      <c r="AF375" s="200" t="n">
        <v>45826</v>
      </c>
      <c r="AG375" s="198" t="s">
        <v>906</v>
      </c>
      <c r="AH375" s="198" t="e">
        <f aca="false">VLOOKUP(Таблица310[[#This Row],[№ акта]],'Степень зрелости 2025'!$H$13:$I$583,2,FALSE())</f>
        <v>#N/A</v>
      </c>
      <c r="AI375" s="198" t="n">
        <f aca="false">VLOOKUP(Таблица310[[#This Row],[№ акта]],$AQ$1:$AT$594,2,FALSE())</f>
        <v>15</v>
      </c>
      <c r="AJ375" s="198" t="str">
        <f aca="false">Таблица310[[#This Row],[Регистратор.Номенклатура]]</f>
        <v>Тристар</v>
      </c>
      <c r="AK375" s="198" t="str">
        <f aca="false">VLOOKUP(Таблица310[[#This Row],[№ акта]],$AQ$1:$AT$594,4,FALSE())</f>
        <v>Агролидер (полив)</v>
      </c>
      <c r="AL375" s="230" t="n">
        <f aca="false">VLOOKUP(Таблица310[[#This Row],[№ акта]],$AQ$1:$AT$594,3,FALSE())</f>
        <v>1.72424745542482</v>
      </c>
      <c r="AM375" s="198" t="str">
        <f aca="false">IF(Таблица310[[#This Row],[Площадь уборки, га]]=Таблица310[[#This Row],[Площадь уборки до корр]],"нет","да")</f>
        <v>нет</v>
      </c>
      <c r="AN375" s="230" t="n">
        <f aca="false">Таблица310[[#This Row],[Площадь уборки до корр]]-Таблица310[[#This Row],[Площадь уборки, га]]</f>
        <v>0</v>
      </c>
      <c r="AQ375" s="0" t="s">
        <v>937</v>
      </c>
      <c r="AR375" s="0" t="n">
        <v>15</v>
      </c>
      <c r="AS375" s="0" t="n">
        <v>1.72424745542482</v>
      </c>
      <c r="AT375" s="0" t="s">
        <v>278</v>
      </c>
    </row>
    <row r="376" customFormat="false" ht="28.35" hidden="false" customHeight="false" outlineLevel="0" collapsed="false">
      <c r="A376" s="198"/>
      <c r="B376" s="223"/>
      <c r="C376" s="241" t="n">
        <f aca="false">Таблица310[[#This Row],[Степень зрелости вспом]]</f>
        <v>55</v>
      </c>
      <c r="D376" s="224" t="s">
        <v>938</v>
      </c>
      <c r="E376" s="225" t="n">
        <v>45826</v>
      </c>
      <c r="F376" s="223" t="n">
        <v>28770</v>
      </c>
      <c r="G376" s="223" t="n">
        <v>13210</v>
      </c>
      <c r="H376" s="226" t="n">
        <v>15560</v>
      </c>
      <c r="I376" s="223" t="n">
        <v>12351.3</v>
      </c>
      <c r="J376" s="198" t="s">
        <v>908</v>
      </c>
      <c r="K376" s="198" t="s">
        <v>904</v>
      </c>
      <c r="L376" s="198" t="n">
        <v>15</v>
      </c>
      <c r="M376" s="189" t="s">
        <v>519</v>
      </c>
      <c r="N376" s="198"/>
      <c r="O376" s="198"/>
      <c r="P376" s="198"/>
      <c r="Q376" s="198"/>
      <c r="R376" s="198" t="s">
        <v>523</v>
      </c>
      <c r="S376" s="198"/>
      <c r="T376" s="198" t="n">
        <v>15</v>
      </c>
      <c r="U376" s="195" t="str">
        <f aca="false">Таблица310[[#This Row],[Регистратор.Номенклатура]]</f>
        <v>Тристар</v>
      </c>
      <c r="V376" s="230" t="n">
        <f aca="false">36*Таблица310[[#This Row],[Регистратор.Вес нетто]]/277060</f>
        <v>1.71645131018552</v>
      </c>
      <c r="W376" s="198" t="s">
        <v>278</v>
      </c>
      <c r="X376" s="198" t="s">
        <v>315</v>
      </c>
      <c r="Y376" s="198" t="n">
        <v>4</v>
      </c>
      <c r="Z376" s="200" t="n">
        <v>45826</v>
      </c>
      <c r="AA376" s="198"/>
      <c r="AB376" s="198"/>
      <c r="AC376" s="198" t="s">
        <v>302</v>
      </c>
      <c r="AD376" s="198" t="s">
        <v>417</v>
      </c>
      <c r="AE376" s="198" t="s">
        <v>938</v>
      </c>
      <c r="AF376" s="200" t="n">
        <v>45826</v>
      </c>
      <c r="AG376" s="198" t="s">
        <v>906</v>
      </c>
      <c r="AH376" s="198" t="n">
        <f aca="false">VLOOKUP(Таблица310[[#This Row],[№ акта]],'Степень зрелости 2025'!$H$13:$I$583,2,FALSE())</f>
        <v>55</v>
      </c>
      <c r="AI376" s="198" t="n">
        <f aca="false">VLOOKUP(Таблица310[[#This Row],[№ акта]],$AQ$1:$AT$594,2,FALSE())</f>
        <v>15</v>
      </c>
      <c r="AJ376" s="198" t="str">
        <f aca="false">Таблица310[[#This Row],[Регистратор.Номенклатура]]</f>
        <v>Тристар</v>
      </c>
      <c r="AK376" s="198" t="str">
        <f aca="false">VLOOKUP(Таблица310[[#This Row],[№ акта]],$AQ$1:$AT$594,4,FALSE())</f>
        <v>Агролидер (полив)</v>
      </c>
      <c r="AL376" s="230" t="n">
        <f aca="false">VLOOKUP(Таблица310[[#This Row],[№ акта]],$AQ$1:$AT$594,3,FALSE())</f>
        <v>1.71645131018552</v>
      </c>
      <c r="AM376" s="198" t="str">
        <f aca="false">IF(Таблица310[[#This Row],[Площадь уборки, га]]=Таблица310[[#This Row],[Площадь уборки до корр]],"нет","да")</f>
        <v>нет</v>
      </c>
      <c r="AN376" s="230" t="n">
        <f aca="false">Таблица310[[#This Row],[Площадь уборки до корр]]-Таблица310[[#This Row],[Площадь уборки, га]]</f>
        <v>0</v>
      </c>
      <c r="AQ376" s="0" t="s">
        <v>938</v>
      </c>
      <c r="AR376" s="0" t="n">
        <v>15</v>
      </c>
      <c r="AS376" s="0" t="n">
        <v>1.71645131018552</v>
      </c>
      <c r="AT376" s="0" t="s">
        <v>278</v>
      </c>
    </row>
    <row r="377" customFormat="false" ht="19.4" hidden="false" customHeight="false" outlineLevel="0" collapsed="false">
      <c r="A377" s="198"/>
      <c r="B377" s="223"/>
      <c r="C377" s="241" t="n">
        <f aca="false">Таблица310[[#This Row],[Степень зрелости вспом]]</f>
        <v>53</v>
      </c>
      <c r="D377" s="224" t="s">
        <v>939</v>
      </c>
      <c r="E377" s="225" t="n">
        <v>45826</v>
      </c>
      <c r="F377" s="223" t="n">
        <v>34270</v>
      </c>
      <c r="G377" s="223" t="n">
        <v>13260</v>
      </c>
      <c r="H377" s="226" t="n">
        <v>21010</v>
      </c>
      <c r="I377" s="223" t="n">
        <v>11735.1</v>
      </c>
      <c r="J377" s="198" t="s">
        <v>908</v>
      </c>
      <c r="K377" s="198" t="s">
        <v>904</v>
      </c>
      <c r="L377" s="198" t="n">
        <v>15</v>
      </c>
      <c r="M377" s="189" t="s">
        <v>427</v>
      </c>
      <c r="N377" s="198"/>
      <c r="O377" s="198"/>
      <c r="P377" s="198"/>
      <c r="Q377" s="198"/>
      <c r="R377" s="198" t="s">
        <v>431</v>
      </c>
      <c r="S377" s="198"/>
      <c r="T377" s="198" t="n">
        <v>15</v>
      </c>
      <c r="U377" s="195" t="str">
        <f aca="false">Таблица310[[#This Row],[Регистратор.Номенклатура]]</f>
        <v>Тристар</v>
      </c>
      <c r="V377" s="230" t="n">
        <f aca="false">36*Таблица310[[#This Row],[Регистратор.Вес нетто]]/277060</f>
        <v>1.72294809788493</v>
      </c>
      <c r="W377" s="198" t="s">
        <v>278</v>
      </c>
      <c r="X377" s="198" t="s">
        <v>315</v>
      </c>
      <c r="Y377" s="198" t="n">
        <v>4</v>
      </c>
      <c r="Z377" s="200" t="n">
        <v>45826</v>
      </c>
      <c r="AA377" s="198"/>
      <c r="AB377" s="198"/>
      <c r="AC377" s="198" t="s">
        <v>305</v>
      </c>
      <c r="AD377" s="198" t="s">
        <v>417</v>
      </c>
      <c r="AE377" s="198" t="s">
        <v>939</v>
      </c>
      <c r="AF377" s="200" t="n">
        <v>45826</v>
      </c>
      <c r="AG377" s="198" t="s">
        <v>906</v>
      </c>
      <c r="AH377" s="198" t="n">
        <f aca="false">VLOOKUP(Таблица310[[#This Row],[№ акта]],'Степень зрелости 2025'!$H$13:$I$583,2,FALSE())</f>
        <v>53</v>
      </c>
      <c r="AI377" s="198" t="n">
        <f aca="false">VLOOKUP(Таблица310[[#This Row],[№ акта]],$AQ$1:$AT$594,2,FALSE())</f>
        <v>15</v>
      </c>
      <c r="AJ377" s="198" t="str">
        <f aca="false">Таблица310[[#This Row],[Регистратор.Номенклатура]]</f>
        <v>Тристар</v>
      </c>
      <c r="AK377" s="198" t="str">
        <f aca="false">VLOOKUP(Таблица310[[#This Row],[№ акта]],$AQ$1:$AT$594,4,FALSE())</f>
        <v>Агролидер (полив)</v>
      </c>
      <c r="AL377" s="230" t="n">
        <f aca="false">VLOOKUP(Таблица310[[#This Row],[№ акта]],$AQ$1:$AT$594,3,FALSE())</f>
        <v>1.72294809788493</v>
      </c>
      <c r="AM377" s="198" t="str">
        <f aca="false">IF(Таблица310[[#This Row],[Площадь уборки, га]]=Таблица310[[#This Row],[Площадь уборки до корр]],"нет","да")</f>
        <v>нет</v>
      </c>
      <c r="AN377" s="230" t="n">
        <f aca="false">Таблица310[[#This Row],[Площадь уборки до корр]]-Таблица310[[#This Row],[Площадь уборки, га]]</f>
        <v>0</v>
      </c>
      <c r="AQ377" s="0" t="s">
        <v>939</v>
      </c>
      <c r="AR377" s="0" t="n">
        <v>15</v>
      </c>
      <c r="AS377" s="0" t="n">
        <v>1.72294809788493</v>
      </c>
      <c r="AT377" s="0" t="s">
        <v>278</v>
      </c>
    </row>
    <row r="378" customFormat="false" ht="19.4" hidden="false" customHeight="false" outlineLevel="0" collapsed="false">
      <c r="A378" s="198"/>
      <c r="B378" s="223"/>
      <c r="C378" s="241" t="n">
        <f aca="false">Таблица310[[#This Row],[Степень зрелости вспом]]</f>
        <v>53</v>
      </c>
      <c r="D378" s="224" t="s">
        <v>940</v>
      </c>
      <c r="E378" s="225" t="n">
        <v>45826</v>
      </c>
      <c r="F378" s="223" t="n">
        <v>28000</v>
      </c>
      <c r="G378" s="223" t="n">
        <v>13280</v>
      </c>
      <c r="H378" s="226" t="n">
        <v>14720</v>
      </c>
      <c r="I378" s="223" t="n">
        <v>12416.8</v>
      </c>
      <c r="J378" s="198" t="s">
        <v>908</v>
      </c>
      <c r="K378" s="198" t="s">
        <v>904</v>
      </c>
      <c r="L378" s="198" t="n">
        <v>15</v>
      </c>
      <c r="M378" s="189" t="s">
        <v>361</v>
      </c>
      <c r="N378" s="198"/>
      <c r="O378" s="198"/>
      <c r="P378" s="198"/>
      <c r="Q378" s="198"/>
      <c r="R378" s="198" t="s">
        <v>362</v>
      </c>
      <c r="S378" s="198"/>
      <c r="T378" s="198" t="n">
        <v>15</v>
      </c>
      <c r="U378" s="195" t="str">
        <f aca="false">Таблица310[[#This Row],[Регистратор.Номенклатура]]</f>
        <v>Тристар</v>
      </c>
      <c r="V378" s="230" t="n">
        <f aca="false">36*Таблица310[[#This Row],[Регистратор.Вес нетто]]/277060</f>
        <v>1.7255468129647</v>
      </c>
      <c r="W378" s="198" t="s">
        <v>278</v>
      </c>
      <c r="X378" s="198" t="s">
        <v>315</v>
      </c>
      <c r="Y378" s="198" t="n">
        <v>4</v>
      </c>
      <c r="Z378" s="200" t="n">
        <v>45826</v>
      </c>
      <c r="AA378" s="198"/>
      <c r="AB378" s="198"/>
      <c r="AC378" s="198" t="s">
        <v>305</v>
      </c>
      <c r="AD378" s="198" t="s">
        <v>417</v>
      </c>
      <c r="AE378" s="198" t="s">
        <v>940</v>
      </c>
      <c r="AF378" s="200" t="n">
        <v>45826</v>
      </c>
      <c r="AG378" s="198" t="s">
        <v>906</v>
      </c>
      <c r="AH378" s="198" t="n">
        <f aca="false">VLOOKUP(Таблица310[[#This Row],[№ акта]],'Степень зрелости 2025'!$H$13:$I$583,2,FALSE())</f>
        <v>53</v>
      </c>
      <c r="AI378" s="198" t="n">
        <f aca="false">VLOOKUP(Таблица310[[#This Row],[№ акта]],$AQ$1:$AT$594,2,FALSE())</f>
        <v>15</v>
      </c>
      <c r="AJ378" s="198" t="str">
        <f aca="false">Таблица310[[#This Row],[Регистратор.Номенклатура]]</f>
        <v>Тристар</v>
      </c>
      <c r="AK378" s="198" t="str">
        <f aca="false">VLOOKUP(Таблица310[[#This Row],[№ акта]],$AQ$1:$AT$594,4,FALSE())</f>
        <v>Агролидер (полив)</v>
      </c>
      <c r="AL378" s="230" t="n">
        <f aca="false">VLOOKUP(Таблица310[[#This Row],[№ акта]],$AQ$1:$AT$594,3,FALSE())</f>
        <v>1.7255468129647</v>
      </c>
      <c r="AM378" s="198" t="str">
        <f aca="false">IF(Таблица310[[#This Row],[Площадь уборки, га]]=Таблица310[[#This Row],[Площадь уборки до корр]],"нет","да")</f>
        <v>нет</v>
      </c>
      <c r="AN378" s="230" t="n">
        <f aca="false">Таблица310[[#This Row],[Площадь уборки до корр]]-Таблица310[[#This Row],[Площадь уборки, га]]</f>
        <v>0</v>
      </c>
      <c r="AQ378" s="0" t="s">
        <v>940</v>
      </c>
      <c r="AR378" s="0" t="n">
        <v>15</v>
      </c>
      <c r="AS378" s="0" t="n">
        <v>1.7255468129647</v>
      </c>
      <c r="AT378" s="0" t="s">
        <v>278</v>
      </c>
    </row>
    <row r="379" customFormat="false" ht="19.4" hidden="false" customHeight="false" outlineLevel="0" collapsed="false">
      <c r="A379" s="198"/>
      <c r="B379" s="223"/>
      <c r="C379" s="241" t="n">
        <f aca="false">Таблица310[[#This Row],[Степень зрелости вспом]]</f>
        <v>54</v>
      </c>
      <c r="D379" s="224" t="s">
        <v>941</v>
      </c>
      <c r="E379" s="225" t="n">
        <v>45826</v>
      </c>
      <c r="F379" s="223" t="n">
        <v>27280</v>
      </c>
      <c r="G379" s="223" t="n">
        <v>13410</v>
      </c>
      <c r="H379" s="226" t="n">
        <v>13870</v>
      </c>
      <c r="I379" s="223" t="n">
        <v>12136</v>
      </c>
      <c r="J379" s="198" t="s">
        <v>908</v>
      </c>
      <c r="K379" s="198" t="s">
        <v>904</v>
      </c>
      <c r="L379" s="198" t="n">
        <v>15</v>
      </c>
      <c r="M379" s="189" t="s">
        <v>359</v>
      </c>
      <c r="N379" s="198"/>
      <c r="O379" s="198"/>
      <c r="P379" s="198"/>
      <c r="Q379" s="198"/>
      <c r="R379" s="198" t="s">
        <v>426</v>
      </c>
      <c r="S379" s="198"/>
      <c r="T379" s="198" t="n">
        <v>15</v>
      </c>
      <c r="U379" s="195" t="str">
        <f aca="false">Таблица310[[#This Row],[Регистратор.Номенклатура]]</f>
        <v>Тристар</v>
      </c>
      <c r="V379" s="230" t="n">
        <f aca="false">36*Таблица310[[#This Row],[Регистратор.Вес нетто]]/277060</f>
        <v>1.74243846098318</v>
      </c>
      <c r="W379" s="198" t="s">
        <v>278</v>
      </c>
      <c r="X379" s="198" t="s">
        <v>315</v>
      </c>
      <c r="Y379" s="198" t="n">
        <v>4</v>
      </c>
      <c r="Z379" s="200" t="n">
        <v>45826</v>
      </c>
      <c r="AA379" s="198"/>
      <c r="AB379" s="198"/>
      <c r="AC379" s="198" t="s">
        <v>302</v>
      </c>
      <c r="AD379" s="198" t="s">
        <v>417</v>
      </c>
      <c r="AE379" s="198" t="s">
        <v>941</v>
      </c>
      <c r="AF379" s="200" t="n">
        <v>45826</v>
      </c>
      <c r="AG379" s="198" t="n">
        <v>54927</v>
      </c>
      <c r="AH379" s="198" t="n">
        <f aca="false">VLOOKUP(Таблица310[[#This Row],[№ акта]],'Степень зрелости 2025'!$H$13:$I$583,2,FALSE())</f>
        <v>54</v>
      </c>
      <c r="AI379" s="198" t="n">
        <f aca="false">VLOOKUP(Таблица310[[#This Row],[№ акта]],$AQ$1:$AT$594,2,FALSE())</f>
        <v>15</v>
      </c>
      <c r="AJ379" s="198" t="str">
        <f aca="false">Таблица310[[#This Row],[Регистратор.Номенклатура]]</f>
        <v>Тристар</v>
      </c>
      <c r="AK379" s="198" t="str">
        <f aca="false">VLOOKUP(Таблица310[[#This Row],[№ акта]],$AQ$1:$AT$594,4,FALSE())</f>
        <v>Агролидер (полив)</v>
      </c>
      <c r="AL379" s="230" t="n">
        <f aca="false">VLOOKUP(Таблица310[[#This Row],[№ акта]],$AQ$1:$AT$594,3,FALSE())</f>
        <v>1.74243846098318</v>
      </c>
      <c r="AM379" s="198" t="str">
        <f aca="false">IF(Таблица310[[#This Row],[Площадь уборки, га]]=Таблица310[[#This Row],[Площадь уборки до корр]],"нет","да")</f>
        <v>нет</v>
      </c>
      <c r="AN379" s="230" t="n">
        <f aca="false">Таблица310[[#This Row],[Площадь уборки до корр]]-Таблица310[[#This Row],[Площадь уборки, га]]</f>
        <v>0</v>
      </c>
      <c r="AQ379" s="0" t="s">
        <v>941</v>
      </c>
      <c r="AR379" s="0" t="n">
        <v>15</v>
      </c>
      <c r="AS379" s="0" t="n">
        <v>1.74243846098318</v>
      </c>
      <c r="AT379" s="0" t="s">
        <v>278</v>
      </c>
    </row>
    <row r="380" customFormat="false" ht="19.4" hidden="false" customHeight="false" outlineLevel="0" collapsed="false">
      <c r="A380" s="198"/>
      <c r="B380" s="223"/>
      <c r="C380" s="241" t="n">
        <v>57</v>
      </c>
      <c r="D380" s="224" t="s">
        <v>942</v>
      </c>
      <c r="E380" s="225" t="n">
        <v>45826</v>
      </c>
      <c r="F380" s="223" t="n">
        <v>28170</v>
      </c>
      <c r="G380" s="223" t="n">
        <v>13240</v>
      </c>
      <c r="H380" s="226" t="n">
        <v>14930</v>
      </c>
      <c r="I380" s="223" t="n">
        <v>12247</v>
      </c>
      <c r="J380" s="198" t="s">
        <v>908</v>
      </c>
      <c r="K380" s="198" t="s">
        <v>904</v>
      </c>
      <c r="L380" s="198" t="n">
        <v>15</v>
      </c>
      <c r="M380" s="189" t="s">
        <v>433</v>
      </c>
      <c r="N380" s="198"/>
      <c r="O380" s="198"/>
      <c r="P380" s="198"/>
      <c r="Q380" s="198"/>
      <c r="R380" s="198" t="s">
        <v>437</v>
      </c>
      <c r="S380" s="198"/>
      <c r="T380" s="198" t="n">
        <v>15</v>
      </c>
      <c r="U380" s="195" t="str">
        <f aca="false">Таблица310[[#This Row],[Регистратор.Номенклатура]]</f>
        <v>Тристар</v>
      </c>
      <c r="V380" s="230" t="n">
        <f aca="false">36*Таблица310[[#This Row],[Регистратор.Вес нетто]]/277060</f>
        <v>1.72034938280517</v>
      </c>
      <c r="W380" s="198" t="s">
        <v>278</v>
      </c>
      <c r="X380" s="198" t="s">
        <v>315</v>
      </c>
      <c r="Y380" s="198" t="n">
        <v>4</v>
      </c>
      <c r="Z380" s="200" t="n">
        <v>45826</v>
      </c>
      <c r="AA380" s="198"/>
      <c r="AB380" s="198"/>
      <c r="AC380" s="198" t="s">
        <v>302</v>
      </c>
      <c r="AD380" s="198" t="s">
        <v>417</v>
      </c>
      <c r="AE380" s="198" t="s">
        <v>942</v>
      </c>
      <c r="AF380" s="200" t="n">
        <v>45826</v>
      </c>
      <c r="AG380" s="198" t="n">
        <v>54928</v>
      </c>
      <c r="AH380" s="198" t="n">
        <f aca="false">VLOOKUP(Таблица310[[#This Row],[№ акта]],'Степень зрелости 2025'!$H$13:$I$583,2,FALSE())</f>
        <v>57</v>
      </c>
      <c r="AI380" s="198" t="n">
        <f aca="false">VLOOKUP(Таблица310[[#This Row],[№ акта]],$AQ$1:$AT$594,2,FALSE())</f>
        <v>15</v>
      </c>
      <c r="AJ380" s="198" t="str">
        <f aca="false">Таблица310[[#This Row],[Регистратор.Номенклатура]]</f>
        <v>Тристар</v>
      </c>
      <c r="AK380" s="198" t="str">
        <f aca="false">VLOOKUP(Таблица310[[#This Row],[№ акта]],$AQ$1:$AT$594,4,FALSE())</f>
        <v>Агролидер (полив)</v>
      </c>
      <c r="AL380" s="230" t="n">
        <f aca="false">VLOOKUP(Таблица310[[#This Row],[№ акта]],$AQ$1:$AT$594,3,FALSE())</f>
        <v>1.72034938280517</v>
      </c>
      <c r="AM380" s="198" t="str">
        <f aca="false">IF(Таблица310[[#This Row],[Площадь уборки, га]]=Таблица310[[#This Row],[Площадь уборки до корр]],"нет","да")</f>
        <v>нет</v>
      </c>
      <c r="AN380" s="230" t="n">
        <f aca="false">Таблица310[[#This Row],[Площадь уборки до корр]]-Таблица310[[#This Row],[Площадь уборки, га]]</f>
        <v>0</v>
      </c>
      <c r="AQ380" s="0" t="s">
        <v>942</v>
      </c>
      <c r="AR380" s="0" t="n">
        <v>15</v>
      </c>
      <c r="AS380" s="0" t="n">
        <v>1.72034938280517</v>
      </c>
      <c r="AT380" s="0" t="s">
        <v>278</v>
      </c>
    </row>
    <row r="381" customFormat="false" ht="19.4" hidden="false" customHeight="false" outlineLevel="0" collapsed="false">
      <c r="A381" s="198"/>
      <c r="B381" s="223"/>
      <c r="C381" s="241" t="n">
        <f aca="false">Таблица310[[#This Row],[Степень зрелости вспом]]</f>
        <v>55</v>
      </c>
      <c r="D381" s="224" t="s">
        <v>943</v>
      </c>
      <c r="E381" s="225" t="n">
        <v>45826</v>
      </c>
      <c r="F381" s="223" t="n">
        <v>36820</v>
      </c>
      <c r="G381" s="223" t="n">
        <v>12760</v>
      </c>
      <c r="H381" s="226" t="n">
        <v>24060</v>
      </c>
      <c r="I381" s="223" t="n">
        <v>11803</v>
      </c>
      <c r="J381" s="198" t="s">
        <v>908</v>
      </c>
      <c r="K381" s="198" t="s">
        <v>904</v>
      </c>
      <c r="L381" s="198" t="n">
        <v>15</v>
      </c>
      <c r="M381" s="189" t="s">
        <v>439</v>
      </c>
      <c r="N381" s="198"/>
      <c r="O381" s="198"/>
      <c r="P381" s="198"/>
      <c r="Q381" s="198"/>
      <c r="R381" s="198" t="s">
        <v>443</v>
      </c>
      <c r="S381" s="198"/>
      <c r="T381" s="198" t="n">
        <v>15</v>
      </c>
      <c r="U381" s="195" t="str">
        <f aca="false">Таблица310[[#This Row],[Регистратор.Номенклатура]]</f>
        <v>Тристар</v>
      </c>
      <c r="V381" s="230" t="n">
        <f aca="false">36*Таблица310[[#This Row],[Регистратор.Вес нетто]]/277060</f>
        <v>1.65798022089078</v>
      </c>
      <c r="W381" s="198" t="s">
        <v>278</v>
      </c>
      <c r="X381" s="198" t="s">
        <v>315</v>
      </c>
      <c r="Y381" s="198" t="n">
        <v>4</v>
      </c>
      <c r="Z381" s="200" t="n">
        <v>45826</v>
      </c>
      <c r="AA381" s="198"/>
      <c r="AB381" s="198"/>
      <c r="AC381" s="198" t="s">
        <v>302</v>
      </c>
      <c r="AD381" s="198" t="s">
        <v>417</v>
      </c>
      <c r="AE381" s="198" t="s">
        <v>943</v>
      </c>
      <c r="AF381" s="200" t="n">
        <v>45826</v>
      </c>
      <c r="AG381" s="198" t="n">
        <v>54927</v>
      </c>
      <c r="AH381" s="198" t="n">
        <f aca="false">VLOOKUP(Таблица310[[#This Row],[№ акта]],'Степень зрелости 2025'!$H$13:$I$583,2,FALSE())</f>
        <v>55</v>
      </c>
      <c r="AI381" s="198" t="n">
        <f aca="false">VLOOKUP(Таблица310[[#This Row],[№ акта]],$AQ$1:$AT$594,2,FALSE())</f>
        <v>15</v>
      </c>
      <c r="AJ381" s="198" t="str">
        <f aca="false">Таблица310[[#This Row],[Регистратор.Номенклатура]]</f>
        <v>Тристар</v>
      </c>
      <c r="AK381" s="198" t="str">
        <f aca="false">VLOOKUP(Таблица310[[#This Row],[№ акта]],$AQ$1:$AT$594,4,FALSE())</f>
        <v>Агролидер (полив)</v>
      </c>
      <c r="AL381" s="230" t="n">
        <f aca="false">VLOOKUP(Таблица310[[#This Row],[№ акта]],$AQ$1:$AT$594,3,FALSE())</f>
        <v>1.65798022089078</v>
      </c>
      <c r="AM381" s="198" t="str">
        <f aca="false">IF(Таблица310[[#This Row],[Площадь уборки, га]]=Таблица310[[#This Row],[Площадь уборки до корр]],"нет","да")</f>
        <v>нет</v>
      </c>
      <c r="AN381" s="230" t="n">
        <f aca="false">Таблица310[[#This Row],[Площадь уборки до корр]]-Таблица310[[#This Row],[Площадь уборки, га]]</f>
        <v>0</v>
      </c>
      <c r="AQ381" s="0" t="s">
        <v>943</v>
      </c>
      <c r="AR381" s="0" t="n">
        <v>15</v>
      </c>
      <c r="AS381" s="0" t="n">
        <v>1.65798022089078</v>
      </c>
      <c r="AT381" s="0" t="s">
        <v>278</v>
      </c>
    </row>
    <row r="382" customFormat="false" ht="28.35" hidden="false" customHeight="false" outlineLevel="0" collapsed="false">
      <c r="A382" s="198"/>
      <c r="B382" s="223"/>
      <c r="C382" s="241" t="n">
        <f aca="false">Таблица310[[#This Row],[Степень зрелости вспом]]</f>
        <v>57</v>
      </c>
      <c r="D382" s="224" t="s">
        <v>944</v>
      </c>
      <c r="E382" s="225" t="n">
        <v>45827</v>
      </c>
      <c r="F382" s="223" t="n">
        <v>27850</v>
      </c>
      <c r="G382" s="223" t="n">
        <v>12810</v>
      </c>
      <c r="H382" s="226" t="n">
        <v>15040</v>
      </c>
      <c r="I382" s="223" t="n">
        <v>11977.3</v>
      </c>
      <c r="J382" s="198" t="s">
        <v>908</v>
      </c>
      <c r="K382" s="198" t="s">
        <v>904</v>
      </c>
      <c r="L382" s="198" t="n">
        <v>15</v>
      </c>
      <c r="M382" s="189" t="s">
        <v>371</v>
      </c>
      <c r="N382" s="198"/>
      <c r="O382" s="198"/>
      <c r="P382" s="198"/>
      <c r="Q382" s="198"/>
      <c r="R382" s="198" t="s">
        <v>372</v>
      </c>
      <c r="S382" s="198"/>
      <c r="T382" s="198" t="n">
        <v>15</v>
      </c>
      <c r="U382" s="195" t="str">
        <f aca="false">Таблица310[[#This Row],[Регистратор.Номенклатура]]</f>
        <v>Тристар</v>
      </c>
      <c r="V382" s="230" t="n">
        <f aca="false">36*Таблица310[[#This Row],[Регистратор.Вес нетто]]/277060</f>
        <v>1.6644770085902</v>
      </c>
      <c r="W382" s="198" t="s">
        <v>278</v>
      </c>
      <c r="X382" s="198" t="s">
        <v>315</v>
      </c>
      <c r="Y382" s="198" t="n">
        <v>4</v>
      </c>
      <c r="Z382" s="200" t="n">
        <v>45826</v>
      </c>
      <c r="AA382" s="198"/>
      <c r="AB382" s="198"/>
      <c r="AC382" s="198" t="s">
        <v>302</v>
      </c>
      <c r="AD382" s="198" t="s">
        <v>417</v>
      </c>
      <c r="AE382" s="198" t="s">
        <v>944</v>
      </c>
      <c r="AF382" s="200" t="n">
        <v>45827</v>
      </c>
      <c r="AG382" s="198" t="n">
        <v>54928</v>
      </c>
      <c r="AH382" s="198" t="n">
        <f aca="false">VLOOKUP(Таблица310[[#This Row],[№ акта]],'Степень зрелости 2025'!$H$13:$I$583,2,FALSE())</f>
        <v>57</v>
      </c>
      <c r="AI382" s="198" t="n">
        <f aca="false">VLOOKUP(Таблица310[[#This Row],[№ акта]],$AQ$1:$AT$594,2,FALSE())</f>
        <v>15</v>
      </c>
      <c r="AJ382" s="198" t="str">
        <f aca="false">Таблица310[[#This Row],[Регистратор.Номенклатура]]</f>
        <v>Тристар</v>
      </c>
      <c r="AK382" s="198" t="str">
        <f aca="false">VLOOKUP(Таблица310[[#This Row],[№ акта]],$AQ$1:$AT$594,4,FALSE())</f>
        <v>Агролидер (полив)</v>
      </c>
      <c r="AL382" s="230" t="n">
        <f aca="false">VLOOKUP(Таблица310[[#This Row],[№ акта]],$AQ$1:$AT$594,3,FALSE())</f>
        <v>1.6644770085902</v>
      </c>
      <c r="AM382" s="198" t="str">
        <f aca="false">IF(Таблица310[[#This Row],[Площадь уборки, га]]=Таблица310[[#This Row],[Площадь уборки до корр]],"нет","да")</f>
        <v>нет</v>
      </c>
      <c r="AN382" s="230" t="n">
        <f aca="false">Таблица310[[#This Row],[Площадь уборки до корр]]-Таблица310[[#This Row],[Площадь уборки, га]]</f>
        <v>0</v>
      </c>
      <c r="AQ382" s="0" t="s">
        <v>944</v>
      </c>
      <c r="AR382" s="0" t="n">
        <v>15</v>
      </c>
      <c r="AS382" s="0" t="n">
        <v>1.6644770085902</v>
      </c>
      <c r="AT382" s="0" t="s">
        <v>278</v>
      </c>
    </row>
    <row r="383" customFormat="false" ht="28.35" hidden="false" customHeight="false" outlineLevel="0" collapsed="false">
      <c r="A383" s="198"/>
      <c r="B383" s="223"/>
      <c r="C383" s="241" t="n">
        <f aca="false">Таблица310[[#This Row],[Степень зрелости вспом]]</f>
        <v>57</v>
      </c>
      <c r="D383" s="224" t="s">
        <v>945</v>
      </c>
      <c r="E383" s="225" t="n">
        <v>45827</v>
      </c>
      <c r="F383" s="223" t="n">
        <v>27380</v>
      </c>
      <c r="G383" s="223" t="n">
        <v>12730</v>
      </c>
      <c r="H383" s="226" t="n">
        <v>14650</v>
      </c>
      <c r="I383" s="223" t="n">
        <v>12029.8</v>
      </c>
      <c r="J383" s="198" t="s">
        <v>908</v>
      </c>
      <c r="K383" s="198" t="s">
        <v>904</v>
      </c>
      <c r="L383" s="198" t="n">
        <v>15</v>
      </c>
      <c r="M383" s="189" t="s">
        <v>55</v>
      </c>
      <c r="N383" s="198"/>
      <c r="O383" s="198"/>
      <c r="P383" s="198"/>
      <c r="Q383" s="198"/>
      <c r="R383" s="198" t="s">
        <v>56</v>
      </c>
      <c r="S383" s="198"/>
      <c r="T383" s="198" t="n">
        <v>15</v>
      </c>
      <c r="U383" s="195" t="str">
        <f aca="false">Таблица310[[#This Row],[Регистратор.Номенклатура]]</f>
        <v>Тристар</v>
      </c>
      <c r="V383" s="230" t="n">
        <f aca="false">36*Таблица310[[#This Row],[Регистратор.Вес нетто]]/277060</f>
        <v>1.65408214827113</v>
      </c>
      <c r="W383" s="198" t="s">
        <v>278</v>
      </c>
      <c r="X383" s="198" t="s">
        <v>315</v>
      </c>
      <c r="Y383" s="198" t="n">
        <v>4</v>
      </c>
      <c r="Z383" s="200" t="n">
        <v>45826</v>
      </c>
      <c r="AA383" s="198"/>
      <c r="AB383" s="198"/>
      <c r="AC383" s="198" t="s">
        <v>302</v>
      </c>
      <c r="AD383" s="198" t="s">
        <v>417</v>
      </c>
      <c r="AE383" s="198" t="s">
        <v>945</v>
      </c>
      <c r="AF383" s="200" t="n">
        <v>45827</v>
      </c>
      <c r="AG383" s="198" t="n">
        <v>54929</v>
      </c>
      <c r="AH383" s="198" t="n">
        <f aca="false">VLOOKUP(Таблица310[[#This Row],[№ акта]],'Степень зрелости 2025'!$H$13:$I$583,2,FALSE())</f>
        <v>57</v>
      </c>
      <c r="AI383" s="198" t="n">
        <f aca="false">VLOOKUP(Таблица310[[#This Row],[№ акта]],$AQ$1:$AT$594,2,FALSE())</f>
        <v>15</v>
      </c>
      <c r="AJ383" s="198" t="str">
        <f aca="false">Таблица310[[#This Row],[Регистратор.Номенклатура]]</f>
        <v>Тристар</v>
      </c>
      <c r="AK383" s="198" t="str">
        <f aca="false">VLOOKUP(Таблица310[[#This Row],[№ акта]],$AQ$1:$AT$594,4,FALSE())</f>
        <v>Агролидер (полив)</v>
      </c>
      <c r="AL383" s="230" t="n">
        <f aca="false">VLOOKUP(Таблица310[[#This Row],[№ акта]],$AQ$1:$AT$594,3,FALSE())</f>
        <v>1.65408214827113</v>
      </c>
      <c r="AM383" s="198" t="str">
        <f aca="false">IF(Таблица310[[#This Row],[Площадь уборки, га]]=Таблица310[[#This Row],[Площадь уборки до корр]],"нет","да")</f>
        <v>нет</v>
      </c>
      <c r="AN383" s="230" t="n">
        <f aca="false">Таблица310[[#This Row],[Площадь уборки до корр]]-Таблица310[[#This Row],[Площадь уборки, га]]</f>
        <v>0</v>
      </c>
      <c r="AQ383" s="0" t="s">
        <v>945</v>
      </c>
      <c r="AR383" s="0" t="n">
        <v>15</v>
      </c>
      <c r="AS383" s="0" t="n">
        <v>1.65408214827113</v>
      </c>
      <c r="AT383" s="0" t="s">
        <v>278</v>
      </c>
    </row>
    <row r="384" customFormat="false" ht="28.35" hidden="false" customHeight="false" outlineLevel="0" collapsed="false">
      <c r="A384" s="198"/>
      <c r="B384" s="223"/>
      <c r="C384" s="241" t="n">
        <f aca="false">Таблица310[[#This Row],[Степень зрелости вспом]]</f>
        <v>58</v>
      </c>
      <c r="D384" s="224" t="s">
        <v>946</v>
      </c>
      <c r="E384" s="225" t="n">
        <v>45827</v>
      </c>
      <c r="F384" s="223" t="n">
        <v>27650</v>
      </c>
      <c r="G384" s="223" t="n">
        <v>12990</v>
      </c>
      <c r="H384" s="226" t="n">
        <v>14660</v>
      </c>
      <c r="I384" s="223" t="n">
        <v>12145.6</v>
      </c>
      <c r="J384" s="198" t="s">
        <v>908</v>
      </c>
      <c r="K384" s="198" t="s">
        <v>904</v>
      </c>
      <c r="L384" s="198" t="n">
        <v>15</v>
      </c>
      <c r="M384" s="189" t="s">
        <v>363</v>
      </c>
      <c r="N384" s="198"/>
      <c r="O384" s="198"/>
      <c r="P384" s="198"/>
      <c r="Q384" s="198"/>
      <c r="R384" s="198" t="s">
        <v>364</v>
      </c>
      <c r="S384" s="198"/>
      <c r="T384" s="198" t="n">
        <v>15</v>
      </c>
      <c r="U384" s="195" t="str">
        <f aca="false">Таблица310[[#This Row],[Регистратор.Номенклатура]]</f>
        <v>Тристар</v>
      </c>
      <c r="V384" s="230" t="n">
        <f aca="false">36*Таблица310[[#This Row],[Регистратор.Вес нетто]]/277060</f>
        <v>1.68786544430809</v>
      </c>
      <c r="W384" s="198" t="s">
        <v>278</v>
      </c>
      <c r="X384" s="198" t="s">
        <v>315</v>
      </c>
      <c r="Y384" s="198" t="n">
        <v>4</v>
      </c>
      <c r="Z384" s="200" t="n">
        <v>45826</v>
      </c>
      <c r="AA384" s="198"/>
      <c r="AB384" s="198"/>
      <c r="AC384" s="198" t="s">
        <v>302</v>
      </c>
      <c r="AD384" s="198" t="s">
        <v>417</v>
      </c>
      <c r="AE384" s="198" t="s">
        <v>946</v>
      </c>
      <c r="AF384" s="200" t="n">
        <v>45827</v>
      </c>
      <c r="AG384" s="198" t="n">
        <v>54929</v>
      </c>
      <c r="AH384" s="198" t="n">
        <f aca="false">VLOOKUP(Таблица310[[#This Row],[№ акта]],'Степень зрелости 2025'!$H$13:$I$583,2,FALSE())</f>
        <v>58</v>
      </c>
      <c r="AI384" s="198" t="n">
        <f aca="false">VLOOKUP(Таблица310[[#This Row],[№ акта]],$AQ$1:$AT$594,2,FALSE())</f>
        <v>15</v>
      </c>
      <c r="AJ384" s="198" t="str">
        <f aca="false">Таблица310[[#This Row],[Регистратор.Номенклатура]]</f>
        <v>Тристар</v>
      </c>
      <c r="AK384" s="198" t="str">
        <f aca="false">VLOOKUP(Таблица310[[#This Row],[№ акта]],$AQ$1:$AT$594,4,FALSE())</f>
        <v>Агролидер (полив)</v>
      </c>
      <c r="AL384" s="230" t="n">
        <f aca="false">VLOOKUP(Таблица310[[#This Row],[№ акта]],$AQ$1:$AT$594,3,FALSE())</f>
        <v>1.68786544430809</v>
      </c>
      <c r="AM384" s="198" t="str">
        <f aca="false">IF(Таблица310[[#This Row],[Площадь уборки, га]]=Таблица310[[#This Row],[Площадь уборки до корр]],"нет","да")</f>
        <v>нет</v>
      </c>
      <c r="AN384" s="230" t="n">
        <f aca="false">Таблица310[[#This Row],[Площадь уборки до корр]]-Таблица310[[#This Row],[Площадь уборки, га]]</f>
        <v>0</v>
      </c>
      <c r="AQ384" s="0" t="s">
        <v>946</v>
      </c>
      <c r="AR384" s="0" t="n">
        <v>15</v>
      </c>
      <c r="AS384" s="0" t="n">
        <v>1.68786544430809</v>
      </c>
      <c r="AT384" s="0" t="s">
        <v>278</v>
      </c>
    </row>
    <row r="385" customFormat="false" ht="19.4" hidden="false" customHeight="false" outlineLevel="0" collapsed="false">
      <c r="A385" s="198"/>
      <c r="B385" s="223"/>
      <c r="C385" s="241" t="n">
        <f aca="false">Таблица310[[#This Row],[Степень зрелости вспом]]</f>
        <v>56</v>
      </c>
      <c r="D385" s="224" t="s">
        <v>947</v>
      </c>
      <c r="E385" s="225" t="n">
        <v>45827</v>
      </c>
      <c r="F385" s="223" t="n">
        <v>28680</v>
      </c>
      <c r="G385" s="223" t="n">
        <v>13700</v>
      </c>
      <c r="H385" s="226" t="n">
        <v>14980</v>
      </c>
      <c r="I385" s="223" t="n">
        <v>12535.5</v>
      </c>
      <c r="J385" s="198" t="s">
        <v>908</v>
      </c>
      <c r="K385" s="198" t="s">
        <v>904</v>
      </c>
      <c r="L385" s="198" t="n">
        <v>15</v>
      </c>
      <c r="M385" s="189" t="s">
        <v>382</v>
      </c>
      <c r="N385" s="198"/>
      <c r="O385" s="198"/>
      <c r="P385" s="198"/>
      <c r="Q385" s="198"/>
      <c r="R385" s="198" t="s">
        <v>383</v>
      </c>
      <c r="S385" s="198"/>
      <c r="T385" s="198" t="n">
        <v>15</v>
      </c>
      <c r="U385" s="195" t="str">
        <f aca="false">Таблица310[[#This Row],[Регистратор.Номенклатура]]</f>
        <v>Тристар</v>
      </c>
      <c r="V385" s="230" t="n">
        <f aca="false">36*Таблица310[[#This Row],[Регистратор.Вес нетто]]/277060</f>
        <v>1.78011982963979</v>
      </c>
      <c r="W385" s="198" t="s">
        <v>278</v>
      </c>
      <c r="X385" s="198" t="s">
        <v>315</v>
      </c>
      <c r="Y385" s="198" t="n">
        <v>4</v>
      </c>
      <c r="Z385" s="200" t="n">
        <v>45826</v>
      </c>
      <c r="AA385" s="198"/>
      <c r="AB385" s="198"/>
      <c r="AC385" s="198" t="s">
        <v>302</v>
      </c>
      <c r="AD385" s="198" t="s">
        <v>417</v>
      </c>
      <c r="AE385" s="198" t="s">
        <v>947</v>
      </c>
      <c r="AF385" s="200" t="n">
        <v>45827</v>
      </c>
      <c r="AG385" s="198" t="n">
        <v>54930</v>
      </c>
      <c r="AH385" s="198" t="n">
        <f aca="false">VLOOKUP(Таблица310[[#This Row],[№ акта]],'Степень зрелости 2025'!$H$13:$I$583,2,FALSE())</f>
        <v>56</v>
      </c>
      <c r="AI385" s="198" t="n">
        <f aca="false">VLOOKUP(Таблица310[[#This Row],[№ акта]],$AQ$1:$AT$594,2,FALSE())</f>
        <v>15</v>
      </c>
      <c r="AJ385" s="198" t="str">
        <f aca="false">Таблица310[[#This Row],[Регистратор.Номенклатура]]</f>
        <v>Тристар</v>
      </c>
      <c r="AK385" s="198" t="str">
        <f aca="false">VLOOKUP(Таблица310[[#This Row],[№ акта]],$AQ$1:$AT$594,4,FALSE())</f>
        <v>Агролидер (полив)</v>
      </c>
      <c r="AL385" s="230" t="n">
        <f aca="false">VLOOKUP(Таблица310[[#This Row],[№ акта]],$AQ$1:$AT$594,3,FALSE())</f>
        <v>1.78011982963979</v>
      </c>
      <c r="AM385" s="198" t="str">
        <f aca="false">IF(Таблица310[[#This Row],[Площадь уборки, га]]=Таблица310[[#This Row],[Площадь уборки до корр]],"нет","да")</f>
        <v>нет</v>
      </c>
      <c r="AN385" s="230" t="n">
        <f aca="false">Таблица310[[#This Row],[Площадь уборки до корр]]-Таблица310[[#This Row],[Площадь уборки, га]]</f>
        <v>0</v>
      </c>
      <c r="AQ385" s="0" t="s">
        <v>947</v>
      </c>
      <c r="AR385" s="0" t="n">
        <v>15</v>
      </c>
      <c r="AS385" s="0" t="n">
        <v>1.78011982963979</v>
      </c>
      <c r="AT385" s="0" t="s">
        <v>278</v>
      </c>
    </row>
    <row r="386" customFormat="false" ht="19.4" hidden="false" customHeight="false" outlineLevel="0" collapsed="false">
      <c r="A386" s="198"/>
      <c r="B386" s="223"/>
      <c r="C386" s="241" t="n">
        <v>58</v>
      </c>
      <c r="D386" s="224" t="s">
        <v>948</v>
      </c>
      <c r="E386" s="225" t="n">
        <v>45827</v>
      </c>
      <c r="F386" s="223" t="n">
        <v>27300</v>
      </c>
      <c r="G386" s="223" t="n">
        <v>12790</v>
      </c>
      <c r="H386" s="226" t="n">
        <v>14510</v>
      </c>
      <c r="I386" s="223" t="n">
        <v>11958.6</v>
      </c>
      <c r="J386" s="198" t="s">
        <v>908</v>
      </c>
      <c r="K386" s="198" t="s">
        <v>904</v>
      </c>
      <c r="L386" s="198" t="n">
        <v>16</v>
      </c>
      <c r="M386" s="189" t="s">
        <v>384</v>
      </c>
      <c r="N386" s="198"/>
      <c r="O386" s="198"/>
      <c r="P386" s="198"/>
      <c r="Q386" s="198"/>
      <c r="R386" s="198" t="s">
        <v>385</v>
      </c>
      <c r="S386" s="198"/>
      <c r="T386" s="198" t="n">
        <v>16</v>
      </c>
      <c r="U386" s="195" t="str">
        <f aca="false">Таблица310[[#This Row],[Регистратор.Номенклатура]]</f>
        <v>Тристар</v>
      </c>
      <c r="V386" s="230" t="n">
        <f aca="false">36*Таблица310[[#This Row],[Регистратор.Вес нетто]]/277060</f>
        <v>1.66187829351043</v>
      </c>
      <c r="W386" s="198" t="s">
        <v>278</v>
      </c>
      <c r="X386" s="198" t="s">
        <v>315</v>
      </c>
      <c r="Y386" s="198" t="n">
        <v>4</v>
      </c>
      <c r="Z386" s="200" t="n">
        <v>45826</v>
      </c>
      <c r="AA386" s="198"/>
      <c r="AB386" s="198"/>
      <c r="AC386" s="198" t="s">
        <v>302</v>
      </c>
      <c r="AD386" s="198" t="s">
        <v>417</v>
      </c>
      <c r="AE386" s="198" t="s">
        <v>948</v>
      </c>
      <c r="AF386" s="200" t="n">
        <v>45827</v>
      </c>
      <c r="AG386" s="198" t="n">
        <v>54930</v>
      </c>
      <c r="AH386" s="198" t="e">
        <f aca="false">VLOOKUP(Таблица310[[#This Row],[№ акта]],'Степень зрелости 2025'!$H$13:$I$583,2,FALSE())</f>
        <v>#N/A</v>
      </c>
      <c r="AI386" s="198" t="n">
        <f aca="false">VLOOKUP(Таблица310[[#This Row],[№ акта]],$AQ$1:$AT$594,2,FALSE())</f>
        <v>16</v>
      </c>
      <c r="AJ386" s="198" t="str">
        <f aca="false">Таблица310[[#This Row],[Регистратор.Номенклатура]]</f>
        <v>Тристар</v>
      </c>
      <c r="AK386" s="198" t="str">
        <f aca="false">VLOOKUP(Таблица310[[#This Row],[№ акта]],$AQ$1:$AT$594,4,FALSE())</f>
        <v>Агролидер (полив)</v>
      </c>
      <c r="AL386" s="230" t="n">
        <f aca="false">VLOOKUP(Таблица310[[#This Row],[№ акта]],$AQ$1:$AT$594,3,FALSE())</f>
        <v>1.66187829351043</v>
      </c>
      <c r="AM386" s="198" t="str">
        <f aca="false">IF(Таблица310[[#This Row],[Площадь уборки, га]]=Таблица310[[#This Row],[Площадь уборки до корр]],"нет","да")</f>
        <v>нет</v>
      </c>
      <c r="AN386" s="230" t="n">
        <f aca="false">Таблица310[[#This Row],[Площадь уборки до корр]]-Таблица310[[#This Row],[Площадь уборки, га]]</f>
        <v>0</v>
      </c>
      <c r="AQ386" s="0" t="s">
        <v>948</v>
      </c>
      <c r="AR386" s="0" t="n">
        <v>16</v>
      </c>
      <c r="AS386" s="0" t="n">
        <v>1.66187829351043</v>
      </c>
      <c r="AT386" s="0" t="s">
        <v>278</v>
      </c>
    </row>
    <row r="387" customFormat="false" ht="28.35" hidden="false" customHeight="false" outlineLevel="0" collapsed="false">
      <c r="A387" s="198"/>
      <c r="B387" s="223"/>
      <c r="C387" s="241" t="n">
        <v>60</v>
      </c>
      <c r="D387" s="224" t="s">
        <v>949</v>
      </c>
      <c r="E387" s="225" t="n">
        <v>45827</v>
      </c>
      <c r="F387" s="223" t="n">
        <v>28560</v>
      </c>
      <c r="G387" s="223" t="n">
        <v>13000</v>
      </c>
      <c r="H387" s="226" t="n">
        <v>15560</v>
      </c>
      <c r="I387" s="223" t="n">
        <v>11895</v>
      </c>
      <c r="J387" s="198" t="s">
        <v>908</v>
      </c>
      <c r="K387" s="198" t="s">
        <v>904</v>
      </c>
      <c r="L387" s="198" t="n">
        <v>16</v>
      </c>
      <c r="M387" s="189" t="s">
        <v>519</v>
      </c>
      <c r="N387" s="198"/>
      <c r="O387" s="198"/>
      <c r="P387" s="198"/>
      <c r="Q387" s="198"/>
      <c r="R387" s="198" t="s">
        <v>523</v>
      </c>
      <c r="S387" s="198"/>
      <c r="T387" s="198" t="n">
        <v>16</v>
      </c>
      <c r="U387" s="195" t="str">
        <f aca="false">Таблица310[[#This Row],[Регистратор.Номенклатура]]</f>
        <v>Тристар</v>
      </c>
      <c r="V387" s="230" t="n">
        <f aca="false">28.3*Таблица310[[#This Row],[Регистратор.Вес нетто]]/252430</f>
        <v>1.45743374400824</v>
      </c>
      <c r="W387" s="198" t="s">
        <v>278</v>
      </c>
      <c r="X387" s="198" t="s">
        <v>315</v>
      </c>
      <c r="Y387" s="198" t="n">
        <v>5</v>
      </c>
      <c r="Z387" s="200" t="n">
        <v>45827</v>
      </c>
      <c r="AA387" s="198"/>
      <c r="AB387" s="198"/>
      <c r="AC387" s="198" t="s">
        <v>302</v>
      </c>
      <c r="AD387" s="198" t="s">
        <v>417</v>
      </c>
      <c r="AE387" s="224" t="s">
        <v>949</v>
      </c>
      <c r="AF387" s="200" t="n">
        <v>45827</v>
      </c>
      <c r="AG387" s="198" t="n">
        <v>54931</v>
      </c>
      <c r="AH387" s="198" t="e">
        <f aca="false">VLOOKUP(Таблица310[[#This Row],[№ акта]],'Степень зрелости 2025'!$H$13:$I$583,2,FALSE())</f>
        <v>#N/A</v>
      </c>
      <c r="AI387" s="198" t="n">
        <f aca="false">VLOOKUP(Таблица310[[#This Row],[№ акта]],$AQ$1:$AT$594,2,FALSE())</f>
        <v>16</v>
      </c>
      <c r="AJ387" s="198" t="str">
        <f aca="false">Таблица310[[#This Row],[Регистратор.Номенклатура]]</f>
        <v>Тристар</v>
      </c>
      <c r="AK387" s="198" t="str">
        <f aca="false">VLOOKUP(Таблица310[[#This Row],[№ акта]],$AQ$1:$AT$594,4,FALSE())</f>
        <v>Агролидер (полив)</v>
      </c>
      <c r="AL387" s="230" t="n">
        <f aca="false">VLOOKUP(Таблица310[[#This Row],[№ акта]],$AQ$1:$AT$594,3,FALSE())</f>
        <v>1.45743374400824</v>
      </c>
      <c r="AM387" s="198" t="str">
        <f aca="false">IF(Таблица310[[#This Row],[Площадь уборки, га]]=Таблица310[[#This Row],[Площадь уборки до корр]],"нет","да")</f>
        <v>нет</v>
      </c>
      <c r="AN387" s="230" t="n">
        <f aca="false">Таблица310[[#This Row],[Площадь уборки до корр]]-Таблица310[[#This Row],[Площадь уборки, га]]</f>
        <v>0</v>
      </c>
      <c r="AQ387" s="0" t="s">
        <v>949</v>
      </c>
      <c r="AR387" s="0" t="n">
        <v>16</v>
      </c>
      <c r="AS387" s="0" t="n">
        <v>1.45743374400824</v>
      </c>
      <c r="AT387" s="0" t="s">
        <v>278</v>
      </c>
    </row>
    <row r="388" customFormat="false" ht="19.4" hidden="false" customHeight="false" outlineLevel="0" collapsed="false">
      <c r="A388" s="198"/>
      <c r="B388" s="223"/>
      <c r="C388" s="241" t="n">
        <v>54</v>
      </c>
      <c r="D388" s="224" t="s">
        <v>950</v>
      </c>
      <c r="E388" s="225" t="n">
        <v>45827</v>
      </c>
      <c r="F388" s="223" t="n">
        <v>27680</v>
      </c>
      <c r="G388" s="223" t="n">
        <v>13020</v>
      </c>
      <c r="H388" s="226" t="n">
        <v>14660</v>
      </c>
      <c r="I388" s="223" t="n">
        <v>12043.5</v>
      </c>
      <c r="J388" s="198" t="s">
        <v>908</v>
      </c>
      <c r="K388" s="198" t="s">
        <v>904</v>
      </c>
      <c r="L388" s="198" t="n">
        <v>16</v>
      </c>
      <c r="M388" s="189" t="s">
        <v>361</v>
      </c>
      <c r="N388" s="198"/>
      <c r="O388" s="198"/>
      <c r="P388" s="198"/>
      <c r="Q388" s="198"/>
      <c r="R388" s="198" t="s">
        <v>362</v>
      </c>
      <c r="S388" s="198"/>
      <c r="T388" s="198" t="n">
        <v>16</v>
      </c>
      <c r="U388" s="195" t="str">
        <f aca="false">Таблица310[[#This Row],[Регистратор.Номенклатура]]</f>
        <v>Тристар</v>
      </c>
      <c r="V388" s="230" t="n">
        <f aca="false">28.3*Таблица310[[#This Row],[Регистратор.Вес нетто]]/252430</f>
        <v>1.45967594976825</v>
      </c>
      <c r="W388" s="198" t="s">
        <v>278</v>
      </c>
      <c r="X388" s="198" t="s">
        <v>315</v>
      </c>
      <c r="Y388" s="198" t="n">
        <v>5</v>
      </c>
      <c r="Z388" s="200" t="n">
        <v>45827</v>
      </c>
      <c r="AA388" s="198"/>
      <c r="AB388" s="198"/>
      <c r="AC388" s="198" t="s">
        <v>302</v>
      </c>
      <c r="AD388" s="198" t="s">
        <v>417</v>
      </c>
      <c r="AE388" s="224" t="s">
        <v>950</v>
      </c>
      <c r="AF388" s="200" t="n">
        <v>45827</v>
      </c>
      <c r="AG388" s="198" t="n">
        <v>54931</v>
      </c>
      <c r="AH388" s="198" t="e">
        <f aca="false">VLOOKUP(Таблица310[[#This Row],[№ акта]],'Степень зрелости 2025'!$H$13:$I$583,2,FALSE())</f>
        <v>#N/A</v>
      </c>
      <c r="AI388" s="198" t="n">
        <f aca="false">VLOOKUP(Таблица310[[#This Row],[№ акта]],$AQ$1:$AT$594,2,FALSE())</f>
        <v>16</v>
      </c>
      <c r="AJ388" s="198" t="str">
        <f aca="false">Таблица310[[#This Row],[Регистратор.Номенклатура]]</f>
        <v>Тристар</v>
      </c>
      <c r="AK388" s="198" t="str">
        <f aca="false">VLOOKUP(Таблица310[[#This Row],[№ акта]],$AQ$1:$AT$594,4,FALSE())</f>
        <v>Агролидер (полив)</v>
      </c>
      <c r="AL388" s="230" t="n">
        <f aca="false">VLOOKUP(Таблица310[[#This Row],[№ акта]],$AQ$1:$AT$594,3,FALSE())</f>
        <v>1.45967594976825</v>
      </c>
      <c r="AM388" s="198" t="str">
        <f aca="false">IF(Таблица310[[#This Row],[Площадь уборки, га]]=Таблица310[[#This Row],[Площадь уборки до корр]],"нет","да")</f>
        <v>нет</v>
      </c>
      <c r="AN388" s="230" t="n">
        <f aca="false">Таблица310[[#This Row],[Площадь уборки до корр]]-Таблица310[[#This Row],[Площадь уборки, га]]</f>
        <v>0</v>
      </c>
      <c r="AQ388" s="0" t="s">
        <v>950</v>
      </c>
      <c r="AR388" s="0" t="n">
        <v>16</v>
      </c>
      <c r="AS388" s="0" t="n">
        <v>1.45967594976825</v>
      </c>
      <c r="AT388" s="0" t="s">
        <v>278</v>
      </c>
    </row>
    <row r="389" customFormat="false" ht="19.4" hidden="false" customHeight="false" outlineLevel="0" collapsed="false">
      <c r="A389" s="198"/>
      <c r="B389" s="223"/>
      <c r="C389" s="241" t="n">
        <v>58</v>
      </c>
      <c r="D389" s="224" t="s">
        <v>951</v>
      </c>
      <c r="E389" s="225" t="n">
        <v>45827</v>
      </c>
      <c r="F389" s="223" t="n">
        <v>37000</v>
      </c>
      <c r="G389" s="223" t="n">
        <v>13040</v>
      </c>
      <c r="H389" s="226" t="n">
        <v>23960</v>
      </c>
      <c r="I389" s="223" t="n">
        <v>12192.4</v>
      </c>
      <c r="J389" s="198" t="s">
        <v>908</v>
      </c>
      <c r="K389" s="198" t="s">
        <v>904</v>
      </c>
      <c r="L389" s="198" t="n">
        <v>16</v>
      </c>
      <c r="M389" s="189" t="s">
        <v>439</v>
      </c>
      <c r="N389" s="198"/>
      <c r="O389" s="198"/>
      <c r="P389" s="198"/>
      <c r="Q389" s="198"/>
      <c r="R389" s="198" t="s">
        <v>443</v>
      </c>
      <c r="S389" s="198"/>
      <c r="T389" s="198" t="n">
        <v>16</v>
      </c>
      <c r="U389" s="195" t="str">
        <f aca="false">Таблица310[[#This Row],[Регистратор.Номенклатура]]</f>
        <v>Тристар</v>
      </c>
      <c r="V389" s="230" t="n">
        <f aca="false">28.3*Таблица310[[#This Row],[Регистратор.Вес нетто]]/252430</f>
        <v>1.46191815552827</v>
      </c>
      <c r="W389" s="198" t="s">
        <v>278</v>
      </c>
      <c r="X389" s="198" t="s">
        <v>315</v>
      </c>
      <c r="Y389" s="198" t="n">
        <v>5</v>
      </c>
      <c r="Z389" s="200" t="n">
        <v>45827</v>
      </c>
      <c r="AA389" s="198"/>
      <c r="AB389" s="198"/>
      <c r="AC389" s="198" t="s">
        <v>302</v>
      </c>
      <c r="AD389" s="198" t="s">
        <v>417</v>
      </c>
      <c r="AE389" s="224" t="s">
        <v>951</v>
      </c>
      <c r="AF389" s="200" t="n">
        <v>45827</v>
      </c>
      <c r="AG389" s="198" t="n">
        <v>54933</v>
      </c>
      <c r="AH389" s="198" t="e">
        <f aca="false">VLOOKUP(Таблица310[[#This Row],[№ акта]],'Степень зрелости 2025'!$H$13:$I$583,2,FALSE())</f>
        <v>#N/A</v>
      </c>
      <c r="AI389" s="198" t="n">
        <f aca="false">VLOOKUP(Таблица310[[#This Row],[№ акта]],$AQ$1:$AT$594,2,FALSE())</f>
        <v>16</v>
      </c>
      <c r="AJ389" s="198" t="str">
        <f aca="false">Таблица310[[#This Row],[Регистратор.Номенклатура]]</f>
        <v>Тристар</v>
      </c>
      <c r="AK389" s="198" t="str">
        <f aca="false">VLOOKUP(Таблица310[[#This Row],[№ акта]],$AQ$1:$AT$594,4,FALSE())</f>
        <v>Агролидер (полив)</v>
      </c>
      <c r="AL389" s="230" t="n">
        <f aca="false">VLOOKUP(Таблица310[[#This Row],[№ акта]],$AQ$1:$AT$594,3,FALSE())</f>
        <v>1.46191815552827</v>
      </c>
      <c r="AM389" s="198" t="str">
        <f aca="false">IF(Таблица310[[#This Row],[Площадь уборки, га]]=Таблица310[[#This Row],[Площадь уборки до корр]],"нет","да")</f>
        <v>нет</v>
      </c>
      <c r="AN389" s="230" t="n">
        <f aca="false">Таблица310[[#This Row],[Площадь уборки до корр]]-Таблица310[[#This Row],[Площадь уборки, га]]</f>
        <v>0</v>
      </c>
      <c r="AQ389" s="0" t="s">
        <v>951</v>
      </c>
      <c r="AR389" s="0" t="n">
        <v>16</v>
      </c>
      <c r="AS389" s="0" t="n">
        <v>1.46191815552827</v>
      </c>
      <c r="AT389" s="0" t="s">
        <v>278</v>
      </c>
    </row>
    <row r="390" customFormat="false" ht="19.4" hidden="false" customHeight="false" outlineLevel="0" collapsed="false">
      <c r="A390" s="198"/>
      <c r="B390" s="223"/>
      <c r="C390" s="241" t="n">
        <v>60</v>
      </c>
      <c r="D390" s="224" t="s">
        <v>952</v>
      </c>
      <c r="E390" s="225" t="n">
        <v>45827</v>
      </c>
      <c r="F390" s="223" t="n">
        <v>28150</v>
      </c>
      <c r="G390" s="223" t="n">
        <v>13190</v>
      </c>
      <c r="H390" s="226" t="n">
        <v>14960</v>
      </c>
      <c r="I390" s="223" t="n">
        <v>12068.8</v>
      </c>
      <c r="J390" s="198" t="s">
        <v>908</v>
      </c>
      <c r="K390" s="198" t="s">
        <v>904</v>
      </c>
      <c r="L390" s="198" t="n">
        <v>16</v>
      </c>
      <c r="M390" s="189" t="s">
        <v>433</v>
      </c>
      <c r="N390" s="198"/>
      <c r="O390" s="198"/>
      <c r="P390" s="198"/>
      <c r="Q390" s="198"/>
      <c r="R390" s="198" t="s">
        <v>437</v>
      </c>
      <c r="S390" s="198"/>
      <c r="T390" s="198" t="n">
        <v>16</v>
      </c>
      <c r="U390" s="195" t="str">
        <f aca="false">Таблица310[[#This Row],[Регистратор.Номенклатура]]</f>
        <v>Тристар</v>
      </c>
      <c r="V390" s="230" t="n">
        <f aca="false">28.3*Таблица310[[#This Row],[Регистратор.Вес нетто]]/252430</f>
        <v>1.47873469872836</v>
      </c>
      <c r="W390" s="198" t="s">
        <v>278</v>
      </c>
      <c r="X390" s="198" t="s">
        <v>315</v>
      </c>
      <c r="Y390" s="198" t="n">
        <v>5</v>
      </c>
      <c r="Z390" s="200" t="n">
        <v>45827</v>
      </c>
      <c r="AA390" s="198"/>
      <c r="AB390" s="198"/>
      <c r="AC390" s="198" t="s">
        <v>302</v>
      </c>
      <c r="AD390" s="198" t="s">
        <v>417</v>
      </c>
      <c r="AE390" s="224" t="s">
        <v>952</v>
      </c>
      <c r="AF390" s="200" t="n">
        <v>45827</v>
      </c>
      <c r="AG390" s="198" t="n">
        <v>54934</v>
      </c>
      <c r="AH390" s="198" t="e">
        <f aca="false">VLOOKUP(Таблица310[[#This Row],[№ акта]],'Степень зрелости 2025'!$H$13:$I$583,2,FALSE())</f>
        <v>#N/A</v>
      </c>
      <c r="AI390" s="198" t="n">
        <f aca="false">VLOOKUP(Таблица310[[#This Row],[№ акта]],$AQ$1:$AT$594,2,FALSE())</f>
        <v>16</v>
      </c>
      <c r="AJ390" s="198" t="str">
        <f aca="false">Таблица310[[#This Row],[Регистратор.Номенклатура]]</f>
        <v>Тристар</v>
      </c>
      <c r="AK390" s="198" t="str">
        <f aca="false">VLOOKUP(Таблица310[[#This Row],[№ акта]],$AQ$1:$AT$594,4,FALSE())</f>
        <v>Агролидер (полив)</v>
      </c>
      <c r="AL390" s="230" t="n">
        <f aca="false">VLOOKUP(Таблица310[[#This Row],[№ акта]],$AQ$1:$AT$594,3,FALSE())</f>
        <v>1.47873469872836</v>
      </c>
      <c r="AM390" s="198" t="str">
        <f aca="false">IF(Таблица310[[#This Row],[Площадь уборки, га]]=Таблица310[[#This Row],[Площадь уборки до корр]],"нет","да")</f>
        <v>нет</v>
      </c>
      <c r="AN390" s="230" t="n">
        <f aca="false">Таблица310[[#This Row],[Площадь уборки до корр]]-Таблица310[[#This Row],[Площадь уборки, га]]</f>
        <v>0</v>
      </c>
      <c r="AQ390" s="0" t="s">
        <v>952</v>
      </c>
      <c r="AR390" s="0" t="n">
        <v>16</v>
      </c>
      <c r="AS390" s="0" t="n">
        <v>1.47873469872836</v>
      </c>
      <c r="AT390" s="0" t="s">
        <v>278</v>
      </c>
    </row>
    <row r="391" customFormat="false" ht="28.35" hidden="false" customHeight="false" outlineLevel="0" collapsed="false">
      <c r="A391" s="198"/>
      <c r="B391" s="223"/>
      <c r="C391" s="241" t="n">
        <v>60</v>
      </c>
      <c r="D391" s="224" t="s">
        <v>953</v>
      </c>
      <c r="E391" s="225" t="n">
        <v>45827</v>
      </c>
      <c r="F391" s="223" t="n">
        <v>27940</v>
      </c>
      <c r="G391" s="223" t="n">
        <v>13370</v>
      </c>
      <c r="H391" s="226" t="n">
        <v>14570</v>
      </c>
      <c r="I391" s="223" t="n">
        <v>12099.8</v>
      </c>
      <c r="J391" s="198" t="s">
        <v>908</v>
      </c>
      <c r="K391" s="198" t="s">
        <v>904</v>
      </c>
      <c r="L391" s="198" t="n">
        <v>16</v>
      </c>
      <c r="M391" s="189" t="s">
        <v>55</v>
      </c>
      <c r="N391" s="198"/>
      <c r="O391" s="198"/>
      <c r="P391" s="198"/>
      <c r="Q391" s="198"/>
      <c r="R391" s="198" t="s">
        <v>56</v>
      </c>
      <c r="S391" s="198"/>
      <c r="T391" s="198" t="n">
        <v>16</v>
      </c>
      <c r="U391" s="195" t="str">
        <f aca="false">Таблица310[[#This Row],[Регистратор.Номенклатура]]</f>
        <v>Тристар</v>
      </c>
      <c r="V391" s="230" t="n">
        <f aca="false">28.3*Таблица310[[#This Row],[Регистратор.Вес нетто]]/252430</f>
        <v>1.49891455056847</v>
      </c>
      <c r="W391" s="198" t="s">
        <v>278</v>
      </c>
      <c r="X391" s="198" t="s">
        <v>315</v>
      </c>
      <c r="Y391" s="198" t="n">
        <v>5</v>
      </c>
      <c r="Z391" s="200" t="n">
        <v>45827</v>
      </c>
      <c r="AA391" s="198"/>
      <c r="AB391" s="198"/>
      <c r="AC391" s="198" t="s">
        <v>302</v>
      </c>
      <c r="AD391" s="198" t="s">
        <v>417</v>
      </c>
      <c r="AE391" s="224" t="s">
        <v>953</v>
      </c>
      <c r="AF391" s="200" t="n">
        <v>45827</v>
      </c>
      <c r="AG391" s="198" t="n">
        <v>54934</v>
      </c>
      <c r="AH391" s="198" t="e">
        <f aca="false">VLOOKUP(Таблица310[[#This Row],[№ акта]],'Степень зрелости 2025'!$H$13:$I$583,2,FALSE())</f>
        <v>#N/A</v>
      </c>
      <c r="AI391" s="198" t="n">
        <f aca="false">VLOOKUP(Таблица310[[#This Row],[№ акта]],$AQ$1:$AT$594,2,FALSE())</f>
        <v>16</v>
      </c>
      <c r="AJ391" s="198" t="str">
        <f aca="false">Таблица310[[#This Row],[Регистратор.Номенклатура]]</f>
        <v>Тристар</v>
      </c>
      <c r="AK391" s="198" t="str">
        <f aca="false">VLOOKUP(Таблица310[[#This Row],[№ акта]],$AQ$1:$AT$594,4,FALSE())</f>
        <v>Агролидер (полив)</v>
      </c>
      <c r="AL391" s="230" t="n">
        <f aca="false">VLOOKUP(Таблица310[[#This Row],[№ акта]],$AQ$1:$AT$594,3,FALSE())</f>
        <v>1.49891455056847</v>
      </c>
      <c r="AM391" s="198" t="str">
        <f aca="false">IF(Таблица310[[#This Row],[Площадь уборки, га]]=Таблица310[[#This Row],[Площадь уборки до корр]],"нет","да")</f>
        <v>нет</v>
      </c>
      <c r="AN391" s="230" t="n">
        <f aca="false">Таблица310[[#This Row],[Площадь уборки до корр]]-Таблица310[[#This Row],[Площадь уборки, га]]</f>
        <v>0</v>
      </c>
      <c r="AQ391" s="0" t="s">
        <v>953</v>
      </c>
      <c r="AR391" s="0" t="n">
        <v>16</v>
      </c>
      <c r="AS391" s="0" t="n">
        <v>1.49891455056847</v>
      </c>
      <c r="AT391" s="0" t="s">
        <v>278</v>
      </c>
    </row>
    <row r="392" customFormat="false" ht="28.35" hidden="false" customHeight="false" outlineLevel="0" collapsed="false">
      <c r="A392" s="198"/>
      <c r="B392" s="223"/>
      <c r="C392" s="241" t="n">
        <v>56</v>
      </c>
      <c r="D392" s="224" t="s">
        <v>954</v>
      </c>
      <c r="E392" s="225" t="n">
        <v>45827</v>
      </c>
      <c r="F392" s="223" t="n">
        <v>28260</v>
      </c>
      <c r="G392" s="223" t="n">
        <v>13300</v>
      </c>
      <c r="H392" s="226" t="n">
        <v>14960</v>
      </c>
      <c r="I392" s="223" t="n">
        <v>11571</v>
      </c>
      <c r="J392" s="198" t="s">
        <v>908</v>
      </c>
      <c r="K392" s="198" t="s">
        <v>904</v>
      </c>
      <c r="L392" s="198" t="n">
        <v>16</v>
      </c>
      <c r="M392" s="189" t="s">
        <v>371</v>
      </c>
      <c r="N392" s="198"/>
      <c r="O392" s="198"/>
      <c r="P392" s="198"/>
      <c r="Q392" s="198"/>
      <c r="R392" s="198" t="s">
        <v>372</v>
      </c>
      <c r="S392" s="198"/>
      <c r="T392" s="198" t="n">
        <v>16</v>
      </c>
      <c r="U392" s="195" t="str">
        <f aca="false">Таблица310[[#This Row],[Регистратор.Номенклатура]]</f>
        <v>Тристар</v>
      </c>
      <c r="V392" s="230" t="n">
        <f aca="false">28.3*Таблица310[[#This Row],[Регистратор.Вес нетто]]/252430</f>
        <v>1.49106683040843</v>
      </c>
      <c r="W392" s="198" t="s">
        <v>278</v>
      </c>
      <c r="X392" s="198" t="s">
        <v>315</v>
      </c>
      <c r="Y392" s="198" t="n">
        <v>5</v>
      </c>
      <c r="Z392" s="200" t="n">
        <v>45827</v>
      </c>
      <c r="AA392" s="198"/>
      <c r="AB392" s="198"/>
      <c r="AC392" s="198" t="s">
        <v>302</v>
      </c>
      <c r="AD392" s="198" t="s">
        <v>417</v>
      </c>
      <c r="AE392" s="224" t="s">
        <v>954</v>
      </c>
      <c r="AF392" s="200" t="n">
        <v>45827</v>
      </c>
      <c r="AG392" s="198" t="n">
        <v>54934</v>
      </c>
      <c r="AH392" s="198" t="e">
        <f aca="false">VLOOKUP(Таблица310[[#This Row],[№ акта]],'Степень зрелости 2025'!$H$13:$I$583,2,FALSE())</f>
        <v>#N/A</v>
      </c>
      <c r="AI392" s="198" t="n">
        <f aca="false">VLOOKUP(Таблица310[[#This Row],[№ акта]],$AQ$1:$AT$594,2,FALSE())</f>
        <v>16</v>
      </c>
      <c r="AJ392" s="198" t="str">
        <f aca="false">Таблица310[[#This Row],[Регистратор.Номенклатура]]</f>
        <v>Тристар</v>
      </c>
      <c r="AK392" s="198" t="str">
        <f aca="false">VLOOKUP(Таблица310[[#This Row],[№ акта]],$AQ$1:$AT$594,4,FALSE())</f>
        <v>Агролидер (полив)</v>
      </c>
      <c r="AL392" s="230" t="n">
        <f aca="false">VLOOKUP(Таблица310[[#This Row],[№ акта]],$AQ$1:$AT$594,3,FALSE())</f>
        <v>1.49106683040843</v>
      </c>
      <c r="AM392" s="198" t="str">
        <f aca="false">IF(Таблица310[[#This Row],[Площадь уборки, га]]=Таблица310[[#This Row],[Площадь уборки до корр]],"нет","да")</f>
        <v>нет</v>
      </c>
      <c r="AN392" s="230" t="n">
        <f aca="false">Таблица310[[#This Row],[Площадь уборки до корр]]-Таблица310[[#This Row],[Площадь уборки, га]]</f>
        <v>0</v>
      </c>
      <c r="AQ392" s="0" t="s">
        <v>954</v>
      </c>
      <c r="AR392" s="0" t="n">
        <v>16</v>
      </c>
      <c r="AS392" s="0" t="n">
        <v>1.49106683040843</v>
      </c>
      <c r="AT392" s="0" t="s">
        <v>278</v>
      </c>
    </row>
    <row r="393" customFormat="false" ht="19.4" hidden="false" customHeight="false" outlineLevel="0" collapsed="false">
      <c r="A393" s="198"/>
      <c r="B393" s="223"/>
      <c r="C393" s="198" t="n">
        <f aca="false">VLOOKUP(Таблица310[[#This Row],[№ акта]],'Степень зрелости 2025'!$H$13:$I$391,2,FALSE())</f>
        <v>58</v>
      </c>
      <c r="D393" s="224" t="s">
        <v>955</v>
      </c>
      <c r="E393" s="225" t="n">
        <v>45827</v>
      </c>
      <c r="F393" s="223" t="n">
        <v>34460</v>
      </c>
      <c r="G393" s="223" t="n">
        <v>13430</v>
      </c>
      <c r="H393" s="226" t="n">
        <v>21030</v>
      </c>
      <c r="I393" s="223" t="n">
        <v>11751.2</v>
      </c>
      <c r="J393" s="198" t="s">
        <v>908</v>
      </c>
      <c r="K393" s="198" t="s">
        <v>904</v>
      </c>
      <c r="L393" s="198" t="n">
        <v>16</v>
      </c>
      <c r="M393" s="189" t="s">
        <v>427</v>
      </c>
      <c r="N393" s="198"/>
      <c r="O393" s="198"/>
      <c r="P393" s="198"/>
      <c r="Q393" s="198"/>
      <c r="R393" s="198" t="s">
        <v>431</v>
      </c>
      <c r="S393" s="198"/>
      <c r="T393" s="198" t="n">
        <v>16</v>
      </c>
      <c r="U393" s="195" t="str">
        <f aca="false">Таблица310[[#This Row],[Регистратор.Номенклатура]]</f>
        <v>Тристар</v>
      </c>
      <c r="V393" s="230" t="n">
        <f aca="false">28.3*Таблица310[[#This Row],[Регистратор.Вес нетто]]/252430</f>
        <v>1.50564116784851</v>
      </c>
      <c r="W393" s="198" t="s">
        <v>278</v>
      </c>
      <c r="X393" s="198" t="s">
        <v>315</v>
      </c>
      <c r="Y393" s="198" t="n">
        <v>5</v>
      </c>
      <c r="Z393" s="200" t="n">
        <v>45827</v>
      </c>
      <c r="AA393" s="198"/>
      <c r="AB393" s="198"/>
      <c r="AC393" s="198" t="s">
        <v>302</v>
      </c>
      <c r="AD393" s="198" t="s">
        <v>417</v>
      </c>
      <c r="AE393" s="224" t="s">
        <v>955</v>
      </c>
      <c r="AF393" s="200" t="n">
        <v>45827</v>
      </c>
      <c r="AG393" s="198" t="n">
        <v>54936</v>
      </c>
      <c r="AH393" s="198" t="n">
        <f aca="false">VLOOKUP(Таблица310[[#This Row],[№ акта]],'Степень зрелости 2025'!$H$13:$I$583,2,FALSE())</f>
        <v>58</v>
      </c>
      <c r="AI393" s="198" t="n">
        <f aca="false">VLOOKUP(Таблица310[[#This Row],[№ акта]],$AQ$1:$AT$594,2,FALSE())</f>
        <v>16</v>
      </c>
      <c r="AJ393" s="198" t="str">
        <f aca="false">Таблица310[[#This Row],[Регистратор.Номенклатура]]</f>
        <v>Тристар</v>
      </c>
      <c r="AK393" s="198" t="str">
        <f aca="false">VLOOKUP(Таблица310[[#This Row],[№ акта]],$AQ$1:$AT$594,4,FALSE())</f>
        <v>Агролидер (полив)</v>
      </c>
      <c r="AL393" s="230" t="n">
        <f aca="false">VLOOKUP(Таблица310[[#This Row],[№ акта]],$AQ$1:$AT$594,3,FALSE())</f>
        <v>1.50564116784851</v>
      </c>
      <c r="AM393" s="198" t="str">
        <f aca="false">IF(Таблица310[[#This Row],[Площадь уборки, га]]=Таблица310[[#This Row],[Площадь уборки до корр]],"нет","да")</f>
        <v>нет</v>
      </c>
      <c r="AN393" s="230" t="n">
        <f aca="false">Таблица310[[#This Row],[Площадь уборки до корр]]-Таблица310[[#This Row],[Площадь уборки, га]]</f>
        <v>0</v>
      </c>
      <c r="AQ393" s="0" t="s">
        <v>955</v>
      </c>
      <c r="AR393" s="0" t="n">
        <v>16</v>
      </c>
      <c r="AS393" s="0" t="n">
        <v>1.50564116784851</v>
      </c>
      <c r="AT393" s="0" t="s">
        <v>278</v>
      </c>
    </row>
    <row r="394" customFormat="false" ht="28.35" hidden="false" customHeight="false" outlineLevel="0" collapsed="false">
      <c r="A394" s="198"/>
      <c r="B394" s="223"/>
      <c r="C394" s="198" t="n">
        <f aca="false">VLOOKUP(Таблица310[[#This Row],[№ акта]],'Степень зрелости 2025'!$H$13:$I$391,2,FALSE())</f>
        <v>58</v>
      </c>
      <c r="D394" s="224" t="s">
        <v>956</v>
      </c>
      <c r="E394" s="225" t="n">
        <v>45827</v>
      </c>
      <c r="F394" s="223" t="n">
        <v>27940</v>
      </c>
      <c r="G394" s="223" t="n">
        <v>13350</v>
      </c>
      <c r="H394" s="226" t="n">
        <v>14590</v>
      </c>
      <c r="I394" s="223" t="n">
        <v>12081.7</v>
      </c>
      <c r="J394" s="198" t="s">
        <v>908</v>
      </c>
      <c r="K394" s="198" t="s">
        <v>904</v>
      </c>
      <c r="L394" s="198" t="n">
        <v>16</v>
      </c>
      <c r="M394" s="189" t="s">
        <v>363</v>
      </c>
      <c r="N394" s="198"/>
      <c r="O394" s="198"/>
      <c r="P394" s="198"/>
      <c r="Q394" s="198"/>
      <c r="R394" s="198" t="s">
        <v>364</v>
      </c>
      <c r="S394" s="198"/>
      <c r="T394" s="198" t="n">
        <v>16</v>
      </c>
      <c r="U394" s="195" t="str">
        <f aca="false">Таблица310[[#This Row],[Регистратор.Номенклатура]]</f>
        <v>Тристар</v>
      </c>
      <c r="V394" s="230" t="n">
        <f aca="false">28.3*Таблица310[[#This Row],[Регистратор.Вес нетто]]/252430</f>
        <v>1.49667234480846</v>
      </c>
      <c r="W394" s="198" t="s">
        <v>278</v>
      </c>
      <c r="X394" s="198" t="s">
        <v>315</v>
      </c>
      <c r="Y394" s="198" t="n">
        <v>5</v>
      </c>
      <c r="Z394" s="200" t="n">
        <v>45827</v>
      </c>
      <c r="AA394" s="198"/>
      <c r="AB394" s="198"/>
      <c r="AC394" s="198" t="s">
        <v>302</v>
      </c>
      <c r="AD394" s="198" t="s">
        <v>417</v>
      </c>
      <c r="AE394" s="224" t="s">
        <v>956</v>
      </c>
      <c r="AF394" s="200" t="n">
        <v>45827</v>
      </c>
      <c r="AG394" s="198" t="n">
        <v>54935</v>
      </c>
      <c r="AH394" s="198" t="n">
        <f aca="false">VLOOKUP(Таблица310[[#This Row],[№ акта]],'Степень зрелости 2025'!$H$13:$I$583,2,FALSE())</f>
        <v>58</v>
      </c>
      <c r="AI394" s="198" t="n">
        <f aca="false">VLOOKUP(Таблица310[[#This Row],[№ акта]],$AQ$1:$AT$594,2,FALSE())</f>
        <v>16</v>
      </c>
      <c r="AJ394" s="198" t="str">
        <f aca="false">Таблица310[[#This Row],[Регистратор.Номенклатура]]</f>
        <v>Тристар</v>
      </c>
      <c r="AK394" s="198" t="str">
        <f aca="false">VLOOKUP(Таблица310[[#This Row],[№ акта]],$AQ$1:$AT$594,4,FALSE())</f>
        <v>Агролидер (полив)</v>
      </c>
      <c r="AL394" s="230" t="n">
        <f aca="false">VLOOKUP(Таблица310[[#This Row],[№ акта]],$AQ$1:$AT$594,3,FALSE())</f>
        <v>1.49667234480846</v>
      </c>
      <c r="AM394" s="198" t="str">
        <f aca="false">IF(Таблица310[[#This Row],[Площадь уборки, га]]=Таблица310[[#This Row],[Площадь уборки до корр]],"нет","да")</f>
        <v>нет</v>
      </c>
      <c r="AN394" s="230" t="n">
        <f aca="false">Таблица310[[#This Row],[Площадь уборки до корр]]-Таблица310[[#This Row],[Площадь уборки, га]]</f>
        <v>0</v>
      </c>
      <c r="AQ394" s="0" t="s">
        <v>956</v>
      </c>
      <c r="AR394" s="0" t="n">
        <v>16</v>
      </c>
      <c r="AS394" s="0" t="n">
        <v>1.49667234480846</v>
      </c>
      <c r="AT394" s="0" t="s">
        <v>278</v>
      </c>
    </row>
    <row r="395" customFormat="false" ht="19.4" hidden="false" customHeight="false" outlineLevel="0" collapsed="false">
      <c r="A395" s="198"/>
      <c r="B395" s="223"/>
      <c r="C395" s="198" t="n">
        <f aca="false">VLOOKUP(Таблица310[[#This Row],[№ акта]],'Степень зрелости 2025'!$H$13:$I$391,2,FALSE())</f>
        <v>58</v>
      </c>
      <c r="D395" s="224" t="s">
        <v>957</v>
      </c>
      <c r="E395" s="225" t="n">
        <v>45827</v>
      </c>
      <c r="F395" s="223" t="n">
        <v>27200</v>
      </c>
      <c r="G395" s="223" t="n">
        <v>13400</v>
      </c>
      <c r="H395" s="226" t="n">
        <v>13800</v>
      </c>
      <c r="I395" s="223" t="n">
        <v>11993</v>
      </c>
      <c r="J395" s="198" t="s">
        <v>908</v>
      </c>
      <c r="K395" s="198" t="s">
        <v>904</v>
      </c>
      <c r="L395" s="198" t="n">
        <v>16</v>
      </c>
      <c r="M395" s="189" t="s">
        <v>359</v>
      </c>
      <c r="N395" s="198"/>
      <c r="O395" s="198"/>
      <c r="P395" s="198"/>
      <c r="Q395" s="198"/>
      <c r="R395" s="198" t="s">
        <v>426</v>
      </c>
      <c r="S395" s="198"/>
      <c r="T395" s="198" t="n">
        <v>16</v>
      </c>
      <c r="U395" s="195" t="str">
        <f aca="false">Таблица310[[#This Row],[Регистратор.Номенклатура]]</f>
        <v>Тристар</v>
      </c>
      <c r="V395" s="230" t="n">
        <f aca="false">28.3*Таблица310[[#This Row],[Регистратор.Вес нетто]]/252430</f>
        <v>1.50227785920849</v>
      </c>
      <c r="W395" s="198" t="s">
        <v>278</v>
      </c>
      <c r="X395" s="198" t="s">
        <v>315</v>
      </c>
      <c r="Y395" s="198" t="n">
        <v>5</v>
      </c>
      <c r="Z395" s="200" t="n">
        <v>45827</v>
      </c>
      <c r="AA395" s="198"/>
      <c r="AB395" s="198"/>
      <c r="AC395" s="198" t="s">
        <v>302</v>
      </c>
      <c r="AD395" s="198" t="s">
        <v>417</v>
      </c>
      <c r="AE395" s="224" t="s">
        <v>957</v>
      </c>
      <c r="AF395" s="200" t="n">
        <v>45827</v>
      </c>
      <c r="AG395" s="198" t="n">
        <v>54936</v>
      </c>
      <c r="AH395" s="198" t="n">
        <f aca="false">VLOOKUP(Таблица310[[#This Row],[№ акта]],'Степень зрелости 2025'!$H$13:$I$583,2,FALSE())</f>
        <v>58</v>
      </c>
      <c r="AI395" s="198" t="n">
        <f aca="false">VLOOKUP(Таблица310[[#This Row],[№ акта]],$AQ$1:$AT$594,2,FALSE())</f>
        <v>16</v>
      </c>
      <c r="AJ395" s="198" t="str">
        <f aca="false">Таблица310[[#This Row],[Регистратор.Номенклатура]]</f>
        <v>Тристар</v>
      </c>
      <c r="AK395" s="198" t="str">
        <f aca="false">VLOOKUP(Таблица310[[#This Row],[№ акта]],$AQ$1:$AT$594,4,FALSE())</f>
        <v>Агролидер (полив)</v>
      </c>
      <c r="AL395" s="230" t="n">
        <f aca="false">VLOOKUP(Таблица310[[#This Row],[№ акта]],$AQ$1:$AT$594,3,FALSE())</f>
        <v>1.50227785920849</v>
      </c>
      <c r="AM395" s="198" t="str">
        <f aca="false">IF(Таблица310[[#This Row],[Площадь уборки, га]]=Таблица310[[#This Row],[Площадь уборки до корр]],"нет","да")</f>
        <v>нет</v>
      </c>
      <c r="AN395" s="230" t="n">
        <f aca="false">Таблица310[[#This Row],[Площадь уборки до корр]]-Таблица310[[#This Row],[Площадь уборки, га]]</f>
        <v>0</v>
      </c>
      <c r="AQ395" s="0" t="s">
        <v>957</v>
      </c>
      <c r="AR395" s="0" t="n">
        <v>16</v>
      </c>
      <c r="AS395" s="0" t="n">
        <v>1.50227785920849</v>
      </c>
      <c r="AT395" s="0" t="s">
        <v>278</v>
      </c>
    </row>
    <row r="396" customFormat="false" ht="28.35" hidden="false" customHeight="false" outlineLevel="0" collapsed="false">
      <c r="A396" s="198"/>
      <c r="B396" s="223"/>
      <c r="C396" s="198" t="n">
        <f aca="false">VLOOKUP(Таблица310[[#This Row],[№ акта]],'Степень зрелости 2025'!$H$13:$I$391,2,FALSE())</f>
        <v>58</v>
      </c>
      <c r="D396" s="224" t="s">
        <v>958</v>
      </c>
      <c r="E396" s="225" t="n">
        <v>45827</v>
      </c>
      <c r="F396" s="223" t="n">
        <v>29170</v>
      </c>
      <c r="G396" s="223" t="n">
        <v>13670</v>
      </c>
      <c r="H396" s="226" t="n">
        <v>15500</v>
      </c>
      <c r="I396" s="223" t="n">
        <v>12644.7</v>
      </c>
      <c r="J396" s="198" t="s">
        <v>908</v>
      </c>
      <c r="K396" s="198" t="s">
        <v>904</v>
      </c>
      <c r="L396" s="198" t="n">
        <v>16</v>
      </c>
      <c r="M396" s="189" t="s">
        <v>519</v>
      </c>
      <c r="N396" s="198"/>
      <c r="O396" s="198"/>
      <c r="P396" s="198"/>
      <c r="Q396" s="198"/>
      <c r="R396" s="198" t="s">
        <v>523</v>
      </c>
      <c r="S396" s="198"/>
      <c r="T396" s="198" t="n">
        <v>16</v>
      </c>
      <c r="U396" s="195" t="str">
        <f aca="false">Таблица310[[#This Row],[Регистратор.Номенклатура]]</f>
        <v>Тристар</v>
      </c>
      <c r="V396" s="230" t="n">
        <f aca="false">28.3*Таблица310[[#This Row],[Регистратор.Вес нетто]]/252430</f>
        <v>1.53254763696866</v>
      </c>
      <c r="W396" s="198" t="s">
        <v>278</v>
      </c>
      <c r="X396" s="198" t="s">
        <v>315</v>
      </c>
      <c r="Y396" s="198" t="n">
        <v>5</v>
      </c>
      <c r="Z396" s="200" t="n">
        <v>45827</v>
      </c>
      <c r="AA396" s="198"/>
      <c r="AB396" s="198"/>
      <c r="AC396" s="198" t="s">
        <v>302</v>
      </c>
      <c r="AD396" s="198" t="s">
        <v>417</v>
      </c>
      <c r="AE396" s="224" t="s">
        <v>958</v>
      </c>
      <c r="AF396" s="200" t="n">
        <v>45827</v>
      </c>
      <c r="AG396" s="198" t="n">
        <v>54937</v>
      </c>
      <c r="AH396" s="198" t="n">
        <f aca="false">VLOOKUP(Таблица310[[#This Row],[№ акта]],'Степень зрелости 2025'!$H$13:$I$583,2,FALSE())</f>
        <v>58</v>
      </c>
      <c r="AI396" s="198" t="n">
        <f aca="false">VLOOKUP(Таблица310[[#This Row],[№ акта]],$AQ$1:$AT$594,2,FALSE())</f>
        <v>16</v>
      </c>
      <c r="AJ396" s="198" t="str">
        <f aca="false">Таблица310[[#This Row],[Регистратор.Номенклатура]]</f>
        <v>Тристар</v>
      </c>
      <c r="AK396" s="198" t="str">
        <f aca="false">VLOOKUP(Таблица310[[#This Row],[№ акта]],$AQ$1:$AT$594,4,FALSE())</f>
        <v>Агролидер (полив)</v>
      </c>
      <c r="AL396" s="230" t="n">
        <f aca="false">VLOOKUP(Таблица310[[#This Row],[№ акта]],$AQ$1:$AT$594,3,FALSE())</f>
        <v>1.53254763696866</v>
      </c>
      <c r="AM396" s="198" t="str">
        <f aca="false">IF(Таблица310[[#This Row],[Площадь уборки, га]]=Таблица310[[#This Row],[Площадь уборки до корр]],"нет","да")</f>
        <v>нет</v>
      </c>
      <c r="AN396" s="230" t="n">
        <f aca="false">Таблица310[[#This Row],[Площадь уборки до корр]]-Таблица310[[#This Row],[Площадь уборки, га]]</f>
        <v>0</v>
      </c>
      <c r="AQ396" s="0" t="s">
        <v>958</v>
      </c>
      <c r="AR396" s="0" t="n">
        <v>16</v>
      </c>
      <c r="AS396" s="0" t="n">
        <v>1.53254763696866</v>
      </c>
      <c r="AT396" s="0" t="s">
        <v>278</v>
      </c>
    </row>
    <row r="397" customFormat="false" ht="19.4" hidden="false" customHeight="false" outlineLevel="0" collapsed="false">
      <c r="A397" s="198"/>
      <c r="B397" s="223"/>
      <c r="C397" s="198" t="n">
        <f aca="false">VLOOKUP(Таблица310[[#This Row],[№ акта]],'Степень зрелости 2025'!$H$13:$I$391,2,FALSE())</f>
        <v>63</v>
      </c>
      <c r="D397" s="224" t="s">
        <v>959</v>
      </c>
      <c r="E397" s="225" t="n">
        <v>45827</v>
      </c>
      <c r="F397" s="223" t="n">
        <v>28460</v>
      </c>
      <c r="G397" s="223" t="n">
        <v>13560</v>
      </c>
      <c r="H397" s="226" t="n">
        <v>14900</v>
      </c>
      <c r="I397" s="223" t="n">
        <v>12678.6</v>
      </c>
      <c r="J397" s="198" t="s">
        <v>908</v>
      </c>
      <c r="K397" s="198" t="s">
        <v>904</v>
      </c>
      <c r="L397" s="198" t="n">
        <v>16</v>
      </c>
      <c r="M397" s="189" t="s">
        <v>382</v>
      </c>
      <c r="N397" s="198"/>
      <c r="O397" s="198"/>
      <c r="P397" s="198"/>
      <c r="Q397" s="198"/>
      <c r="R397" s="198" t="s">
        <v>383</v>
      </c>
      <c r="S397" s="198"/>
      <c r="T397" s="198" t="n">
        <v>16</v>
      </c>
      <c r="U397" s="195" t="str">
        <f aca="false">Таблица310[[#This Row],[Регистратор.Номенклатура]]</f>
        <v>Тристар</v>
      </c>
      <c r="V397" s="230" t="n">
        <f aca="false">28.3*Таблица310[[#This Row],[Регистратор.Вес нетто]]/252430</f>
        <v>1.52021550528859</v>
      </c>
      <c r="W397" s="198" t="s">
        <v>278</v>
      </c>
      <c r="X397" s="198" t="s">
        <v>315</v>
      </c>
      <c r="Y397" s="198" t="n">
        <v>5</v>
      </c>
      <c r="Z397" s="200" t="n">
        <v>45827</v>
      </c>
      <c r="AA397" s="198"/>
      <c r="AB397" s="198"/>
      <c r="AC397" s="198" t="s">
        <v>302</v>
      </c>
      <c r="AD397" s="198" t="s">
        <v>417</v>
      </c>
      <c r="AE397" s="224" t="s">
        <v>959</v>
      </c>
      <c r="AF397" s="200" t="n">
        <v>45827</v>
      </c>
      <c r="AG397" s="198" t="n">
        <v>54937</v>
      </c>
      <c r="AH397" s="198" t="n">
        <f aca="false">VLOOKUP(Таблица310[[#This Row],[№ акта]],'Степень зрелости 2025'!$H$13:$I$583,2,FALSE())</f>
        <v>63</v>
      </c>
      <c r="AI397" s="198" t="n">
        <f aca="false">VLOOKUP(Таблица310[[#This Row],[№ акта]],$AQ$1:$AT$594,2,FALSE())</f>
        <v>16</v>
      </c>
      <c r="AJ397" s="198" t="str">
        <f aca="false">Таблица310[[#This Row],[Регистратор.Номенклатура]]</f>
        <v>Тристар</v>
      </c>
      <c r="AK397" s="198" t="str">
        <f aca="false">VLOOKUP(Таблица310[[#This Row],[№ акта]],$AQ$1:$AT$594,4,FALSE())</f>
        <v>Агролидер (полив)</v>
      </c>
      <c r="AL397" s="230" t="n">
        <f aca="false">VLOOKUP(Таблица310[[#This Row],[№ акта]],$AQ$1:$AT$594,3,FALSE())</f>
        <v>1.52021550528859</v>
      </c>
      <c r="AM397" s="198" t="str">
        <f aca="false">IF(Таблица310[[#This Row],[Площадь уборки, га]]=Таблица310[[#This Row],[Площадь уборки до корр]],"нет","да")</f>
        <v>нет</v>
      </c>
      <c r="AN397" s="230" t="n">
        <f aca="false">Таблица310[[#This Row],[Площадь уборки до корр]]-Таблица310[[#This Row],[Площадь уборки, га]]</f>
        <v>0</v>
      </c>
      <c r="AQ397" s="0" t="s">
        <v>959</v>
      </c>
      <c r="AR397" s="0" t="n">
        <v>16</v>
      </c>
      <c r="AS397" s="0" t="n">
        <v>1.52021550528859</v>
      </c>
      <c r="AT397" s="0" t="s">
        <v>278</v>
      </c>
    </row>
    <row r="398" customFormat="false" ht="19.4" hidden="false" customHeight="false" outlineLevel="0" collapsed="false">
      <c r="A398" s="198"/>
      <c r="B398" s="223"/>
      <c r="C398" s="198" t="n">
        <v>62</v>
      </c>
      <c r="D398" s="224" t="s">
        <v>960</v>
      </c>
      <c r="E398" s="225" t="n">
        <v>45827</v>
      </c>
      <c r="F398" s="223" t="n">
        <v>27920</v>
      </c>
      <c r="G398" s="223" t="n">
        <v>13520</v>
      </c>
      <c r="H398" s="226" t="n">
        <v>14400</v>
      </c>
      <c r="I398" s="223" t="n">
        <v>12235.6</v>
      </c>
      <c r="J398" s="198" t="s">
        <v>908</v>
      </c>
      <c r="K398" s="198" t="s">
        <v>904</v>
      </c>
      <c r="L398" s="198" t="n">
        <v>16</v>
      </c>
      <c r="M398" s="189" t="s">
        <v>384</v>
      </c>
      <c r="N398" s="198"/>
      <c r="O398" s="198"/>
      <c r="P398" s="198"/>
      <c r="Q398" s="198"/>
      <c r="R398" s="198" t="s">
        <v>385</v>
      </c>
      <c r="S398" s="198"/>
      <c r="T398" s="198" t="n">
        <v>16</v>
      </c>
      <c r="U398" s="195" t="str">
        <f aca="false">Таблица310[[#This Row],[Регистратор.Номенклатура]]</f>
        <v>Тристар</v>
      </c>
      <c r="V398" s="230" t="n">
        <f aca="false">28.3*Таблица310[[#This Row],[Регистратор.Вес нетто]]/252430</f>
        <v>1.51573109376857</v>
      </c>
      <c r="W398" s="198" t="s">
        <v>278</v>
      </c>
      <c r="X398" s="198" t="s">
        <v>315</v>
      </c>
      <c r="Y398" s="198" t="n">
        <v>5</v>
      </c>
      <c r="Z398" s="200" t="n">
        <v>45827</v>
      </c>
      <c r="AA398" s="198"/>
      <c r="AB398" s="198"/>
      <c r="AC398" s="198" t="s">
        <v>302</v>
      </c>
      <c r="AD398" s="198" t="s">
        <v>417</v>
      </c>
      <c r="AE398" s="224" t="s">
        <v>960</v>
      </c>
      <c r="AF398" s="200" t="n">
        <v>45827</v>
      </c>
      <c r="AG398" s="198" t="n">
        <v>54937</v>
      </c>
      <c r="AH398" s="198" t="n">
        <f aca="false">VLOOKUP(Таблица310[[#This Row],[№ акта]],'Степень зрелости 2025'!$H$13:$I$583,2,FALSE())</f>
        <v>62</v>
      </c>
      <c r="AI398" s="198" t="n">
        <f aca="false">VLOOKUP(Таблица310[[#This Row],[№ акта]],$AQ$1:$AT$594,2,FALSE())</f>
        <v>16</v>
      </c>
      <c r="AJ398" s="198" t="str">
        <f aca="false">Таблица310[[#This Row],[Регистратор.Номенклатура]]</f>
        <v>Тристар</v>
      </c>
      <c r="AK398" s="198" t="str">
        <f aca="false">VLOOKUP(Таблица310[[#This Row],[№ акта]],$AQ$1:$AT$594,4,FALSE())</f>
        <v>Агролидер (полив)</v>
      </c>
      <c r="AL398" s="230" t="n">
        <f aca="false">VLOOKUP(Таблица310[[#This Row],[№ акта]],$AQ$1:$AT$594,3,FALSE())</f>
        <v>1.51573109376857</v>
      </c>
      <c r="AM398" s="198" t="str">
        <f aca="false">IF(Таблица310[[#This Row],[Площадь уборки, га]]=Таблица310[[#This Row],[Площадь уборки до корр]],"нет","да")</f>
        <v>нет</v>
      </c>
      <c r="AN398" s="230" t="n">
        <f aca="false">Таблица310[[#This Row],[Площадь уборки до корр]]-Таблица310[[#This Row],[Площадь уборки, га]]</f>
        <v>0</v>
      </c>
      <c r="AQ398" s="0" t="s">
        <v>960</v>
      </c>
      <c r="AR398" s="0" t="n">
        <v>16</v>
      </c>
      <c r="AS398" s="0" t="n">
        <v>1.51573109376857</v>
      </c>
      <c r="AT398" s="0" t="s">
        <v>278</v>
      </c>
    </row>
    <row r="399" customFormat="false" ht="19.4" hidden="false" customHeight="false" outlineLevel="0" collapsed="false">
      <c r="A399" s="198"/>
      <c r="B399" s="223"/>
      <c r="C399" s="198" t="n">
        <v>62</v>
      </c>
      <c r="D399" s="224" t="s">
        <v>961</v>
      </c>
      <c r="E399" s="225" t="n">
        <v>45827</v>
      </c>
      <c r="F399" s="223" t="n">
        <v>28110</v>
      </c>
      <c r="G399" s="223" t="n">
        <v>13380</v>
      </c>
      <c r="H399" s="226" t="n">
        <v>14730</v>
      </c>
      <c r="I399" s="223" t="n">
        <v>12242.7</v>
      </c>
      <c r="J399" s="198" t="s">
        <v>908</v>
      </c>
      <c r="K399" s="198" t="s">
        <v>904</v>
      </c>
      <c r="L399" s="198" t="n">
        <v>16</v>
      </c>
      <c r="M399" s="189" t="s">
        <v>361</v>
      </c>
      <c r="N399" s="198"/>
      <c r="O399" s="198"/>
      <c r="P399" s="198"/>
      <c r="Q399" s="198"/>
      <c r="R399" s="198" t="s">
        <v>362</v>
      </c>
      <c r="S399" s="198"/>
      <c r="T399" s="198" t="n">
        <v>16</v>
      </c>
      <c r="U399" s="195" t="str">
        <f aca="false">Таблица310[[#This Row],[Регистратор.Номенклатура]]</f>
        <v>Тристар</v>
      </c>
      <c r="V399" s="230" t="n">
        <f aca="false">28.3*Таблица310[[#This Row],[Регистратор.Вес нетто]]/252430</f>
        <v>1.50003565344848</v>
      </c>
      <c r="W399" s="198" t="s">
        <v>278</v>
      </c>
      <c r="X399" s="198" t="s">
        <v>315</v>
      </c>
      <c r="Y399" s="198" t="n">
        <v>5</v>
      </c>
      <c r="Z399" s="200" t="n">
        <v>45827</v>
      </c>
      <c r="AA399" s="198"/>
      <c r="AB399" s="198"/>
      <c r="AC399" s="198" t="s">
        <v>302</v>
      </c>
      <c r="AD399" s="198" t="s">
        <v>417</v>
      </c>
      <c r="AE399" s="224" t="s">
        <v>961</v>
      </c>
      <c r="AF399" s="200" t="n">
        <v>45827</v>
      </c>
      <c r="AG399" s="198" t="n">
        <v>54938</v>
      </c>
      <c r="AH399" s="198" t="n">
        <f aca="false">VLOOKUP(Таблица310[[#This Row],[№ акта]],'Степень зрелости 2025'!$H$13:$I$583,2,FALSE())</f>
        <v>62</v>
      </c>
      <c r="AI399" s="198" t="n">
        <f aca="false">VLOOKUP(Таблица310[[#This Row],[№ акта]],$AQ$1:$AT$594,2,FALSE())</f>
        <v>16</v>
      </c>
      <c r="AJ399" s="198" t="str">
        <f aca="false">Таблица310[[#This Row],[Регистратор.Номенклатура]]</f>
        <v>Тристар</v>
      </c>
      <c r="AK399" s="198" t="str">
        <f aca="false">VLOOKUP(Таблица310[[#This Row],[№ акта]],$AQ$1:$AT$594,4,FALSE())</f>
        <v>Агролидер (полив)</v>
      </c>
      <c r="AL399" s="230" t="n">
        <f aca="false">VLOOKUP(Таблица310[[#This Row],[№ акта]],$AQ$1:$AT$594,3,FALSE())</f>
        <v>1.50003565344848</v>
      </c>
      <c r="AM399" s="198" t="str">
        <f aca="false">IF(Таблица310[[#This Row],[Площадь уборки, га]]=Таблица310[[#This Row],[Площадь уборки до корр]],"нет","да")</f>
        <v>нет</v>
      </c>
      <c r="AN399" s="230" t="n">
        <f aca="false">Таблица310[[#This Row],[Площадь уборки до корр]]-Таблица310[[#This Row],[Площадь уборки, га]]</f>
        <v>0</v>
      </c>
      <c r="AQ399" s="0" t="s">
        <v>961</v>
      </c>
      <c r="AR399" s="0" t="n">
        <v>16</v>
      </c>
      <c r="AS399" s="0" t="n">
        <v>1.50003565344848</v>
      </c>
      <c r="AT399" s="0" t="s">
        <v>278</v>
      </c>
    </row>
    <row r="400" customFormat="false" ht="19.4" hidden="false" customHeight="false" outlineLevel="0" collapsed="false">
      <c r="A400" s="198"/>
      <c r="B400" s="223"/>
      <c r="C400" s="198" t="n">
        <f aca="false">VLOOKUP(Таблица310[[#This Row],[№ акта]],'Степень зрелости 2025'!$H$13:$I$391,2,FALSE())</f>
        <v>65</v>
      </c>
      <c r="D400" s="224" t="s">
        <v>962</v>
      </c>
      <c r="E400" s="225" t="n">
        <v>45827</v>
      </c>
      <c r="F400" s="223" t="n">
        <v>28060</v>
      </c>
      <c r="G400" s="223" t="n">
        <v>13170</v>
      </c>
      <c r="H400" s="226" t="n">
        <v>14890</v>
      </c>
      <c r="I400" s="223" t="n">
        <v>12313.9</v>
      </c>
      <c r="J400" s="198" t="s">
        <v>908</v>
      </c>
      <c r="K400" s="198" t="s">
        <v>904</v>
      </c>
      <c r="L400" s="198" t="n">
        <v>16</v>
      </c>
      <c r="M400" s="189" t="s">
        <v>433</v>
      </c>
      <c r="N400" s="198"/>
      <c r="O400" s="198"/>
      <c r="P400" s="198"/>
      <c r="Q400" s="198"/>
      <c r="R400" s="198" t="s">
        <v>437</v>
      </c>
      <c r="S400" s="198"/>
      <c r="T400" s="198" t="n">
        <v>16</v>
      </c>
      <c r="U400" s="195" t="str">
        <f aca="false">Таблица310[[#This Row],[Регистратор.Номенклатура]]</f>
        <v>Тристар</v>
      </c>
      <c r="V400" s="230" t="n">
        <f aca="false">28.3*Таблица310[[#This Row],[Регистратор.Вес нетто]]/252430</f>
        <v>1.47649249296835</v>
      </c>
      <c r="W400" s="198" t="s">
        <v>278</v>
      </c>
      <c r="X400" s="198" t="s">
        <v>315</v>
      </c>
      <c r="Y400" s="198" t="n">
        <v>5</v>
      </c>
      <c r="Z400" s="200" t="n">
        <v>45827</v>
      </c>
      <c r="AA400" s="198"/>
      <c r="AB400" s="198"/>
      <c r="AC400" s="198" t="s">
        <v>304</v>
      </c>
      <c r="AD400" s="198" t="s">
        <v>746</v>
      </c>
      <c r="AE400" s="224" t="s">
        <v>962</v>
      </c>
      <c r="AF400" s="200" t="n">
        <v>45827</v>
      </c>
      <c r="AG400" s="198" t="n">
        <v>54938</v>
      </c>
      <c r="AH400" s="198" t="n">
        <f aca="false">VLOOKUP(Таблица310[[#This Row],[№ акта]],'Степень зрелости 2025'!$H$13:$I$583,2,FALSE())</f>
        <v>65</v>
      </c>
      <c r="AI400" s="198" t="n">
        <f aca="false">VLOOKUP(Таблица310[[#This Row],[№ акта]],$AQ$1:$AT$594,2,FALSE())</f>
        <v>16</v>
      </c>
      <c r="AJ400" s="198" t="str">
        <f aca="false">Таблица310[[#This Row],[Регистратор.Номенклатура]]</f>
        <v>Тристар</v>
      </c>
      <c r="AK400" s="198" t="str">
        <f aca="false">VLOOKUP(Таблица310[[#This Row],[№ акта]],$AQ$1:$AT$594,4,FALSE())</f>
        <v>Агролидер (полив)</v>
      </c>
      <c r="AL400" s="230" t="n">
        <f aca="false">VLOOKUP(Таблица310[[#This Row],[№ акта]],$AQ$1:$AT$594,3,FALSE())</f>
        <v>1.47649249296835</v>
      </c>
      <c r="AM400" s="198" t="str">
        <f aca="false">IF(Таблица310[[#This Row],[Площадь уборки, га]]=Таблица310[[#This Row],[Площадь уборки до корр]],"нет","да")</f>
        <v>нет</v>
      </c>
      <c r="AN400" s="230" t="n">
        <f aca="false">Таблица310[[#This Row],[Площадь уборки до корр]]-Таблица310[[#This Row],[Площадь уборки, га]]</f>
        <v>0</v>
      </c>
      <c r="AQ400" s="0" t="s">
        <v>962</v>
      </c>
      <c r="AR400" s="0" t="n">
        <v>16</v>
      </c>
      <c r="AS400" s="0" t="n">
        <v>1.47649249296835</v>
      </c>
      <c r="AT400" s="0" t="s">
        <v>278</v>
      </c>
    </row>
    <row r="401" customFormat="false" ht="28.35" hidden="false" customHeight="false" outlineLevel="0" collapsed="false">
      <c r="A401" s="198"/>
      <c r="B401" s="223"/>
      <c r="C401" s="198" t="n">
        <f aca="false">VLOOKUP(Таблица310[[#This Row],[№ акта]],'Степень зрелости 2025'!$H$13:$I$391,2,FALSE())</f>
        <v>65</v>
      </c>
      <c r="D401" s="224" t="s">
        <v>963</v>
      </c>
      <c r="E401" s="225" t="n">
        <v>45827</v>
      </c>
      <c r="F401" s="223" t="n">
        <v>28140</v>
      </c>
      <c r="G401" s="223" t="n">
        <v>13120</v>
      </c>
      <c r="H401" s="226" t="n">
        <v>15020</v>
      </c>
      <c r="I401" s="223" t="n">
        <v>12398.4</v>
      </c>
      <c r="J401" s="198" t="s">
        <v>908</v>
      </c>
      <c r="K401" s="198" t="s">
        <v>904</v>
      </c>
      <c r="L401" s="198" t="n">
        <v>16</v>
      </c>
      <c r="M401" s="189" t="s">
        <v>371</v>
      </c>
      <c r="N401" s="198"/>
      <c r="O401" s="198"/>
      <c r="P401" s="198"/>
      <c r="Q401" s="198"/>
      <c r="R401" s="198" t="s">
        <v>372</v>
      </c>
      <c r="S401" s="198"/>
      <c r="T401" s="198" t="n">
        <v>16</v>
      </c>
      <c r="U401" s="195" t="str">
        <f aca="false">Таблица310[[#This Row],[Регистратор.Номенклатура]]</f>
        <v>Тристар</v>
      </c>
      <c r="V401" s="230" t="n">
        <f aca="false">28.3*Таблица310[[#This Row],[Регистратор.Вес нетто]]/252430</f>
        <v>1.47088697856832</v>
      </c>
      <c r="W401" s="198" t="s">
        <v>278</v>
      </c>
      <c r="X401" s="198" t="s">
        <v>315</v>
      </c>
      <c r="Y401" s="198" t="n">
        <v>5</v>
      </c>
      <c r="Z401" s="200" t="n">
        <v>45827</v>
      </c>
      <c r="AA401" s="198"/>
      <c r="AB401" s="198"/>
      <c r="AC401" s="198" t="s">
        <v>304</v>
      </c>
      <c r="AD401" s="198" t="s">
        <v>746</v>
      </c>
      <c r="AE401" s="224" t="s">
        <v>963</v>
      </c>
      <c r="AF401" s="200" t="n">
        <v>45827</v>
      </c>
      <c r="AG401" s="198" t="n">
        <v>54939</v>
      </c>
      <c r="AH401" s="198" t="n">
        <f aca="false">VLOOKUP(Таблица310[[#This Row],[№ акта]],'Степень зрелости 2025'!$H$13:$I$583,2,FALSE())</f>
        <v>65</v>
      </c>
      <c r="AI401" s="198" t="n">
        <f aca="false">VLOOKUP(Таблица310[[#This Row],[№ акта]],$AQ$1:$AT$594,2,FALSE())</f>
        <v>16</v>
      </c>
      <c r="AJ401" s="198" t="str">
        <f aca="false">Таблица310[[#This Row],[Регистратор.Номенклатура]]</f>
        <v>Тристар</v>
      </c>
      <c r="AK401" s="198" t="str">
        <f aca="false">VLOOKUP(Таблица310[[#This Row],[№ акта]],$AQ$1:$AT$594,4,FALSE())</f>
        <v>Агролидер (полив)</v>
      </c>
      <c r="AL401" s="230" t="n">
        <f aca="false">VLOOKUP(Таблица310[[#This Row],[№ акта]],$AQ$1:$AT$594,3,FALSE())</f>
        <v>1.47088697856832</v>
      </c>
      <c r="AM401" s="198" t="str">
        <f aca="false">IF(Таблица310[[#This Row],[Площадь уборки, га]]=Таблица310[[#This Row],[Площадь уборки до корр]],"нет","да")</f>
        <v>нет</v>
      </c>
      <c r="AN401" s="230" t="n">
        <f aca="false">Таблица310[[#This Row],[Площадь уборки до корр]]-Таблица310[[#This Row],[Площадь уборки, га]]</f>
        <v>0</v>
      </c>
      <c r="AQ401" s="0" t="s">
        <v>963</v>
      </c>
      <c r="AR401" s="0" t="n">
        <v>16</v>
      </c>
      <c r="AS401" s="0" t="n">
        <v>1.47088697856832</v>
      </c>
      <c r="AT401" s="0" t="s">
        <v>278</v>
      </c>
    </row>
    <row r="402" customFormat="false" ht="19.4" hidden="false" customHeight="false" outlineLevel="0" collapsed="false">
      <c r="A402" s="198"/>
      <c r="B402" s="223"/>
      <c r="C402" s="198" t="n">
        <f aca="false">VLOOKUP(Таблица310[[#This Row],[№ акта]],'Степень зрелости 2025'!$H$13:$I$391,2,FALSE())</f>
        <v>65</v>
      </c>
      <c r="D402" s="224" t="s">
        <v>964</v>
      </c>
      <c r="E402" s="225" t="n">
        <v>45827</v>
      </c>
      <c r="F402" s="223" t="n">
        <v>37150</v>
      </c>
      <c r="G402" s="223" t="n">
        <v>13010</v>
      </c>
      <c r="H402" s="226" t="n">
        <v>24140</v>
      </c>
      <c r="I402" s="223" t="n">
        <v>12164.3</v>
      </c>
      <c r="J402" s="198" t="s">
        <v>908</v>
      </c>
      <c r="K402" s="198" t="s">
        <v>904</v>
      </c>
      <c r="L402" s="198" t="n">
        <v>16</v>
      </c>
      <c r="M402" s="189" t="s">
        <v>439</v>
      </c>
      <c r="N402" s="198"/>
      <c r="O402" s="198"/>
      <c r="P402" s="198"/>
      <c r="Q402" s="198"/>
      <c r="R402" s="198" t="s">
        <v>443</v>
      </c>
      <c r="S402" s="198"/>
      <c r="T402" s="198" t="n">
        <v>16</v>
      </c>
      <c r="U402" s="195" t="str">
        <f aca="false">Таблица310[[#This Row],[Регистратор.Номенклатура]]</f>
        <v>Тристар</v>
      </c>
      <c r="V402" s="230" t="n">
        <f aca="false">28.3*Таблица310[[#This Row],[Регистратор.Вес нетто]]/252430</f>
        <v>1.45855484688825</v>
      </c>
      <c r="W402" s="198" t="s">
        <v>278</v>
      </c>
      <c r="X402" s="198" t="s">
        <v>315</v>
      </c>
      <c r="Y402" s="198" t="n">
        <v>5</v>
      </c>
      <c r="Z402" s="200" t="n">
        <v>45827</v>
      </c>
      <c r="AA402" s="198"/>
      <c r="AB402" s="198"/>
      <c r="AC402" s="198" t="s">
        <v>304</v>
      </c>
      <c r="AD402" s="198" t="s">
        <v>746</v>
      </c>
      <c r="AE402" s="224" t="s">
        <v>964</v>
      </c>
      <c r="AF402" s="200" t="n">
        <v>45827</v>
      </c>
      <c r="AG402" s="198" t="n">
        <v>54939</v>
      </c>
      <c r="AH402" s="198" t="n">
        <f aca="false">VLOOKUP(Таблица310[[#This Row],[№ акта]],'Степень зрелости 2025'!$H$13:$I$583,2,FALSE())</f>
        <v>65</v>
      </c>
      <c r="AI402" s="198" t="n">
        <f aca="false">VLOOKUP(Таблица310[[#This Row],[№ акта]],$AQ$1:$AT$594,2,FALSE())</f>
        <v>16</v>
      </c>
      <c r="AJ402" s="198" t="str">
        <f aca="false">Таблица310[[#This Row],[Регистратор.Номенклатура]]</f>
        <v>Тристар</v>
      </c>
      <c r="AK402" s="198" t="str">
        <f aca="false">VLOOKUP(Таблица310[[#This Row],[№ акта]],$AQ$1:$AT$594,4,FALSE())</f>
        <v>Агролидер (полив)</v>
      </c>
      <c r="AL402" s="230" t="n">
        <f aca="false">VLOOKUP(Таблица310[[#This Row],[№ акта]],$AQ$1:$AT$594,3,FALSE())</f>
        <v>1.45855484688825</v>
      </c>
      <c r="AM402" s="198" t="str">
        <f aca="false">IF(Таблица310[[#This Row],[Площадь уборки, га]]=Таблица310[[#This Row],[Площадь уборки до корр]],"нет","да")</f>
        <v>нет</v>
      </c>
      <c r="AN402" s="230" t="n">
        <f aca="false">Таблица310[[#This Row],[Площадь уборки до корр]]-Таблица310[[#This Row],[Площадь уборки, га]]</f>
        <v>0</v>
      </c>
      <c r="AQ402" s="0" t="s">
        <v>964</v>
      </c>
      <c r="AR402" s="0" t="n">
        <v>16</v>
      </c>
      <c r="AS402" s="0" t="n">
        <v>1.45855484688825</v>
      </c>
      <c r="AT402" s="0" t="s">
        <v>278</v>
      </c>
    </row>
    <row r="403" customFormat="false" ht="19.4" hidden="false" customHeight="false" outlineLevel="0" collapsed="false">
      <c r="A403" s="198"/>
      <c r="B403" s="223"/>
      <c r="C403" s="198" t="n">
        <f aca="false">VLOOKUP(Таблица310[[#This Row],[№ акта]],'Степень зрелости 2025'!$H$13:$I$391,2,FALSE())</f>
        <v>65</v>
      </c>
      <c r="D403" s="224" t="s">
        <v>965</v>
      </c>
      <c r="E403" s="225" t="n">
        <v>45828</v>
      </c>
      <c r="F403" s="223" t="n">
        <v>31800</v>
      </c>
      <c r="G403" s="223" t="n">
        <v>13120</v>
      </c>
      <c r="H403" s="226" t="n">
        <v>18680</v>
      </c>
      <c r="I403" s="223" t="n">
        <v>12267.2</v>
      </c>
      <c r="J403" s="198" t="s">
        <v>908</v>
      </c>
      <c r="K403" s="198" t="s">
        <v>904</v>
      </c>
      <c r="L403" s="198" t="n">
        <v>16</v>
      </c>
      <c r="M403" s="189" t="s">
        <v>365</v>
      </c>
      <c r="N403" s="198"/>
      <c r="O403" s="198"/>
      <c r="P403" s="198"/>
      <c r="Q403" s="198"/>
      <c r="R403" s="198" t="s">
        <v>373</v>
      </c>
      <c r="S403" s="198"/>
      <c r="T403" s="198" t="n">
        <v>16</v>
      </c>
      <c r="U403" s="195" t="str">
        <f aca="false">Таблица310[[#This Row],[Регистратор.Номенклатура]]</f>
        <v>Тристар</v>
      </c>
      <c r="V403" s="230" t="n">
        <f aca="false">28.3*Таблица310[[#This Row],[Регистратор.Вес нетто]]/252430</f>
        <v>1.47088697856832</v>
      </c>
      <c r="W403" s="198" t="s">
        <v>278</v>
      </c>
      <c r="X403" s="198" t="s">
        <v>315</v>
      </c>
      <c r="Y403" s="198" t="n">
        <v>5</v>
      </c>
      <c r="Z403" s="200" t="n">
        <v>45827</v>
      </c>
      <c r="AA403" s="198"/>
      <c r="AB403" s="198"/>
      <c r="AC403" s="198" t="s">
        <v>304</v>
      </c>
      <c r="AD403" s="198" t="s">
        <v>746</v>
      </c>
      <c r="AE403" s="224" t="s">
        <v>965</v>
      </c>
      <c r="AF403" s="200" t="n">
        <v>45828</v>
      </c>
      <c r="AG403" s="198" t="n">
        <v>54940</v>
      </c>
      <c r="AH403" s="198" t="n">
        <f aca="false">VLOOKUP(Таблица310[[#This Row],[№ акта]],'Степень зрелости 2025'!$H$13:$I$583,2,FALSE())</f>
        <v>65</v>
      </c>
      <c r="AI403" s="198" t="n">
        <f aca="false">VLOOKUP(Таблица310[[#This Row],[№ акта]],$AQ$1:$AT$594,2,FALSE())</f>
        <v>16</v>
      </c>
      <c r="AJ403" s="198" t="str">
        <f aca="false">Таблица310[[#This Row],[Регистратор.Номенклатура]]</f>
        <v>Тристар</v>
      </c>
      <c r="AK403" s="198" t="str">
        <f aca="false">VLOOKUP(Таблица310[[#This Row],[№ акта]],$AQ$1:$AT$594,4,FALSE())</f>
        <v>Агролидер (полив)</v>
      </c>
      <c r="AL403" s="230" t="n">
        <f aca="false">VLOOKUP(Таблица310[[#This Row],[№ акта]],$AQ$1:$AT$594,3,FALSE())</f>
        <v>1.47088697856832</v>
      </c>
      <c r="AM403" s="198" t="str">
        <f aca="false">IF(Таблица310[[#This Row],[Площадь уборки, га]]=Таблица310[[#This Row],[Площадь уборки до корр]],"нет","да")</f>
        <v>нет</v>
      </c>
      <c r="AN403" s="230" t="n">
        <f aca="false">Таблица310[[#This Row],[Площадь уборки до корр]]-Таблица310[[#This Row],[Площадь уборки, га]]</f>
        <v>0</v>
      </c>
      <c r="AQ403" s="0" t="s">
        <v>965</v>
      </c>
      <c r="AR403" s="0" t="n">
        <v>16</v>
      </c>
      <c r="AS403" s="0" t="n">
        <v>1.47088697856832</v>
      </c>
      <c r="AT403" s="0" t="s">
        <v>278</v>
      </c>
    </row>
    <row r="404" customFormat="false" ht="28.35" hidden="false" customHeight="false" outlineLevel="0" collapsed="false">
      <c r="A404" s="198"/>
      <c r="B404" s="223"/>
      <c r="C404" s="198" t="n">
        <f aca="false">VLOOKUP(Таблица310[[#This Row],[№ акта]],'Степень зрелости 2025'!$H$13:$I$391,2,FALSE())</f>
        <v>68</v>
      </c>
      <c r="D404" s="224" t="s">
        <v>966</v>
      </c>
      <c r="E404" s="225" t="n">
        <v>45828</v>
      </c>
      <c r="F404" s="223" t="n">
        <v>27710</v>
      </c>
      <c r="G404" s="223" t="n">
        <v>13180</v>
      </c>
      <c r="H404" s="226" t="n">
        <v>14530</v>
      </c>
      <c r="I404" s="223" t="n">
        <v>12455.1</v>
      </c>
      <c r="J404" s="198" t="s">
        <v>908</v>
      </c>
      <c r="K404" s="198" t="s">
        <v>904</v>
      </c>
      <c r="L404" s="198" t="n">
        <v>16</v>
      </c>
      <c r="M404" s="189" t="s">
        <v>363</v>
      </c>
      <c r="N404" s="198"/>
      <c r="O404" s="198"/>
      <c r="P404" s="198"/>
      <c r="Q404" s="198"/>
      <c r="R404" s="198" t="s">
        <v>364</v>
      </c>
      <c r="S404" s="198"/>
      <c r="T404" s="198" t="n">
        <v>16</v>
      </c>
      <c r="U404" s="195" t="str">
        <f aca="false">Таблица310[[#This Row],[Регистратор.Номенклатура]]</f>
        <v>Тристар</v>
      </c>
      <c r="V404" s="230" t="n">
        <f aca="false">28.3*Таблица310[[#This Row],[Регистратор.Вес нетто]]/252430</f>
        <v>1.47761359584835</v>
      </c>
      <c r="W404" s="198" t="s">
        <v>278</v>
      </c>
      <c r="X404" s="198" t="s">
        <v>315</v>
      </c>
      <c r="Y404" s="198" t="n">
        <v>5</v>
      </c>
      <c r="Z404" s="200" t="n">
        <v>45827</v>
      </c>
      <c r="AA404" s="198"/>
      <c r="AB404" s="198"/>
      <c r="AC404" s="198" t="s">
        <v>305</v>
      </c>
      <c r="AD404" s="198" t="s">
        <v>746</v>
      </c>
      <c r="AE404" s="224" t="s">
        <v>966</v>
      </c>
      <c r="AF404" s="200" t="n">
        <v>45828</v>
      </c>
      <c r="AG404" s="198" t="n">
        <v>54940</v>
      </c>
      <c r="AH404" s="198" t="n">
        <f aca="false">VLOOKUP(Таблица310[[#This Row],[№ акта]],'Степень зрелости 2025'!$H$13:$I$583,2,FALSE())</f>
        <v>68</v>
      </c>
      <c r="AI404" s="198" t="n">
        <f aca="false">VLOOKUP(Таблица310[[#This Row],[№ акта]],$AQ$1:$AT$594,2,FALSE())</f>
        <v>16</v>
      </c>
      <c r="AJ404" s="198" t="str">
        <f aca="false">Таблица310[[#This Row],[Регистратор.Номенклатура]]</f>
        <v>Тристар</v>
      </c>
      <c r="AK404" s="198" t="str">
        <f aca="false">VLOOKUP(Таблица310[[#This Row],[№ акта]],$AQ$1:$AT$594,4,FALSE())</f>
        <v>Агролидер (полив)</v>
      </c>
      <c r="AL404" s="230" t="n">
        <f aca="false">VLOOKUP(Таблица310[[#This Row],[№ акта]],$AQ$1:$AT$594,3,FALSE())</f>
        <v>1.47761359584835</v>
      </c>
      <c r="AM404" s="198" t="str">
        <f aca="false">IF(Таблица310[[#This Row],[Площадь уборки, га]]=Таблица310[[#This Row],[Площадь уборки до корр]],"нет","да")</f>
        <v>нет</v>
      </c>
      <c r="AN404" s="230" t="n">
        <f aca="false">Таблица310[[#This Row],[Площадь уборки до корр]]-Таблица310[[#This Row],[Площадь уборки, га]]</f>
        <v>0</v>
      </c>
      <c r="AQ404" s="0" t="s">
        <v>966</v>
      </c>
      <c r="AR404" s="0" t="n">
        <v>16</v>
      </c>
      <c r="AS404" s="0" t="n">
        <v>1.47761359584835</v>
      </c>
      <c r="AT404" s="0" t="s">
        <v>278</v>
      </c>
    </row>
    <row r="405" customFormat="false" ht="19.4" hidden="false" customHeight="false" outlineLevel="0" collapsed="false">
      <c r="A405" s="198"/>
      <c r="B405" s="223"/>
      <c r="C405" s="198" t="n">
        <f aca="false">VLOOKUP(Таблица310[[#This Row],[№ акта]],'Степень зрелости 2025'!$H$13:$I$391,2,FALSE())</f>
        <v>69</v>
      </c>
      <c r="D405" s="224" t="s">
        <v>967</v>
      </c>
      <c r="E405" s="225" t="n">
        <v>45828</v>
      </c>
      <c r="F405" s="223" t="n">
        <v>27470</v>
      </c>
      <c r="G405" s="223" t="n">
        <v>13600</v>
      </c>
      <c r="H405" s="226" t="n">
        <v>13870</v>
      </c>
      <c r="I405" s="223" t="n">
        <v>12852</v>
      </c>
      <c r="J405" s="198" t="s">
        <v>908</v>
      </c>
      <c r="K405" s="198" t="s">
        <v>904</v>
      </c>
      <c r="L405" s="198" t="n">
        <v>16</v>
      </c>
      <c r="M405" s="189" t="s">
        <v>359</v>
      </c>
      <c r="N405" s="198"/>
      <c r="O405" s="198"/>
      <c r="P405" s="198"/>
      <c r="Q405" s="198"/>
      <c r="R405" s="198" t="s">
        <v>426</v>
      </c>
      <c r="S405" s="198"/>
      <c r="T405" s="198" t="n">
        <v>16</v>
      </c>
      <c r="U405" s="195" t="str">
        <f aca="false">Таблица310[[#This Row],[Регистратор.Номенклатура]]</f>
        <v>Тристар</v>
      </c>
      <c r="V405" s="230" t="n">
        <f aca="false">28.3*Таблица310[[#This Row],[Регистратор.Вес нетто]]/252430</f>
        <v>1.52469991680862</v>
      </c>
      <c r="W405" s="198" t="s">
        <v>278</v>
      </c>
      <c r="X405" s="198" t="s">
        <v>315</v>
      </c>
      <c r="Y405" s="198" t="n">
        <v>5</v>
      </c>
      <c r="Z405" s="200" t="n">
        <v>45827</v>
      </c>
      <c r="AA405" s="198"/>
      <c r="AB405" s="198"/>
      <c r="AC405" s="198" t="s">
        <v>305</v>
      </c>
      <c r="AD405" s="198" t="s">
        <v>746</v>
      </c>
      <c r="AE405" s="224" t="s">
        <v>967</v>
      </c>
      <c r="AF405" s="200" t="n">
        <v>45828</v>
      </c>
      <c r="AG405" s="198" t="n">
        <v>54941</v>
      </c>
      <c r="AH405" s="198" t="n">
        <f aca="false">VLOOKUP(Таблица310[[#This Row],[№ акта]],'Степень зрелости 2025'!$H$13:$I$583,2,FALSE())</f>
        <v>69</v>
      </c>
      <c r="AI405" s="198" t="n">
        <f aca="false">VLOOKUP(Таблица310[[#This Row],[№ акта]],$AQ$1:$AT$594,2,FALSE())</f>
        <v>16</v>
      </c>
      <c r="AJ405" s="198" t="str">
        <f aca="false">Таблица310[[#This Row],[Регистратор.Номенклатура]]</f>
        <v>Тристар</v>
      </c>
      <c r="AK405" s="198" t="str">
        <f aca="false">VLOOKUP(Таблица310[[#This Row],[№ акта]],$AQ$1:$AT$594,4,FALSE())</f>
        <v>Агролидер (полив)</v>
      </c>
      <c r="AL405" s="230" t="n">
        <f aca="false">VLOOKUP(Таблица310[[#This Row],[№ акта]],$AQ$1:$AT$594,3,FALSE())</f>
        <v>1.52469991680862</v>
      </c>
      <c r="AM405" s="198" t="str">
        <f aca="false">IF(Таблица310[[#This Row],[Площадь уборки, га]]=Таблица310[[#This Row],[Площадь уборки до корр]],"нет","да")</f>
        <v>нет</v>
      </c>
      <c r="AN405" s="230" t="n">
        <f aca="false">Таблица310[[#This Row],[Площадь уборки до корр]]-Таблица310[[#This Row],[Площадь уборки, га]]</f>
        <v>0</v>
      </c>
      <c r="AQ405" s="0" t="s">
        <v>967</v>
      </c>
      <c r="AR405" s="0" t="n">
        <v>16</v>
      </c>
      <c r="AS405" s="0" t="n">
        <v>1.52469991680862</v>
      </c>
      <c r="AT405" s="0" t="s">
        <v>278</v>
      </c>
    </row>
    <row r="406" customFormat="false" ht="19.4" hidden="false" customHeight="false" outlineLevel="0" collapsed="false">
      <c r="A406" s="198"/>
      <c r="B406" s="223"/>
      <c r="C406" s="198" t="n">
        <f aca="false">VLOOKUP(Таблица310[[#This Row],[№ акта]],'Степень зрелости 2025'!$H$13:$I$391,2,FALSE())</f>
        <v>68</v>
      </c>
      <c r="D406" s="224" t="s">
        <v>968</v>
      </c>
      <c r="E406" s="225" t="n">
        <v>45828</v>
      </c>
      <c r="F406" s="223" t="n">
        <v>34090</v>
      </c>
      <c r="G406" s="223" t="n">
        <v>13080</v>
      </c>
      <c r="H406" s="226" t="n">
        <v>21010</v>
      </c>
      <c r="I406" s="223" t="n">
        <v>12360.6</v>
      </c>
      <c r="J406" s="198" t="s">
        <v>908</v>
      </c>
      <c r="K406" s="198" t="s">
        <v>904</v>
      </c>
      <c r="L406" s="198" t="n">
        <v>14</v>
      </c>
      <c r="M406" s="189" t="s">
        <v>427</v>
      </c>
      <c r="N406" s="198"/>
      <c r="O406" s="198"/>
      <c r="P406" s="198"/>
      <c r="Q406" s="198"/>
      <c r="R406" s="198" t="s">
        <v>431</v>
      </c>
      <c r="S406" s="198"/>
      <c r="T406" s="198" t="n">
        <v>14</v>
      </c>
      <c r="U406" s="195" t="str">
        <f aca="false">Таблица310[[#This Row],[Регистратор.Номенклатура]]</f>
        <v>Тристар</v>
      </c>
      <c r="V406" s="230" t="n">
        <f aca="false">6*Таблица310[[#This Row],[Регистратор.Вес нетто]]/52490</f>
        <v>1.49514193179653</v>
      </c>
      <c r="W406" s="198" t="s">
        <v>278</v>
      </c>
      <c r="X406" s="198" t="s">
        <v>315</v>
      </c>
      <c r="Y406" s="198" t="n">
        <v>5</v>
      </c>
      <c r="Z406" s="200" t="n">
        <v>45827</v>
      </c>
      <c r="AA406" s="198"/>
      <c r="AB406" s="198"/>
      <c r="AC406" s="198" t="s">
        <v>305</v>
      </c>
      <c r="AD406" s="198" t="s">
        <v>746</v>
      </c>
      <c r="AE406" s="224" t="s">
        <v>968</v>
      </c>
      <c r="AF406" s="200" t="n">
        <v>45828</v>
      </c>
      <c r="AG406" s="198" t="n">
        <v>54942</v>
      </c>
      <c r="AH406" s="198" t="n">
        <f aca="false">VLOOKUP(Таблица310[[#This Row],[№ акта]],'Степень зрелости 2025'!$H$13:$I$583,2,FALSE())</f>
        <v>68</v>
      </c>
      <c r="AI406" s="198" t="n">
        <f aca="false">VLOOKUP(Таблица310[[#This Row],[№ акта]],$AQ$1:$AT$594,2,FALSE())</f>
        <v>14</v>
      </c>
      <c r="AJ406" s="198" t="str">
        <f aca="false">Таблица310[[#This Row],[Регистратор.Номенклатура]]</f>
        <v>Тристар</v>
      </c>
      <c r="AK406" s="198" t="str">
        <f aca="false">VLOOKUP(Таблица310[[#This Row],[№ акта]],$AQ$1:$AT$594,4,FALSE())</f>
        <v>Агролидер (полив)</v>
      </c>
      <c r="AL406" s="230" t="n">
        <f aca="false">VLOOKUP(Таблица310[[#This Row],[№ акта]],$AQ$1:$AT$594,3,FALSE())</f>
        <v>1.49514193179653</v>
      </c>
      <c r="AM406" s="198" t="str">
        <f aca="false">IF(Таблица310[[#This Row],[Площадь уборки, га]]=Таблица310[[#This Row],[Площадь уборки до корр]],"нет","да")</f>
        <v>нет</v>
      </c>
      <c r="AN406" s="230" t="n">
        <f aca="false">Таблица310[[#This Row],[Площадь уборки до корр]]-Таблица310[[#This Row],[Площадь уборки, га]]</f>
        <v>0</v>
      </c>
      <c r="AQ406" s="0" t="s">
        <v>968</v>
      </c>
      <c r="AR406" s="0" t="n">
        <v>14</v>
      </c>
      <c r="AS406" s="0" t="n">
        <v>1.49514193179653</v>
      </c>
      <c r="AT406" s="0" t="s">
        <v>278</v>
      </c>
    </row>
    <row r="407" customFormat="false" ht="28.35" hidden="false" customHeight="false" outlineLevel="0" collapsed="false">
      <c r="A407" s="198"/>
      <c r="B407" s="223"/>
      <c r="C407" s="198" t="n">
        <v>76</v>
      </c>
      <c r="D407" s="224" t="s">
        <v>969</v>
      </c>
      <c r="E407" s="225" t="n">
        <v>45828</v>
      </c>
      <c r="F407" s="223" t="n">
        <v>28800</v>
      </c>
      <c r="G407" s="223" t="n">
        <v>13200</v>
      </c>
      <c r="H407" s="226" t="n">
        <v>15600</v>
      </c>
      <c r="I407" s="223" t="n">
        <v>12474</v>
      </c>
      <c r="J407" s="198" t="s">
        <v>908</v>
      </c>
      <c r="K407" s="198" t="s">
        <v>904</v>
      </c>
      <c r="L407" s="198" t="n">
        <v>14</v>
      </c>
      <c r="M407" s="189" t="s">
        <v>519</v>
      </c>
      <c r="N407" s="198"/>
      <c r="O407" s="198"/>
      <c r="P407" s="198"/>
      <c r="Q407" s="198"/>
      <c r="R407" s="198" t="s">
        <v>523</v>
      </c>
      <c r="S407" s="198"/>
      <c r="T407" s="198" t="n">
        <v>14</v>
      </c>
      <c r="U407" s="195" t="str">
        <f aca="false">Таблица310[[#This Row],[Регистратор.Номенклатура]]</f>
        <v>Тристар</v>
      </c>
      <c r="V407" s="230" t="n">
        <f aca="false">6*Таблица310[[#This Row],[Регистратор.Вес нетто]]/52490</f>
        <v>1.50885883025338</v>
      </c>
      <c r="W407" s="198" t="s">
        <v>278</v>
      </c>
      <c r="X407" s="198" t="s">
        <v>315</v>
      </c>
      <c r="Y407" s="198" t="n">
        <v>5</v>
      </c>
      <c r="Z407" s="200" t="n">
        <v>45827</v>
      </c>
      <c r="AA407" s="198"/>
      <c r="AB407" s="198"/>
      <c r="AC407" s="198" t="s">
        <v>305</v>
      </c>
      <c r="AD407" s="198" t="s">
        <v>886</v>
      </c>
      <c r="AE407" s="224" t="s">
        <v>969</v>
      </c>
      <c r="AF407" s="200" t="n">
        <v>45828</v>
      </c>
      <c r="AG407" s="198" t="n">
        <v>54941</v>
      </c>
      <c r="AH407" s="198" t="n">
        <f aca="false">VLOOKUP(Таблица310[[#This Row],[№ акта]],'Степень зрелости 2025'!$H$13:$I$583,2,FALSE())</f>
        <v>76</v>
      </c>
      <c r="AI407" s="198" t="n">
        <f aca="false">VLOOKUP(Таблица310[[#This Row],[№ акта]],$AQ$1:$AT$594,2,FALSE())</f>
        <v>14</v>
      </c>
      <c r="AJ407" s="198" t="str">
        <f aca="false">Таблица310[[#This Row],[Регистратор.Номенклатура]]</f>
        <v>Тристар</v>
      </c>
      <c r="AK407" s="198" t="str">
        <f aca="false">VLOOKUP(Таблица310[[#This Row],[№ акта]],$AQ$1:$AT$594,4,FALSE())</f>
        <v>Агролидер (полив)</v>
      </c>
      <c r="AL407" s="230" t="n">
        <f aca="false">VLOOKUP(Таблица310[[#This Row],[№ акта]],$AQ$1:$AT$594,3,FALSE())</f>
        <v>1.50885883025338</v>
      </c>
      <c r="AM407" s="198" t="str">
        <f aca="false">IF(Таблица310[[#This Row],[Площадь уборки, га]]=Таблица310[[#This Row],[Площадь уборки до корр]],"нет","да")</f>
        <v>нет</v>
      </c>
      <c r="AN407" s="230" t="n">
        <f aca="false">Таблица310[[#This Row],[Площадь уборки до корр]]-Таблица310[[#This Row],[Площадь уборки, га]]</f>
        <v>0</v>
      </c>
      <c r="AQ407" s="0" t="s">
        <v>969</v>
      </c>
      <c r="AR407" s="0" t="n">
        <v>14</v>
      </c>
      <c r="AS407" s="0" t="n">
        <v>1.50885883025338</v>
      </c>
      <c r="AT407" s="0" t="s">
        <v>278</v>
      </c>
    </row>
    <row r="408" customFormat="false" ht="28.35" hidden="false" customHeight="false" outlineLevel="0" collapsed="false">
      <c r="A408" s="198"/>
      <c r="B408" s="223"/>
      <c r="C408" s="198" t="n">
        <f aca="false">VLOOKUP(Таблица310[[#This Row],[№ акта]],'Степень зрелости 2025'!$H$13:$I$391,2,FALSE())</f>
        <v>67</v>
      </c>
      <c r="D408" s="224" t="s">
        <v>970</v>
      </c>
      <c r="E408" s="225" t="n">
        <v>45828</v>
      </c>
      <c r="F408" s="223" t="n">
        <v>28200</v>
      </c>
      <c r="G408" s="223" t="n">
        <v>13210</v>
      </c>
      <c r="H408" s="226" t="n">
        <v>14990</v>
      </c>
      <c r="I408" s="223" t="n">
        <v>12351.3</v>
      </c>
      <c r="J408" s="198" t="s">
        <v>908</v>
      </c>
      <c r="K408" s="198" t="s">
        <v>904</v>
      </c>
      <c r="L408" s="198" t="n">
        <v>14</v>
      </c>
      <c r="M408" s="189" t="s">
        <v>371</v>
      </c>
      <c r="N408" s="198"/>
      <c r="O408" s="198"/>
      <c r="P408" s="198"/>
      <c r="Q408" s="198"/>
      <c r="R408" s="198" t="s">
        <v>372</v>
      </c>
      <c r="S408" s="198"/>
      <c r="T408" s="198" t="n">
        <v>14</v>
      </c>
      <c r="U408" s="195" t="str">
        <f aca="false">Таблица310[[#This Row],[Регистратор.Номенклатура]]</f>
        <v>Тристар</v>
      </c>
      <c r="V408" s="230" t="n">
        <f aca="false">6*Таблица310[[#This Row],[Регистратор.Вес нетто]]/52490</f>
        <v>1.51000190512479</v>
      </c>
      <c r="W408" s="198" t="s">
        <v>278</v>
      </c>
      <c r="X408" s="198" t="s">
        <v>315</v>
      </c>
      <c r="Y408" s="198" t="n">
        <v>5</v>
      </c>
      <c r="Z408" s="200" t="n">
        <v>45827</v>
      </c>
      <c r="AA408" s="198"/>
      <c r="AB408" s="198"/>
      <c r="AC408" s="198" t="s">
        <v>305</v>
      </c>
      <c r="AD408" s="198" t="s">
        <v>746</v>
      </c>
      <c r="AE408" s="224" t="s">
        <v>970</v>
      </c>
      <c r="AF408" s="200" t="n">
        <v>45828</v>
      </c>
      <c r="AG408" s="198" t="n">
        <v>54943</v>
      </c>
      <c r="AH408" s="198" t="n">
        <f aca="false">VLOOKUP(Таблица310[[#This Row],[№ акта]],'Степень зрелости 2025'!$H$13:$I$583,2,FALSE())</f>
        <v>67</v>
      </c>
      <c r="AI408" s="198" t="n">
        <f aca="false">VLOOKUP(Таблица310[[#This Row],[№ акта]],$AQ$1:$AT$594,2,FALSE())</f>
        <v>14</v>
      </c>
      <c r="AJ408" s="198" t="str">
        <f aca="false">Таблица310[[#This Row],[Регистратор.Номенклатура]]</f>
        <v>Тристар</v>
      </c>
      <c r="AK408" s="198" t="str">
        <f aca="false">VLOOKUP(Таблица310[[#This Row],[№ акта]],$AQ$1:$AT$594,4,FALSE())</f>
        <v>Агролидер (полив)</v>
      </c>
      <c r="AL408" s="230" t="n">
        <f aca="false">VLOOKUP(Таблица310[[#This Row],[№ акта]],$AQ$1:$AT$594,3,FALSE())</f>
        <v>1.51000190512479</v>
      </c>
      <c r="AM408" s="198" t="str">
        <f aca="false">IF(Таблица310[[#This Row],[Площадь уборки, га]]=Таблица310[[#This Row],[Площадь уборки до корр]],"нет","да")</f>
        <v>нет</v>
      </c>
      <c r="AN408" s="230" t="n">
        <f aca="false">Таблица310[[#This Row],[Площадь уборки до корр]]-Таблица310[[#This Row],[Площадь уборки, га]]</f>
        <v>0</v>
      </c>
      <c r="AQ408" s="0" t="s">
        <v>970</v>
      </c>
      <c r="AR408" s="0" t="n">
        <v>14</v>
      </c>
      <c r="AS408" s="0" t="n">
        <v>1.51000190512479</v>
      </c>
      <c r="AT408" s="0" t="s">
        <v>278</v>
      </c>
    </row>
    <row r="409" customFormat="false" ht="19.4" hidden="false" customHeight="false" outlineLevel="0" collapsed="false">
      <c r="A409" s="198"/>
      <c r="B409" s="223"/>
      <c r="C409" s="198" t="n">
        <f aca="false">VLOOKUP(Таблица310[[#This Row],[№ акта]],'Степень зрелости 2025'!$H$13:$I$391,2,FALSE())</f>
        <v>70</v>
      </c>
      <c r="D409" s="224" t="s">
        <v>971</v>
      </c>
      <c r="E409" s="225" t="n">
        <v>45828</v>
      </c>
      <c r="F409" s="223" t="n">
        <v>27720</v>
      </c>
      <c r="G409" s="223" t="n">
        <v>13000</v>
      </c>
      <c r="H409" s="226" t="n">
        <v>14720</v>
      </c>
      <c r="I409" s="223" t="n">
        <v>12155</v>
      </c>
      <c r="J409" s="198" t="s">
        <v>908</v>
      </c>
      <c r="K409" s="198" t="s">
        <v>904</v>
      </c>
      <c r="L409" s="198" t="n">
        <v>14</v>
      </c>
      <c r="M409" s="189" t="s">
        <v>361</v>
      </c>
      <c r="N409" s="198"/>
      <c r="O409" s="198"/>
      <c r="P409" s="198"/>
      <c r="Q409" s="198"/>
      <c r="R409" s="198" t="s">
        <v>362</v>
      </c>
      <c r="S409" s="198"/>
      <c r="T409" s="198" t="n">
        <v>14</v>
      </c>
      <c r="U409" s="195" t="str">
        <f aca="false">Таблица310[[#This Row],[Регистратор.Номенклатура]]</f>
        <v>Тристар</v>
      </c>
      <c r="V409" s="230" t="n">
        <f aca="false">6*Таблица310[[#This Row],[Регистратор.Вес нетто]]/52490</f>
        <v>1.4859973328253</v>
      </c>
      <c r="W409" s="198" t="s">
        <v>278</v>
      </c>
      <c r="X409" s="198" t="s">
        <v>315</v>
      </c>
      <c r="Y409" s="198" t="n">
        <v>5</v>
      </c>
      <c r="Z409" s="200" t="n">
        <v>45827</v>
      </c>
      <c r="AA409" s="198"/>
      <c r="AB409" s="198"/>
      <c r="AC409" s="198" t="s">
        <v>305</v>
      </c>
      <c r="AD409" s="198" t="s">
        <v>746</v>
      </c>
      <c r="AE409" s="224" t="s">
        <v>971</v>
      </c>
      <c r="AF409" s="200" t="n">
        <v>45828</v>
      </c>
      <c r="AG409" s="198" t="n">
        <v>54943</v>
      </c>
      <c r="AH409" s="198" t="n">
        <f aca="false">VLOOKUP(Таблица310[[#This Row],[№ акта]],'Степень зрелости 2025'!$H$13:$I$583,2,FALSE())</f>
        <v>70</v>
      </c>
      <c r="AI409" s="198" t="n">
        <f aca="false">VLOOKUP(Таблица310[[#This Row],[№ акта]],$AQ$1:$AT$594,2,FALSE())</f>
        <v>14</v>
      </c>
      <c r="AJ409" s="198" t="str">
        <f aca="false">Таблица310[[#This Row],[Регистратор.Номенклатура]]</f>
        <v>Тристар</v>
      </c>
      <c r="AK409" s="198" t="str">
        <f aca="false">VLOOKUP(Таблица310[[#This Row],[№ акта]],$AQ$1:$AT$594,4,FALSE())</f>
        <v>Агролидер (полив)</v>
      </c>
      <c r="AL409" s="230" t="n">
        <f aca="false">VLOOKUP(Таблица310[[#This Row],[№ акта]],$AQ$1:$AT$594,3,FALSE())</f>
        <v>1.4859973328253</v>
      </c>
      <c r="AM409" s="198" t="str">
        <f aca="false">IF(Таблица310[[#This Row],[Площадь уборки, га]]=Таблица310[[#This Row],[Площадь уборки до корр]],"нет","да")</f>
        <v>нет</v>
      </c>
      <c r="AN409" s="230" t="n">
        <f aca="false">Таблица310[[#This Row],[Площадь уборки до корр]]-Таблица310[[#This Row],[Площадь уборки, га]]</f>
        <v>0</v>
      </c>
      <c r="AQ409" s="0" t="s">
        <v>971</v>
      </c>
      <c r="AR409" s="0" t="n">
        <v>14</v>
      </c>
      <c r="AS409" s="0" t="n">
        <v>1.4859973328253</v>
      </c>
      <c r="AT409" s="0" t="s">
        <v>278</v>
      </c>
    </row>
    <row r="410" customFormat="false" ht="19.4" hidden="false" customHeight="false" outlineLevel="0" collapsed="false">
      <c r="A410" s="198"/>
      <c r="B410" s="223"/>
      <c r="C410" s="234" t="n">
        <v>63</v>
      </c>
      <c r="D410" s="224" t="s">
        <v>972</v>
      </c>
      <c r="E410" s="225" t="n">
        <v>45828</v>
      </c>
      <c r="F410" s="223" t="n">
        <v>27940</v>
      </c>
      <c r="G410" s="223" t="n">
        <v>13090</v>
      </c>
      <c r="H410" s="226" t="n">
        <v>14850</v>
      </c>
      <c r="I410" s="223" t="n">
        <v>12239.1</v>
      </c>
      <c r="J410" s="198" t="s">
        <v>908</v>
      </c>
      <c r="K410" s="198" t="s">
        <v>904</v>
      </c>
      <c r="L410" s="198" t="n">
        <v>14</v>
      </c>
      <c r="M410" s="189" t="s">
        <v>433</v>
      </c>
      <c r="N410" s="198"/>
      <c r="O410" s="198"/>
      <c r="P410" s="198"/>
      <c r="Q410" s="198"/>
      <c r="R410" s="198" t="s">
        <v>437</v>
      </c>
      <c r="S410" s="198"/>
      <c r="T410" s="198" t="n">
        <v>14</v>
      </c>
      <c r="U410" s="195" t="str">
        <f aca="false">Таблица310[[#This Row],[Регистратор.Номенклатура]]</f>
        <v>Тристар</v>
      </c>
      <c r="V410" s="230" t="n">
        <f aca="false">36*Таблица310[[#This Row],[Регистратор.Вес нетто]]/252940</f>
        <v>1.8630505258164</v>
      </c>
      <c r="W410" s="198" t="s">
        <v>278</v>
      </c>
      <c r="X410" s="198" t="s">
        <v>315</v>
      </c>
      <c r="Y410" s="198" t="n">
        <v>6</v>
      </c>
      <c r="Z410" s="200" t="n">
        <v>45828</v>
      </c>
      <c r="AA410" s="198"/>
      <c r="AB410" s="198"/>
      <c r="AC410" s="198" t="s">
        <v>302</v>
      </c>
      <c r="AD410" s="198" t="s">
        <v>746</v>
      </c>
      <c r="AE410" s="198" t="s">
        <v>972</v>
      </c>
      <c r="AF410" s="200" t="n">
        <v>45828</v>
      </c>
      <c r="AG410" s="198" t="n">
        <v>54944</v>
      </c>
      <c r="AH410" s="198" t="n">
        <f aca="false">VLOOKUP(Таблица310[[#This Row],[№ акта]],'Степень зрелости 2025'!$H$13:$I$583,2,FALSE())</f>
        <v>63</v>
      </c>
      <c r="AI410" s="198" t="n">
        <f aca="false">VLOOKUP(Таблица310[[#This Row],[№ акта]],$AQ$1:$AT$594,2,FALSE())</f>
        <v>14</v>
      </c>
      <c r="AJ410" s="198" t="str">
        <f aca="false">Таблица310[[#This Row],[Регистратор.Номенклатура]]</f>
        <v>Тристар</v>
      </c>
      <c r="AK410" s="198" t="str">
        <f aca="false">VLOOKUP(Таблица310[[#This Row],[№ акта]],$AQ$1:$AT$594,4,FALSE())</f>
        <v>Агролидер (полив)</v>
      </c>
      <c r="AL410" s="230" t="n">
        <f aca="false">VLOOKUP(Таблица310[[#This Row],[№ акта]],$AQ$1:$AT$594,3,FALSE())</f>
        <v>1.8630505258164</v>
      </c>
      <c r="AM410" s="198" t="str">
        <f aca="false">IF(Таблица310[[#This Row],[Площадь уборки, га]]=Таблица310[[#This Row],[Площадь уборки до корр]],"нет","да")</f>
        <v>нет</v>
      </c>
      <c r="AN410" s="230" t="n">
        <f aca="false">Таблица310[[#This Row],[Площадь уборки до корр]]-Таблица310[[#This Row],[Площадь уборки, га]]</f>
        <v>0</v>
      </c>
      <c r="AQ410" s="0" t="s">
        <v>972</v>
      </c>
      <c r="AR410" s="0" t="n">
        <v>14</v>
      </c>
      <c r="AS410" s="0" t="n">
        <v>1.8630505258164</v>
      </c>
      <c r="AT410" s="0" t="s">
        <v>278</v>
      </c>
    </row>
    <row r="411" customFormat="false" ht="19.4" hidden="false" customHeight="false" outlineLevel="0" collapsed="false">
      <c r="A411" s="198"/>
      <c r="B411" s="223"/>
      <c r="C411" s="234" t="n">
        <v>70</v>
      </c>
      <c r="D411" s="224" t="s">
        <v>973</v>
      </c>
      <c r="E411" s="225" t="n">
        <v>45828</v>
      </c>
      <c r="F411" s="223" t="n">
        <v>37320</v>
      </c>
      <c r="G411" s="223" t="n">
        <v>13260</v>
      </c>
      <c r="H411" s="226" t="n">
        <v>24060</v>
      </c>
      <c r="I411" s="223" t="n">
        <v>12663.3</v>
      </c>
      <c r="J411" s="198" t="s">
        <v>908</v>
      </c>
      <c r="K411" s="198" t="s">
        <v>904</v>
      </c>
      <c r="L411" s="198" t="n">
        <v>14</v>
      </c>
      <c r="M411" s="189" t="s">
        <v>439</v>
      </c>
      <c r="N411" s="198"/>
      <c r="O411" s="198"/>
      <c r="P411" s="198"/>
      <c r="Q411" s="198"/>
      <c r="R411" s="198" t="s">
        <v>443</v>
      </c>
      <c r="S411" s="198"/>
      <c r="T411" s="198" t="n">
        <v>14</v>
      </c>
      <c r="U411" s="195" t="str">
        <f aca="false">Таблица310[[#This Row],[Регистратор.Номенклатура]]</f>
        <v>Тристар</v>
      </c>
      <c r="V411" s="230" t="n">
        <f aca="false">36*Таблица310[[#This Row],[Регистратор.Вес нетто]]/252940</f>
        <v>1.88724598719064</v>
      </c>
      <c r="W411" s="198" t="s">
        <v>278</v>
      </c>
      <c r="X411" s="198" t="s">
        <v>315</v>
      </c>
      <c r="Y411" s="198" t="n">
        <v>6</v>
      </c>
      <c r="Z411" s="200" t="n">
        <v>45828</v>
      </c>
      <c r="AA411" s="198"/>
      <c r="AB411" s="198"/>
      <c r="AC411" s="198" t="s">
        <v>305</v>
      </c>
      <c r="AD411" s="198" t="s">
        <v>886</v>
      </c>
      <c r="AE411" s="198" t="s">
        <v>973</v>
      </c>
      <c r="AF411" s="200" t="n">
        <v>45828</v>
      </c>
      <c r="AG411" s="198" t="n">
        <v>54944</v>
      </c>
      <c r="AH411" s="198" t="n">
        <f aca="false">VLOOKUP(Таблица310[[#This Row],[№ акта]],'Степень зрелости 2025'!$H$13:$I$583,2,FALSE())</f>
        <v>70</v>
      </c>
      <c r="AI411" s="198" t="n">
        <f aca="false">VLOOKUP(Таблица310[[#This Row],[№ акта]],$AQ$1:$AT$594,2,FALSE())</f>
        <v>14</v>
      </c>
      <c r="AJ411" s="198" t="str">
        <f aca="false">Таблица310[[#This Row],[Регистратор.Номенклатура]]</f>
        <v>Тристар</v>
      </c>
      <c r="AK411" s="198" t="str">
        <f aca="false">VLOOKUP(Таблица310[[#This Row],[№ акта]],$AQ$1:$AT$594,4,FALSE())</f>
        <v>Агролидер (полив)</v>
      </c>
      <c r="AL411" s="230" t="n">
        <f aca="false">VLOOKUP(Таблица310[[#This Row],[№ акта]],$AQ$1:$AT$594,3,FALSE())</f>
        <v>1.88724598719064</v>
      </c>
      <c r="AM411" s="198" t="str">
        <f aca="false">IF(Таблица310[[#This Row],[Площадь уборки, га]]=Таблица310[[#This Row],[Площадь уборки до корр]],"нет","да")</f>
        <v>нет</v>
      </c>
      <c r="AN411" s="230" t="n">
        <f aca="false">Таблица310[[#This Row],[Площадь уборки до корр]]-Таблица310[[#This Row],[Площадь уборки, га]]</f>
        <v>0</v>
      </c>
      <c r="AQ411" s="0" t="s">
        <v>973</v>
      </c>
      <c r="AR411" s="0" t="n">
        <v>14</v>
      </c>
      <c r="AS411" s="0" t="n">
        <v>1.88724598719064</v>
      </c>
      <c r="AT411" s="0" t="s">
        <v>278</v>
      </c>
    </row>
    <row r="412" customFormat="false" ht="19.4" hidden="false" customHeight="false" outlineLevel="0" collapsed="false">
      <c r="A412" s="198"/>
      <c r="B412" s="223"/>
      <c r="C412" s="234" t="n">
        <v>65</v>
      </c>
      <c r="D412" s="224" t="s">
        <v>974</v>
      </c>
      <c r="E412" s="225" t="n">
        <v>45828</v>
      </c>
      <c r="F412" s="223" t="n">
        <v>31390</v>
      </c>
      <c r="G412" s="223" t="n">
        <v>12770</v>
      </c>
      <c r="H412" s="226" t="n">
        <v>18620</v>
      </c>
      <c r="I412" s="223" t="n">
        <v>12067.6</v>
      </c>
      <c r="J412" s="198" t="s">
        <v>908</v>
      </c>
      <c r="K412" s="198" t="s">
        <v>904</v>
      </c>
      <c r="L412" s="198" t="n">
        <v>14</v>
      </c>
      <c r="M412" s="189" t="s">
        <v>365</v>
      </c>
      <c r="N412" s="198"/>
      <c r="O412" s="198"/>
      <c r="P412" s="198"/>
      <c r="Q412" s="198"/>
      <c r="R412" s="198" t="s">
        <v>373</v>
      </c>
      <c r="S412" s="198"/>
      <c r="T412" s="198" t="n">
        <v>14</v>
      </c>
      <c r="U412" s="195" t="str">
        <f aca="false">Таблица310[[#This Row],[Регистратор.Номенклатура]]</f>
        <v>Тристар</v>
      </c>
      <c r="V412" s="230" t="n">
        <f aca="false">36*Таблица310[[#This Row],[Регистратор.Вес нетто]]/252940</f>
        <v>1.81750612793548</v>
      </c>
      <c r="W412" s="198" t="s">
        <v>278</v>
      </c>
      <c r="X412" s="198" t="s">
        <v>315</v>
      </c>
      <c r="Y412" s="198" t="n">
        <v>6</v>
      </c>
      <c r="Z412" s="200" t="n">
        <v>45828</v>
      </c>
      <c r="AA412" s="198"/>
      <c r="AB412" s="198"/>
      <c r="AC412" s="198" t="s">
        <v>304</v>
      </c>
      <c r="AD412" s="198" t="s">
        <v>746</v>
      </c>
      <c r="AE412" s="198" t="s">
        <v>974</v>
      </c>
      <c r="AF412" s="200" t="n">
        <v>45828</v>
      </c>
      <c r="AG412" s="198" t="n">
        <v>54945</v>
      </c>
      <c r="AH412" s="198" t="n">
        <f aca="false">VLOOKUP(Таблица310[[#This Row],[№ акта]],'Степень зрелости 2025'!$H$13:$I$583,2,FALSE())</f>
        <v>65</v>
      </c>
      <c r="AI412" s="198" t="n">
        <f aca="false">VLOOKUP(Таблица310[[#This Row],[№ акта]],$AQ$1:$AT$594,2,FALSE())</f>
        <v>14</v>
      </c>
      <c r="AJ412" s="198" t="str">
        <f aca="false">Таблица310[[#This Row],[Регистратор.Номенклатура]]</f>
        <v>Тристар</v>
      </c>
      <c r="AK412" s="198" t="str">
        <f aca="false">VLOOKUP(Таблица310[[#This Row],[№ акта]],$AQ$1:$AT$594,4,FALSE())</f>
        <v>Агролидер (полив)</v>
      </c>
      <c r="AL412" s="230" t="n">
        <f aca="false">VLOOKUP(Таблица310[[#This Row],[№ акта]],$AQ$1:$AT$594,3,FALSE())</f>
        <v>1.81750612793548</v>
      </c>
      <c r="AM412" s="198" t="str">
        <f aca="false">IF(Таблица310[[#This Row],[Площадь уборки, га]]=Таблица310[[#This Row],[Площадь уборки до корр]],"нет","да")</f>
        <v>нет</v>
      </c>
      <c r="AN412" s="230" t="n">
        <f aca="false">Таблица310[[#This Row],[Площадь уборки до корр]]-Таблица310[[#This Row],[Площадь уборки, га]]</f>
        <v>0</v>
      </c>
      <c r="AQ412" s="0" t="s">
        <v>974</v>
      </c>
      <c r="AR412" s="0" t="n">
        <v>14</v>
      </c>
      <c r="AS412" s="0" t="n">
        <v>1.81750612793548</v>
      </c>
      <c r="AT412" s="0" t="s">
        <v>278</v>
      </c>
    </row>
    <row r="413" customFormat="false" ht="28.35" hidden="false" customHeight="false" outlineLevel="0" collapsed="false">
      <c r="A413" s="198"/>
      <c r="B413" s="223"/>
      <c r="C413" s="198" t="n">
        <f aca="false">VLOOKUP(Таблица310[[#This Row],[№ акта]],'Степень зрелости 2025'!$H$13:$I$453,2,FALSE())</f>
        <v>66</v>
      </c>
      <c r="D413" s="224" t="s">
        <v>975</v>
      </c>
      <c r="E413" s="225" t="n">
        <v>45828</v>
      </c>
      <c r="F413" s="223" t="n">
        <v>27580</v>
      </c>
      <c r="G413" s="223" t="n">
        <v>12960</v>
      </c>
      <c r="H413" s="226" t="n">
        <v>14620</v>
      </c>
      <c r="I413" s="223" t="n">
        <v>12506.4</v>
      </c>
      <c r="J413" s="198" t="s">
        <v>908</v>
      </c>
      <c r="K413" s="198" t="s">
        <v>904</v>
      </c>
      <c r="L413" s="198" t="n">
        <v>14</v>
      </c>
      <c r="M413" s="189" t="s">
        <v>55</v>
      </c>
      <c r="N413" s="198"/>
      <c r="O413" s="198"/>
      <c r="P413" s="198"/>
      <c r="Q413" s="198"/>
      <c r="R413" s="198" t="s">
        <v>56</v>
      </c>
      <c r="S413" s="198"/>
      <c r="T413" s="198" t="n">
        <v>14</v>
      </c>
      <c r="U413" s="195" t="str">
        <f aca="false">Таблица310[[#This Row],[Регистратор.Номенклатура]]</f>
        <v>Тристар</v>
      </c>
      <c r="V413" s="230" t="n">
        <f aca="false">36*Таблица310[[#This Row],[Регистратор.Вес нетто]]/252940</f>
        <v>1.84454811417728</v>
      </c>
      <c r="W413" s="198" t="s">
        <v>278</v>
      </c>
      <c r="X413" s="198" t="s">
        <v>315</v>
      </c>
      <c r="Y413" s="198" t="n">
        <v>6</v>
      </c>
      <c r="Z413" s="200" t="n">
        <v>45828</v>
      </c>
      <c r="AA413" s="198"/>
      <c r="AB413" s="198"/>
      <c r="AC413" s="198" t="s">
        <v>304</v>
      </c>
      <c r="AD413" s="198" t="s">
        <v>746</v>
      </c>
      <c r="AE413" s="198" t="s">
        <v>975</v>
      </c>
      <c r="AF413" s="200" t="n">
        <v>45828</v>
      </c>
      <c r="AG413" s="198" t="n">
        <v>54944</v>
      </c>
      <c r="AH413" s="198" t="n">
        <f aca="false">VLOOKUP(Таблица310[[#This Row],[№ акта]],'Степень зрелости 2025'!$H$13:$I$583,2,FALSE())</f>
        <v>66</v>
      </c>
      <c r="AI413" s="198" t="n">
        <f aca="false">VLOOKUP(Таблица310[[#This Row],[№ акта]],$AQ$1:$AT$594,2,FALSE())</f>
        <v>14</v>
      </c>
      <c r="AJ413" s="198" t="str">
        <f aca="false">Таблица310[[#This Row],[Регистратор.Номенклатура]]</f>
        <v>Тристар</v>
      </c>
      <c r="AK413" s="198" t="str">
        <f aca="false">VLOOKUP(Таблица310[[#This Row],[№ акта]],$AQ$1:$AT$594,4,FALSE())</f>
        <v>Агролидер (полив)</v>
      </c>
      <c r="AL413" s="230" t="n">
        <f aca="false">VLOOKUP(Таблица310[[#This Row],[№ акта]],$AQ$1:$AT$594,3,FALSE())</f>
        <v>1.84454811417728</v>
      </c>
      <c r="AM413" s="198" t="str">
        <f aca="false">IF(Таблица310[[#This Row],[Площадь уборки, га]]=Таблица310[[#This Row],[Площадь уборки до корр]],"нет","да")</f>
        <v>нет</v>
      </c>
      <c r="AN413" s="230" t="n">
        <f aca="false">Таблица310[[#This Row],[Площадь уборки до корр]]-Таблица310[[#This Row],[Площадь уборки, га]]</f>
        <v>0</v>
      </c>
      <c r="AQ413" s="0" t="s">
        <v>975</v>
      </c>
      <c r="AR413" s="0" t="n">
        <v>14</v>
      </c>
      <c r="AS413" s="0" t="n">
        <v>1.84454811417728</v>
      </c>
      <c r="AT413" s="0" t="s">
        <v>278</v>
      </c>
    </row>
    <row r="414" customFormat="false" ht="19.4" hidden="false" customHeight="false" outlineLevel="0" collapsed="false">
      <c r="A414" s="198"/>
      <c r="B414" s="223"/>
      <c r="C414" s="198" t="n">
        <f aca="false">VLOOKUP(Таблица310[[#This Row],[№ акта]],'Степень зрелости 2025'!$H$13:$I$453,2,FALSE())</f>
        <v>65</v>
      </c>
      <c r="D414" s="224" t="s">
        <v>976</v>
      </c>
      <c r="E414" s="225" t="n">
        <v>45828</v>
      </c>
      <c r="F414" s="223" t="n">
        <v>26510</v>
      </c>
      <c r="G414" s="223" t="n">
        <v>12660</v>
      </c>
      <c r="H414" s="226" t="n">
        <v>13850</v>
      </c>
      <c r="I414" s="223" t="n">
        <v>11837.1</v>
      </c>
      <c r="J414" s="198" t="s">
        <v>908</v>
      </c>
      <c r="K414" s="198" t="s">
        <v>904</v>
      </c>
      <c r="L414" s="198" t="n">
        <v>14</v>
      </c>
      <c r="M414" s="189" t="s">
        <v>359</v>
      </c>
      <c r="N414" s="198"/>
      <c r="O414" s="198"/>
      <c r="P414" s="198"/>
      <c r="Q414" s="198"/>
      <c r="R414" s="198" t="s">
        <v>426</v>
      </c>
      <c r="S414" s="198"/>
      <c r="T414" s="198" t="n">
        <v>14</v>
      </c>
      <c r="U414" s="195" t="str">
        <f aca="false">Таблица310[[#This Row],[Регистратор.Номенклатура]]</f>
        <v>Тристар</v>
      </c>
      <c r="V414" s="230" t="n">
        <f aca="false">36*Таблица310[[#This Row],[Регистратор.Вес нетто]]/252940</f>
        <v>1.80185024116391</v>
      </c>
      <c r="W414" s="198" t="s">
        <v>278</v>
      </c>
      <c r="X414" s="198" t="s">
        <v>315</v>
      </c>
      <c r="Y414" s="198" t="n">
        <v>6</v>
      </c>
      <c r="Z414" s="200" t="n">
        <v>45828</v>
      </c>
      <c r="AA414" s="198"/>
      <c r="AB414" s="198"/>
      <c r="AC414" s="198" t="s">
        <v>304</v>
      </c>
      <c r="AD414" s="198" t="s">
        <v>746</v>
      </c>
      <c r="AE414" s="198" t="s">
        <v>976</v>
      </c>
      <c r="AF414" s="200" t="n">
        <v>45828</v>
      </c>
      <c r="AG414" s="198" t="n">
        <v>54945</v>
      </c>
      <c r="AH414" s="198" t="n">
        <f aca="false">VLOOKUP(Таблица310[[#This Row],[№ акта]],'Степень зрелости 2025'!$H$13:$I$583,2,FALSE())</f>
        <v>65</v>
      </c>
      <c r="AI414" s="198" t="n">
        <f aca="false">VLOOKUP(Таблица310[[#This Row],[№ акта]],$AQ$1:$AT$594,2,FALSE())</f>
        <v>14</v>
      </c>
      <c r="AJ414" s="198" t="str">
        <f aca="false">Таблица310[[#This Row],[Регистратор.Номенклатура]]</f>
        <v>Тристар</v>
      </c>
      <c r="AK414" s="198" t="str">
        <f aca="false">VLOOKUP(Таблица310[[#This Row],[№ акта]],$AQ$1:$AT$594,4,FALSE())</f>
        <v>Агролидер (полив)</v>
      </c>
      <c r="AL414" s="230" t="n">
        <f aca="false">VLOOKUP(Таблица310[[#This Row],[№ акта]],$AQ$1:$AT$594,3,FALSE())</f>
        <v>1.80185024116391</v>
      </c>
      <c r="AM414" s="198" t="str">
        <f aca="false">IF(Таблица310[[#This Row],[Площадь уборки, га]]=Таблица310[[#This Row],[Площадь уборки до корр]],"нет","да")</f>
        <v>нет</v>
      </c>
      <c r="AN414" s="230" t="n">
        <f aca="false">Таблица310[[#This Row],[Площадь уборки до корр]]-Таблица310[[#This Row],[Площадь уборки, га]]</f>
        <v>0</v>
      </c>
      <c r="AQ414" s="0" t="s">
        <v>976</v>
      </c>
      <c r="AR414" s="0" t="n">
        <v>14</v>
      </c>
      <c r="AS414" s="0" t="n">
        <v>1.80185024116391</v>
      </c>
      <c r="AT414" s="0" t="s">
        <v>278</v>
      </c>
    </row>
    <row r="415" customFormat="false" ht="28.35" hidden="false" customHeight="false" outlineLevel="0" collapsed="false">
      <c r="A415" s="198"/>
      <c r="B415" s="223"/>
      <c r="C415" s="198" t="n">
        <f aca="false">VLOOKUP(Таблица310[[#This Row],[№ акта]],'Степень зрелости 2025'!$H$13:$I$453,2,FALSE())</f>
        <v>64</v>
      </c>
      <c r="D415" s="224" t="s">
        <v>977</v>
      </c>
      <c r="E415" s="225" t="n">
        <v>45828</v>
      </c>
      <c r="F415" s="223" t="n">
        <v>27160</v>
      </c>
      <c r="G415" s="223" t="n">
        <v>12620</v>
      </c>
      <c r="H415" s="226" t="n">
        <v>14540</v>
      </c>
      <c r="I415" s="223" t="n">
        <v>11673.5</v>
      </c>
      <c r="J415" s="198" t="s">
        <v>908</v>
      </c>
      <c r="K415" s="198" t="s">
        <v>904</v>
      </c>
      <c r="L415" s="198" t="n">
        <v>14</v>
      </c>
      <c r="M415" s="189" t="s">
        <v>363</v>
      </c>
      <c r="N415" s="198"/>
      <c r="O415" s="198"/>
      <c r="P415" s="198"/>
      <c r="Q415" s="198"/>
      <c r="R415" s="198" t="s">
        <v>364</v>
      </c>
      <c r="S415" s="198"/>
      <c r="T415" s="198" t="n">
        <v>14</v>
      </c>
      <c r="U415" s="195" t="str">
        <f aca="false">Таблица310[[#This Row],[Регистратор.Номенклатура]]</f>
        <v>Тристар</v>
      </c>
      <c r="V415" s="230" t="n">
        <f aca="false">36*Таблица310[[#This Row],[Регистратор.Вес нетто]]/252940</f>
        <v>1.7961571914288</v>
      </c>
      <c r="W415" s="198" t="s">
        <v>278</v>
      </c>
      <c r="X415" s="198" t="s">
        <v>315</v>
      </c>
      <c r="Y415" s="198" t="n">
        <v>6</v>
      </c>
      <c r="Z415" s="200" t="n">
        <v>45828</v>
      </c>
      <c r="AA415" s="198"/>
      <c r="AB415" s="198"/>
      <c r="AC415" s="198" t="s">
        <v>304</v>
      </c>
      <c r="AD415" s="198" t="s">
        <v>746</v>
      </c>
      <c r="AE415" s="198" t="s">
        <v>977</v>
      </c>
      <c r="AF415" s="200" t="n">
        <v>45828</v>
      </c>
      <c r="AG415" s="198" t="n">
        <v>54946</v>
      </c>
      <c r="AH415" s="198" t="n">
        <f aca="false">VLOOKUP(Таблица310[[#This Row],[№ акта]],'Степень зрелости 2025'!$H$13:$I$583,2,FALSE())</f>
        <v>64</v>
      </c>
      <c r="AI415" s="198" t="n">
        <f aca="false">VLOOKUP(Таблица310[[#This Row],[№ акта]],$AQ$1:$AT$594,2,FALSE())</f>
        <v>14</v>
      </c>
      <c r="AJ415" s="198" t="str">
        <f aca="false">Таблица310[[#This Row],[Регистратор.Номенклатура]]</f>
        <v>Тристар</v>
      </c>
      <c r="AK415" s="198" t="str">
        <f aca="false">VLOOKUP(Таблица310[[#This Row],[№ акта]],$AQ$1:$AT$594,4,FALSE())</f>
        <v>Агролидер (полив)</v>
      </c>
      <c r="AL415" s="230" t="n">
        <f aca="false">VLOOKUP(Таблица310[[#This Row],[№ акта]],$AQ$1:$AT$594,3,FALSE())</f>
        <v>1.7961571914288</v>
      </c>
      <c r="AM415" s="198" t="str">
        <f aca="false">IF(Таблица310[[#This Row],[Площадь уборки, га]]=Таблица310[[#This Row],[Площадь уборки до корр]],"нет","да")</f>
        <v>нет</v>
      </c>
      <c r="AN415" s="230" t="n">
        <f aca="false">Таблица310[[#This Row],[Площадь уборки до корр]]-Таблица310[[#This Row],[Площадь уборки, га]]</f>
        <v>0</v>
      </c>
      <c r="AQ415" s="0" t="s">
        <v>977</v>
      </c>
      <c r="AR415" s="0" t="n">
        <v>14</v>
      </c>
      <c r="AS415" s="0" t="n">
        <v>1.7961571914288</v>
      </c>
      <c r="AT415" s="0" t="s">
        <v>278</v>
      </c>
    </row>
    <row r="416" customFormat="false" ht="28.35" hidden="false" customHeight="false" outlineLevel="0" collapsed="false">
      <c r="A416" s="198"/>
      <c r="B416" s="223"/>
      <c r="C416" s="198" t="n">
        <f aca="false">VLOOKUP(Таблица310[[#This Row],[№ акта]],'Степень зрелости 2025'!$H$13:$I$453,2,FALSE())</f>
        <v>65</v>
      </c>
      <c r="D416" s="224" t="s">
        <v>978</v>
      </c>
      <c r="E416" s="225" t="n">
        <v>45828</v>
      </c>
      <c r="F416" s="223" t="n">
        <v>28420</v>
      </c>
      <c r="G416" s="223" t="n">
        <v>12750</v>
      </c>
      <c r="H416" s="226" t="n">
        <v>15670</v>
      </c>
      <c r="I416" s="223" t="n">
        <v>11793.7</v>
      </c>
      <c r="J416" s="198" t="s">
        <v>908</v>
      </c>
      <c r="K416" s="198" t="s">
        <v>904</v>
      </c>
      <c r="L416" s="198" t="n">
        <v>14</v>
      </c>
      <c r="M416" s="189" t="s">
        <v>519</v>
      </c>
      <c r="N416" s="198"/>
      <c r="O416" s="198"/>
      <c r="P416" s="198"/>
      <c r="Q416" s="198"/>
      <c r="R416" s="198" t="s">
        <v>523</v>
      </c>
      <c r="S416" s="198"/>
      <c r="T416" s="198" t="n">
        <v>14</v>
      </c>
      <c r="U416" s="195" t="str">
        <f aca="false">Таблица310[[#This Row],[Регистратор.Номенклатура]]</f>
        <v>Тристар</v>
      </c>
      <c r="V416" s="230" t="n">
        <f aca="false">36*Таблица310[[#This Row],[Регистратор.Вес нетто]]/252940</f>
        <v>1.81465960306792</v>
      </c>
      <c r="W416" s="198" t="s">
        <v>278</v>
      </c>
      <c r="X416" s="198" t="s">
        <v>315</v>
      </c>
      <c r="Y416" s="198" t="n">
        <v>6</v>
      </c>
      <c r="Z416" s="200" t="n">
        <v>45828</v>
      </c>
      <c r="AA416" s="198"/>
      <c r="AB416" s="198"/>
      <c r="AC416" s="198" t="s">
        <v>304</v>
      </c>
      <c r="AD416" s="198" t="s">
        <v>746</v>
      </c>
      <c r="AE416" s="198" t="s">
        <v>978</v>
      </c>
      <c r="AF416" s="200" t="n">
        <v>45828</v>
      </c>
      <c r="AG416" s="198" t="n">
        <v>54947</v>
      </c>
      <c r="AH416" s="198" t="n">
        <f aca="false">VLOOKUP(Таблица310[[#This Row],[№ акта]],'Степень зрелости 2025'!$H$13:$I$583,2,FALSE())</f>
        <v>65</v>
      </c>
      <c r="AI416" s="198" t="n">
        <f aca="false">VLOOKUP(Таблица310[[#This Row],[№ акта]],$AQ$1:$AT$594,2,FALSE())</f>
        <v>14</v>
      </c>
      <c r="AJ416" s="198" t="str">
        <f aca="false">Таблица310[[#This Row],[Регистратор.Номенклатура]]</f>
        <v>Тристар</v>
      </c>
      <c r="AK416" s="198" t="str">
        <f aca="false">VLOOKUP(Таблица310[[#This Row],[№ акта]],$AQ$1:$AT$594,4,FALSE())</f>
        <v>Агролидер (полив)</v>
      </c>
      <c r="AL416" s="230" t="n">
        <f aca="false">VLOOKUP(Таблица310[[#This Row],[№ акта]],$AQ$1:$AT$594,3,FALSE())</f>
        <v>1.81465960306792</v>
      </c>
      <c r="AM416" s="198" t="str">
        <f aca="false">IF(Таблица310[[#This Row],[Площадь уборки, га]]=Таблица310[[#This Row],[Площадь уборки до корр]],"нет","да")</f>
        <v>нет</v>
      </c>
      <c r="AN416" s="230" t="n">
        <f aca="false">Таблица310[[#This Row],[Площадь уборки до корр]]-Таблица310[[#This Row],[Площадь уборки, га]]</f>
        <v>0</v>
      </c>
      <c r="AQ416" s="0" t="s">
        <v>978</v>
      </c>
      <c r="AR416" s="0" t="n">
        <v>14</v>
      </c>
      <c r="AS416" s="0" t="n">
        <v>1.81465960306792</v>
      </c>
      <c r="AT416" s="0" t="s">
        <v>278</v>
      </c>
    </row>
    <row r="417" customFormat="false" ht="19.4" hidden="false" customHeight="false" outlineLevel="0" collapsed="false">
      <c r="A417" s="198"/>
      <c r="B417" s="223"/>
      <c r="C417" s="198" t="n">
        <f aca="false">VLOOKUP(Таблица310[[#This Row],[№ акта]],'Степень зрелости 2025'!$H$13:$I$453,2,FALSE())</f>
        <v>65</v>
      </c>
      <c r="D417" s="224" t="s">
        <v>979</v>
      </c>
      <c r="E417" s="225" t="n">
        <v>45828</v>
      </c>
      <c r="F417" s="223" t="n">
        <v>33730</v>
      </c>
      <c r="G417" s="223" t="n">
        <v>12670</v>
      </c>
      <c r="H417" s="226" t="n">
        <v>21060</v>
      </c>
      <c r="I417" s="223" t="n">
        <v>11973.1</v>
      </c>
      <c r="J417" s="198" t="s">
        <v>908</v>
      </c>
      <c r="K417" s="198" t="s">
        <v>904</v>
      </c>
      <c r="L417" s="198" t="n">
        <v>14</v>
      </c>
      <c r="M417" s="189" t="s">
        <v>427</v>
      </c>
      <c r="N417" s="198"/>
      <c r="O417" s="198"/>
      <c r="P417" s="198"/>
      <c r="Q417" s="198"/>
      <c r="R417" s="198" t="s">
        <v>431</v>
      </c>
      <c r="S417" s="198"/>
      <c r="T417" s="198" t="n">
        <v>14</v>
      </c>
      <c r="U417" s="195" t="str">
        <f aca="false">Таблица310[[#This Row],[Регистратор.Номенклатура]]</f>
        <v>Тристар</v>
      </c>
      <c r="V417" s="230" t="n">
        <f aca="false">36*Таблица310[[#This Row],[Регистратор.Вес нетто]]/252940</f>
        <v>1.80327350359769</v>
      </c>
      <c r="W417" s="198" t="s">
        <v>278</v>
      </c>
      <c r="X417" s="198" t="s">
        <v>315</v>
      </c>
      <c r="Y417" s="198" t="n">
        <v>6</v>
      </c>
      <c r="Z417" s="200" t="n">
        <v>45828</v>
      </c>
      <c r="AA417" s="198"/>
      <c r="AB417" s="198"/>
      <c r="AC417" s="198" t="s">
        <v>304</v>
      </c>
      <c r="AD417" s="198" t="s">
        <v>746</v>
      </c>
      <c r="AE417" s="198" t="s">
        <v>979</v>
      </c>
      <c r="AF417" s="200" t="n">
        <v>45828</v>
      </c>
      <c r="AG417" s="198" t="n">
        <v>54947</v>
      </c>
      <c r="AH417" s="198" t="n">
        <f aca="false">VLOOKUP(Таблица310[[#This Row],[№ акта]],'Степень зрелости 2025'!$H$13:$I$583,2,FALSE())</f>
        <v>65</v>
      </c>
      <c r="AI417" s="198" t="n">
        <f aca="false">VLOOKUP(Таблица310[[#This Row],[№ акта]],$AQ$1:$AT$594,2,FALSE())</f>
        <v>14</v>
      </c>
      <c r="AJ417" s="198" t="str">
        <f aca="false">Таблица310[[#This Row],[Регистратор.Номенклатура]]</f>
        <v>Тристар</v>
      </c>
      <c r="AK417" s="198" t="str">
        <f aca="false">VLOOKUP(Таблица310[[#This Row],[№ акта]],$AQ$1:$AT$594,4,FALSE())</f>
        <v>Агролидер (полив)</v>
      </c>
      <c r="AL417" s="230" t="n">
        <f aca="false">VLOOKUP(Таблица310[[#This Row],[№ акта]],$AQ$1:$AT$594,3,FALSE())</f>
        <v>1.80327350359769</v>
      </c>
      <c r="AM417" s="198" t="str">
        <f aca="false">IF(Таблица310[[#This Row],[Площадь уборки, га]]=Таблица310[[#This Row],[Площадь уборки до корр]],"нет","да")</f>
        <v>нет</v>
      </c>
      <c r="AN417" s="230" t="n">
        <f aca="false">Таблица310[[#This Row],[Площадь уборки до корр]]-Таблица310[[#This Row],[Площадь уборки, га]]</f>
        <v>0</v>
      </c>
      <c r="AQ417" s="0" t="s">
        <v>979</v>
      </c>
      <c r="AR417" s="0" t="n">
        <v>14</v>
      </c>
      <c r="AS417" s="0" t="n">
        <v>1.80327350359769</v>
      </c>
      <c r="AT417" s="0" t="s">
        <v>278</v>
      </c>
    </row>
    <row r="418" customFormat="false" ht="28.35" hidden="false" customHeight="false" outlineLevel="0" collapsed="false">
      <c r="A418" s="198"/>
      <c r="B418" s="223"/>
      <c r="C418" s="198" t="n">
        <f aca="false">VLOOKUP(Таблица310[[#This Row],[№ акта]],'Степень зрелости 2025'!$H$13:$I$453,2,FALSE())</f>
        <v>60</v>
      </c>
      <c r="D418" s="224" t="s">
        <v>980</v>
      </c>
      <c r="E418" s="225" t="n">
        <v>45828</v>
      </c>
      <c r="F418" s="223" t="n">
        <v>28000</v>
      </c>
      <c r="G418" s="223" t="n">
        <v>12820</v>
      </c>
      <c r="H418" s="226" t="n">
        <v>15180</v>
      </c>
      <c r="I418" s="223" t="n">
        <v>11730.3</v>
      </c>
      <c r="J418" s="198" t="s">
        <v>908</v>
      </c>
      <c r="K418" s="198" t="s">
        <v>904</v>
      </c>
      <c r="L418" s="198" t="n">
        <v>14</v>
      </c>
      <c r="M418" s="189" t="s">
        <v>371</v>
      </c>
      <c r="N418" s="198"/>
      <c r="O418" s="198"/>
      <c r="P418" s="198"/>
      <c r="Q418" s="198"/>
      <c r="R418" s="198" t="s">
        <v>372</v>
      </c>
      <c r="S418" s="198"/>
      <c r="T418" s="198" t="n">
        <v>14</v>
      </c>
      <c r="U418" s="195" t="str">
        <f aca="false">Таблица310[[#This Row],[Регистратор.Номенклатура]]</f>
        <v>Тристар</v>
      </c>
      <c r="V418" s="230" t="n">
        <f aca="false">36*Таблица310[[#This Row],[Регистратор.Вес нетто]]/252940</f>
        <v>1.82462244010437</v>
      </c>
      <c r="W418" s="198" t="s">
        <v>278</v>
      </c>
      <c r="X418" s="198" t="s">
        <v>315</v>
      </c>
      <c r="Y418" s="198" t="n">
        <v>6</v>
      </c>
      <c r="Z418" s="200" t="n">
        <v>45828</v>
      </c>
      <c r="AA418" s="198"/>
      <c r="AB418" s="198"/>
      <c r="AC418" s="198" t="s">
        <v>302</v>
      </c>
      <c r="AD418" s="198" t="s">
        <v>746</v>
      </c>
      <c r="AE418" s="198" t="s">
        <v>980</v>
      </c>
      <c r="AF418" s="200" t="n">
        <v>45828</v>
      </c>
      <c r="AG418" s="198" t="n">
        <v>54948</v>
      </c>
      <c r="AH418" s="198" t="n">
        <f aca="false">VLOOKUP(Таблица310[[#This Row],[№ акта]],'Степень зрелости 2025'!$H$13:$I$583,2,FALSE())</f>
        <v>60</v>
      </c>
      <c r="AI418" s="198" t="n">
        <f aca="false">VLOOKUP(Таблица310[[#This Row],[№ акта]],$AQ$1:$AT$594,2,FALSE())</f>
        <v>14</v>
      </c>
      <c r="AJ418" s="198" t="str">
        <f aca="false">Таблица310[[#This Row],[Регистратор.Номенклатура]]</f>
        <v>Тристар</v>
      </c>
      <c r="AK418" s="198" t="str">
        <f aca="false">VLOOKUP(Таблица310[[#This Row],[№ акта]],$AQ$1:$AT$594,4,FALSE())</f>
        <v>Агролидер (полив)</v>
      </c>
      <c r="AL418" s="230" t="n">
        <f aca="false">VLOOKUP(Таблица310[[#This Row],[№ акта]],$AQ$1:$AT$594,3,FALSE())</f>
        <v>1.82462244010437</v>
      </c>
      <c r="AM418" s="198" t="str">
        <f aca="false">IF(Таблица310[[#This Row],[Площадь уборки, га]]=Таблица310[[#This Row],[Площадь уборки до корр]],"нет","да")</f>
        <v>нет</v>
      </c>
      <c r="AN418" s="230" t="n">
        <f aca="false">Таблица310[[#This Row],[Площадь уборки до корр]]-Таблица310[[#This Row],[Площадь уборки, га]]</f>
        <v>0</v>
      </c>
      <c r="AQ418" s="0" t="s">
        <v>980</v>
      </c>
      <c r="AR418" s="0" t="n">
        <v>14</v>
      </c>
      <c r="AS418" s="0" t="n">
        <v>1.82462244010437</v>
      </c>
      <c r="AT418" s="0" t="s">
        <v>278</v>
      </c>
    </row>
    <row r="419" customFormat="false" ht="19.4" hidden="false" customHeight="false" outlineLevel="0" collapsed="false">
      <c r="A419" s="198"/>
      <c r="B419" s="223"/>
      <c r="C419" s="198" t="n">
        <f aca="false">VLOOKUP(Таблица310[[#This Row],[№ акта]],'Степень зрелости 2025'!$H$13:$I$453,2,FALSE())</f>
        <v>66</v>
      </c>
      <c r="D419" s="224" t="s">
        <v>981</v>
      </c>
      <c r="E419" s="225" t="n">
        <v>45828</v>
      </c>
      <c r="F419" s="223" t="n">
        <v>28060</v>
      </c>
      <c r="G419" s="223" t="n">
        <v>12810</v>
      </c>
      <c r="H419" s="226" t="n">
        <v>15250</v>
      </c>
      <c r="I419" s="223" t="n">
        <v>11785.2</v>
      </c>
      <c r="J419" s="198" t="s">
        <v>908</v>
      </c>
      <c r="K419" s="198" t="s">
        <v>904</v>
      </c>
      <c r="L419" s="198" t="n">
        <v>14</v>
      </c>
      <c r="M419" s="189" t="s">
        <v>457</v>
      </c>
      <c r="N419" s="198"/>
      <c r="O419" s="198"/>
      <c r="P419" s="198"/>
      <c r="Q419" s="198"/>
      <c r="R419" s="198" t="s">
        <v>366</v>
      </c>
      <c r="S419" s="198"/>
      <c r="T419" s="198" t="n">
        <v>14</v>
      </c>
      <c r="U419" s="195" t="str">
        <f aca="false">Таблица310[[#This Row],[Регистратор.Номенклатура]]</f>
        <v>Тристар</v>
      </c>
      <c r="V419" s="230" t="n">
        <f aca="false">36*Таблица310[[#This Row],[Регистратор.Вес нетто]]/252940</f>
        <v>1.82319917767059</v>
      </c>
      <c r="W419" s="198" t="s">
        <v>278</v>
      </c>
      <c r="X419" s="198" t="s">
        <v>315</v>
      </c>
      <c r="Y419" s="198" t="n">
        <v>6</v>
      </c>
      <c r="Z419" s="200" t="n">
        <v>45828</v>
      </c>
      <c r="AA419" s="198"/>
      <c r="AB419" s="198"/>
      <c r="AC419" s="198" t="s">
        <v>304</v>
      </c>
      <c r="AD419" s="198" t="s">
        <v>746</v>
      </c>
      <c r="AE419" s="198" t="s">
        <v>981</v>
      </c>
      <c r="AF419" s="200" t="n">
        <v>45828</v>
      </c>
      <c r="AG419" s="198" t="n">
        <v>54948</v>
      </c>
      <c r="AH419" s="198" t="n">
        <f aca="false">VLOOKUP(Таблица310[[#This Row],[№ акта]],'Степень зрелости 2025'!$H$13:$I$583,2,FALSE())</f>
        <v>66</v>
      </c>
      <c r="AI419" s="198" t="n">
        <f aca="false">VLOOKUP(Таблица310[[#This Row],[№ акта]],$AQ$1:$AT$594,2,FALSE())</f>
        <v>14</v>
      </c>
      <c r="AJ419" s="198" t="str">
        <f aca="false">Таблица310[[#This Row],[Регистратор.Номенклатура]]</f>
        <v>Тристар</v>
      </c>
      <c r="AK419" s="198" t="str">
        <f aca="false">VLOOKUP(Таблица310[[#This Row],[№ акта]],$AQ$1:$AT$594,4,FALSE())</f>
        <v>Агролидер (полив)</v>
      </c>
      <c r="AL419" s="230" t="n">
        <f aca="false">VLOOKUP(Таблица310[[#This Row],[№ акта]],$AQ$1:$AT$594,3,FALSE())</f>
        <v>1.82319917767059</v>
      </c>
      <c r="AM419" s="198" t="str">
        <f aca="false">IF(Таблица310[[#This Row],[Площадь уборки, га]]=Таблица310[[#This Row],[Площадь уборки до корр]],"нет","да")</f>
        <v>нет</v>
      </c>
      <c r="AN419" s="230" t="n">
        <f aca="false">Таблица310[[#This Row],[Площадь уборки до корр]]-Таблица310[[#This Row],[Площадь уборки, га]]</f>
        <v>0</v>
      </c>
      <c r="AQ419" s="0" t="s">
        <v>981</v>
      </c>
      <c r="AR419" s="0" t="n">
        <v>14</v>
      </c>
      <c r="AS419" s="0" t="n">
        <v>1.82319917767059</v>
      </c>
      <c r="AT419" s="0" t="s">
        <v>278</v>
      </c>
    </row>
    <row r="420" customFormat="false" ht="19.4" hidden="false" customHeight="false" outlineLevel="0" collapsed="false">
      <c r="A420" s="198"/>
      <c r="B420" s="223"/>
      <c r="C420" s="198" t="n">
        <f aca="false">VLOOKUP(Таблица310[[#This Row],[№ акта]],'Степень зрелости 2025'!$H$13:$I$453,2,FALSE())</f>
        <v>68</v>
      </c>
      <c r="D420" s="224" t="s">
        <v>982</v>
      </c>
      <c r="E420" s="225" t="n">
        <v>45829</v>
      </c>
      <c r="F420" s="223" t="n">
        <v>27900</v>
      </c>
      <c r="G420" s="223" t="n">
        <v>12570</v>
      </c>
      <c r="H420" s="226" t="n">
        <v>15330</v>
      </c>
      <c r="I420" s="223" t="n">
        <v>11752.9</v>
      </c>
      <c r="J420" s="198" t="s">
        <v>908</v>
      </c>
      <c r="K420" s="198" t="s">
        <v>904</v>
      </c>
      <c r="L420" s="198" t="n">
        <v>14</v>
      </c>
      <c r="M420" s="189" t="s">
        <v>433</v>
      </c>
      <c r="N420" s="198"/>
      <c r="O420" s="198"/>
      <c r="P420" s="198"/>
      <c r="Q420" s="198"/>
      <c r="R420" s="198" t="s">
        <v>437</v>
      </c>
      <c r="S420" s="198"/>
      <c r="T420" s="198" t="n">
        <v>14</v>
      </c>
      <c r="U420" s="195" t="str">
        <f aca="false">Таблица310[[#This Row],[Регистратор.Номенклатура]]</f>
        <v>Тристар</v>
      </c>
      <c r="V420" s="230" t="n">
        <f aca="false">36*Таблица310[[#This Row],[Регистратор.Вес нетто]]/252940</f>
        <v>1.7890408792599</v>
      </c>
      <c r="W420" s="198" t="s">
        <v>278</v>
      </c>
      <c r="X420" s="198" t="s">
        <v>315</v>
      </c>
      <c r="Y420" s="198" t="n">
        <v>6</v>
      </c>
      <c r="Z420" s="200" t="n">
        <v>45828</v>
      </c>
      <c r="AA420" s="198"/>
      <c r="AB420" s="198"/>
      <c r="AC420" s="198" t="s">
        <v>305</v>
      </c>
      <c r="AD420" s="198" t="s">
        <v>746</v>
      </c>
      <c r="AE420" s="198" t="s">
        <v>982</v>
      </c>
      <c r="AF420" s="200" t="n">
        <v>45829</v>
      </c>
      <c r="AG420" s="198" t="n">
        <v>54951</v>
      </c>
      <c r="AH420" s="198" t="n">
        <f aca="false">VLOOKUP(Таблица310[[#This Row],[№ акта]],'Степень зрелости 2025'!$H$13:$I$583,2,FALSE())</f>
        <v>68</v>
      </c>
      <c r="AI420" s="198" t="n">
        <f aca="false">VLOOKUP(Таблица310[[#This Row],[№ акта]],$AQ$1:$AT$594,2,FALSE())</f>
        <v>14</v>
      </c>
      <c r="AJ420" s="198" t="str">
        <f aca="false">Таблица310[[#This Row],[Регистратор.Номенклатура]]</f>
        <v>Тристар</v>
      </c>
      <c r="AK420" s="198" t="str">
        <f aca="false">VLOOKUP(Таблица310[[#This Row],[№ акта]],$AQ$1:$AT$594,4,FALSE())</f>
        <v>Агролидер (полив)</v>
      </c>
      <c r="AL420" s="230" t="n">
        <f aca="false">VLOOKUP(Таблица310[[#This Row],[№ акта]],$AQ$1:$AT$594,3,FALSE())</f>
        <v>1.7890408792599</v>
      </c>
      <c r="AM420" s="198" t="str">
        <f aca="false">IF(Таблица310[[#This Row],[Площадь уборки, га]]=Таблица310[[#This Row],[Площадь уборки до корр]],"нет","да")</f>
        <v>нет</v>
      </c>
      <c r="AN420" s="230" t="n">
        <f aca="false">Таблица310[[#This Row],[Площадь уборки до корр]]-Таблица310[[#This Row],[Площадь уборки, га]]</f>
        <v>0</v>
      </c>
      <c r="AQ420" s="0" t="s">
        <v>982</v>
      </c>
      <c r="AR420" s="0" t="n">
        <v>14</v>
      </c>
      <c r="AS420" s="0" t="n">
        <v>1.7890408792599</v>
      </c>
      <c r="AT420" s="0" t="s">
        <v>278</v>
      </c>
    </row>
    <row r="421" customFormat="false" ht="19.4" hidden="false" customHeight="false" outlineLevel="0" collapsed="false">
      <c r="A421" s="198"/>
      <c r="B421" s="223"/>
      <c r="C421" s="198" t="n">
        <f aca="false">VLOOKUP(Таблица310[[#This Row],[№ акта]],'Степень зрелости 2025'!$H$13:$I$453,2,FALSE())</f>
        <v>66</v>
      </c>
      <c r="D421" s="224" t="s">
        <v>983</v>
      </c>
      <c r="E421" s="225" t="n">
        <v>45829</v>
      </c>
      <c r="F421" s="223" t="n">
        <v>37180</v>
      </c>
      <c r="G421" s="223" t="n">
        <v>12730</v>
      </c>
      <c r="H421" s="226" t="n">
        <v>24450</v>
      </c>
      <c r="I421" s="223" t="n">
        <v>11266</v>
      </c>
      <c r="J421" s="198" t="s">
        <v>908</v>
      </c>
      <c r="K421" s="198" t="s">
        <v>904</v>
      </c>
      <c r="L421" s="198" t="n">
        <v>14</v>
      </c>
      <c r="M421" s="189" t="s">
        <v>439</v>
      </c>
      <c r="N421" s="198"/>
      <c r="O421" s="198"/>
      <c r="P421" s="198"/>
      <c r="Q421" s="198"/>
      <c r="R421" s="198" t="s">
        <v>443</v>
      </c>
      <c r="S421" s="198"/>
      <c r="T421" s="198" t="n">
        <v>14</v>
      </c>
      <c r="U421" s="195" t="str">
        <f aca="false">Таблица310[[#This Row],[Регистратор.Номенклатура]]</f>
        <v>Тристар</v>
      </c>
      <c r="V421" s="230" t="n">
        <f aca="false">36*Таблица310[[#This Row],[Регистратор.Вес нетто]]/252940</f>
        <v>1.81181307820036</v>
      </c>
      <c r="W421" s="198" t="s">
        <v>278</v>
      </c>
      <c r="X421" s="198" t="s">
        <v>315</v>
      </c>
      <c r="Y421" s="198" t="n">
        <v>6</v>
      </c>
      <c r="Z421" s="200" t="n">
        <v>45828</v>
      </c>
      <c r="AA421" s="198"/>
      <c r="AB421" s="198"/>
      <c r="AC421" s="198" t="s">
        <v>304</v>
      </c>
      <c r="AD421" s="198" t="s">
        <v>746</v>
      </c>
      <c r="AE421" s="198" t="s">
        <v>983</v>
      </c>
      <c r="AF421" s="200" t="n">
        <v>45829</v>
      </c>
      <c r="AG421" s="198" t="n">
        <v>54952</v>
      </c>
      <c r="AH421" s="198" t="n">
        <f aca="false">VLOOKUP(Таблица310[[#This Row],[№ акта]],'Степень зрелости 2025'!$H$13:$I$583,2,FALSE())</f>
        <v>66</v>
      </c>
      <c r="AI421" s="198" t="n">
        <f aca="false">VLOOKUP(Таблица310[[#This Row],[№ акта]],$AQ$1:$AT$594,2,FALSE())</f>
        <v>14</v>
      </c>
      <c r="AJ421" s="198" t="str">
        <f aca="false">Таблица310[[#This Row],[Регистратор.Номенклатура]]</f>
        <v>Тристар</v>
      </c>
      <c r="AK421" s="198" t="str">
        <f aca="false">VLOOKUP(Таблица310[[#This Row],[№ акта]],$AQ$1:$AT$594,4,FALSE())</f>
        <v>Агролидер (полив)</v>
      </c>
      <c r="AL421" s="230" t="n">
        <f aca="false">VLOOKUP(Таблица310[[#This Row],[№ акта]],$AQ$1:$AT$594,3,FALSE())</f>
        <v>1.81181307820036</v>
      </c>
      <c r="AM421" s="198" t="str">
        <f aca="false">IF(Таблица310[[#This Row],[Площадь уборки, га]]=Таблица310[[#This Row],[Площадь уборки до корр]],"нет","да")</f>
        <v>нет</v>
      </c>
      <c r="AN421" s="230" t="n">
        <f aca="false">Таблица310[[#This Row],[Площадь уборки до корр]]-Таблица310[[#This Row],[Площадь уборки, га]]</f>
        <v>0</v>
      </c>
      <c r="AQ421" s="0" t="s">
        <v>983</v>
      </c>
      <c r="AR421" s="0" t="n">
        <v>14</v>
      </c>
      <c r="AS421" s="0" t="n">
        <v>1.81181307820036</v>
      </c>
      <c r="AT421" s="0" t="s">
        <v>278</v>
      </c>
    </row>
    <row r="422" customFormat="false" ht="19.4" hidden="false" customHeight="false" outlineLevel="0" collapsed="false">
      <c r="A422" s="198"/>
      <c r="B422" s="223"/>
      <c r="C422" s="198" t="n">
        <v>62</v>
      </c>
      <c r="D422" s="224" t="s">
        <v>984</v>
      </c>
      <c r="E422" s="225" t="n">
        <v>45829</v>
      </c>
      <c r="F422" s="223" t="n">
        <v>31680</v>
      </c>
      <c r="G422" s="223" t="n">
        <v>12720</v>
      </c>
      <c r="H422" s="226" t="n">
        <v>18960</v>
      </c>
      <c r="I422" s="223" t="n">
        <v>11448</v>
      </c>
      <c r="J422" s="198" t="s">
        <v>908</v>
      </c>
      <c r="K422" s="198" t="s">
        <v>904</v>
      </c>
      <c r="L422" s="198" t="n">
        <v>14</v>
      </c>
      <c r="M422" s="189" t="s">
        <v>365</v>
      </c>
      <c r="N422" s="198"/>
      <c r="O422" s="198"/>
      <c r="P422" s="198"/>
      <c r="Q422" s="198"/>
      <c r="R422" s="198" t="s">
        <v>373</v>
      </c>
      <c r="S422" s="198"/>
      <c r="T422" s="198" t="n">
        <v>14</v>
      </c>
      <c r="U422" s="195" t="str">
        <f aca="false">Таблица310[[#This Row],[Регистратор.Номенклатура]]</f>
        <v>Тристар</v>
      </c>
      <c r="V422" s="230" t="n">
        <f aca="false">36*Таблица310[[#This Row],[Регистратор.Вес нетто]]/252940</f>
        <v>1.81038981576659</v>
      </c>
      <c r="W422" s="198" t="s">
        <v>278</v>
      </c>
      <c r="X422" s="198" t="s">
        <v>315</v>
      </c>
      <c r="Y422" s="198" t="n">
        <v>6</v>
      </c>
      <c r="Z422" s="200" t="n">
        <v>45828</v>
      </c>
      <c r="AA422" s="198"/>
      <c r="AB422" s="198"/>
      <c r="AC422" s="198" t="s">
        <v>304</v>
      </c>
      <c r="AD422" s="198" t="s">
        <v>417</v>
      </c>
      <c r="AE422" s="198" t="s">
        <v>984</v>
      </c>
      <c r="AF422" s="200" t="n">
        <v>45829</v>
      </c>
      <c r="AG422" s="198" t="n">
        <v>54952</v>
      </c>
      <c r="AH422" s="198" t="n">
        <f aca="false">VLOOKUP(Таблица310[[#This Row],[№ акта]],'Степень зрелости 2025'!$H$13:$I$583,2,FALSE())</f>
        <v>62</v>
      </c>
      <c r="AI422" s="198" t="n">
        <f aca="false">VLOOKUP(Таблица310[[#This Row],[№ акта]],$AQ$1:$AT$594,2,FALSE())</f>
        <v>14</v>
      </c>
      <c r="AJ422" s="198" t="str">
        <f aca="false">Таблица310[[#This Row],[Регистратор.Номенклатура]]</f>
        <v>Тристар</v>
      </c>
      <c r="AK422" s="198" t="str">
        <f aca="false">VLOOKUP(Таблица310[[#This Row],[№ акта]],$AQ$1:$AT$594,4,FALSE())</f>
        <v>Агролидер (полив)</v>
      </c>
      <c r="AL422" s="230" t="n">
        <f aca="false">VLOOKUP(Таблица310[[#This Row],[№ акта]],$AQ$1:$AT$594,3,FALSE())</f>
        <v>1.81038981576659</v>
      </c>
      <c r="AM422" s="198" t="str">
        <f aca="false">IF(Таблица310[[#This Row],[Площадь уборки, га]]=Таблица310[[#This Row],[Площадь уборки до корр]],"нет","да")</f>
        <v>нет</v>
      </c>
      <c r="AN422" s="230" t="n">
        <f aca="false">Таблица310[[#This Row],[Площадь уборки до корр]]-Таблица310[[#This Row],[Площадь уборки, га]]</f>
        <v>0</v>
      </c>
      <c r="AQ422" s="0" t="s">
        <v>984</v>
      </c>
      <c r="AR422" s="0" t="n">
        <v>14</v>
      </c>
      <c r="AS422" s="0" t="n">
        <v>1.81038981576659</v>
      </c>
      <c r="AT422" s="0" t="s">
        <v>278</v>
      </c>
    </row>
    <row r="423" customFormat="false" ht="19.4" hidden="false" customHeight="false" outlineLevel="0" collapsed="false">
      <c r="A423" s="198"/>
      <c r="B423" s="223"/>
      <c r="C423" s="198" t="n">
        <f aca="false">VLOOKUP(Таблица310[[#This Row],[№ акта]],'Степень зрелости 2025'!$H$13:$I$453,2,FALSE())</f>
        <v>64</v>
      </c>
      <c r="D423" s="224" t="s">
        <v>985</v>
      </c>
      <c r="E423" s="225" t="n">
        <v>45829</v>
      </c>
      <c r="F423" s="223" t="n">
        <v>28170</v>
      </c>
      <c r="G423" s="223" t="n">
        <v>12690</v>
      </c>
      <c r="H423" s="226" t="n">
        <v>15480</v>
      </c>
      <c r="I423" s="223" t="n">
        <v>11611.3</v>
      </c>
      <c r="J423" s="198" t="s">
        <v>908</v>
      </c>
      <c r="K423" s="198" t="s">
        <v>904</v>
      </c>
      <c r="L423" s="198" t="n">
        <v>14</v>
      </c>
      <c r="M423" s="189" t="s">
        <v>386</v>
      </c>
      <c r="N423" s="198"/>
      <c r="O423" s="198"/>
      <c r="P423" s="198"/>
      <c r="Q423" s="198"/>
      <c r="R423" s="198" t="s">
        <v>387</v>
      </c>
      <c r="S423" s="198"/>
      <c r="T423" s="198" t="n">
        <v>14</v>
      </c>
      <c r="U423" s="195" t="str">
        <f aca="false">Таблица310[[#This Row],[Регистратор.Номенклатура]]</f>
        <v>Тристар</v>
      </c>
      <c r="V423" s="230" t="n">
        <f aca="false">36*Таблица310[[#This Row],[Регистратор.Вес нетто]]/252940</f>
        <v>1.80612002846525</v>
      </c>
      <c r="W423" s="198" t="s">
        <v>278</v>
      </c>
      <c r="X423" s="198" t="s">
        <v>315</v>
      </c>
      <c r="Y423" s="198" t="n">
        <v>6</v>
      </c>
      <c r="Z423" s="200" t="n">
        <v>45828</v>
      </c>
      <c r="AA423" s="198"/>
      <c r="AB423" s="198"/>
      <c r="AC423" s="198" t="s">
        <v>304</v>
      </c>
      <c r="AD423" s="198" t="s">
        <v>746</v>
      </c>
      <c r="AE423" s="198" t="s">
        <v>985</v>
      </c>
      <c r="AF423" s="200" t="n">
        <v>45829</v>
      </c>
      <c r="AG423" s="198" t="n">
        <v>54953</v>
      </c>
      <c r="AH423" s="198" t="n">
        <f aca="false">VLOOKUP(Таблица310[[#This Row],[№ акта]],'Степень зрелости 2025'!$H$13:$I$583,2,FALSE())</f>
        <v>64</v>
      </c>
      <c r="AI423" s="198" t="n">
        <f aca="false">VLOOKUP(Таблица310[[#This Row],[№ акта]],$AQ$1:$AT$594,2,FALSE())</f>
        <v>14</v>
      </c>
      <c r="AJ423" s="198" t="str">
        <f aca="false">Таблица310[[#This Row],[Регистратор.Номенклатура]]</f>
        <v>Тристар</v>
      </c>
      <c r="AK423" s="198" t="str">
        <f aca="false">VLOOKUP(Таблица310[[#This Row],[№ акта]],$AQ$1:$AT$594,4,FALSE())</f>
        <v>Агролидер (полив)</v>
      </c>
      <c r="AL423" s="230" t="n">
        <f aca="false">VLOOKUP(Таблица310[[#This Row],[№ акта]],$AQ$1:$AT$594,3,FALSE())</f>
        <v>1.80612002846525</v>
      </c>
      <c r="AM423" s="198" t="str">
        <f aca="false">IF(Таблица310[[#This Row],[Площадь уборки, га]]=Таблица310[[#This Row],[Площадь уборки до корр]],"нет","да")</f>
        <v>нет</v>
      </c>
      <c r="AN423" s="230" t="n">
        <f aca="false">Таблица310[[#This Row],[Площадь уборки до корр]]-Таблица310[[#This Row],[Площадь уборки, га]]</f>
        <v>0</v>
      </c>
      <c r="AQ423" s="0" t="s">
        <v>985</v>
      </c>
      <c r="AR423" s="0" t="n">
        <v>14</v>
      </c>
      <c r="AS423" s="0" t="n">
        <v>1.80612002846525</v>
      </c>
      <c r="AT423" s="0" t="s">
        <v>278</v>
      </c>
    </row>
    <row r="424" customFormat="false" ht="28.35" hidden="false" customHeight="false" outlineLevel="0" collapsed="false">
      <c r="A424" s="198"/>
      <c r="B424" s="223"/>
      <c r="C424" s="198" t="n">
        <f aca="false">VLOOKUP(Таблица310[[#This Row],[№ акта]],'Степень зрелости 2025'!$H$13:$I$453,2,FALSE())</f>
        <v>66</v>
      </c>
      <c r="D424" s="224" t="s">
        <v>986</v>
      </c>
      <c r="E424" s="225" t="n">
        <v>45829</v>
      </c>
      <c r="F424" s="223" t="n">
        <v>27490</v>
      </c>
      <c r="G424" s="223" t="n">
        <v>12750</v>
      </c>
      <c r="H424" s="226" t="n">
        <v>14740</v>
      </c>
      <c r="I424" s="223" t="n">
        <v>11666.2</v>
      </c>
      <c r="J424" s="198" t="s">
        <v>908</v>
      </c>
      <c r="K424" s="198" t="s">
        <v>904</v>
      </c>
      <c r="L424" s="198" t="n">
        <v>14</v>
      </c>
      <c r="M424" s="189" t="s">
        <v>363</v>
      </c>
      <c r="N424" s="198"/>
      <c r="O424" s="198"/>
      <c r="P424" s="198"/>
      <c r="Q424" s="198"/>
      <c r="R424" s="198" t="s">
        <v>364</v>
      </c>
      <c r="S424" s="198"/>
      <c r="T424" s="198" t="n">
        <v>14</v>
      </c>
      <c r="U424" s="195" t="str">
        <f aca="false">Таблица310[[#This Row],[Регистратор.Номенклатура]]</f>
        <v>Тристар</v>
      </c>
      <c r="V424" s="230" t="n">
        <f aca="false">36*Таблица310[[#This Row],[Регистратор.Вес нетто]]/252940</f>
        <v>1.81465960306792</v>
      </c>
      <c r="W424" s="198" t="s">
        <v>278</v>
      </c>
      <c r="X424" s="198" t="s">
        <v>315</v>
      </c>
      <c r="Y424" s="198" t="n">
        <v>6</v>
      </c>
      <c r="Z424" s="200" t="n">
        <v>45828</v>
      </c>
      <c r="AA424" s="198"/>
      <c r="AB424" s="198"/>
      <c r="AC424" s="198" t="s">
        <v>304</v>
      </c>
      <c r="AD424" s="198" t="s">
        <v>746</v>
      </c>
      <c r="AE424" s="198" t="s">
        <v>986</v>
      </c>
      <c r="AF424" s="200" t="n">
        <v>45829</v>
      </c>
      <c r="AG424" s="198" t="n">
        <v>54953</v>
      </c>
      <c r="AH424" s="198" t="n">
        <f aca="false">VLOOKUP(Таблица310[[#This Row],[№ акта]],'Степень зрелости 2025'!$H$13:$I$583,2,FALSE())</f>
        <v>66</v>
      </c>
      <c r="AI424" s="198" t="n">
        <f aca="false">VLOOKUP(Таблица310[[#This Row],[№ акта]],$AQ$1:$AT$594,2,FALSE())</f>
        <v>14</v>
      </c>
      <c r="AJ424" s="198" t="str">
        <f aca="false">Таблица310[[#This Row],[Регистратор.Номенклатура]]</f>
        <v>Тристар</v>
      </c>
      <c r="AK424" s="198" t="str">
        <f aca="false">VLOOKUP(Таблица310[[#This Row],[№ акта]],$AQ$1:$AT$594,4,FALSE())</f>
        <v>Агролидер (полив)</v>
      </c>
      <c r="AL424" s="230" t="n">
        <f aca="false">VLOOKUP(Таблица310[[#This Row],[№ акта]],$AQ$1:$AT$594,3,FALSE())</f>
        <v>1.81465960306792</v>
      </c>
      <c r="AM424" s="198" t="str">
        <f aca="false">IF(Таблица310[[#This Row],[Площадь уборки, га]]=Таблица310[[#This Row],[Площадь уборки до корр]],"нет","да")</f>
        <v>нет</v>
      </c>
      <c r="AN424" s="230" t="n">
        <f aca="false">Таблица310[[#This Row],[Площадь уборки до корр]]-Таблица310[[#This Row],[Площадь уборки, га]]</f>
        <v>0</v>
      </c>
      <c r="AQ424" s="0" t="s">
        <v>986</v>
      </c>
      <c r="AR424" s="0" t="n">
        <v>14</v>
      </c>
      <c r="AS424" s="0" t="n">
        <v>1.81465960306792</v>
      </c>
      <c r="AT424" s="0" t="s">
        <v>278</v>
      </c>
    </row>
    <row r="425" customFormat="false" ht="28.35" hidden="false" customHeight="false" outlineLevel="0" collapsed="false">
      <c r="A425" s="198"/>
      <c r="B425" s="223"/>
      <c r="C425" s="198" t="n">
        <f aca="false">VLOOKUP(Таблица310[[#This Row],[№ акта]],'Степень зрелости 2025'!$H$13:$I$453,2,FALSE())</f>
        <v>65</v>
      </c>
      <c r="D425" s="224" t="s">
        <v>987</v>
      </c>
      <c r="E425" s="225" t="n">
        <v>45829</v>
      </c>
      <c r="F425" s="223" t="n">
        <v>28790</v>
      </c>
      <c r="G425" s="223" t="n">
        <v>12970</v>
      </c>
      <c r="H425" s="226" t="n">
        <v>15820</v>
      </c>
      <c r="I425" s="223" t="n">
        <v>11608.1</v>
      </c>
      <c r="J425" s="198" t="s">
        <v>908</v>
      </c>
      <c r="K425" s="198" t="s">
        <v>904</v>
      </c>
      <c r="L425" s="198" t="n">
        <v>14</v>
      </c>
      <c r="M425" s="189" t="s">
        <v>519</v>
      </c>
      <c r="N425" s="198"/>
      <c r="O425" s="198"/>
      <c r="P425" s="198"/>
      <c r="Q425" s="198"/>
      <c r="R425" s="198" t="s">
        <v>523</v>
      </c>
      <c r="S425" s="198"/>
      <c r="T425" s="198" t="n">
        <v>14</v>
      </c>
      <c r="U425" s="195" t="str">
        <f aca="false">Таблица310[[#This Row],[Регистратор.Номенклатура]]</f>
        <v>Тристар</v>
      </c>
      <c r="V425" s="230" t="n">
        <f aca="false">36*Таблица310[[#This Row],[Регистратор.Вес нетто]]/252940</f>
        <v>1.84597137661105</v>
      </c>
      <c r="W425" s="198" t="s">
        <v>278</v>
      </c>
      <c r="X425" s="198" t="s">
        <v>315</v>
      </c>
      <c r="Y425" s="198" t="n">
        <v>6</v>
      </c>
      <c r="Z425" s="200" t="n">
        <v>45828</v>
      </c>
      <c r="AA425" s="198"/>
      <c r="AB425" s="198"/>
      <c r="AC425" s="198" t="s">
        <v>304</v>
      </c>
      <c r="AD425" s="198" t="s">
        <v>746</v>
      </c>
      <c r="AE425" s="198" t="s">
        <v>987</v>
      </c>
      <c r="AF425" s="200" t="n">
        <v>45829</v>
      </c>
      <c r="AG425" s="198" t="n">
        <v>54953</v>
      </c>
      <c r="AH425" s="198" t="n">
        <f aca="false">VLOOKUP(Таблица310[[#This Row],[№ акта]],'Степень зрелости 2025'!$H$13:$I$583,2,FALSE())</f>
        <v>65</v>
      </c>
      <c r="AI425" s="198" t="n">
        <f aca="false">VLOOKUP(Таблица310[[#This Row],[№ акта]],$AQ$1:$AT$594,2,FALSE())</f>
        <v>14</v>
      </c>
      <c r="AJ425" s="198" t="str">
        <f aca="false">Таблица310[[#This Row],[Регистратор.Номенклатура]]</f>
        <v>Тристар</v>
      </c>
      <c r="AK425" s="198" t="str">
        <f aca="false">VLOOKUP(Таблица310[[#This Row],[№ акта]],$AQ$1:$AT$594,4,FALSE())</f>
        <v>Агролидер (полив)</v>
      </c>
      <c r="AL425" s="230" t="n">
        <f aca="false">VLOOKUP(Таблица310[[#This Row],[№ акта]],$AQ$1:$AT$594,3,FALSE())</f>
        <v>1.84597137661105</v>
      </c>
      <c r="AM425" s="198" t="str">
        <f aca="false">IF(Таблица310[[#This Row],[Площадь уборки, га]]=Таблица310[[#This Row],[Площадь уборки до корр]],"нет","да")</f>
        <v>нет</v>
      </c>
      <c r="AN425" s="230" t="n">
        <f aca="false">Таблица310[[#This Row],[Площадь уборки до корр]]-Таблица310[[#This Row],[Площадь уборки, га]]</f>
        <v>0</v>
      </c>
      <c r="AQ425" s="0" t="s">
        <v>987</v>
      </c>
      <c r="AR425" s="0" t="n">
        <v>14</v>
      </c>
      <c r="AS425" s="0" t="n">
        <v>1.84597137661105</v>
      </c>
      <c r="AT425" s="0" t="s">
        <v>278</v>
      </c>
    </row>
    <row r="426" customFormat="false" ht="28.35" hidden="false" customHeight="false" outlineLevel="0" collapsed="false">
      <c r="A426" s="198"/>
      <c r="B426" s="223"/>
      <c r="C426" s="198" t="n">
        <f aca="false">VLOOKUP(Таблица310[[#This Row],[№ акта]],'Степень зрелости 2025'!$H$13:$I$453,2,FALSE())</f>
        <v>70</v>
      </c>
      <c r="D426" s="224" t="s">
        <v>988</v>
      </c>
      <c r="E426" s="225" t="n">
        <v>45829</v>
      </c>
      <c r="F426" s="223" t="n">
        <v>28030</v>
      </c>
      <c r="G426" s="223" t="n">
        <v>12830</v>
      </c>
      <c r="H426" s="226" t="n">
        <v>15200</v>
      </c>
      <c r="I426" s="223" t="n">
        <v>12124.3</v>
      </c>
      <c r="J426" s="198" t="s">
        <v>908</v>
      </c>
      <c r="K426" s="198" t="s">
        <v>904</v>
      </c>
      <c r="L426" s="198" t="n">
        <v>14</v>
      </c>
      <c r="M426" s="189" t="s">
        <v>371</v>
      </c>
      <c r="N426" s="198"/>
      <c r="O426" s="198"/>
      <c r="P426" s="198"/>
      <c r="Q426" s="198"/>
      <c r="R426" s="198" t="s">
        <v>372</v>
      </c>
      <c r="S426" s="198"/>
      <c r="T426" s="198" t="n">
        <v>14</v>
      </c>
      <c r="U426" s="195" t="str">
        <f aca="false">Таблица310[[#This Row],[Регистратор.Номенклатура]]</f>
        <v>Тристар</v>
      </c>
      <c r="V426" s="230" t="n">
        <f aca="false">8*Таблица310[[#This Row],[Регистратор.Вес нетто]]/71720</f>
        <v>1.43112102621305</v>
      </c>
      <c r="W426" s="198" t="s">
        <v>278</v>
      </c>
      <c r="X426" s="198" t="s">
        <v>315</v>
      </c>
      <c r="Y426" s="198" t="n">
        <v>7</v>
      </c>
      <c r="Z426" s="200" t="n">
        <v>45829</v>
      </c>
      <c r="AA426" s="198"/>
      <c r="AB426" s="198"/>
      <c r="AC426" s="198" t="s">
        <v>305</v>
      </c>
      <c r="AD426" s="198" t="s">
        <v>746</v>
      </c>
      <c r="AE426" s="198" t="s">
        <v>988</v>
      </c>
      <c r="AF426" s="200" t="n">
        <v>45829</v>
      </c>
      <c r="AG426" s="198" t="n">
        <v>54954</v>
      </c>
      <c r="AH426" s="198" t="n">
        <f aca="false">VLOOKUP(Таблица310[[#This Row],[№ акта]],'Степень зрелости 2025'!$H$13:$I$583,2,FALSE())</f>
        <v>70</v>
      </c>
      <c r="AI426" s="198" t="n">
        <f aca="false">VLOOKUP(Таблица310[[#This Row],[№ акта]],$AQ$1:$AT$594,2,FALSE())</f>
        <v>14</v>
      </c>
      <c r="AJ426" s="198" t="str">
        <f aca="false">Таблица310[[#This Row],[Регистратор.Номенклатура]]</f>
        <v>Тристар</v>
      </c>
      <c r="AK426" s="198" t="str">
        <f aca="false">VLOOKUP(Таблица310[[#This Row],[№ акта]],$AQ$1:$AT$594,4,FALSE())</f>
        <v>Агролидер (полив)</v>
      </c>
      <c r="AL426" s="230" t="n">
        <f aca="false">VLOOKUP(Таблица310[[#This Row],[№ акта]],$AQ$1:$AT$594,3,FALSE())</f>
        <v>1.43112102621305</v>
      </c>
      <c r="AM426" s="198" t="str">
        <f aca="false">IF(Таблица310[[#This Row],[Площадь уборки, га]]=Таблица310[[#This Row],[Площадь уборки до корр]],"нет","да")</f>
        <v>нет</v>
      </c>
      <c r="AN426" s="230" t="n">
        <f aca="false">Таблица310[[#This Row],[Площадь уборки до корр]]-Таблица310[[#This Row],[Площадь уборки, га]]</f>
        <v>0</v>
      </c>
      <c r="AQ426" s="0" t="s">
        <v>988</v>
      </c>
      <c r="AR426" s="0" t="n">
        <v>14</v>
      </c>
      <c r="AS426" s="0" t="n">
        <v>1.43112102621305</v>
      </c>
      <c r="AT426" s="0" t="s">
        <v>278</v>
      </c>
    </row>
    <row r="427" customFormat="false" ht="19.4" hidden="false" customHeight="false" outlineLevel="0" collapsed="false">
      <c r="A427" s="198"/>
      <c r="B427" s="223"/>
      <c r="C427" s="198" t="n">
        <v>73</v>
      </c>
      <c r="D427" s="224" t="s">
        <v>989</v>
      </c>
      <c r="E427" s="225" t="n">
        <v>45829</v>
      </c>
      <c r="F427" s="223" t="n">
        <v>36230</v>
      </c>
      <c r="G427" s="223" t="n">
        <v>14990</v>
      </c>
      <c r="H427" s="226" t="n">
        <v>21240</v>
      </c>
      <c r="I427" s="223" t="n">
        <v>13940.7</v>
      </c>
      <c r="J427" s="198" t="s">
        <v>908</v>
      </c>
      <c r="K427" s="198" t="s">
        <v>904</v>
      </c>
      <c r="L427" s="198" t="n">
        <v>14</v>
      </c>
      <c r="M427" s="189" t="s">
        <v>427</v>
      </c>
      <c r="N427" s="198"/>
      <c r="O427" s="198"/>
      <c r="P427" s="198"/>
      <c r="Q427" s="198"/>
      <c r="R427" s="198" t="s">
        <v>431</v>
      </c>
      <c r="S427" s="198"/>
      <c r="T427" s="198" t="n">
        <v>14</v>
      </c>
      <c r="U427" s="195" t="str">
        <f aca="false">Таблица310[[#This Row],[Регистратор.Номенклатура]]</f>
        <v>Тристар</v>
      </c>
      <c r="V427" s="230" t="n">
        <f aca="false">8*Таблица310[[#This Row],[Регистратор.Вес нетто]]/71720</f>
        <v>1.67205800334635</v>
      </c>
      <c r="W427" s="198" t="s">
        <v>278</v>
      </c>
      <c r="X427" s="198" t="s">
        <v>315</v>
      </c>
      <c r="Y427" s="198" t="n">
        <v>7</v>
      </c>
      <c r="Z427" s="200" t="n">
        <v>45829</v>
      </c>
      <c r="AA427" s="198"/>
      <c r="AB427" s="198"/>
      <c r="AC427" s="198" t="s">
        <v>305</v>
      </c>
      <c r="AD427" s="198" t="s">
        <v>886</v>
      </c>
      <c r="AE427" s="198" t="s">
        <v>989</v>
      </c>
      <c r="AF427" s="200" t="n">
        <v>45829</v>
      </c>
      <c r="AG427" s="198" t="n">
        <v>54955</v>
      </c>
      <c r="AH427" s="198" t="n">
        <f aca="false">VLOOKUP(Таблица310[[#This Row],[№ акта]],'Степень зрелости 2025'!$H$13:$I$583,2,FALSE())</f>
        <v>73</v>
      </c>
      <c r="AI427" s="198" t="n">
        <f aca="false">VLOOKUP(Таблица310[[#This Row],[№ акта]],$AQ$1:$AT$594,2,FALSE())</f>
        <v>14</v>
      </c>
      <c r="AJ427" s="198" t="str">
        <f aca="false">Таблица310[[#This Row],[Регистратор.Номенклатура]]</f>
        <v>Тристар</v>
      </c>
      <c r="AK427" s="198" t="str">
        <f aca="false">VLOOKUP(Таблица310[[#This Row],[№ акта]],$AQ$1:$AT$594,4,FALSE())</f>
        <v>Агролидер (полив)</v>
      </c>
      <c r="AL427" s="230" t="n">
        <f aca="false">VLOOKUP(Таблица310[[#This Row],[№ акта]],$AQ$1:$AT$594,3,FALSE())</f>
        <v>1.67205800334635</v>
      </c>
      <c r="AM427" s="198" t="str">
        <f aca="false">IF(Таблица310[[#This Row],[Площадь уборки, га]]=Таблица310[[#This Row],[Площадь уборки до корр]],"нет","да")</f>
        <v>нет</v>
      </c>
      <c r="AN427" s="230" t="n">
        <f aca="false">Таблица310[[#This Row],[Площадь уборки до корр]]-Таблица310[[#This Row],[Площадь уборки, га]]</f>
        <v>0</v>
      </c>
      <c r="AQ427" s="0" t="s">
        <v>989</v>
      </c>
      <c r="AR427" s="0" t="n">
        <v>14</v>
      </c>
      <c r="AS427" s="0" t="n">
        <v>1.67205800334635</v>
      </c>
      <c r="AT427" s="0" t="s">
        <v>278</v>
      </c>
    </row>
    <row r="428" customFormat="false" ht="19.4" hidden="false" customHeight="false" outlineLevel="0" collapsed="false">
      <c r="A428" s="198"/>
      <c r="B428" s="223"/>
      <c r="C428" s="198" t="n">
        <v>75</v>
      </c>
      <c r="D428" s="224" t="s">
        <v>990</v>
      </c>
      <c r="E428" s="225" t="n">
        <v>45829</v>
      </c>
      <c r="F428" s="223" t="n">
        <v>30090</v>
      </c>
      <c r="G428" s="223" t="n">
        <v>14990</v>
      </c>
      <c r="H428" s="226" t="n">
        <v>15100</v>
      </c>
      <c r="I428" s="223" t="n">
        <v>13865.7</v>
      </c>
      <c r="J428" s="198" t="s">
        <v>908</v>
      </c>
      <c r="K428" s="198" t="s">
        <v>904</v>
      </c>
      <c r="L428" s="198" t="n">
        <v>14</v>
      </c>
      <c r="M428" s="189" t="s">
        <v>457</v>
      </c>
      <c r="N428" s="198"/>
      <c r="O428" s="198"/>
      <c r="P428" s="198"/>
      <c r="Q428" s="198"/>
      <c r="R428" s="198" t="s">
        <v>366</v>
      </c>
      <c r="S428" s="198"/>
      <c r="T428" s="198" t="n">
        <v>14</v>
      </c>
      <c r="U428" s="195" t="str">
        <f aca="false">Таблица310[[#This Row],[Регистратор.Номенклатура]]</f>
        <v>Тристар</v>
      </c>
      <c r="V428" s="230" t="n">
        <f aca="false">8*Таблица310[[#This Row],[Регистратор.Вес нетто]]/71720</f>
        <v>1.67205800334635</v>
      </c>
      <c r="W428" s="198" t="s">
        <v>278</v>
      </c>
      <c r="X428" s="198" t="s">
        <v>315</v>
      </c>
      <c r="Y428" s="198" t="n">
        <v>7</v>
      </c>
      <c r="Z428" s="200" t="n">
        <v>45829</v>
      </c>
      <c r="AA428" s="198"/>
      <c r="AB428" s="198"/>
      <c r="AC428" s="198" t="s">
        <v>305</v>
      </c>
      <c r="AD428" s="198" t="s">
        <v>886</v>
      </c>
      <c r="AE428" s="198" t="s">
        <v>990</v>
      </c>
      <c r="AF428" s="200" t="n">
        <v>45829</v>
      </c>
      <c r="AG428" s="198" t="n">
        <v>54955</v>
      </c>
      <c r="AH428" s="198" t="n">
        <f aca="false">VLOOKUP(Таблица310[[#This Row],[№ акта]],'Степень зрелости 2025'!$H$13:$I$583,2,FALSE())</f>
        <v>75</v>
      </c>
      <c r="AI428" s="198" t="n">
        <f aca="false">VLOOKUP(Таблица310[[#This Row],[№ акта]],$AQ$1:$AT$594,2,FALSE())</f>
        <v>14</v>
      </c>
      <c r="AJ428" s="198" t="str">
        <f aca="false">Таблица310[[#This Row],[Регистратор.Номенклатура]]</f>
        <v>Тристар</v>
      </c>
      <c r="AK428" s="198" t="str">
        <f aca="false">VLOOKUP(Таблица310[[#This Row],[№ акта]],$AQ$1:$AT$594,4,FALSE())</f>
        <v>Агролидер (полив)</v>
      </c>
      <c r="AL428" s="230" t="n">
        <f aca="false">VLOOKUP(Таблица310[[#This Row],[№ акта]],$AQ$1:$AT$594,3,FALSE())</f>
        <v>1.67205800334635</v>
      </c>
      <c r="AM428" s="198" t="str">
        <f aca="false">IF(Таблица310[[#This Row],[Площадь уборки, га]]=Таблица310[[#This Row],[Площадь уборки до корр]],"нет","да")</f>
        <v>нет</v>
      </c>
      <c r="AN428" s="230" t="n">
        <f aca="false">Таблица310[[#This Row],[Площадь уборки до корр]]-Таблица310[[#This Row],[Площадь уборки, га]]</f>
        <v>0</v>
      </c>
      <c r="AQ428" s="0" t="s">
        <v>990</v>
      </c>
      <c r="AR428" s="0" t="n">
        <v>14</v>
      </c>
      <c r="AS428" s="0" t="n">
        <v>1.67205800334635</v>
      </c>
      <c r="AT428" s="0" t="s">
        <v>278</v>
      </c>
    </row>
    <row r="429" customFormat="false" ht="19.4" hidden="false" customHeight="false" outlineLevel="0" collapsed="false">
      <c r="A429" s="198"/>
      <c r="B429" s="223"/>
      <c r="C429" s="198" t="n">
        <f aca="false">VLOOKUP(Таблица310[[#This Row],[№ акта]],'Степень зрелости 2025'!$H$13:$I$453,2,FALSE())</f>
        <v>69</v>
      </c>
      <c r="D429" s="224" t="s">
        <v>991</v>
      </c>
      <c r="E429" s="225" t="n">
        <v>45829</v>
      </c>
      <c r="F429" s="223" t="n">
        <v>30360</v>
      </c>
      <c r="G429" s="223" t="n">
        <v>15300</v>
      </c>
      <c r="H429" s="226" t="n">
        <v>15060</v>
      </c>
      <c r="I429" s="223" t="n">
        <v>13999.5</v>
      </c>
      <c r="J429" s="198" t="s">
        <v>908</v>
      </c>
      <c r="K429" s="198" t="s">
        <v>904</v>
      </c>
      <c r="L429" s="198" t="n">
        <v>14</v>
      </c>
      <c r="M429" s="189" t="s">
        <v>433</v>
      </c>
      <c r="N429" s="198"/>
      <c r="O429" s="198"/>
      <c r="P429" s="198"/>
      <c r="Q429" s="198"/>
      <c r="R429" s="198" t="s">
        <v>437</v>
      </c>
      <c r="S429" s="198"/>
      <c r="T429" s="198" t="n">
        <v>14</v>
      </c>
      <c r="U429" s="195" t="str">
        <f aca="false">Таблица310[[#This Row],[Регистратор.Номенклатура]]</f>
        <v>Тристар</v>
      </c>
      <c r="V429" s="230" t="n">
        <f aca="false">8*Таблица310[[#This Row],[Регистратор.Вес нетто]]/71720</f>
        <v>1.70663692136085</v>
      </c>
      <c r="W429" s="198" t="s">
        <v>278</v>
      </c>
      <c r="X429" s="198" t="s">
        <v>315</v>
      </c>
      <c r="Y429" s="198" t="n">
        <v>7</v>
      </c>
      <c r="Z429" s="200" t="n">
        <v>45829</v>
      </c>
      <c r="AA429" s="198"/>
      <c r="AB429" s="198"/>
      <c r="AC429" s="198" t="s">
        <v>305</v>
      </c>
      <c r="AD429" s="198" t="s">
        <v>746</v>
      </c>
      <c r="AE429" s="198" t="s">
        <v>991</v>
      </c>
      <c r="AF429" s="200" t="n">
        <v>45829</v>
      </c>
      <c r="AG429" s="198" t="n">
        <v>54956</v>
      </c>
      <c r="AH429" s="198" t="n">
        <f aca="false">VLOOKUP(Таблица310[[#This Row],[№ акта]],'Степень зрелости 2025'!$H$13:$I$583,2,FALSE())</f>
        <v>69</v>
      </c>
      <c r="AI429" s="198" t="n">
        <f aca="false">VLOOKUP(Таблица310[[#This Row],[№ акта]],$AQ$1:$AT$594,2,FALSE())</f>
        <v>14</v>
      </c>
      <c r="AJ429" s="198" t="str">
        <f aca="false">Таблица310[[#This Row],[Регистратор.Номенклатура]]</f>
        <v>Тристар</v>
      </c>
      <c r="AK429" s="198" t="str">
        <f aca="false">VLOOKUP(Таблица310[[#This Row],[№ акта]],$AQ$1:$AT$594,4,FALSE())</f>
        <v>Агролидер (полив)</v>
      </c>
      <c r="AL429" s="230" t="n">
        <f aca="false">VLOOKUP(Таблица310[[#This Row],[№ акта]],$AQ$1:$AT$594,3,FALSE())</f>
        <v>1.70663692136085</v>
      </c>
      <c r="AM429" s="198" t="str">
        <f aca="false">IF(Таблица310[[#This Row],[Площадь уборки, га]]=Таблица310[[#This Row],[Площадь уборки до корр]],"нет","да")</f>
        <v>нет</v>
      </c>
      <c r="AN429" s="230" t="n">
        <f aca="false">Таблица310[[#This Row],[Площадь уборки до корр]]-Таблица310[[#This Row],[Площадь уборки, га]]</f>
        <v>0</v>
      </c>
      <c r="AQ429" s="0" t="s">
        <v>991</v>
      </c>
      <c r="AR429" s="0" t="n">
        <v>14</v>
      </c>
      <c r="AS429" s="0" t="n">
        <v>1.70663692136085</v>
      </c>
      <c r="AT429" s="0" t="s">
        <v>278</v>
      </c>
    </row>
    <row r="430" customFormat="false" ht="19.4" hidden="false" customHeight="false" outlineLevel="0" collapsed="false">
      <c r="A430" s="198"/>
      <c r="B430" s="223"/>
      <c r="C430" s="198" t="n">
        <v>72</v>
      </c>
      <c r="D430" s="224" t="s">
        <v>992</v>
      </c>
      <c r="E430" s="225" t="n">
        <v>45829</v>
      </c>
      <c r="F430" s="223" t="n">
        <v>37830</v>
      </c>
      <c r="G430" s="223" t="n">
        <v>13610</v>
      </c>
      <c r="H430" s="226" t="n">
        <v>24220</v>
      </c>
      <c r="I430" s="223" t="n">
        <v>12453.1</v>
      </c>
      <c r="J430" s="198" t="s">
        <v>908</v>
      </c>
      <c r="K430" s="198" t="s">
        <v>904</v>
      </c>
      <c r="L430" s="198" t="n">
        <v>14</v>
      </c>
      <c r="M430" s="189" t="s">
        <v>439</v>
      </c>
      <c r="N430" s="198"/>
      <c r="O430" s="198"/>
      <c r="P430" s="198"/>
      <c r="Q430" s="198"/>
      <c r="R430" s="198" t="s">
        <v>443</v>
      </c>
      <c r="S430" s="198"/>
      <c r="T430" s="198" t="n">
        <v>14</v>
      </c>
      <c r="U430" s="195" t="str">
        <f aca="false">Таблица310[[#This Row],[Регистратор.Номенклатура]]</f>
        <v>Тристар</v>
      </c>
      <c r="V430" s="230" t="n">
        <f aca="false">8*Таблица310[[#This Row],[Регистратор.Вес нетто]]/71720</f>
        <v>1.51812604573341</v>
      </c>
      <c r="W430" s="198" t="s">
        <v>278</v>
      </c>
      <c r="X430" s="198" t="s">
        <v>315</v>
      </c>
      <c r="Y430" s="198" t="n">
        <v>7</v>
      </c>
      <c r="Z430" s="200" t="n">
        <v>45829</v>
      </c>
      <c r="AA430" s="198"/>
      <c r="AB430" s="198"/>
      <c r="AC430" s="198" t="s">
        <v>305</v>
      </c>
      <c r="AD430" s="198" t="s">
        <v>886</v>
      </c>
      <c r="AE430" s="198" t="s">
        <v>992</v>
      </c>
      <c r="AF430" s="200" t="n">
        <v>45829</v>
      </c>
      <c r="AG430" s="198" t="n">
        <v>54955</v>
      </c>
      <c r="AH430" s="198" t="n">
        <f aca="false">VLOOKUP(Таблица310[[#This Row],[№ акта]],'Степень зрелости 2025'!$H$13:$I$583,2,FALSE())</f>
        <v>72</v>
      </c>
      <c r="AI430" s="198" t="n">
        <f aca="false">VLOOKUP(Таблица310[[#This Row],[№ акта]],$AQ$1:$AT$594,2,FALSE())</f>
        <v>14</v>
      </c>
      <c r="AJ430" s="198" t="str">
        <f aca="false">Таблица310[[#This Row],[Регистратор.Номенклатура]]</f>
        <v>Тристар</v>
      </c>
      <c r="AK430" s="198" t="str">
        <f aca="false">VLOOKUP(Таблица310[[#This Row],[№ акта]],$AQ$1:$AT$594,4,FALSE())</f>
        <v>Агролидер (полив)</v>
      </c>
      <c r="AL430" s="230" t="n">
        <f aca="false">VLOOKUP(Таблица310[[#This Row],[№ акта]],$AQ$1:$AT$594,3,FALSE())</f>
        <v>1.51812604573341</v>
      </c>
      <c r="AM430" s="198" t="str">
        <f aca="false">IF(Таблица310[[#This Row],[Площадь уборки, га]]=Таблица310[[#This Row],[Площадь уборки до корр]],"нет","да")</f>
        <v>нет</v>
      </c>
      <c r="AN430" s="230" t="n">
        <f aca="false">Таблица310[[#This Row],[Площадь уборки до корр]]-Таблица310[[#This Row],[Площадь уборки, га]]</f>
        <v>0</v>
      </c>
      <c r="AQ430" s="0" t="s">
        <v>992</v>
      </c>
      <c r="AR430" s="0" t="n">
        <v>14</v>
      </c>
      <c r="AS430" s="0" t="n">
        <v>1.51812604573341</v>
      </c>
      <c r="AT430" s="0" t="s">
        <v>278</v>
      </c>
    </row>
    <row r="431" customFormat="false" ht="28.35" hidden="false" customHeight="false" outlineLevel="0" collapsed="false">
      <c r="A431" s="198"/>
      <c r="B431" s="223"/>
      <c r="C431" s="198" t="n">
        <f aca="false">VLOOKUP(Таблица310[[#This Row],[№ акта]],'Степень зрелости 2025'!$H$13:$I$453,2,FALSE())</f>
        <v>52</v>
      </c>
      <c r="D431" s="224" t="s">
        <v>993</v>
      </c>
      <c r="E431" s="225" t="n">
        <v>45830</v>
      </c>
      <c r="F431" s="223" t="n">
        <v>29100</v>
      </c>
      <c r="G431" s="223" t="n">
        <v>13310</v>
      </c>
      <c r="H431" s="226" t="n">
        <v>15790</v>
      </c>
      <c r="I431" s="223" t="n">
        <v>10448.3</v>
      </c>
      <c r="J431" s="198" t="s">
        <v>994</v>
      </c>
      <c r="K431" s="198" t="s">
        <v>900</v>
      </c>
      <c r="L431" s="198" t="s">
        <v>995</v>
      </c>
      <c r="M431" s="189" t="s">
        <v>445</v>
      </c>
      <c r="N431" s="198"/>
      <c r="O431" s="198"/>
      <c r="P431" s="198"/>
      <c r="Q431" s="198"/>
      <c r="R431" s="198" t="s">
        <v>449</v>
      </c>
      <c r="S431" s="198"/>
      <c r="T431" s="198" t="s">
        <v>996</v>
      </c>
      <c r="U431" s="198" t="s">
        <v>997</v>
      </c>
      <c r="V431" s="230" t="n">
        <f aca="false">19*Таблица310[[#This Row],[Регистратор.Вес нетто]]/92070</f>
        <v>2.74671445639188</v>
      </c>
      <c r="W431" s="198" t="s">
        <v>279</v>
      </c>
      <c r="X431" s="198" t="s">
        <v>315</v>
      </c>
      <c r="Y431" s="198" t="n">
        <v>1</v>
      </c>
      <c r="Z431" s="200" t="n">
        <v>45829</v>
      </c>
      <c r="AA431" s="198"/>
      <c r="AB431" s="198" t="s">
        <v>998</v>
      </c>
      <c r="AC431" s="198" t="s">
        <v>53</v>
      </c>
      <c r="AD431" s="198" t="s">
        <v>417</v>
      </c>
      <c r="AE431" s="198" t="s">
        <v>993</v>
      </c>
      <c r="AF431" s="200" t="n">
        <v>45830</v>
      </c>
      <c r="AG431" s="198" t="n">
        <v>1</v>
      </c>
      <c r="AH431" s="198" t="n">
        <f aca="false">VLOOKUP(Таблица310[[#This Row],[№ акта]],'Степень зрелости 2025'!$H$13:$I$583,2,FALSE())</f>
        <v>52</v>
      </c>
      <c r="AI431" s="198" t="str">
        <f aca="false">VLOOKUP(Таблица310[[#This Row],[№ акта]],$AQ$1:$AT$594,2,FALSE())</f>
        <v>4.1</v>
      </c>
      <c r="AJ431" s="198" t="str">
        <f aca="false">Таблица310[[#This Row],[Регистратор.Номенклатура]]</f>
        <v>Фаворит</v>
      </c>
      <c r="AK431" s="198" t="str">
        <f aca="false">VLOOKUP(Таблица310[[#This Row],[№ акта]],$AQ$1:$AT$594,4,FALSE())</f>
        <v>Колос (полив)</v>
      </c>
      <c r="AL431" s="230" t="n">
        <f aca="false">VLOOKUP(Таблица310[[#This Row],[№ акта]],$AQ$1:$AT$594,3,FALSE())</f>
        <v>3.09654905001939</v>
      </c>
      <c r="AM431" s="198" t="str">
        <f aca="false">IF(Таблица310[[#This Row],[Площадь уборки, га]]=Таблица310[[#This Row],[Площадь уборки до корр]],"нет","да")</f>
        <v>да</v>
      </c>
      <c r="AN431" s="230" t="n">
        <f aca="false">Таблица310[[#This Row],[Площадь уборки до корр]]-Таблица310[[#This Row],[Площадь уборки, га]]</f>
        <v>0.349834593627512</v>
      </c>
      <c r="AQ431" s="0" t="s">
        <v>993</v>
      </c>
      <c r="AR431" s="0" t="s">
        <v>995</v>
      </c>
      <c r="AS431" s="0" t="n">
        <v>3.09654905001939</v>
      </c>
      <c r="AT431" s="0" t="s">
        <v>279</v>
      </c>
    </row>
    <row r="432" customFormat="false" ht="28.35" hidden="false" customHeight="false" outlineLevel="0" collapsed="false">
      <c r="A432" s="198"/>
      <c r="B432" s="223"/>
      <c r="C432" s="198" t="n">
        <f aca="false">VLOOKUP(Таблица310[[#This Row],[№ акта]],'Степень зрелости 2025'!$H$13:$I$453,2,FALSE())</f>
        <v>43</v>
      </c>
      <c r="D432" s="224" t="s">
        <v>999</v>
      </c>
      <c r="E432" s="225" t="n">
        <v>45830</v>
      </c>
      <c r="F432" s="223" t="n">
        <v>27970</v>
      </c>
      <c r="G432" s="223" t="n">
        <v>13020</v>
      </c>
      <c r="H432" s="226" t="n">
        <v>14950</v>
      </c>
      <c r="I432" s="223" t="n">
        <v>10481.1</v>
      </c>
      <c r="J432" s="198" t="s">
        <v>994</v>
      </c>
      <c r="K432" s="198" t="s">
        <v>900</v>
      </c>
      <c r="L432" s="198" t="s">
        <v>995</v>
      </c>
      <c r="M432" s="189" t="s">
        <v>553</v>
      </c>
      <c r="N432" s="198"/>
      <c r="O432" s="198"/>
      <c r="P432" s="198"/>
      <c r="Q432" s="198"/>
      <c r="R432" s="198" t="s">
        <v>557</v>
      </c>
      <c r="S432" s="198"/>
      <c r="T432" s="198" t="s">
        <v>996</v>
      </c>
      <c r="U432" s="198" t="s">
        <v>997</v>
      </c>
      <c r="V432" s="230" t="n">
        <f aca="false">19*Таблица310[[#This Row],[Регистратор.Вес нетто]]/92070</f>
        <v>2.68686868686869</v>
      </c>
      <c r="W432" s="198" t="s">
        <v>279</v>
      </c>
      <c r="X432" s="198" t="s">
        <v>315</v>
      </c>
      <c r="Y432" s="198" t="n">
        <v>1</v>
      </c>
      <c r="Z432" s="200" t="n">
        <v>45829</v>
      </c>
      <c r="AA432" s="198"/>
      <c r="AB432" s="198" t="s">
        <v>998</v>
      </c>
      <c r="AC432" s="198" t="s">
        <v>53</v>
      </c>
      <c r="AD432" s="198" t="s">
        <v>417</v>
      </c>
      <c r="AE432" s="198" t="s">
        <v>999</v>
      </c>
      <c r="AF432" s="200" t="n">
        <v>45830</v>
      </c>
      <c r="AG432" s="198" t="n">
        <v>3</v>
      </c>
      <c r="AH432" s="198" t="n">
        <f aca="false">VLOOKUP(Таблица310[[#This Row],[№ акта]],'Степень зрелости 2025'!$H$13:$I$583,2,FALSE())</f>
        <v>43</v>
      </c>
      <c r="AI432" s="198" t="str">
        <f aca="false">VLOOKUP(Таблица310[[#This Row],[№ акта]],$AQ$1:$AT$594,2,FALSE())</f>
        <v>4.1</v>
      </c>
      <c r="AJ432" s="198" t="str">
        <f aca="false">Таблица310[[#This Row],[Регистратор.Номенклатура]]</f>
        <v>Фаворит</v>
      </c>
      <c r="AK432" s="198" t="str">
        <f aca="false">VLOOKUP(Таблица310[[#This Row],[№ акта]],$AQ$1:$AT$594,4,FALSE())</f>
        <v>Колос (полив)</v>
      </c>
      <c r="AL432" s="230" t="n">
        <f aca="false">VLOOKUP(Таблица310[[#This Row],[№ акта]],$AQ$1:$AT$594,3,FALSE())</f>
        <v>3.02908103916247</v>
      </c>
      <c r="AM432" s="198" t="str">
        <f aca="false">IF(Таблица310[[#This Row],[Площадь уборки, га]]=Таблица310[[#This Row],[Площадь уборки до корр]],"нет","да")</f>
        <v>да</v>
      </c>
      <c r="AN432" s="230" t="n">
        <f aca="false">Таблица310[[#This Row],[Площадь уборки до корр]]-Таблица310[[#This Row],[Площадь уборки, га]]</f>
        <v>0.342212352293779</v>
      </c>
      <c r="AQ432" s="0" t="s">
        <v>999</v>
      </c>
      <c r="AR432" s="0" t="s">
        <v>995</v>
      </c>
      <c r="AS432" s="0" t="n">
        <v>3.02908103916247</v>
      </c>
      <c r="AT432" s="0" t="s">
        <v>279</v>
      </c>
    </row>
    <row r="433" customFormat="false" ht="28.35" hidden="false" customHeight="false" outlineLevel="0" collapsed="false">
      <c r="A433" s="198"/>
      <c r="B433" s="223"/>
      <c r="C433" s="198" t="n">
        <f aca="false">VLOOKUP(Таблица310[[#This Row],[№ акта]],'Степень зрелости 2025'!$H$13:$I$453,2,FALSE())</f>
        <v>43</v>
      </c>
      <c r="D433" s="224" t="s">
        <v>1000</v>
      </c>
      <c r="E433" s="225" t="n">
        <v>45830</v>
      </c>
      <c r="F433" s="223" t="n">
        <v>27740</v>
      </c>
      <c r="G433" s="223" t="n">
        <v>12600</v>
      </c>
      <c r="H433" s="226" t="n">
        <v>15140</v>
      </c>
      <c r="I433" s="223" t="n">
        <v>9576</v>
      </c>
      <c r="J433" s="198" t="s">
        <v>994</v>
      </c>
      <c r="K433" s="198" t="s">
        <v>900</v>
      </c>
      <c r="L433" s="198" t="s">
        <v>995</v>
      </c>
      <c r="M433" s="189" t="s">
        <v>451</v>
      </c>
      <c r="N433" s="198"/>
      <c r="O433" s="198"/>
      <c r="P433" s="198"/>
      <c r="Q433" s="198"/>
      <c r="R433" s="198" t="s">
        <v>455</v>
      </c>
      <c r="S433" s="198"/>
      <c r="T433" s="198" t="s">
        <v>996</v>
      </c>
      <c r="U433" s="198" t="s">
        <v>997</v>
      </c>
      <c r="V433" s="230" t="n">
        <f aca="false">19*Таблица310[[#This Row],[Регистратор.Вес нетто]]/92070</f>
        <v>2.60019550342131</v>
      </c>
      <c r="W433" s="198" t="s">
        <v>279</v>
      </c>
      <c r="X433" s="198" t="s">
        <v>315</v>
      </c>
      <c r="Y433" s="198" t="n">
        <v>1</v>
      </c>
      <c r="Z433" s="200" t="n">
        <v>45829</v>
      </c>
      <c r="AA433" s="198"/>
      <c r="AB433" s="198" t="s">
        <v>998</v>
      </c>
      <c r="AC433" s="198" t="s">
        <v>53</v>
      </c>
      <c r="AD433" s="198" t="s">
        <v>417</v>
      </c>
      <c r="AE433" s="198" t="s">
        <v>1000</v>
      </c>
      <c r="AF433" s="200" t="n">
        <v>45830</v>
      </c>
      <c r="AG433" s="198" t="n">
        <v>2</v>
      </c>
      <c r="AH433" s="198" t="n">
        <f aca="false">VLOOKUP(Таблица310[[#This Row],[№ акта]],'Степень зрелости 2025'!$H$13:$I$583,2,FALSE())</f>
        <v>43</v>
      </c>
      <c r="AI433" s="198" t="str">
        <f aca="false">VLOOKUP(Таблица310[[#This Row],[№ акта]],$AQ$1:$AT$594,2,FALSE())</f>
        <v>4.1</v>
      </c>
      <c r="AJ433" s="198" t="str">
        <f aca="false">Таблица310[[#This Row],[Регистратор.Номенклатура]]</f>
        <v>Фаворит</v>
      </c>
      <c r="AK433" s="198" t="str">
        <f aca="false">VLOOKUP(Таблица310[[#This Row],[№ акта]],$AQ$1:$AT$594,4,FALSE())</f>
        <v>Колос (полив)</v>
      </c>
      <c r="AL433" s="230" t="n">
        <f aca="false">VLOOKUP(Таблица310[[#This Row],[№ акта]],$AQ$1:$AT$594,3,FALSE())</f>
        <v>2.93136874757658</v>
      </c>
      <c r="AM433" s="198" t="str">
        <f aca="false">IF(Таблица310[[#This Row],[Площадь уборки, га]]=Таблица310[[#This Row],[Площадь уборки до корр]],"нет","да")</f>
        <v>да</v>
      </c>
      <c r="AN433" s="230" t="n">
        <f aca="false">Таблица310[[#This Row],[Площадь уборки до корр]]-Таблица310[[#This Row],[Площадь уборки, га]]</f>
        <v>0.33117324415527</v>
      </c>
      <c r="AQ433" s="0" t="s">
        <v>1000</v>
      </c>
      <c r="AR433" s="0" t="s">
        <v>995</v>
      </c>
      <c r="AS433" s="0" t="n">
        <v>2.93136874757658</v>
      </c>
      <c r="AT433" s="0" t="s">
        <v>279</v>
      </c>
    </row>
    <row r="434" customFormat="false" ht="28.35" hidden="false" customHeight="false" outlineLevel="0" collapsed="false">
      <c r="A434" s="198"/>
      <c r="B434" s="223"/>
      <c r="C434" s="198" t="n">
        <f aca="false">VLOOKUP(Таблица310[[#This Row],[№ акта]],'Степень зрелости 2025'!$H$13:$I$453,2,FALSE())</f>
        <v>43</v>
      </c>
      <c r="D434" s="224" t="s">
        <v>1001</v>
      </c>
      <c r="E434" s="225" t="n">
        <v>45830</v>
      </c>
      <c r="F434" s="223" t="n">
        <v>27470</v>
      </c>
      <c r="G434" s="223" t="n">
        <v>12650</v>
      </c>
      <c r="H434" s="226" t="n">
        <v>14820</v>
      </c>
      <c r="I434" s="223" t="n">
        <v>10815.7</v>
      </c>
      <c r="J434" s="198" t="s">
        <v>994</v>
      </c>
      <c r="K434" s="198" t="s">
        <v>900</v>
      </c>
      <c r="L434" s="198" t="s">
        <v>995</v>
      </c>
      <c r="M434" s="189" t="s">
        <v>547</v>
      </c>
      <c r="N434" s="198"/>
      <c r="O434" s="198"/>
      <c r="P434" s="198"/>
      <c r="Q434" s="198"/>
      <c r="R434" s="198" t="s">
        <v>551</v>
      </c>
      <c r="S434" s="198"/>
      <c r="T434" s="198" t="s">
        <v>996</v>
      </c>
      <c r="U434" s="198" t="s">
        <v>997</v>
      </c>
      <c r="V434" s="230" t="n">
        <f aca="false">19*Таблица310[[#This Row],[Регистратор.Вес нетто]]/92070</f>
        <v>2.610513739546</v>
      </c>
      <c r="W434" s="198" t="s">
        <v>279</v>
      </c>
      <c r="X434" s="198" t="s">
        <v>315</v>
      </c>
      <c r="Y434" s="198" t="n">
        <v>1</v>
      </c>
      <c r="Z434" s="200" t="n">
        <v>45829</v>
      </c>
      <c r="AA434" s="198"/>
      <c r="AB434" s="198" t="s">
        <v>998</v>
      </c>
      <c r="AC434" s="198" t="s">
        <v>53</v>
      </c>
      <c r="AD434" s="198" t="s">
        <v>417</v>
      </c>
      <c r="AE434" s="198" t="s">
        <v>1001</v>
      </c>
      <c r="AF434" s="200" t="n">
        <v>45830</v>
      </c>
      <c r="AG434" s="198" t="n">
        <v>4</v>
      </c>
      <c r="AH434" s="198" t="n">
        <f aca="false">VLOOKUP(Таблица310[[#This Row],[№ акта]],'Степень зрелости 2025'!$H$13:$I$583,2,FALSE())</f>
        <v>43</v>
      </c>
      <c r="AI434" s="198" t="str">
        <f aca="false">VLOOKUP(Таблица310[[#This Row],[№ акта]],$AQ$1:$AT$594,2,FALSE())</f>
        <v>4.1</v>
      </c>
      <c r="AJ434" s="198" t="str">
        <f aca="false">Таблица310[[#This Row],[Регистратор.Номенклатура]]</f>
        <v>Фаворит</v>
      </c>
      <c r="AK434" s="198" t="str">
        <f aca="false">VLOOKUP(Таблица310[[#This Row],[№ акта]],$AQ$1:$AT$594,4,FALSE())</f>
        <v>Колос (полив)</v>
      </c>
      <c r="AL434" s="230" t="n">
        <f aca="false">VLOOKUP(Таблица310[[#This Row],[№ акта]],$AQ$1:$AT$594,3,FALSE())</f>
        <v>2.94300116324157</v>
      </c>
      <c r="AM434" s="198" t="str">
        <f aca="false">IF(Таблица310[[#This Row],[Площадь уборки, га]]=Таблица310[[#This Row],[Площадь уборки до корр]],"нет","да")</f>
        <v>да</v>
      </c>
      <c r="AN434" s="230" t="n">
        <f aca="false">Таблица310[[#This Row],[Площадь уборки до корр]]-Таблица310[[#This Row],[Площадь уборки, га]]</f>
        <v>0.332487423695569</v>
      </c>
      <c r="AQ434" s="0" t="s">
        <v>1001</v>
      </c>
      <c r="AR434" s="0" t="s">
        <v>995</v>
      </c>
      <c r="AS434" s="0" t="n">
        <v>2.94300116324157</v>
      </c>
      <c r="AT434" s="0" t="s">
        <v>279</v>
      </c>
    </row>
    <row r="435" customFormat="false" ht="28.35" hidden="false" customHeight="false" outlineLevel="0" collapsed="false">
      <c r="A435" s="198"/>
      <c r="B435" s="223"/>
      <c r="C435" s="198" t="n">
        <f aca="false">VLOOKUP(Таблица310[[#This Row],[№ акта]],'Степень зрелости 2025'!$H$13:$I$453,2,FALSE())</f>
        <v>42</v>
      </c>
      <c r="D435" s="224" t="s">
        <v>1002</v>
      </c>
      <c r="E435" s="225" t="n">
        <v>45830</v>
      </c>
      <c r="F435" s="223" t="n">
        <v>27940</v>
      </c>
      <c r="G435" s="223" t="n">
        <v>13040</v>
      </c>
      <c r="H435" s="226" t="n">
        <v>14900</v>
      </c>
      <c r="I435" s="223" t="n">
        <v>9975.6</v>
      </c>
      <c r="J435" s="198" t="s">
        <v>994</v>
      </c>
      <c r="K435" s="198" t="s">
        <v>900</v>
      </c>
      <c r="L435" s="198" t="s">
        <v>995</v>
      </c>
      <c r="M435" s="189" t="s">
        <v>382</v>
      </c>
      <c r="N435" s="198"/>
      <c r="O435" s="198"/>
      <c r="P435" s="198"/>
      <c r="Q435" s="198"/>
      <c r="R435" s="198" t="s">
        <v>383</v>
      </c>
      <c r="S435" s="198"/>
      <c r="T435" s="198" t="s">
        <v>996</v>
      </c>
      <c r="U435" s="198" t="s">
        <v>997</v>
      </c>
      <c r="V435" s="230" t="n">
        <f aca="false">19*Таблица310[[#This Row],[Регистратор.Вес нетто]]/92070</f>
        <v>2.69099598131856</v>
      </c>
      <c r="W435" s="198" t="s">
        <v>279</v>
      </c>
      <c r="X435" s="198" t="s">
        <v>315</v>
      </c>
      <c r="Y435" s="198" t="n">
        <v>2</v>
      </c>
      <c r="Z435" s="200" t="n">
        <v>45830</v>
      </c>
      <c r="AA435" s="198"/>
      <c r="AB435" s="198" t="s">
        <v>998</v>
      </c>
      <c r="AC435" s="198" t="s">
        <v>53</v>
      </c>
      <c r="AD435" s="198" t="s">
        <v>417</v>
      </c>
      <c r="AE435" s="198" t="s">
        <v>1002</v>
      </c>
      <c r="AF435" s="200" t="n">
        <v>45830</v>
      </c>
      <c r="AG435" s="198" t="n">
        <v>6</v>
      </c>
      <c r="AH435" s="198" t="n">
        <f aca="false">VLOOKUP(Таблица310[[#This Row],[№ акта]],'Степень зрелости 2025'!$H$13:$I$583,2,FALSE())</f>
        <v>42</v>
      </c>
      <c r="AI435" s="198" t="str">
        <f aca="false">VLOOKUP(Таблица310[[#This Row],[№ акта]],$AQ$1:$AT$594,2,FALSE())</f>
        <v>4.1</v>
      </c>
      <c r="AJ435" s="198" t="str">
        <f aca="false">Таблица310[[#This Row],[Регистратор.Номенклатура]]</f>
        <v>Фаворит</v>
      </c>
      <c r="AK435" s="198" t="str">
        <f aca="false">VLOOKUP(Таблица310[[#This Row],[№ акта]],$AQ$1:$AT$594,4,FALSE())</f>
        <v>Колос (полив)</v>
      </c>
      <c r="AL435" s="230" t="n">
        <f aca="false">VLOOKUP(Таблица310[[#This Row],[№ акта]],$AQ$1:$AT$594,3,FALSE())</f>
        <v>2.20189413405771</v>
      </c>
      <c r="AM435" s="198" t="str">
        <f aca="false">IF(Таблица310[[#This Row],[Площадь уборки, га]]=Таблица310[[#This Row],[Площадь уборки до корр]],"нет","да")</f>
        <v>да</v>
      </c>
      <c r="AN435" s="230" t="n">
        <f aca="false">Таблица310[[#This Row],[Площадь уборки до корр]]-Таблица310[[#This Row],[Площадь уборки, га]]</f>
        <v>-0.489101847260857</v>
      </c>
      <c r="AQ435" s="0" t="s">
        <v>1002</v>
      </c>
      <c r="AR435" s="0" t="s">
        <v>995</v>
      </c>
      <c r="AS435" s="0" t="n">
        <v>2.20189413405771</v>
      </c>
      <c r="AT435" s="0" t="s">
        <v>279</v>
      </c>
    </row>
    <row r="436" customFormat="false" ht="28.35" hidden="false" customHeight="false" outlineLevel="0" collapsed="false">
      <c r="A436" s="198"/>
      <c r="B436" s="223"/>
      <c r="C436" s="198" t="n">
        <v>42</v>
      </c>
      <c r="D436" s="224" t="s">
        <v>1003</v>
      </c>
      <c r="E436" s="225" t="n">
        <v>45830</v>
      </c>
      <c r="F436" s="223" t="n">
        <v>27840</v>
      </c>
      <c r="G436" s="223" t="n">
        <v>13440</v>
      </c>
      <c r="H436" s="226" t="n">
        <v>14400</v>
      </c>
      <c r="I436" s="223" t="n">
        <v>10684.8</v>
      </c>
      <c r="J436" s="198" t="s">
        <v>994</v>
      </c>
      <c r="K436" s="198" t="s">
        <v>900</v>
      </c>
      <c r="L436" s="198" t="s">
        <v>995</v>
      </c>
      <c r="M436" s="189" t="s">
        <v>384</v>
      </c>
      <c r="N436" s="198"/>
      <c r="O436" s="198"/>
      <c r="P436" s="198"/>
      <c r="Q436" s="198"/>
      <c r="R436" s="198" t="s">
        <v>385</v>
      </c>
      <c r="S436" s="198"/>
      <c r="T436" s="198" t="s">
        <v>996</v>
      </c>
      <c r="U436" s="198" t="s">
        <v>997</v>
      </c>
      <c r="V436" s="230" t="n">
        <f aca="false">19*Таблица310[[#This Row],[Регистратор.Вес нетто]]/92070</f>
        <v>2.77354187031606</v>
      </c>
      <c r="W436" s="198" t="s">
        <v>279</v>
      </c>
      <c r="X436" s="198" t="s">
        <v>315</v>
      </c>
      <c r="Y436" s="198" t="n">
        <v>2</v>
      </c>
      <c r="Z436" s="200" t="n">
        <v>45830</v>
      </c>
      <c r="AA436" s="198"/>
      <c r="AB436" s="198" t="s">
        <v>998</v>
      </c>
      <c r="AC436" s="198" t="s">
        <v>53</v>
      </c>
      <c r="AD436" s="198" t="s">
        <v>417</v>
      </c>
      <c r="AE436" s="198" t="s">
        <v>1003</v>
      </c>
      <c r="AF436" s="200" t="n">
        <v>45830</v>
      </c>
      <c r="AG436" s="198" t="n">
        <v>5</v>
      </c>
      <c r="AH436" s="198" t="n">
        <f aca="false">VLOOKUP(Таблица310[[#This Row],[№ акта]],'Степень зрелости 2025'!$H$13:$I$583,2,FALSE())</f>
        <v>42</v>
      </c>
      <c r="AI436" s="198" t="str">
        <f aca="false">VLOOKUP(Таблица310[[#This Row],[№ акта]],$AQ$1:$AT$594,2,FALSE())</f>
        <v>4.1</v>
      </c>
      <c r="AJ436" s="198" t="str">
        <f aca="false">Таблица310[[#This Row],[Регистратор.Номенклатура]]</f>
        <v>Фаворит</v>
      </c>
      <c r="AK436" s="198" t="str">
        <f aca="false">VLOOKUP(Таблица310[[#This Row],[№ акта]],$AQ$1:$AT$594,4,FALSE())</f>
        <v>Колос (полив)</v>
      </c>
      <c r="AL436" s="230" t="n">
        <f aca="false">VLOOKUP(Таблица310[[#This Row],[№ акта]],$AQ$1:$AT$594,3,FALSE())</f>
        <v>2.2694368989061</v>
      </c>
      <c r="AM436" s="198" t="str">
        <f aca="false">IF(Таблица310[[#This Row],[Площадь уборки, га]]=Таблица310[[#This Row],[Площадь уборки до корр]],"нет","да")</f>
        <v>да</v>
      </c>
      <c r="AN436" s="230" t="n">
        <f aca="false">Таблица310[[#This Row],[Площадь уборки до корр]]-Таблица310[[#This Row],[Площадь уборки, га]]</f>
        <v>-0.504104971409963</v>
      </c>
      <c r="AQ436" s="0" t="s">
        <v>1003</v>
      </c>
      <c r="AR436" s="0" t="s">
        <v>995</v>
      </c>
      <c r="AS436" s="0" t="n">
        <v>2.2694368989061</v>
      </c>
      <c r="AT436" s="0" t="s">
        <v>279</v>
      </c>
    </row>
    <row r="437" customFormat="false" ht="28.35" hidden="false" customHeight="false" outlineLevel="0" collapsed="false">
      <c r="A437" s="198"/>
      <c r="B437" s="223"/>
      <c r="C437" s="198" t="n">
        <f aca="false">VLOOKUP(Таблица310[[#This Row],[№ акта]],'Степень зрелости 2025'!$H$13:$I$453,2,FALSE())</f>
        <v>54</v>
      </c>
      <c r="D437" s="224" t="s">
        <v>1004</v>
      </c>
      <c r="E437" s="225" t="n">
        <v>45830</v>
      </c>
      <c r="F437" s="223" t="n">
        <v>35160</v>
      </c>
      <c r="G437" s="223" t="n">
        <v>14010</v>
      </c>
      <c r="H437" s="226" t="n">
        <v>21150</v>
      </c>
      <c r="I437" s="223" t="n">
        <v>10997.8</v>
      </c>
      <c r="J437" s="198" t="s">
        <v>994</v>
      </c>
      <c r="K437" s="198" t="s">
        <v>900</v>
      </c>
      <c r="L437" s="198" t="s">
        <v>995</v>
      </c>
      <c r="M437" s="189" t="s">
        <v>427</v>
      </c>
      <c r="N437" s="198"/>
      <c r="O437" s="198"/>
      <c r="P437" s="198"/>
      <c r="Q437" s="198"/>
      <c r="R437" s="198" t="s">
        <v>431</v>
      </c>
      <c r="S437" s="198"/>
      <c r="T437" s="198" t="s">
        <v>996</v>
      </c>
      <c r="U437" s="198" t="s">
        <v>997</v>
      </c>
      <c r="V437" s="230" t="n">
        <f aca="false">19*Таблица310[[#This Row],[Регистратор.Вес нетто]]/92070</f>
        <v>2.8911697621375</v>
      </c>
      <c r="W437" s="198" t="s">
        <v>279</v>
      </c>
      <c r="X437" s="198" t="s">
        <v>315</v>
      </c>
      <c r="Y437" s="198" t="n">
        <v>2</v>
      </c>
      <c r="Z437" s="200" t="n">
        <v>45830</v>
      </c>
      <c r="AA437" s="198"/>
      <c r="AB437" s="198" t="s">
        <v>998</v>
      </c>
      <c r="AC437" s="198" t="s">
        <v>302</v>
      </c>
      <c r="AD437" s="198" t="s">
        <v>417</v>
      </c>
      <c r="AE437" s="198" t="s">
        <v>1004</v>
      </c>
      <c r="AF437" s="200" t="n">
        <v>45830</v>
      </c>
      <c r="AG437" s="198" t="n">
        <v>7</v>
      </c>
      <c r="AH437" s="198" t="n">
        <f aca="false">VLOOKUP(Таблица310[[#This Row],[№ акта]],'Степень зрелости 2025'!$H$13:$I$583,2,FALSE())</f>
        <v>54</v>
      </c>
      <c r="AI437" s="198" t="str">
        <f aca="false">VLOOKUP(Таблица310[[#This Row],[№ акта]],$AQ$1:$AT$594,2,FALSE())</f>
        <v>4.1</v>
      </c>
      <c r="AJ437" s="198" t="str">
        <f aca="false">Таблица310[[#This Row],[Регистратор.Номенклатура]]</f>
        <v>Фаворит</v>
      </c>
      <c r="AK437" s="198" t="str">
        <f aca="false">VLOOKUP(Таблица310[[#This Row],[№ акта]],$AQ$1:$AT$594,4,FALSE())</f>
        <v>Колос (полив)</v>
      </c>
      <c r="AL437" s="230" t="n">
        <f aca="false">VLOOKUP(Таблица310[[#This Row],[№ акта]],$AQ$1:$AT$594,3,FALSE())</f>
        <v>2.36568533881507</v>
      </c>
      <c r="AM437" s="198" t="str">
        <f aca="false">IF(Таблица310[[#This Row],[Площадь уборки, га]]=Таблица310[[#This Row],[Площадь уборки до корр]],"нет","да")</f>
        <v>да</v>
      </c>
      <c r="AN437" s="230" t="n">
        <f aca="false">Таблица310[[#This Row],[Площадь уборки до корр]]-Таблица310[[#This Row],[Площадь уборки, га]]</f>
        <v>-0.525484423322439</v>
      </c>
      <c r="AQ437" s="0" t="s">
        <v>1004</v>
      </c>
      <c r="AR437" s="0" t="s">
        <v>995</v>
      </c>
      <c r="AS437" s="0" t="n">
        <v>2.36568533881507</v>
      </c>
      <c r="AT437" s="0" t="s">
        <v>279</v>
      </c>
    </row>
    <row r="438" customFormat="false" ht="28.35" hidden="false" customHeight="false" outlineLevel="0" collapsed="false">
      <c r="A438" s="198"/>
      <c r="B438" s="223"/>
      <c r="C438" s="198" t="n">
        <v>51</v>
      </c>
      <c r="D438" s="224" t="s">
        <v>1005</v>
      </c>
      <c r="E438" s="225" t="n">
        <v>45830</v>
      </c>
      <c r="F438" s="223" t="n">
        <v>38170</v>
      </c>
      <c r="G438" s="223" t="n">
        <v>14110</v>
      </c>
      <c r="H438" s="226" t="n">
        <v>24060</v>
      </c>
      <c r="I438" s="223" t="n">
        <v>11993.5</v>
      </c>
      <c r="J438" s="198" t="s">
        <v>994</v>
      </c>
      <c r="K438" s="198" t="s">
        <v>997</v>
      </c>
      <c r="L438" s="198" t="s">
        <v>996</v>
      </c>
      <c r="M438" s="189" t="s">
        <v>439</v>
      </c>
      <c r="N438" s="198"/>
      <c r="O438" s="198"/>
      <c r="P438" s="198"/>
      <c r="Q438" s="198"/>
      <c r="R438" s="198" t="s">
        <v>443</v>
      </c>
      <c r="S438" s="198"/>
      <c r="T438" s="198" t="s">
        <v>995</v>
      </c>
      <c r="U438" s="198" t="s">
        <v>900</v>
      </c>
      <c r="V438" s="230" t="n">
        <f aca="false">18.8*Таблица310[[#This Row],[Регистратор.Вес нетто]]/112640</f>
        <v>2.35500710227273</v>
      </c>
      <c r="W438" s="198" t="s">
        <v>279</v>
      </c>
      <c r="X438" s="198" t="s">
        <v>315</v>
      </c>
      <c r="Y438" s="198" t="n">
        <v>2</v>
      </c>
      <c r="Z438" s="200" t="n">
        <v>45830</v>
      </c>
      <c r="AA438" s="198"/>
      <c r="AB438" s="198" t="s">
        <v>998</v>
      </c>
      <c r="AC438" s="198" t="s">
        <v>53</v>
      </c>
      <c r="AD438" s="198" t="s">
        <v>417</v>
      </c>
      <c r="AE438" s="198" t="s">
        <v>1005</v>
      </c>
      <c r="AF438" s="200" t="n">
        <v>45830</v>
      </c>
      <c r="AG438" s="198" t="n">
        <v>8</v>
      </c>
      <c r="AH438" s="198" t="n">
        <f aca="false">VLOOKUP(Таблица310[[#This Row],[№ акта]],'Степень зрелости 2025'!$H$13:$I$583,2,FALSE())</f>
        <v>51</v>
      </c>
      <c r="AI438" s="198" t="str">
        <f aca="false">VLOOKUP(Таблица310[[#This Row],[№ акта]],$AQ$1:$AT$594,2,FALSE())</f>
        <v>4.4</v>
      </c>
      <c r="AJ438" s="198" t="str">
        <f aca="false">Таблица310[[#This Row],[Регистратор.Номенклатура]]</f>
        <v>Грюнди</v>
      </c>
      <c r="AK438" s="198" t="str">
        <f aca="false">VLOOKUP(Таблица310[[#This Row],[№ акта]],$AQ$1:$AT$594,4,FALSE())</f>
        <v>Колос (полив)</v>
      </c>
      <c r="AL438" s="230" t="n">
        <f aca="false">VLOOKUP(Таблица310[[#This Row],[№ акта]],$AQ$1:$AT$594,3,FALSE())</f>
        <v>2.38257103002716</v>
      </c>
      <c r="AM438" s="198" t="str">
        <f aca="false">IF(Таблица310[[#This Row],[Площадь уборки, га]]=Таблица310[[#This Row],[Площадь уборки до корр]],"нет","да")</f>
        <v>да</v>
      </c>
      <c r="AN438" s="230" t="n">
        <f aca="false">Таблица310[[#This Row],[Площадь уборки до корр]]-Таблица310[[#This Row],[Площадь уборки, га]]</f>
        <v>0.0275639277544366</v>
      </c>
      <c r="AQ438" s="0" t="s">
        <v>1005</v>
      </c>
      <c r="AR438" s="0" t="s">
        <v>996</v>
      </c>
      <c r="AS438" s="0" t="n">
        <v>2.38257103002716</v>
      </c>
      <c r="AT438" s="0" t="s">
        <v>279</v>
      </c>
    </row>
    <row r="439" customFormat="false" ht="28.35" hidden="false" customHeight="false" outlineLevel="0" collapsed="false">
      <c r="A439" s="198"/>
      <c r="B439" s="223"/>
      <c r="C439" s="198" t="n">
        <f aca="false">VLOOKUP(Таблица310[[#This Row],[№ акта]],'Степень зрелости 2025'!$H$13:$I$453,2,FALSE())</f>
        <v>50</v>
      </c>
      <c r="D439" s="224" t="s">
        <v>1006</v>
      </c>
      <c r="E439" s="225" t="n">
        <v>45830</v>
      </c>
      <c r="F439" s="223" t="n">
        <v>29040</v>
      </c>
      <c r="G439" s="223" t="n">
        <v>14090</v>
      </c>
      <c r="H439" s="226" t="n">
        <v>14950</v>
      </c>
      <c r="I439" s="223" t="n">
        <v>11976.5</v>
      </c>
      <c r="J439" s="198" t="s">
        <v>994</v>
      </c>
      <c r="K439" s="198" t="s">
        <v>997</v>
      </c>
      <c r="L439" s="198" t="s">
        <v>996</v>
      </c>
      <c r="M439" s="189" t="s">
        <v>433</v>
      </c>
      <c r="N439" s="198"/>
      <c r="O439" s="198"/>
      <c r="P439" s="198"/>
      <c r="Q439" s="198"/>
      <c r="R439" s="198" t="s">
        <v>437</v>
      </c>
      <c r="S439" s="198"/>
      <c r="T439" s="198" t="s">
        <v>995</v>
      </c>
      <c r="U439" s="198" t="s">
        <v>900</v>
      </c>
      <c r="V439" s="230" t="n">
        <f aca="false">18.8*Таблица310[[#This Row],[Регистратор.Вес нетто]]/112640</f>
        <v>2.35166903409091</v>
      </c>
      <c r="W439" s="198" t="s">
        <v>279</v>
      </c>
      <c r="X439" s="198" t="s">
        <v>315</v>
      </c>
      <c r="Y439" s="198" t="n">
        <v>2</v>
      </c>
      <c r="Z439" s="200" t="n">
        <v>45830</v>
      </c>
      <c r="AA439" s="198"/>
      <c r="AB439" s="198" t="s">
        <v>998</v>
      </c>
      <c r="AC439" s="198" t="s">
        <v>53</v>
      </c>
      <c r="AD439" s="198" t="s">
        <v>417</v>
      </c>
      <c r="AE439" s="198" t="s">
        <v>1006</v>
      </c>
      <c r="AF439" s="200" t="n">
        <v>45830</v>
      </c>
      <c r="AG439" s="198" t="n">
        <v>9</v>
      </c>
      <c r="AH439" s="198" t="n">
        <f aca="false">VLOOKUP(Таблица310[[#This Row],[№ акта]],'Степень зрелости 2025'!$H$13:$I$583,2,FALSE())</f>
        <v>50</v>
      </c>
      <c r="AI439" s="198" t="str">
        <f aca="false">VLOOKUP(Таблица310[[#This Row],[№ акта]],$AQ$1:$AT$594,2,FALSE())</f>
        <v>4.4</v>
      </c>
      <c r="AJ439" s="198" t="str">
        <f aca="false">Таблица310[[#This Row],[Регистратор.Номенклатура]]</f>
        <v>Грюнди</v>
      </c>
      <c r="AK439" s="198" t="str">
        <f aca="false">VLOOKUP(Таблица310[[#This Row],[№ акта]],$AQ$1:$AT$594,4,FALSE())</f>
        <v>Колос (полив)</v>
      </c>
      <c r="AL439" s="230" t="n">
        <f aca="false">VLOOKUP(Таблица310[[#This Row],[№ акта]],$AQ$1:$AT$594,3,FALSE())</f>
        <v>2.37919389178474</v>
      </c>
      <c r="AM439" s="198" t="str">
        <f aca="false">IF(Таблица310[[#This Row],[Площадь уборки, га]]=Таблица310[[#This Row],[Площадь уборки до корр]],"нет","да")</f>
        <v>да</v>
      </c>
      <c r="AN439" s="230" t="n">
        <f aca="false">Таблица310[[#This Row],[Площадь уборки до корр]]-Таблица310[[#This Row],[Площадь уборки, га]]</f>
        <v>0.0275248576938352</v>
      </c>
      <c r="AQ439" s="0" t="s">
        <v>1006</v>
      </c>
      <c r="AR439" s="0" t="s">
        <v>996</v>
      </c>
      <c r="AS439" s="0" t="n">
        <v>2.37919389178474</v>
      </c>
      <c r="AT439" s="0" t="s">
        <v>279</v>
      </c>
    </row>
    <row r="440" customFormat="false" ht="28.35" hidden="false" customHeight="false" outlineLevel="0" collapsed="false">
      <c r="A440" s="198"/>
      <c r="B440" s="223"/>
      <c r="C440" s="234" t="n">
        <v>50</v>
      </c>
      <c r="D440" s="224" t="s">
        <v>1007</v>
      </c>
      <c r="E440" s="225" t="n">
        <v>45830</v>
      </c>
      <c r="F440" s="223" t="n">
        <v>28400</v>
      </c>
      <c r="G440" s="223" t="n">
        <v>13800</v>
      </c>
      <c r="H440" s="226" t="n">
        <v>14600</v>
      </c>
      <c r="I440" s="223" t="n">
        <v>10626</v>
      </c>
      <c r="J440" s="198" t="s">
        <v>994</v>
      </c>
      <c r="K440" s="198" t="s">
        <v>997</v>
      </c>
      <c r="L440" s="198" t="s">
        <v>996</v>
      </c>
      <c r="M440" s="189" t="s">
        <v>363</v>
      </c>
      <c r="N440" s="198"/>
      <c r="O440" s="198"/>
      <c r="P440" s="198"/>
      <c r="Q440" s="198"/>
      <c r="R440" s="198" t="s">
        <v>364</v>
      </c>
      <c r="S440" s="198"/>
      <c r="T440" s="198" t="s">
        <v>995</v>
      </c>
      <c r="U440" s="198" t="s">
        <v>900</v>
      </c>
      <c r="V440" s="230" t="n">
        <f aca="false">18.8*Таблица310[[#This Row],[Регистратор.Вес нетто]]/112640</f>
        <v>2.30326704545455</v>
      </c>
      <c r="W440" s="198" t="s">
        <v>279</v>
      </c>
      <c r="X440" s="198" t="s">
        <v>315</v>
      </c>
      <c r="Y440" s="198" t="n">
        <v>2</v>
      </c>
      <c r="Z440" s="200" t="n">
        <v>45830</v>
      </c>
      <c r="AA440" s="198"/>
      <c r="AB440" s="198" t="s">
        <v>998</v>
      </c>
      <c r="AC440" s="198" t="s">
        <v>53</v>
      </c>
      <c r="AD440" s="198" t="s">
        <v>417</v>
      </c>
      <c r="AE440" s="198" t="s">
        <v>1007</v>
      </c>
      <c r="AF440" s="200" t="n">
        <v>45830</v>
      </c>
      <c r="AG440" s="198" t="n">
        <v>10</v>
      </c>
      <c r="AH440" s="198" t="e">
        <f aca="false">VLOOKUP(Таблица310[[#This Row],[№ акта]],'Степень зрелости 2025'!$H$13:$I$583,2,FALSE())</f>
        <v>#N/A</v>
      </c>
      <c r="AI440" s="198" t="str">
        <f aca="false">VLOOKUP(Таблица310[[#This Row],[№ акта]],$AQ$1:$AT$594,2,FALSE())</f>
        <v>4.4</v>
      </c>
      <c r="AJ440" s="198" t="str">
        <f aca="false">Таблица310[[#This Row],[Регистратор.Номенклатура]]</f>
        <v>Грюнди</v>
      </c>
      <c r="AK440" s="198" t="str">
        <f aca="false">VLOOKUP(Таблица310[[#This Row],[№ акта]],$AQ$1:$AT$594,4,FALSE())</f>
        <v>Колос (полив)</v>
      </c>
      <c r="AL440" s="230" t="n">
        <f aca="false">VLOOKUP(Таблица310[[#This Row],[№ акта]],$AQ$1:$AT$594,3,FALSE())</f>
        <v>2.33022538726966</v>
      </c>
      <c r="AM440" s="198" t="str">
        <f aca="false">IF(Таблица310[[#This Row],[Площадь уборки, га]]=Таблица310[[#This Row],[Площадь уборки до корр]],"нет","да")</f>
        <v>да</v>
      </c>
      <c r="AN440" s="230" t="n">
        <f aca="false">Таблица310[[#This Row],[Площадь уборки до корр]]-Таблица310[[#This Row],[Площадь уборки, га]]</f>
        <v>0.0269583418151118</v>
      </c>
      <c r="AQ440" s="0" t="s">
        <v>1007</v>
      </c>
      <c r="AR440" s="0" t="s">
        <v>996</v>
      </c>
      <c r="AS440" s="0" t="n">
        <v>2.33022538726966</v>
      </c>
      <c r="AT440" s="0" t="s">
        <v>279</v>
      </c>
    </row>
    <row r="441" customFormat="false" ht="28.35" hidden="false" customHeight="false" outlineLevel="0" collapsed="false">
      <c r="A441" s="198"/>
      <c r="B441" s="223"/>
      <c r="C441" s="234" t="n">
        <v>49</v>
      </c>
      <c r="D441" s="224" t="s">
        <v>1008</v>
      </c>
      <c r="E441" s="225" t="n">
        <v>45830</v>
      </c>
      <c r="F441" s="223" t="n">
        <v>29840</v>
      </c>
      <c r="G441" s="223" t="n">
        <v>14120</v>
      </c>
      <c r="H441" s="226" t="n">
        <v>15720</v>
      </c>
      <c r="I441" s="223" t="n">
        <v>11437.2</v>
      </c>
      <c r="J441" s="198" t="s">
        <v>994</v>
      </c>
      <c r="K441" s="198" t="s">
        <v>997</v>
      </c>
      <c r="L441" s="198" t="s">
        <v>996</v>
      </c>
      <c r="M441" s="189" t="s">
        <v>445</v>
      </c>
      <c r="N441" s="198"/>
      <c r="O441" s="198"/>
      <c r="P441" s="198"/>
      <c r="Q441" s="198"/>
      <c r="R441" s="198" t="s">
        <v>449</v>
      </c>
      <c r="S441" s="198"/>
      <c r="T441" s="198" t="s">
        <v>995</v>
      </c>
      <c r="U441" s="198" t="s">
        <v>900</v>
      </c>
      <c r="V441" s="230" t="n">
        <f aca="false">18.8*Таблица310[[#This Row],[Регистратор.Вес нетто]]/112640</f>
        <v>2.35667613636364</v>
      </c>
      <c r="W441" s="198" t="s">
        <v>279</v>
      </c>
      <c r="X441" s="198" t="s">
        <v>315</v>
      </c>
      <c r="Y441" s="198" t="n">
        <v>2</v>
      </c>
      <c r="Z441" s="200" t="n">
        <v>45830</v>
      </c>
      <c r="AA441" s="198"/>
      <c r="AB441" s="198" t="s">
        <v>998</v>
      </c>
      <c r="AC441" s="198" t="s">
        <v>53</v>
      </c>
      <c r="AD441" s="198" t="s">
        <v>417</v>
      </c>
      <c r="AE441" s="198" t="s">
        <v>1008</v>
      </c>
      <c r="AF441" s="200" t="n">
        <v>45830</v>
      </c>
      <c r="AG441" s="198" t="n">
        <v>11</v>
      </c>
      <c r="AH441" s="198" t="n">
        <f aca="false">VLOOKUP(Таблица310[[#This Row],[№ акта]],'Степень зрелости 2025'!$H$13:$I$583,2,FALSE())</f>
        <v>49</v>
      </c>
      <c r="AI441" s="198" t="str">
        <f aca="false">VLOOKUP(Таблица310[[#This Row],[№ акта]],$AQ$1:$AT$594,2,FALSE())</f>
        <v>4.4</v>
      </c>
      <c r="AJ441" s="198" t="str">
        <f aca="false">Таблица310[[#This Row],[Регистратор.Номенклатура]]</f>
        <v>Грюнди</v>
      </c>
      <c r="AK441" s="198" t="str">
        <f aca="false">VLOOKUP(Таблица310[[#This Row],[№ акта]],$AQ$1:$AT$594,4,FALSE())</f>
        <v>Колос (полив)</v>
      </c>
      <c r="AL441" s="230" t="n">
        <f aca="false">VLOOKUP(Таблица310[[#This Row],[№ акта]],$AQ$1:$AT$594,3,FALSE())</f>
        <v>2.38425959914837</v>
      </c>
      <c r="AM441" s="198" t="str">
        <f aca="false">IF(Таблица310[[#This Row],[Площадь уборки, га]]=Таблица310[[#This Row],[Площадь уборки до корр]],"нет","да")</f>
        <v>да</v>
      </c>
      <c r="AN441" s="230" t="n">
        <f aca="false">Таблица310[[#This Row],[Площадь уборки до корр]]-Таблица310[[#This Row],[Площадь уборки, га]]</f>
        <v>0.0275834627847376</v>
      </c>
      <c r="AQ441" s="0" t="s">
        <v>1008</v>
      </c>
      <c r="AR441" s="0" t="s">
        <v>996</v>
      </c>
      <c r="AS441" s="0" t="n">
        <v>2.38425959914837</v>
      </c>
      <c r="AT441" s="0" t="s">
        <v>279</v>
      </c>
    </row>
    <row r="442" customFormat="false" ht="28.35" hidden="false" customHeight="false" outlineLevel="0" collapsed="false">
      <c r="A442" s="198"/>
      <c r="B442" s="223"/>
      <c r="C442" s="234" t="n">
        <v>49</v>
      </c>
      <c r="D442" s="224" t="s">
        <v>1009</v>
      </c>
      <c r="E442" s="225" t="n">
        <v>45830</v>
      </c>
      <c r="F442" s="223" t="n">
        <v>27720</v>
      </c>
      <c r="G442" s="223" t="n">
        <v>13870</v>
      </c>
      <c r="H442" s="226" t="n">
        <v>13850</v>
      </c>
      <c r="I442" s="223" t="n">
        <v>11650.8</v>
      </c>
      <c r="J442" s="198" t="s">
        <v>994</v>
      </c>
      <c r="K442" s="198" t="s">
        <v>997</v>
      </c>
      <c r="L442" s="198" t="s">
        <v>996</v>
      </c>
      <c r="M442" s="189" t="s">
        <v>359</v>
      </c>
      <c r="N442" s="198"/>
      <c r="O442" s="198"/>
      <c r="P442" s="198"/>
      <c r="Q442" s="198"/>
      <c r="R442" s="198" t="s">
        <v>426</v>
      </c>
      <c r="S442" s="198"/>
      <c r="T442" s="198" t="s">
        <v>995</v>
      </c>
      <c r="U442" s="198" t="s">
        <v>900</v>
      </c>
      <c r="V442" s="230" t="n">
        <f aca="false">18.8*Таблица310[[#This Row],[Регистратор.Вес нетто]]/112640</f>
        <v>2.31495028409091</v>
      </c>
      <c r="W442" s="198" t="s">
        <v>279</v>
      </c>
      <c r="X442" s="198" t="s">
        <v>315</v>
      </c>
      <c r="Y442" s="198" t="n">
        <v>2</v>
      </c>
      <c r="Z442" s="200" t="n">
        <v>45830</v>
      </c>
      <c r="AA442" s="198"/>
      <c r="AB442" s="198" t="s">
        <v>998</v>
      </c>
      <c r="AC442" s="198" t="s">
        <v>53</v>
      </c>
      <c r="AD442" s="198" t="s">
        <v>417</v>
      </c>
      <c r="AE442" s="198" t="s">
        <v>1009</v>
      </c>
      <c r="AF442" s="200" t="n">
        <v>45830</v>
      </c>
      <c r="AG442" s="198" t="n">
        <v>12</v>
      </c>
      <c r="AH442" s="198" t="n">
        <f aca="false">VLOOKUP(Таблица310[[#This Row],[№ акта]],'Степень зрелости 2025'!$H$13:$I$583,2,FALSE())</f>
        <v>49</v>
      </c>
      <c r="AI442" s="198" t="str">
        <f aca="false">VLOOKUP(Таблица310[[#This Row],[№ акта]],$AQ$1:$AT$594,2,FALSE())</f>
        <v>4.4</v>
      </c>
      <c r="AJ442" s="198" t="str">
        <f aca="false">Таблица310[[#This Row],[Регистратор.Номенклатура]]</f>
        <v>Грюнди</v>
      </c>
      <c r="AK442" s="198" t="str">
        <f aca="false">VLOOKUP(Таблица310[[#This Row],[№ акта]],$AQ$1:$AT$594,4,FALSE())</f>
        <v>Колос (полив)</v>
      </c>
      <c r="AL442" s="230" t="n">
        <f aca="false">VLOOKUP(Таблица310[[#This Row],[№ акта]],$AQ$1:$AT$594,3,FALSE())</f>
        <v>2.34204537111813</v>
      </c>
      <c r="AM442" s="198" t="str">
        <f aca="false">IF(Таблица310[[#This Row],[Площадь уборки, га]]=Таблица310[[#This Row],[Площадь уборки до корр]],"нет","да")</f>
        <v>да</v>
      </c>
      <c r="AN442" s="230" t="n">
        <f aca="false">Таблица310[[#This Row],[Площадь уборки до корр]]-Таблица310[[#This Row],[Площадь уборки, га]]</f>
        <v>0.0270950870272175</v>
      </c>
      <c r="AQ442" s="0" t="s">
        <v>1009</v>
      </c>
      <c r="AR442" s="0" t="s">
        <v>996</v>
      </c>
      <c r="AS442" s="0" t="n">
        <v>2.34204537111813</v>
      </c>
      <c r="AT442" s="0" t="s">
        <v>279</v>
      </c>
    </row>
    <row r="443" customFormat="false" ht="28.35" hidden="false" customHeight="false" outlineLevel="0" collapsed="false">
      <c r="A443" s="198"/>
      <c r="B443" s="223"/>
      <c r="C443" s="234" t="n">
        <v>48</v>
      </c>
      <c r="D443" s="224" t="s">
        <v>1010</v>
      </c>
      <c r="E443" s="225" t="n">
        <v>45830</v>
      </c>
      <c r="F443" s="223" t="n">
        <v>29210</v>
      </c>
      <c r="G443" s="223" t="n">
        <v>14140</v>
      </c>
      <c r="H443" s="226" t="n">
        <v>15070</v>
      </c>
      <c r="I443" s="223" t="n">
        <v>11806.9</v>
      </c>
      <c r="J443" s="198" t="s">
        <v>994</v>
      </c>
      <c r="K443" s="198" t="s">
        <v>997</v>
      </c>
      <c r="L443" s="198" t="s">
        <v>996</v>
      </c>
      <c r="M443" s="189" t="s">
        <v>371</v>
      </c>
      <c r="N443" s="198"/>
      <c r="O443" s="198"/>
      <c r="P443" s="198"/>
      <c r="Q443" s="198"/>
      <c r="R443" s="198" t="s">
        <v>372</v>
      </c>
      <c r="S443" s="198"/>
      <c r="T443" s="198" t="s">
        <v>995</v>
      </c>
      <c r="U443" s="198" t="s">
        <v>900</v>
      </c>
      <c r="V443" s="230" t="n">
        <f aca="false">18.8*Таблица310[[#This Row],[Регистратор.Вес нетто]]/112640</f>
        <v>2.36001420454545</v>
      </c>
      <c r="W443" s="198" t="s">
        <v>279</v>
      </c>
      <c r="X443" s="198" t="s">
        <v>315</v>
      </c>
      <c r="Y443" s="198" t="n">
        <v>2</v>
      </c>
      <c r="Z443" s="200" t="n">
        <v>45830</v>
      </c>
      <c r="AA443" s="198"/>
      <c r="AB443" s="198" t="s">
        <v>998</v>
      </c>
      <c r="AC443" s="198" t="s">
        <v>53</v>
      </c>
      <c r="AD443" s="198" t="s">
        <v>417</v>
      </c>
      <c r="AE443" s="198" t="s">
        <v>1010</v>
      </c>
      <c r="AF443" s="200" t="n">
        <v>45830</v>
      </c>
      <c r="AG443" s="198" t="n">
        <v>13</v>
      </c>
      <c r="AH443" s="198" t="n">
        <f aca="false">VLOOKUP(Таблица310[[#This Row],[№ акта]],'Степень зрелости 2025'!$H$13:$I$583,2,FALSE())</f>
        <v>48</v>
      </c>
      <c r="AI443" s="198" t="str">
        <f aca="false">VLOOKUP(Таблица310[[#This Row],[№ акта]],$AQ$1:$AT$594,2,FALSE())</f>
        <v>4.4</v>
      </c>
      <c r="AJ443" s="198" t="str">
        <f aca="false">Таблица310[[#This Row],[Регистратор.Номенклатура]]</f>
        <v>Грюнди</v>
      </c>
      <c r="AK443" s="198" t="str">
        <f aca="false">VLOOKUP(Таблица310[[#This Row],[№ акта]],$AQ$1:$AT$594,4,FALSE())</f>
        <v>Колос (полив)</v>
      </c>
      <c r="AL443" s="230" t="n">
        <f aca="false">VLOOKUP(Таблица310[[#This Row],[№ акта]],$AQ$1:$AT$594,3,FALSE())</f>
        <v>2.38763673739079</v>
      </c>
      <c r="AM443" s="198" t="str">
        <f aca="false">IF(Таблица310[[#This Row],[Площадь уборки, га]]=Таблица310[[#This Row],[Площадь уборки до корр]],"нет","да")</f>
        <v>да</v>
      </c>
      <c r="AN443" s="230" t="n">
        <f aca="false">Таблица310[[#This Row],[Площадь уборки до корр]]-Таблица310[[#This Row],[Площадь уборки, га]]</f>
        <v>0.027622532845339</v>
      </c>
      <c r="AQ443" s="0" t="s">
        <v>1010</v>
      </c>
      <c r="AR443" s="0" t="s">
        <v>996</v>
      </c>
      <c r="AS443" s="0" t="n">
        <v>2.38763673739079</v>
      </c>
      <c r="AT443" s="0" t="s">
        <v>279</v>
      </c>
    </row>
    <row r="444" customFormat="false" ht="28.35" hidden="false" customHeight="false" outlineLevel="0" collapsed="false">
      <c r="A444" s="198"/>
      <c r="B444" s="223"/>
      <c r="C444" s="234" t="n">
        <v>50</v>
      </c>
      <c r="D444" s="224" t="s">
        <v>1011</v>
      </c>
      <c r="E444" s="225" t="n">
        <v>45830</v>
      </c>
      <c r="F444" s="223" t="n">
        <v>29280</v>
      </c>
      <c r="G444" s="223" t="n">
        <v>14450</v>
      </c>
      <c r="H444" s="226" t="n">
        <v>14830</v>
      </c>
      <c r="I444" s="223" t="n">
        <v>12354.7</v>
      </c>
      <c r="J444" s="198" t="s">
        <v>994</v>
      </c>
      <c r="K444" s="198" t="s">
        <v>997</v>
      </c>
      <c r="L444" s="198" t="s">
        <v>996</v>
      </c>
      <c r="M444" s="189" t="s">
        <v>553</v>
      </c>
      <c r="N444" s="198"/>
      <c r="O444" s="198"/>
      <c r="P444" s="198"/>
      <c r="Q444" s="198"/>
      <c r="R444" s="198" t="s">
        <v>557</v>
      </c>
      <c r="S444" s="198"/>
      <c r="T444" s="198" t="s">
        <v>995</v>
      </c>
      <c r="U444" s="198" t="s">
        <v>900</v>
      </c>
      <c r="V444" s="230" t="n">
        <f aca="false">18.8*Таблица310[[#This Row],[Регистратор.Вес нетто]]/112640</f>
        <v>2.41175426136364</v>
      </c>
      <c r="W444" s="198" t="s">
        <v>279</v>
      </c>
      <c r="X444" s="198" t="s">
        <v>315</v>
      </c>
      <c r="Y444" s="198" t="n">
        <v>2</v>
      </c>
      <c r="Z444" s="200" t="n">
        <v>45830</v>
      </c>
      <c r="AA444" s="198"/>
      <c r="AB444" s="198" t="s">
        <v>998</v>
      </c>
      <c r="AC444" s="198" t="s">
        <v>53</v>
      </c>
      <c r="AD444" s="198" t="s">
        <v>417</v>
      </c>
      <c r="AE444" s="198" t="s">
        <v>1011</v>
      </c>
      <c r="AF444" s="200" t="n">
        <v>45830</v>
      </c>
      <c r="AG444" s="198" t="n">
        <v>14</v>
      </c>
      <c r="AH444" s="198" t="n">
        <f aca="false">VLOOKUP(Таблица310[[#This Row],[№ акта]],'Степень зрелости 2025'!$H$13:$I$583,2,FALSE())</f>
        <v>50</v>
      </c>
      <c r="AI444" s="198" t="str">
        <f aca="false">VLOOKUP(Таблица310[[#This Row],[№ акта]],$AQ$1:$AT$594,2,FALSE())</f>
        <v>4.4</v>
      </c>
      <c r="AJ444" s="198" t="str">
        <f aca="false">Таблица310[[#This Row],[Регистратор.Номенклатура]]</f>
        <v>Грюнди</v>
      </c>
      <c r="AK444" s="198" t="str">
        <f aca="false">VLOOKUP(Таблица310[[#This Row],[№ акта]],$AQ$1:$AT$594,4,FALSE())</f>
        <v>Колос (полив)</v>
      </c>
      <c r="AL444" s="230" t="n">
        <f aca="false">VLOOKUP(Таблица310[[#This Row],[№ акта]],$AQ$1:$AT$594,3,FALSE())</f>
        <v>2.4399823801483</v>
      </c>
      <c r="AM444" s="198" t="str">
        <f aca="false">IF(Таблица310[[#This Row],[Площадь уборки, га]]=Таблица310[[#This Row],[Площадь уборки до корр]],"нет","да")</f>
        <v>да</v>
      </c>
      <c r="AN444" s="230" t="n">
        <f aca="false">Таблица310[[#This Row],[Площадь уборки до корр]]-Таблица310[[#This Row],[Площадь уборки, га]]</f>
        <v>0.0282281187846642</v>
      </c>
      <c r="AQ444" s="0" t="s">
        <v>1011</v>
      </c>
      <c r="AR444" s="0" t="s">
        <v>996</v>
      </c>
      <c r="AS444" s="0" t="n">
        <v>2.4399823801483</v>
      </c>
      <c r="AT444" s="0" t="s">
        <v>279</v>
      </c>
    </row>
    <row r="445" customFormat="false" ht="28.35" hidden="false" customHeight="false" outlineLevel="0" collapsed="false">
      <c r="A445" s="198"/>
      <c r="B445" s="223"/>
      <c r="C445" s="234" t="n">
        <v>50</v>
      </c>
      <c r="D445" s="224" t="s">
        <v>1012</v>
      </c>
      <c r="E445" s="225" t="n">
        <v>45830</v>
      </c>
      <c r="F445" s="223" t="n">
        <v>29070</v>
      </c>
      <c r="G445" s="223" t="n">
        <v>14060</v>
      </c>
      <c r="H445" s="226" t="n">
        <v>15010</v>
      </c>
      <c r="I445" s="223" t="n">
        <v>12302.5</v>
      </c>
      <c r="J445" s="198" t="s">
        <v>994</v>
      </c>
      <c r="K445" s="198" t="s">
        <v>997</v>
      </c>
      <c r="L445" s="198" t="s">
        <v>996</v>
      </c>
      <c r="M445" s="189" t="s">
        <v>451</v>
      </c>
      <c r="N445" s="198"/>
      <c r="O445" s="198"/>
      <c r="P445" s="198"/>
      <c r="Q445" s="198"/>
      <c r="R445" s="198" t="s">
        <v>455</v>
      </c>
      <c r="S445" s="198"/>
      <c r="T445" s="198" t="s">
        <v>995</v>
      </c>
      <c r="U445" s="198" t="s">
        <v>900</v>
      </c>
      <c r="V445" s="230" t="n">
        <f aca="false">18.8*Таблица310[[#This Row],[Регистратор.Вес нетто]]/112640</f>
        <v>2.34666193181818</v>
      </c>
      <c r="W445" s="198" t="s">
        <v>279</v>
      </c>
      <c r="X445" s="198" t="s">
        <v>315</v>
      </c>
      <c r="Y445" s="198" t="n">
        <v>2</v>
      </c>
      <c r="Z445" s="200" t="n">
        <v>45830</v>
      </c>
      <c r="AA445" s="198"/>
      <c r="AB445" s="198" t="s">
        <v>998</v>
      </c>
      <c r="AC445" s="198" t="s">
        <v>53</v>
      </c>
      <c r="AD445" s="198" t="s">
        <v>417</v>
      </c>
      <c r="AE445" s="198" t="s">
        <v>1012</v>
      </c>
      <c r="AF445" s="200" t="n">
        <v>45830</v>
      </c>
      <c r="AG445" s="198" t="n">
        <v>15</v>
      </c>
      <c r="AH445" s="198" t="n">
        <f aca="false">VLOOKUP(Таблица310[[#This Row],[№ акта]],'Степень зрелости 2025'!$H$13:$I$583,2,FALSE())</f>
        <v>50</v>
      </c>
      <c r="AI445" s="198" t="str">
        <f aca="false">VLOOKUP(Таблица310[[#This Row],[№ акта]],$AQ$1:$AT$594,2,FALSE())</f>
        <v>4.4</v>
      </c>
      <c r="AJ445" s="198" t="str">
        <f aca="false">Таблица310[[#This Row],[Регистратор.Номенклатура]]</f>
        <v>Грюнди</v>
      </c>
      <c r="AK445" s="198" t="str">
        <f aca="false">VLOOKUP(Таблица310[[#This Row],[№ акта]],$AQ$1:$AT$594,4,FALSE())</f>
        <v>Колос (полив)</v>
      </c>
      <c r="AL445" s="230" t="n">
        <f aca="false">VLOOKUP(Таблица310[[#This Row],[№ акта]],$AQ$1:$AT$594,3,FALSE())</f>
        <v>2.37412818442111</v>
      </c>
      <c r="AM445" s="198" t="str">
        <f aca="false">IF(Таблица310[[#This Row],[Площадь уборки, га]]=Таблица310[[#This Row],[Площадь уборки до корр]],"нет","да")</f>
        <v>да</v>
      </c>
      <c r="AN445" s="230" t="n">
        <f aca="false">Таблица310[[#This Row],[Площадь уборки до корр]]-Таблица310[[#This Row],[Площадь уборки, га]]</f>
        <v>0.0274662526029328</v>
      </c>
      <c r="AQ445" s="0" t="s">
        <v>1012</v>
      </c>
      <c r="AR445" s="0" t="s">
        <v>996</v>
      </c>
      <c r="AS445" s="0" t="n">
        <v>2.37412818442111</v>
      </c>
      <c r="AT445" s="0" t="s">
        <v>279</v>
      </c>
    </row>
    <row r="446" customFormat="false" ht="19.4" hidden="false" customHeight="false" outlineLevel="0" collapsed="false">
      <c r="A446" s="198"/>
      <c r="B446" s="223"/>
      <c r="C446" s="234" t="n">
        <v>51</v>
      </c>
      <c r="D446" s="224" t="s">
        <v>1013</v>
      </c>
      <c r="E446" s="225" t="n">
        <v>45831</v>
      </c>
      <c r="F446" s="223" t="n">
        <v>27990</v>
      </c>
      <c r="G446" s="223" t="n">
        <v>13290</v>
      </c>
      <c r="H446" s="226" t="n">
        <v>14700</v>
      </c>
      <c r="I446" s="223" t="n">
        <v>11296.5</v>
      </c>
      <c r="J446" s="198" t="s">
        <v>994</v>
      </c>
      <c r="K446" s="198" t="s">
        <v>997</v>
      </c>
      <c r="L446" s="198" t="s">
        <v>996</v>
      </c>
      <c r="M446" s="189" t="s">
        <v>361</v>
      </c>
      <c r="N446" s="198"/>
      <c r="O446" s="198"/>
      <c r="P446" s="198"/>
      <c r="Q446" s="198"/>
      <c r="R446" s="198" t="s">
        <v>362</v>
      </c>
      <c r="S446" s="198"/>
      <c r="T446" s="198" t="s">
        <v>996</v>
      </c>
      <c r="U446" s="198" t="str">
        <f aca="false">Таблица310[[#This Row],[Регистратор.Номенклатура]]</f>
        <v>Грюнди</v>
      </c>
      <c r="V446" s="230" t="n">
        <f aca="false">33.3*Таблица310[[#This Row],[Регистратор.Вес нетто]]/146870</f>
        <v>3.01325662150201</v>
      </c>
      <c r="W446" s="198" t="s">
        <v>279</v>
      </c>
      <c r="X446" s="198" t="s">
        <v>315</v>
      </c>
      <c r="Y446" s="198" t="n">
        <v>2</v>
      </c>
      <c r="Z446" s="200" t="n">
        <v>45830</v>
      </c>
      <c r="AA446" s="198"/>
      <c r="AB446" s="198"/>
      <c r="AC446" s="198" t="s">
        <v>53</v>
      </c>
      <c r="AD446" s="198" t="s">
        <v>417</v>
      </c>
      <c r="AE446" s="198" t="s">
        <v>1013</v>
      </c>
      <c r="AF446" s="200" t="n">
        <v>45831</v>
      </c>
      <c r="AG446" s="198" t="n">
        <v>16</v>
      </c>
      <c r="AH446" s="198" t="n">
        <f aca="false">VLOOKUP(Таблица310[[#This Row],[№ акта]],'Степень зрелости 2025'!$H$13:$I$583,2,FALSE())</f>
        <v>51</v>
      </c>
      <c r="AI446" s="198" t="str">
        <f aca="false">VLOOKUP(Таблица310[[#This Row],[№ акта]],$AQ$1:$AT$594,2,FALSE())</f>
        <v>4.4</v>
      </c>
      <c r="AJ446" s="198" t="str">
        <f aca="false">Таблица310[[#This Row],[Регистратор.Номенклатура]]</f>
        <v>Грюнди</v>
      </c>
      <c r="AK446" s="198" t="str">
        <f aca="false">VLOOKUP(Таблица310[[#This Row],[№ акта]],$AQ$1:$AT$594,4,FALSE())</f>
        <v>Колос (полив)</v>
      </c>
      <c r="AL446" s="230" t="n">
        <f aca="false">VLOOKUP(Таблица310[[#This Row],[№ акта]],$AQ$1:$AT$594,3,FALSE())</f>
        <v>2.24410836208795</v>
      </c>
      <c r="AM446" s="198" t="str">
        <f aca="false">IF(Таблица310[[#This Row],[Площадь уборки, га]]=Таблица310[[#This Row],[Площадь уборки до корр]],"нет","да")</f>
        <v>да</v>
      </c>
      <c r="AN446" s="230" t="n">
        <f aca="false">Таблица310[[#This Row],[Площадь уборки до корр]]-Таблица310[[#This Row],[Площадь уборки, га]]</f>
        <v>-0.769148259414056</v>
      </c>
      <c r="AQ446" s="0" t="s">
        <v>1013</v>
      </c>
      <c r="AR446" s="0" t="s">
        <v>996</v>
      </c>
      <c r="AS446" s="0" t="n">
        <v>2.24410836208795</v>
      </c>
      <c r="AT446" s="0" t="s">
        <v>279</v>
      </c>
    </row>
    <row r="447" customFormat="false" ht="19.4" hidden="false" customHeight="false" outlineLevel="0" collapsed="false">
      <c r="A447" s="198"/>
      <c r="B447" s="223"/>
      <c r="C447" s="234" t="n">
        <v>49</v>
      </c>
      <c r="D447" s="224" t="s">
        <v>1014</v>
      </c>
      <c r="E447" s="225" t="n">
        <v>45831</v>
      </c>
      <c r="F447" s="223" t="n">
        <v>28110</v>
      </c>
      <c r="G447" s="223" t="n">
        <v>13380</v>
      </c>
      <c r="H447" s="226" t="n">
        <v>14730</v>
      </c>
      <c r="I447" s="223" t="n">
        <v>10704</v>
      </c>
      <c r="J447" s="198" t="s">
        <v>994</v>
      </c>
      <c r="K447" s="198" t="s">
        <v>997</v>
      </c>
      <c r="L447" s="198" t="s">
        <v>996</v>
      </c>
      <c r="M447" s="189" t="s">
        <v>547</v>
      </c>
      <c r="N447" s="198"/>
      <c r="O447" s="198"/>
      <c r="P447" s="198"/>
      <c r="Q447" s="198"/>
      <c r="R447" s="198" t="s">
        <v>551</v>
      </c>
      <c r="S447" s="198"/>
      <c r="T447" s="198" t="s">
        <v>996</v>
      </c>
      <c r="U447" s="198" t="str">
        <f aca="false">Таблица310[[#This Row],[Регистратор.Номенклатура]]</f>
        <v>Грюнди</v>
      </c>
      <c r="V447" s="230" t="n">
        <f aca="false">33.3*Таблица310[[#This Row],[Регистратор.Вес нетто]]/146870</f>
        <v>3.03366242255055</v>
      </c>
      <c r="W447" s="198" t="s">
        <v>279</v>
      </c>
      <c r="X447" s="198" t="s">
        <v>315</v>
      </c>
      <c r="Y447" s="198" t="n">
        <v>2</v>
      </c>
      <c r="Z447" s="200" t="n">
        <v>45830</v>
      </c>
      <c r="AA447" s="198"/>
      <c r="AB447" s="198"/>
      <c r="AC447" s="198" t="s">
        <v>53</v>
      </c>
      <c r="AD447" s="198" t="s">
        <v>417</v>
      </c>
      <c r="AE447" s="198" t="s">
        <v>1014</v>
      </c>
      <c r="AF447" s="200" t="n">
        <v>45831</v>
      </c>
      <c r="AG447" s="198" t="n">
        <v>17</v>
      </c>
      <c r="AH447" s="198" t="n">
        <f aca="false">VLOOKUP(Таблица310[[#This Row],[№ акта]],'Степень зрелости 2025'!$H$13:$I$583,2,FALSE())</f>
        <v>49</v>
      </c>
      <c r="AI447" s="198" t="str">
        <f aca="false">VLOOKUP(Таблица310[[#This Row],[№ акта]],$AQ$1:$AT$594,2,FALSE())</f>
        <v>4.4</v>
      </c>
      <c r="AJ447" s="198" t="str">
        <f aca="false">Таблица310[[#This Row],[Регистратор.Номенклатура]]</f>
        <v>Грюнди</v>
      </c>
      <c r="AK447" s="198" t="str">
        <f aca="false">VLOOKUP(Таблица310[[#This Row],[№ акта]],$AQ$1:$AT$594,4,FALSE())</f>
        <v>Колос (полив)</v>
      </c>
      <c r="AL447" s="230" t="n">
        <f aca="false">VLOOKUP(Таблица310[[#This Row],[№ акта]],$AQ$1:$AT$594,3,FALSE())</f>
        <v>2.25930548417884</v>
      </c>
      <c r="AM447" s="198" t="str">
        <f aca="false">IF(Таблица310[[#This Row],[Площадь уборки, га]]=Таблица310[[#This Row],[Площадь уборки до корр]],"нет","да")</f>
        <v>да</v>
      </c>
      <c r="AN447" s="230" t="n">
        <f aca="false">Таблица310[[#This Row],[Площадь уборки до корр]]-Таблица310[[#This Row],[Площадь уборки, га]]</f>
        <v>-0.774356938371713</v>
      </c>
      <c r="AQ447" s="0" t="s">
        <v>1014</v>
      </c>
      <c r="AR447" s="0" t="s">
        <v>996</v>
      </c>
      <c r="AS447" s="0" t="n">
        <v>2.25930548417884</v>
      </c>
      <c r="AT447" s="0" t="s">
        <v>279</v>
      </c>
    </row>
    <row r="448" customFormat="false" ht="19.4" hidden="false" customHeight="false" outlineLevel="0" collapsed="false">
      <c r="A448" s="198"/>
      <c r="B448" s="223"/>
      <c r="C448" s="234" t="n">
        <v>49</v>
      </c>
      <c r="D448" s="224" t="s">
        <v>1015</v>
      </c>
      <c r="E448" s="225" t="n">
        <v>45831</v>
      </c>
      <c r="F448" s="223" t="n">
        <v>31970</v>
      </c>
      <c r="G448" s="223" t="n">
        <v>13230</v>
      </c>
      <c r="H448" s="226" t="n">
        <v>18740</v>
      </c>
      <c r="I448" s="223" t="n">
        <v>10980.9</v>
      </c>
      <c r="J448" s="198" t="s">
        <v>994</v>
      </c>
      <c r="K448" s="198" t="s">
        <v>997</v>
      </c>
      <c r="L448" s="198" t="s">
        <v>996</v>
      </c>
      <c r="M448" s="189" t="s">
        <v>365</v>
      </c>
      <c r="N448" s="198"/>
      <c r="O448" s="198"/>
      <c r="P448" s="198"/>
      <c r="Q448" s="198"/>
      <c r="R448" s="198" t="s">
        <v>373</v>
      </c>
      <c r="S448" s="198"/>
      <c r="T448" s="198" t="s">
        <v>996</v>
      </c>
      <c r="U448" s="198" t="str">
        <f aca="false">Таблица310[[#This Row],[Регистратор.Номенклатура]]</f>
        <v>Грюнди</v>
      </c>
      <c r="V448" s="230" t="n">
        <f aca="false">33.3*Таблица310[[#This Row],[Регистратор.Вес нетто]]/146870</f>
        <v>2.99965275413631</v>
      </c>
      <c r="W448" s="198" t="s">
        <v>279</v>
      </c>
      <c r="X448" s="198" t="s">
        <v>315</v>
      </c>
      <c r="Y448" s="198" t="n">
        <v>2</v>
      </c>
      <c r="Z448" s="200" t="n">
        <v>45830</v>
      </c>
      <c r="AA448" s="198"/>
      <c r="AB448" s="198"/>
      <c r="AC448" s="198" t="s">
        <v>53</v>
      </c>
      <c r="AD448" s="198" t="s">
        <v>417</v>
      </c>
      <c r="AE448" s="198" t="s">
        <v>1015</v>
      </c>
      <c r="AF448" s="200" t="n">
        <v>45831</v>
      </c>
      <c r="AG448" s="198" t="n">
        <v>18</v>
      </c>
      <c r="AH448" s="198" t="n">
        <f aca="false">VLOOKUP(Таблица310[[#This Row],[№ акта]],'Степень зрелости 2025'!$H$13:$I$583,2,FALSE())</f>
        <v>49</v>
      </c>
      <c r="AI448" s="198" t="str">
        <f aca="false">VLOOKUP(Таблица310[[#This Row],[№ акта]],$AQ$1:$AT$594,2,FALSE())</f>
        <v>4.4</v>
      </c>
      <c r="AJ448" s="198" t="str">
        <f aca="false">Таблица310[[#This Row],[Регистратор.Номенклатура]]</f>
        <v>Грюнди</v>
      </c>
      <c r="AK448" s="198" t="str">
        <f aca="false">VLOOKUP(Таблица310[[#This Row],[№ акта]],$AQ$1:$AT$594,4,FALSE())</f>
        <v>Колос (полив)</v>
      </c>
      <c r="AL448" s="230" t="n">
        <f aca="false">VLOOKUP(Таблица310[[#This Row],[№ акта]],$AQ$1:$AT$594,3,FALSE())</f>
        <v>2.23397694736069</v>
      </c>
      <c r="AM448" s="198" t="str">
        <f aca="false">IF(Таблица310[[#This Row],[Площадь уборки, га]]=Таблица310[[#This Row],[Площадь уборки до корр]],"нет","да")</f>
        <v>да</v>
      </c>
      <c r="AN448" s="230" t="n">
        <f aca="false">Таблица310[[#This Row],[Площадь уборки до корр]]-Таблица310[[#This Row],[Площадь уборки, га]]</f>
        <v>-0.765675806775617</v>
      </c>
      <c r="AQ448" s="0" t="s">
        <v>1015</v>
      </c>
      <c r="AR448" s="0" t="s">
        <v>996</v>
      </c>
      <c r="AS448" s="0" t="n">
        <v>2.23397694736069</v>
      </c>
      <c r="AT448" s="0" t="s">
        <v>279</v>
      </c>
    </row>
    <row r="449" customFormat="false" ht="19.4" hidden="false" customHeight="false" outlineLevel="0" collapsed="false">
      <c r="A449" s="198"/>
      <c r="B449" s="223"/>
      <c r="C449" s="234" t="n">
        <v>51</v>
      </c>
      <c r="D449" s="224" t="s">
        <v>1016</v>
      </c>
      <c r="E449" s="225" t="n">
        <v>45831</v>
      </c>
      <c r="F449" s="223" t="n">
        <v>28090</v>
      </c>
      <c r="G449" s="223" t="n">
        <v>13230</v>
      </c>
      <c r="H449" s="226" t="n">
        <v>14860</v>
      </c>
      <c r="I449" s="223" t="n">
        <v>11377.8</v>
      </c>
      <c r="J449" s="198" t="s">
        <v>994</v>
      </c>
      <c r="K449" s="198" t="s">
        <v>997</v>
      </c>
      <c r="L449" s="198" t="s">
        <v>996</v>
      </c>
      <c r="M449" s="189" t="s">
        <v>457</v>
      </c>
      <c r="N449" s="198"/>
      <c r="O449" s="198"/>
      <c r="P449" s="198"/>
      <c r="Q449" s="198"/>
      <c r="R449" s="198" t="s">
        <v>366</v>
      </c>
      <c r="S449" s="198"/>
      <c r="T449" s="198" t="s">
        <v>996</v>
      </c>
      <c r="U449" s="198" t="str">
        <f aca="false">Таблица310[[#This Row],[Регистратор.Номенклатура]]</f>
        <v>Грюнди</v>
      </c>
      <c r="V449" s="230" t="n">
        <f aca="false">33.3*Таблица310[[#This Row],[Регистратор.Вес нетто]]/146870</f>
        <v>2.99965275413631</v>
      </c>
      <c r="W449" s="198" t="s">
        <v>279</v>
      </c>
      <c r="X449" s="198" t="s">
        <v>315</v>
      </c>
      <c r="Y449" s="198" t="n">
        <v>2</v>
      </c>
      <c r="Z449" s="200" t="n">
        <v>45830</v>
      </c>
      <c r="AA449" s="198"/>
      <c r="AB449" s="198"/>
      <c r="AC449" s="198" t="s">
        <v>53</v>
      </c>
      <c r="AD449" s="198" t="s">
        <v>417</v>
      </c>
      <c r="AE449" s="198" t="s">
        <v>1016</v>
      </c>
      <c r="AF449" s="200" t="n">
        <v>45831</v>
      </c>
      <c r="AG449" s="198" t="n">
        <v>19</v>
      </c>
      <c r="AH449" s="198" t="n">
        <f aca="false">VLOOKUP(Таблица310[[#This Row],[№ акта]],'Степень зрелости 2025'!$H$13:$I$583,2,FALSE())</f>
        <v>51</v>
      </c>
      <c r="AI449" s="198" t="str">
        <f aca="false">VLOOKUP(Таблица310[[#This Row],[№ акта]],$AQ$1:$AT$594,2,FALSE())</f>
        <v>4.4</v>
      </c>
      <c r="AJ449" s="198" t="str">
        <f aca="false">Таблица310[[#This Row],[Регистратор.Номенклатура]]</f>
        <v>Грюнди</v>
      </c>
      <c r="AK449" s="198" t="str">
        <f aca="false">VLOOKUP(Таблица310[[#This Row],[№ акта]],$AQ$1:$AT$594,4,FALSE())</f>
        <v>Колос (полив)</v>
      </c>
      <c r="AL449" s="230" t="n">
        <f aca="false">VLOOKUP(Таблица310[[#This Row],[№ акта]],$AQ$1:$AT$594,3,FALSE())</f>
        <v>2.23397694736069</v>
      </c>
      <c r="AM449" s="198" t="str">
        <f aca="false">IF(Таблица310[[#This Row],[Площадь уборки, га]]=Таблица310[[#This Row],[Площадь уборки до корр]],"нет","да")</f>
        <v>да</v>
      </c>
      <c r="AN449" s="230" t="n">
        <f aca="false">Таблица310[[#This Row],[Площадь уборки до корр]]-Таблица310[[#This Row],[Площадь уборки, га]]</f>
        <v>-0.765675806775617</v>
      </c>
      <c r="AQ449" s="0" t="s">
        <v>1016</v>
      </c>
      <c r="AR449" s="0" t="s">
        <v>996</v>
      </c>
      <c r="AS449" s="0" t="n">
        <v>2.23397694736069</v>
      </c>
      <c r="AT449" s="0" t="s">
        <v>279</v>
      </c>
    </row>
    <row r="450" customFormat="false" ht="28.35" hidden="false" customHeight="false" outlineLevel="0" collapsed="false">
      <c r="A450" s="198"/>
      <c r="B450" s="223"/>
      <c r="C450" s="234" t="n">
        <v>49</v>
      </c>
      <c r="D450" s="224" t="s">
        <v>1017</v>
      </c>
      <c r="E450" s="225" t="n">
        <v>45831</v>
      </c>
      <c r="F450" s="223" t="n">
        <v>27740</v>
      </c>
      <c r="G450" s="223" t="n">
        <v>13320</v>
      </c>
      <c r="H450" s="226" t="n">
        <v>14420</v>
      </c>
      <c r="I450" s="223" t="n">
        <v>11788.2</v>
      </c>
      <c r="J450" s="198" t="s">
        <v>994</v>
      </c>
      <c r="K450" s="198" t="s">
        <v>997</v>
      </c>
      <c r="L450" s="198" t="s">
        <v>996</v>
      </c>
      <c r="M450" s="189" t="s">
        <v>395</v>
      </c>
      <c r="N450" s="198"/>
      <c r="O450" s="198"/>
      <c r="P450" s="198"/>
      <c r="Q450" s="198"/>
      <c r="R450" s="198" t="s">
        <v>566</v>
      </c>
      <c r="S450" s="198"/>
      <c r="T450" s="198" t="s">
        <v>996</v>
      </c>
      <c r="U450" s="198" t="str">
        <f aca="false">Таблица310[[#This Row],[Регистратор.Номенклатура]]</f>
        <v>Грюнди</v>
      </c>
      <c r="V450" s="230" t="n">
        <f aca="false">33.3*Таблица310[[#This Row],[Регистратор.Вес нетто]]/146870</f>
        <v>3.02005855518486</v>
      </c>
      <c r="W450" s="198" t="s">
        <v>279</v>
      </c>
      <c r="X450" s="198" t="s">
        <v>315</v>
      </c>
      <c r="Y450" s="198" t="n">
        <v>2</v>
      </c>
      <c r="Z450" s="200" t="n">
        <v>45830</v>
      </c>
      <c r="AA450" s="198"/>
      <c r="AB450" s="198"/>
      <c r="AC450" s="198" t="s">
        <v>53</v>
      </c>
      <c r="AD450" s="198" t="s">
        <v>417</v>
      </c>
      <c r="AE450" s="198" t="s">
        <v>1017</v>
      </c>
      <c r="AF450" s="200" t="n">
        <v>45831</v>
      </c>
      <c r="AG450" s="198" t="n">
        <v>20</v>
      </c>
      <c r="AH450" s="198" t="n">
        <f aca="false">VLOOKUP(Таблица310[[#This Row],[№ акта]],'Степень зрелости 2025'!$H$13:$I$583,2,FALSE())</f>
        <v>49</v>
      </c>
      <c r="AI450" s="198" t="str">
        <f aca="false">VLOOKUP(Таблица310[[#This Row],[№ акта]],$AQ$1:$AT$594,2,FALSE())</f>
        <v>4.4</v>
      </c>
      <c r="AJ450" s="198" t="str">
        <f aca="false">Таблица310[[#This Row],[Регистратор.Номенклатура]]</f>
        <v>Грюнди</v>
      </c>
      <c r="AK450" s="198" t="str">
        <f aca="false">VLOOKUP(Таблица310[[#This Row],[№ акта]],$AQ$1:$AT$594,4,FALSE())</f>
        <v>Колос (полив)</v>
      </c>
      <c r="AL450" s="230" t="n">
        <f aca="false">VLOOKUP(Таблица310[[#This Row],[№ акта]],$AQ$1:$AT$594,3,FALSE())</f>
        <v>2.24917406945158</v>
      </c>
      <c r="AM450" s="198" t="str">
        <f aca="false">IF(Таблица310[[#This Row],[Площадь уборки, га]]=Таблица310[[#This Row],[Площадь уборки до корр]],"нет","да")</f>
        <v>да</v>
      </c>
      <c r="AN450" s="230" t="n">
        <f aca="false">Таблица310[[#This Row],[Площадь уборки до корр]]-Таблица310[[#This Row],[Площадь уборки, га]]</f>
        <v>-0.770884485733275</v>
      </c>
      <c r="AQ450" s="0" t="s">
        <v>1017</v>
      </c>
      <c r="AR450" s="0" t="s">
        <v>996</v>
      </c>
      <c r="AS450" s="0" t="n">
        <v>2.24917406945158</v>
      </c>
      <c r="AT450" s="0" t="s">
        <v>279</v>
      </c>
    </row>
    <row r="451" customFormat="false" ht="19.4" hidden="false" customHeight="false" outlineLevel="0" collapsed="false">
      <c r="A451" s="198"/>
      <c r="B451" s="223"/>
      <c r="C451" s="234" t="n">
        <v>50</v>
      </c>
      <c r="D451" s="224" t="s">
        <v>1018</v>
      </c>
      <c r="E451" s="225" t="n">
        <v>45831</v>
      </c>
      <c r="F451" s="223" t="n">
        <v>28190</v>
      </c>
      <c r="G451" s="223" t="n">
        <v>13090</v>
      </c>
      <c r="H451" s="226" t="n">
        <v>15100</v>
      </c>
      <c r="I451" s="223" t="n">
        <v>11191.9</v>
      </c>
      <c r="J451" s="198" t="s">
        <v>994</v>
      </c>
      <c r="K451" s="198" t="s">
        <v>997</v>
      </c>
      <c r="L451" s="198" t="s">
        <v>996</v>
      </c>
      <c r="M451" s="189" t="s">
        <v>48</v>
      </c>
      <c r="N451" s="198"/>
      <c r="O451" s="198"/>
      <c r="P451" s="198"/>
      <c r="Q451" s="198"/>
      <c r="R451" s="198" t="s">
        <v>49</v>
      </c>
      <c r="S451" s="198"/>
      <c r="T451" s="198" t="s">
        <v>996</v>
      </c>
      <c r="U451" s="198" t="str">
        <f aca="false">Таблица310[[#This Row],[Регистратор.Номенклатура]]</f>
        <v>Грюнди</v>
      </c>
      <c r="V451" s="230" t="n">
        <f aca="false">33.3*Таблица310[[#This Row],[Регистратор.Вес нетто]]/146870</f>
        <v>2.96791039694968</v>
      </c>
      <c r="W451" s="198" t="s">
        <v>279</v>
      </c>
      <c r="X451" s="198" t="s">
        <v>315</v>
      </c>
      <c r="Y451" s="198" t="n">
        <v>2</v>
      </c>
      <c r="Z451" s="200" t="n">
        <v>45830</v>
      </c>
      <c r="AA451" s="198"/>
      <c r="AB451" s="198"/>
      <c r="AC451" s="198" t="s">
        <v>53</v>
      </c>
      <c r="AD451" s="198" t="s">
        <v>417</v>
      </c>
      <c r="AE451" s="198" t="s">
        <v>1018</v>
      </c>
      <c r="AF451" s="200" t="n">
        <v>45831</v>
      </c>
      <c r="AG451" s="198" t="n">
        <v>21</v>
      </c>
      <c r="AH451" s="198" t="n">
        <f aca="false">VLOOKUP(Таблица310[[#This Row],[№ акта]],'Степень зрелости 2025'!$H$13:$I$583,2,FALSE())</f>
        <v>50</v>
      </c>
      <c r="AI451" s="198" t="str">
        <f aca="false">VLOOKUP(Таблица310[[#This Row],[№ акта]],$AQ$1:$AT$594,2,FALSE())</f>
        <v>4.4</v>
      </c>
      <c r="AJ451" s="198" t="str">
        <f aca="false">Таблица310[[#This Row],[Регистратор.Номенклатура]]</f>
        <v>Грюнди</v>
      </c>
      <c r="AK451" s="198" t="str">
        <f aca="false">VLOOKUP(Таблица310[[#This Row],[№ акта]],$AQ$1:$AT$594,4,FALSE())</f>
        <v>Колос (полив)</v>
      </c>
      <c r="AL451" s="230" t="n">
        <f aca="false">VLOOKUP(Таблица310[[#This Row],[№ акта]],$AQ$1:$AT$594,3,FALSE())</f>
        <v>2.21033697966375</v>
      </c>
      <c r="AM451" s="198" t="str">
        <f aca="false">IF(Таблица310[[#This Row],[Площадь уборки, га]]=Таблица310[[#This Row],[Площадь уборки до корр]],"нет","да")</f>
        <v>да</v>
      </c>
      <c r="AN451" s="230" t="n">
        <f aca="false">Таблица310[[#This Row],[Площадь уборки до корр]]-Таблица310[[#This Row],[Площадь уборки, га]]</f>
        <v>-0.757573417285929</v>
      </c>
      <c r="AQ451" s="0" t="s">
        <v>1018</v>
      </c>
      <c r="AR451" s="0" t="s">
        <v>996</v>
      </c>
      <c r="AS451" s="0" t="n">
        <v>2.21033697966375</v>
      </c>
      <c r="AT451" s="0" t="s">
        <v>279</v>
      </c>
    </row>
    <row r="452" customFormat="false" ht="19.4" hidden="false" customHeight="false" outlineLevel="0" collapsed="false">
      <c r="A452" s="198"/>
      <c r="B452" s="223"/>
      <c r="C452" s="234" t="n">
        <v>51</v>
      </c>
      <c r="D452" s="224" t="s">
        <v>1019</v>
      </c>
      <c r="E452" s="225" t="n">
        <v>45831</v>
      </c>
      <c r="F452" s="223" t="n">
        <v>28370</v>
      </c>
      <c r="G452" s="223" t="n">
        <v>13250</v>
      </c>
      <c r="H452" s="226" t="n">
        <v>15120</v>
      </c>
      <c r="I452" s="223" t="n">
        <v>10798.7</v>
      </c>
      <c r="J452" s="198" t="s">
        <v>994</v>
      </c>
      <c r="K452" s="198" t="s">
        <v>997</v>
      </c>
      <c r="L452" s="198" t="s">
        <v>996</v>
      </c>
      <c r="M452" s="189" t="s">
        <v>466</v>
      </c>
      <c r="N452" s="198"/>
      <c r="O452" s="198"/>
      <c r="P452" s="198"/>
      <c r="Q452" s="198"/>
      <c r="R452" s="198" t="s">
        <v>470</v>
      </c>
      <c r="S452" s="198"/>
      <c r="T452" s="198" t="s">
        <v>996</v>
      </c>
      <c r="U452" s="198" t="str">
        <f aca="false">Таблица310[[#This Row],[Регистратор.Номенклатура]]</f>
        <v>Грюнди</v>
      </c>
      <c r="V452" s="230" t="n">
        <f aca="false">33.3*Таблица310[[#This Row],[Регистратор.Вес нетто]]/146870</f>
        <v>3.00418737659154</v>
      </c>
      <c r="W452" s="198" t="s">
        <v>279</v>
      </c>
      <c r="X452" s="198" t="s">
        <v>315</v>
      </c>
      <c r="Y452" s="198" t="n">
        <v>2</v>
      </c>
      <c r="Z452" s="200" t="n">
        <v>45830</v>
      </c>
      <c r="AA452" s="198"/>
      <c r="AB452" s="198"/>
      <c r="AC452" s="198" t="s">
        <v>53</v>
      </c>
      <c r="AD452" s="198" t="s">
        <v>417</v>
      </c>
      <c r="AE452" s="198" t="s">
        <v>1019</v>
      </c>
      <c r="AF452" s="200" t="n">
        <v>45831</v>
      </c>
      <c r="AG452" s="198" t="n">
        <v>22</v>
      </c>
      <c r="AH452" s="198" t="n">
        <f aca="false">VLOOKUP(Таблица310[[#This Row],[№ акта]],'Степень зрелости 2025'!$H$13:$I$583,2,FALSE())</f>
        <v>51</v>
      </c>
      <c r="AI452" s="198" t="str">
        <f aca="false">VLOOKUP(Таблица310[[#This Row],[№ акта]],$AQ$1:$AT$594,2,FALSE())</f>
        <v>4.4</v>
      </c>
      <c r="AJ452" s="198" t="str">
        <f aca="false">Таблица310[[#This Row],[Регистратор.Номенклатура]]</f>
        <v>Грюнди</v>
      </c>
      <c r="AK452" s="198" t="str">
        <f aca="false">VLOOKUP(Таблица310[[#This Row],[№ акта]],$AQ$1:$AT$594,4,FALSE())</f>
        <v>Колос (полив)</v>
      </c>
      <c r="AL452" s="230" t="n">
        <f aca="false">VLOOKUP(Таблица310[[#This Row],[№ акта]],$AQ$1:$AT$594,3,FALSE())</f>
        <v>2.23735408560311</v>
      </c>
      <c r="AM452" s="198" t="str">
        <f aca="false">IF(Таблица310[[#This Row],[Площадь уборки, га]]=Таблица310[[#This Row],[Площадь уборки до корр]],"нет","да")</f>
        <v>да</v>
      </c>
      <c r="AN452" s="230" t="n">
        <f aca="false">Таблица310[[#This Row],[Площадь уборки до корр]]-Таблица310[[#This Row],[Площадь уборки, га]]</f>
        <v>-0.76683329098843</v>
      </c>
      <c r="AQ452" s="0" t="s">
        <v>1019</v>
      </c>
      <c r="AR452" s="0" t="s">
        <v>996</v>
      </c>
      <c r="AS452" s="0" t="n">
        <v>2.23735408560311</v>
      </c>
      <c r="AT452" s="0" t="s">
        <v>279</v>
      </c>
    </row>
    <row r="453" customFormat="false" ht="19.4" hidden="false" customHeight="false" outlineLevel="0" collapsed="false">
      <c r="A453" s="198"/>
      <c r="B453" s="223"/>
      <c r="C453" s="234" t="n">
        <v>50</v>
      </c>
      <c r="D453" s="224" t="s">
        <v>1020</v>
      </c>
      <c r="E453" s="225" t="n">
        <v>45831</v>
      </c>
      <c r="F453" s="223" t="n">
        <v>27640</v>
      </c>
      <c r="G453" s="223" t="n">
        <v>13200</v>
      </c>
      <c r="H453" s="226" t="n">
        <v>14440</v>
      </c>
      <c r="I453" s="223" t="n">
        <v>10098</v>
      </c>
      <c r="J453" s="198" t="s">
        <v>994</v>
      </c>
      <c r="K453" s="198" t="s">
        <v>997</v>
      </c>
      <c r="L453" s="198" t="s">
        <v>996</v>
      </c>
      <c r="M453" s="189" t="s">
        <v>384</v>
      </c>
      <c r="N453" s="198"/>
      <c r="O453" s="198"/>
      <c r="P453" s="198"/>
      <c r="Q453" s="198"/>
      <c r="R453" s="198" t="s">
        <v>385</v>
      </c>
      <c r="S453" s="198"/>
      <c r="T453" s="198" t="s">
        <v>996</v>
      </c>
      <c r="U453" s="198" t="str">
        <f aca="false">Таблица310[[#This Row],[Регистратор.Номенклатура]]</f>
        <v>Грюнди</v>
      </c>
      <c r="V453" s="230" t="n">
        <f aca="false">33.3*Таблица310[[#This Row],[Регистратор.Вес нетто]]/146870</f>
        <v>2.99285082045346</v>
      </c>
      <c r="W453" s="198" t="s">
        <v>279</v>
      </c>
      <c r="X453" s="198" t="s">
        <v>315</v>
      </c>
      <c r="Y453" s="198" t="n">
        <v>2</v>
      </c>
      <c r="Z453" s="200" t="n">
        <v>45830</v>
      </c>
      <c r="AA453" s="198"/>
      <c r="AB453" s="198"/>
      <c r="AC453" s="198" t="s">
        <v>53</v>
      </c>
      <c r="AD453" s="198" t="s">
        <v>417</v>
      </c>
      <c r="AE453" s="198" t="s">
        <v>1020</v>
      </c>
      <c r="AF453" s="200" t="n">
        <v>45831</v>
      </c>
      <c r="AG453" s="198" t="n">
        <v>23</v>
      </c>
      <c r="AH453" s="198" t="n">
        <f aca="false">VLOOKUP(Таблица310[[#This Row],[№ акта]],'Степень зрелости 2025'!$H$13:$I$583,2,FALSE())</f>
        <v>50</v>
      </c>
      <c r="AI453" s="198" t="str">
        <f aca="false">VLOOKUP(Таблица310[[#This Row],[№ акта]],$AQ$1:$AT$594,2,FALSE())</f>
        <v>4.4</v>
      </c>
      <c r="AJ453" s="198" t="str">
        <f aca="false">Таблица310[[#This Row],[Регистратор.Номенклатура]]</f>
        <v>Грюнди</v>
      </c>
      <c r="AK453" s="198" t="str">
        <f aca="false">VLOOKUP(Таблица310[[#This Row],[№ акта]],$AQ$1:$AT$594,4,FALSE())</f>
        <v>Колос (полив)</v>
      </c>
      <c r="AL453" s="230" t="n">
        <f aca="false">VLOOKUP(Таблица310[[#This Row],[№ акта]],$AQ$1:$AT$594,3,FALSE())</f>
        <v>2.22891123999706</v>
      </c>
      <c r="AM453" s="198" t="str">
        <f aca="false">IF(Таблица310[[#This Row],[Площадь уборки, га]]=Таблица310[[#This Row],[Площадь уборки до корр]],"нет","да")</f>
        <v>да</v>
      </c>
      <c r="AN453" s="230" t="n">
        <f aca="false">Таблица310[[#This Row],[Площадь уборки до корр]]-Таблица310[[#This Row],[Площадь уборки, га]]</f>
        <v>-0.763939580456399</v>
      </c>
      <c r="AQ453" s="0" t="s">
        <v>1020</v>
      </c>
      <c r="AR453" s="0" t="s">
        <v>996</v>
      </c>
      <c r="AS453" s="0" t="n">
        <v>2.22891123999706</v>
      </c>
      <c r="AT453" s="0" t="s">
        <v>279</v>
      </c>
    </row>
    <row r="454" customFormat="false" ht="19.4" hidden="false" customHeight="false" outlineLevel="0" collapsed="false">
      <c r="A454" s="198"/>
      <c r="B454" s="223"/>
      <c r="C454" s="234" t="n">
        <v>53</v>
      </c>
      <c r="D454" s="224" t="s">
        <v>1021</v>
      </c>
      <c r="E454" s="225" t="n">
        <v>45831</v>
      </c>
      <c r="F454" s="223" t="n">
        <v>28240</v>
      </c>
      <c r="G454" s="223" t="n">
        <v>13300</v>
      </c>
      <c r="H454" s="226" t="n">
        <v>14940</v>
      </c>
      <c r="I454" s="223" t="n">
        <v>11105.5</v>
      </c>
      <c r="J454" s="198" t="s">
        <v>994</v>
      </c>
      <c r="K454" s="198" t="s">
        <v>997</v>
      </c>
      <c r="L454" s="198" t="s">
        <v>996</v>
      </c>
      <c r="M454" s="189" t="s">
        <v>382</v>
      </c>
      <c r="N454" s="198"/>
      <c r="O454" s="198"/>
      <c r="P454" s="198"/>
      <c r="Q454" s="198"/>
      <c r="R454" s="198" t="s">
        <v>383</v>
      </c>
      <c r="S454" s="198"/>
      <c r="T454" s="198" t="s">
        <v>996</v>
      </c>
      <c r="U454" s="198" t="str">
        <f aca="false">Таблица310[[#This Row],[Регистратор.Номенклатура]]</f>
        <v>Грюнди</v>
      </c>
      <c r="V454" s="230" t="n">
        <f aca="false">33.3*Таблица310[[#This Row],[Регистратор.Вес нетто]]/146870</f>
        <v>3.01552393272962</v>
      </c>
      <c r="W454" s="198" t="s">
        <v>279</v>
      </c>
      <c r="X454" s="198" t="s">
        <v>315</v>
      </c>
      <c r="Y454" s="198" t="n">
        <v>2</v>
      </c>
      <c r="Z454" s="200" t="n">
        <v>45830</v>
      </c>
      <c r="AA454" s="198"/>
      <c r="AB454" s="198"/>
      <c r="AC454" s="198" t="s">
        <v>302</v>
      </c>
      <c r="AD454" s="198" t="s">
        <v>417</v>
      </c>
      <c r="AE454" s="198" t="s">
        <v>1021</v>
      </c>
      <c r="AF454" s="200" t="n">
        <v>45831</v>
      </c>
      <c r="AG454" s="198" t="n">
        <v>24</v>
      </c>
      <c r="AH454" s="198" t="n">
        <f aca="false">VLOOKUP(Таблица310[[#This Row],[№ акта]],'Степень зрелости 2025'!$H$13:$I$583,2,FALSE())</f>
        <v>53</v>
      </c>
      <c r="AI454" s="198" t="str">
        <f aca="false">VLOOKUP(Таблица310[[#This Row],[№ акта]],$AQ$1:$AT$594,2,FALSE())</f>
        <v>4.4</v>
      </c>
      <c r="AJ454" s="198" t="str">
        <f aca="false">Таблица310[[#This Row],[Регистратор.Номенклатура]]</f>
        <v>Грюнди</v>
      </c>
      <c r="AK454" s="198" t="str">
        <f aca="false">VLOOKUP(Таблица310[[#This Row],[№ акта]],$AQ$1:$AT$594,4,FALSE())</f>
        <v>Колос (полив)</v>
      </c>
      <c r="AL454" s="230" t="n">
        <f aca="false">VLOOKUP(Таблица310[[#This Row],[№ акта]],$AQ$1:$AT$594,3,FALSE())</f>
        <v>2.24579693120916</v>
      </c>
      <c r="AM454" s="198" t="str">
        <f aca="false">IF(Таблица310[[#This Row],[Площадь уборки, га]]=Таблица310[[#This Row],[Площадь уборки до корр]],"нет","да")</f>
        <v>да</v>
      </c>
      <c r="AN454" s="230" t="n">
        <f aca="false">Таблица310[[#This Row],[Площадь уборки до корр]]-Таблица310[[#This Row],[Площадь уборки, га]]</f>
        <v>-0.769727001520463</v>
      </c>
      <c r="AQ454" s="0" t="s">
        <v>1021</v>
      </c>
      <c r="AR454" s="0" t="s">
        <v>996</v>
      </c>
      <c r="AS454" s="0" t="n">
        <v>2.24579693120916</v>
      </c>
      <c r="AT454" s="0" t="s">
        <v>279</v>
      </c>
    </row>
    <row r="455" customFormat="false" ht="46.25" hidden="false" customHeight="false" outlineLevel="0" collapsed="false">
      <c r="A455" s="198"/>
      <c r="B455" s="223"/>
      <c r="C455" s="234" t="n">
        <v>55</v>
      </c>
      <c r="D455" s="224" t="s">
        <v>1022</v>
      </c>
      <c r="E455" s="225" t="n">
        <v>45831</v>
      </c>
      <c r="F455" s="223" t="n">
        <v>29240</v>
      </c>
      <c r="G455" s="223" t="n">
        <v>13630</v>
      </c>
      <c r="H455" s="226" t="n">
        <v>15610</v>
      </c>
      <c r="I455" s="223" t="n">
        <v>11381</v>
      </c>
      <c r="J455" s="198" t="s">
        <v>994</v>
      </c>
      <c r="K455" s="198" t="s">
        <v>997</v>
      </c>
      <c r="L455" s="198" t="s">
        <v>996</v>
      </c>
      <c r="M455" s="189" t="s">
        <v>445</v>
      </c>
      <c r="N455" s="198"/>
      <c r="O455" s="198"/>
      <c r="P455" s="198"/>
      <c r="Q455" s="198"/>
      <c r="R455" s="198" t="s">
        <v>449</v>
      </c>
      <c r="S455" s="198"/>
      <c r="T455" s="198" t="s">
        <v>996</v>
      </c>
      <c r="U455" s="198" t="str">
        <f aca="false">Таблица310[[#This Row],[Регистратор.Номенклатура]]</f>
        <v>Грюнди</v>
      </c>
      <c r="V455" s="230" t="n">
        <f aca="false">33.3*Таблица310[[#This Row],[Регистратор.Вес нетто]]/146870</f>
        <v>3.09034520324096</v>
      </c>
      <c r="W455" s="198" t="s">
        <v>279</v>
      </c>
      <c r="X455" s="198" t="s">
        <v>315</v>
      </c>
      <c r="Y455" s="198" t="n">
        <v>3</v>
      </c>
      <c r="Z455" s="200" t="n">
        <v>45831</v>
      </c>
      <c r="AA455" s="198"/>
      <c r="AB455" s="198" t="s">
        <v>1023</v>
      </c>
      <c r="AC455" s="198" t="s">
        <v>302</v>
      </c>
      <c r="AD455" s="198" t="s">
        <v>417</v>
      </c>
      <c r="AE455" s="198" t="s">
        <v>1022</v>
      </c>
      <c r="AF455" s="200" t="n">
        <v>45831</v>
      </c>
      <c r="AG455" s="198" t="n">
        <v>25</v>
      </c>
      <c r="AH455" s="198" t="n">
        <f aca="false">VLOOKUP(Таблица310[[#This Row],[№ акта]],'Степень зрелости 2025'!$H$13:$I$583,2,FALSE())</f>
        <v>55</v>
      </c>
      <c r="AI455" s="198" t="str">
        <f aca="false">VLOOKUP(Таблица310[[#This Row],[№ акта]],$AQ$1:$AT$594,2,FALSE())</f>
        <v>4.4</v>
      </c>
      <c r="AJ455" s="198" t="str">
        <f aca="false">Таблица310[[#This Row],[Регистратор.Номенклатура]]</f>
        <v>Грюнди</v>
      </c>
      <c r="AK455" s="198" t="str">
        <f aca="false">VLOOKUP(Таблица310[[#This Row],[№ акта]],$AQ$1:$AT$594,4,FALSE())</f>
        <v>Колос (полив)</v>
      </c>
      <c r="AL455" s="230" t="n">
        <f aca="false">VLOOKUP(Таблица310[[#This Row],[№ акта]],$AQ$1:$AT$594,3,FALSE())</f>
        <v>4.29317143544121</v>
      </c>
      <c r="AM455" s="198" t="str">
        <f aca="false">IF(Таблица310[[#This Row],[Площадь уборки, га]]=Таблица310[[#This Row],[Площадь уборки до корр]],"нет","да")</f>
        <v>да</v>
      </c>
      <c r="AN455" s="230" t="n">
        <f aca="false">Таблица310[[#This Row],[Площадь уборки до корр]]-Таблица310[[#This Row],[Площадь уборки, га]]</f>
        <v>1.20282623220025</v>
      </c>
      <c r="AQ455" s="0" t="s">
        <v>1022</v>
      </c>
      <c r="AR455" s="0" t="s">
        <v>996</v>
      </c>
      <c r="AS455" s="0" t="n">
        <v>4.29317143544121</v>
      </c>
      <c r="AT455" s="0" t="s">
        <v>279</v>
      </c>
    </row>
    <row r="456" customFormat="false" ht="19.4" hidden="false" customHeight="false" outlineLevel="0" collapsed="false">
      <c r="A456" s="198"/>
      <c r="B456" s="223"/>
      <c r="C456" s="234" t="n">
        <v>63</v>
      </c>
      <c r="D456" s="224" t="s">
        <v>1024</v>
      </c>
      <c r="E456" s="225" t="n">
        <v>45828</v>
      </c>
      <c r="F456" s="223" t="n">
        <v>32320</v>
      </c>
      <c r="G456" s="223" t="n">
        <v>16660</v>
      </c>
      <c r="H456" s="226" t="n">
        <v>15660</v>
      </c>
      <c r="I456" s="223" t="n">
        <v>13744</v>
      </c>
      <c r="J456" s="198" t="s">
        <v>908</v>
      </c>
      <c r="K456" s="198" t="s">
        <v>904</v>
      </c>
      <c r="L456" s="198" t="n">
        <v>14</v>
      </c>
      <c r="M456" s="189" t="s">
        <v>57</v>
      </c>
      <c r="N456" s="198"/>
      <c r="O456" s="198"/>
      <c r="P456" s="198"/>
      <c r="Q456" s="198"/>
      <c r="R456" s="198" t="s">
        <v>1025</v>
      </c>
      <c r="S456" s="198"/>
      <c r="T456" s="198" t="n">
        <v>14</v>
      </c>
      <c r="U456" s="198" t="str">
        <f aca="false">Таблица310[[#This Row],[Регистратор.Номенклатура]]</f>
        <v>Тристар</v>
      </c>
      <c r="V456" s="230" t="n">
        <f aca="false">36*Таблица310[[#This Row],[Регистратор.Вес нетто]]/252940</f>
        <v>2.37115521467542</v>
      </c>
      <c r="W456" s="198" t="s">
        <v>278</v>
      </c>
      <c r="X456" s="198" t="s">
        <v>315</v>
      </c>
      <c r="Y456" s="198" t="n">
        <v>6</v>
      </c>
      <c r="Z456" s="200" t="n">
        <v>45828</v>
      </c>
      <c r="AA456" s="231" t="n">
        <f aca="false">Таблица310[[#This Row],[Регистратор.Вес нетто]]</f>
        <v>16660</v>
      </c>
      <c r="AB456" s="198" t="s">
        <v>916</v>
      </c>
      <c r="AC456" s="198" t="s">
        <v>302</v>
      </c>
      <c r="AD456" s="198" t="s">
        <v>886</v>
      </c>
      <c r="AE456" s="198" t="s">
        <v>1024</v>
      </c>
      <c r="AF456" s="200" t="n">
        <v>45828</v>
      </c>
      <c r="AG456" s="198" t="s">
        <v>1026</v>
      </c>
      <c r="AH456" s="198" t="n">
        <f aca="false">VLOOKUP(Таблица310[[#This Row],[№ акта]],'Степень зрелости 2025'!$H$13:$I$583,2,FALSE())</f>
        <v>0</v>
      </c>
      <c r="AI456" s="198" t="n">
        <f aca="false">VLOOKUP(Таблица310[[#This Row],[№ акта]],$AQ$1:$AT$594,2,FALSE())</f>
        <v>14</v>
      </c>
      <c r="AJ456" s="198" t="str">
        <f aca="false">Таблица310[[#This Row],[Регистратор.Номенклатура]]</f>
        <v>Тристар</v>
      </c>
      <c r="AK456" s="198" t="str">
        <f aca="false">VLOOKUP(Таблица310[[#This Row],[№ акта]],$AQ$1:$AT$594,4,FALSE())</f>
        <v>Агролидер (полив)</v>
      </c>
      <c r="AL456" s="230" t="n">
        <f aca="false">VLOOKUP(Таблица310[[#This Row],[№ акта]],$AQ$1:$AT$594,3,FALSE())</f>
        <v>2.37115521467542</v>
      </c>
      <c r="AM456" s="198" t="str">
        <f aca="false">IF(Таблица310[[#This Row],[Площадь уборки, га]]=Таблица310[[#This Row],[Площадь уборки до корр]],"нет","да")</f>
        <v>нет</v>
      </c>
      <c r="AN456" s="230" t="n">
        <f aca="false">Таблица310[[#This Row],[Площадь уборки до корр]]-Таблица310[[#This Row],[Площадь уборки, га]]</f>
        <v>0</v>
      </c>
      <c r="AQ456" s="0" t="s">
        <v>1024</v>
      </c>
      <c r="AR456" s="0" t="n">
        <v>14</v>
      </c>
      <c r="AS456" s="0" t="n">
        <v>2.37115521467542</v>
      </c>
      <c r="AT456" s="0" t="s">
        <v>278</v>
      </c>
    </row>
    <row r="457" customFormat="false" ht="19.4" hidden="false" customHeight="false" outlineLevel="0" collapsed="false">
      <c r="A457" s="198"/>
      <c r="B457" s="223"/>
      <c r="C457" s="234" t="n">
        <v>59</v>
      </c>
      <c r="D457" s="224" t="s">
        <v>1027</v>
      </c>
      <c r="E457" s="225" t="n">
        <v>45828</v>
      </c>
      <c r="F457" s="223" t="n">
        <v>30280</v>
      </c>
      <c r="G457" s="223" t="n">
        <v>15280</v>
      </c>
      <c r="H457" s="226" t="n">
        <v>15000</v>
      </c>
      <c r="I457" s="223" t="n">
        <v>13168</v>
      </c>
      <c r="J457" s="198" t="s">
        <v>908</v>
      </c>
      <c r="K457" s="198" t="s">
        <v>904</v>
      </c>
      <c r="L457" s="198" t="n">
        <v>14</v>
      </c>
      <c r="M457" s="189" t="s">
        <v>511</v>
      </c>
      <c r="N457" s="198"/>
      <c r="O457" s="198"/>
      <c r="P457" s="198"/>
      <c r="Q457" s="198"/>
      <c r="R457" s="198" t="s">
        <v>515</v>
      </c>
      <c r="S457" s="198"/>
      <c r="T457" s="198" t="n">
        <v>14</v>
      </c>
      <c r="U457" s="198" t="str">
        <f aca="false">Таблица310[[#This Row],[Регистратор.Номенклатура]]</f>
        <v>Тристар</v>
      </c>
      <c r="V457" s="230" t="n">
        <f aca="false">36*Таблица310[[#This Row],[Регистратор.Вес нетто]]/252940</f>
        <v>2.17474499881395</v>
      </c>
      <c r="W457" s="198" t="s">
        <v>278</v>
      </c>
      <c r="X457" s="198" t="s">
        <v>315</v>
      </c>
      <c r="Y457" s="198" t="n">
        <v>6</v>
      </c>
      <c r="Z457" s="200" t="n">
        <v>45828</v>
      </c>
      <c r="AA457" s="231" t="n">
        <f aca="false">Таблица310[[#This Row],[Регистратор.Вес нетто]]</f>
        <v>15280</v>
      </c>
      <c r="AB457" s="198" t="s">
        <v>916</v>
      </c>
      <c r="AC457" s="198" t="s">
        <v>302</v>
      </c>
      <c r="AD457" s="198" t="s">
        <v>886</v>
      </c>
      <c r="AE457" s="198" t="s">
        <v>1027</v>
      </c>
      <c r="AF457" s="200" t="n">
        <v>45828</v>
      </c>
      <c r="AG457" s="198" t="s">
        <v>1028</v>
      </c>
      <c r="AH457" s="198" t="n">
        <f aca="false">VLOOKUP(Таблица310[[#This Row],[№ акта]],'Степень зрелости 2025'!$H$13:$I$583,2,FALSE())</f>
        <v>0</v>
      </c>
      <c r="AI457" s="198" t="n">
        <f aca="false">VLOOKUP(Таблица310[[#This Row],[№ акта]],$AQ$1:$AT$594,2,FALSE())</f>
        <v>14</v>
      </c>
      <c r="AJ457" s="198" t="str">
        <f aca="false">Таблица310[[#This Row],[Регистратор.Номенклатура]]</f>
        <v>Тристар</v>
      </c>
      <c r="AK457" s="198" t="str">
        <f aca="false">VLOOKUP(Таблица310[[#This Row],[№ акта]],$AQ$1:$AT$594,4,FALSE())</f>
        <v>Агролидер (полив)</v>
      </c>
      <c r="AL457" s="230" t="n">
        <f aca="false">VLOOKUP(Таблица310[[#This Row],[№ акта]],$AQ$1:$AT$594,3,FALSE())</f>
        <v>2.17474499881395</v>
      </c>
      <c r="AM457" s="198" t="str">
        <f aca="false">IF(Таблица310[[#This Row],[Площадь уборки, га]]=Таблица310[[#This Row],[Площадь уборки до корр]],"нет","да")</f>
        <v>нет</v>
      </c>
      <c r="AN457" s="230" t="n">
        <f aca="false">Таблица310[[#This Row],[Площадь уборки до корр]]-Таблица310[[#This Row],[Площадь уборки, га]]</f>
        <v>0</v>
      </c>
      <c r="AQ457" s="0" t="s">
        <v>1027</v>
      </c>
      <c r="AR457" s="0" t="n">
        <v>14</v>
      </c>
      <c r="AS457" s="0" t="n">
        <v>2.17474499881395</v>
      </c>
      <c r="AT457" s="0" t="s">
        <v>278</v>
      </c>
    </row>
    <row r="458" customFormat="false" ht="28.35" hidden="false" customHeight="false" outlineLevel="0" collapsed="false">
      <c r="A458" s="198"/>
      <c r="B458" s="223"/>
      <c r="C458" s="234" t="n">
        <v>64</v>
      </c>
      <c r="D458" s="224" t="s">
        <v>1029</v>
      </c>
      <c r="E458" s="225" t="n">
        <v>45828</v>
      </c>
      <c r="F458" s="223" t="n">
        <v>31760</v>
      </c>
      <c r="G458" s="223" t="n">
        <v>16160</v>
      </c>
      <c r="H458" s="226" t="n">
        <v>15600</v>
      </c>
      <c r="I458" s="223" t="n">
        <v>12949</v>
      </c>
      <c r="J458" s="198" t="s">
        <v>908</v>
      </c>
      <c r="K458" s="198" t="s">
        <v>904</v>
      </c>
      <c r="L458" s="198" t="n">
        <v>14</v>
      </c>
      <c r="M458" s="189" t="s">
        <v>472</v>
      </c>
      <c r="N458" s="198"/>
      <c r="O458" s="198"/>
      <c r="P458" s="198"/>
      <c r="Q458" s="198"/>
      <c r="R458" s="198" t="s">
        <v>476</v>
      </c>
      <c r="S458" s="198"/>
      <c r="T458" s="198" t="n">
        <v>14</v>
      </c>
      <c r="U458" s="198" t="str">
        <f aca="false">Таблица310[[#This Row],[Регистратор.Номенклатура]]</f>
        <v>Тристар</v>
      </c>
      <c r="V458" s="230" t="n">
        <f aca="false">36*Таблица310[[#This Row],[Регистратор.Вес нетто]]/252940</f>
        <v>2.29999209298648</v>
      </c>
      <c r="W458" s="198" t="s">
        <v>278</v>
      </c>
      <c r="X458" s="198" t="s">
        <v>315</v>
      </c>
      <c r="Y458" s="198" t="n">
        <v>6</v>
      </c>
      <c r="Z458" s="200" t="n">
        <v>45828</v>
      </c>
      <c r="AA458" s="231" t="n">
        <f aca="false">Таблица310[[#This Row],[Регистратор.Вес нетто]]</f>
        <v>16160</v>
      </c>
      <c r="AB458" s="198" t="s">
        <v>916</v>
      </c>
      <c r="AC458" s="198" t="s">
        <v>304</v>
      </c>
      <c r="AD458" s="198" t="s">
        <v>886</v>
      </c>
      <c r="AE458" s="198" t="s">
        <v>1029</v>
      </c>
      <c r="AF458" s="200" t="n">
        <v>45828</v>
      </c>
      <c r="AG458" s="198" t="s">
        <v>1030</v>
      </c>
      <c r="AH458" s="198" t="n">
        <f aca="false">VLOOKUP(Таблица310[[#This Row],[№ акта]],'Степень зрелости 2025'!$H$13:$I$583,2,FALSE())</f>
        <v>0</v>
      </c>
      <c r="AI458" s="198" t="n">
        <f aca="false">VLOOKUP(Таблица310[[#This Row],[№ акта]],$AQ$1:$AT$594,2,FALSE())</f>
        <v>14</v>
      </c>
      <c r="AJ458" s="198" t="str">
        <f aca="false">Таблица310[[#This Row],[Регистратор.Номенклатура]]</f>
        <v>Тристар</v>
      </c>
      <c r="AK458" s="198" t="str">
        <f aca="false">VLOOKUP(Таблица310[[#This Row],[№ акта]],$AQ$1:$AT$594,4,FALSE())</f>
        <v>Агролидер (полив)</v>
      </c>
      <c r="AL458" s="230" t="n">
        <f aca="false">VLOOKUP(Таблица310[[#This Row],[№ акта]],$AQ$1:$AT$594,3,FALSE())</f>
        <v>2.29999209298648</v>
      </c>
      <c r="AM458" s="198" t="str">
        <f aca="false">IF(Таблица310[[#This Row],[Площадь уборки, га]]=Таблица310[[#This Row],[Площадь уборки до корр]],"нет","да")</f>
        <v>нет</v>
      </c>
      <c r="AN458" s="230" t="n">
        <f aca="false">Таблица310[[#This Row],[Площадь уборки до корр]]-Таблица310[[#This Row],[Площадь уборки, га]]</f>
        <v>0</v>
      </c>
      <c r="AQ458" s="0" t="s">
        <v>1029</v>
      </c>
      <c r="AR458" s="0" t="n">
        <v>14</v>
      </c>
      <c r="AS458" s="0" t="n">
        <v>2.29999209298648</v>
      </c>
      <c r="AT458" s="0" t="s">
        <v>278</v>
      </c>
    </row>
    <row r="459" customFormat="false" ht="46.25" hidden="false" customHeight="false" outlineLevel="0" collapsed="false">
      <c r="A459" s="198"/>
      <c r="B459" s="223"/>
      <c r="C459" s="198" t="n">
        <f aca="false">VLOOKUP(Таблица310[[#This Row],[№ акта]],'Степень зрелости 2025'!$H$13:$I$463,2,FALSE())</f>
        <v>54</v>
      </c>
      <c r="D459" s="224" t="s">
        <v>1031</v>
      </c>
      <c r="E459" s="225" t="n">
        <v>45831</v>
      </c>
      <c r="F459" s="223" t="n">
        <v>27950</v>
      </c>
      <c r="G459" s="223" t="n">
        <v>13950</v>
      </c>
      <c r="H459" s="226" t="n">
        <v>14000</v>
      </c>
      <c r="I459" s="223" t="n">
        <v>11229.7</v>
      </c>
      <c r="J459" s="198" t="s">
        <v>994</v>
      </c>
      <c r="K459" s="198" t="s">
        <v>997</v>
      </c>
      <c r="L459" s="198" t="s">
        <v>996</v>
      </c>
      <c r="M459" s="189" t="s">
        <v>359</v>
      </c>
      <c r="N459" s="198"/>
      <c r="O459" s="198"/>
      <c r="P459" s="198"/>
      <c r="Q459" s="198"/>
      <c r="R459" s="198" t="s">
        <v>426</v>
      </c>
      <c r="S459" s="198"/>
      <c r="T459" s="198" t="s">
        <v>996</v>
      </c>
      <c r="U459" s="198" t="str">
        <f aca="false">Таблица310[[#This Row],[Регистратор.Номенклатура]]</f>
        <v>Грюнди</v>
      </c>
      <c r="V459" s="230" t="n">
        <f aca="false">33.3*Таблица310[[#This Row],[Регистратор.Вес нетто]]/146870</f>
        <v>3.16289916252468</v>
      </c>
      <c r="W459" s="198" t="s">
        <v>279</v>
      </c>
      <c r="X459" s="198" t="s">
        <v>315</v>
      </c>
      <c r="Y459" s="198" t="n">
        <v>3</v>
      </c>
      <c r="Z459" s="200" t="n">
        <v>45831</v>
      </c>
      <c r="AA459" s="198"/>
      <c r="AB459" s="198" t="s">
        <v>1023</v>
      </c>
      <c r="AC459" s="198" t="s">
        <v>302</v>
      </c>
      <c r="AD459" s="198" t="s">
        <v>417</v>
      </c>
      <c r="AE459" s="198" t="s">
        <v>1031</v>
      </c>
      <c r="AF459" s="200" t="n">
        <v>45831</v>
      </c>
      <c r="AG459" s="198" t="n">
        <v>26</v>
      </c>
      <c r="AH459" s="198" t="n">
        <f aca="false">VLOOKUP(Таблица310[[#This Row],[№ акта]],'Степень зрелости 2025'!$H$13:$I$583,2,FALSE())</f>
        <v>54</v>
      </c>
      <c r="AI459" s="198" t="str">
        <f aca="false">VLOOKUP(Таблица310[[#This Row],[№ акта]],$AQ$1:$AT$594,2,FALSE())</f>
        <v>4.4</v>
      </c>
      <c r="AJ459" s="198" t="str">
        <f aca="false">Таблица310[[#This Row],[Регистратор.Номенклатура]]</f>
        <v>Грюнди</v>
      </c>
      <c r="AK459" s="198" t="str">
        <f aca="false">VLOOKUP(Таблица310[[#This Row],[№ акта]],$AQ$1:$AT$594,4,FALSE())</f>
        <v>Колос (полив)</v>
      </c>
      <c r="AL459" s="230" t="n">
        <f aca="false">VLOOKUP(Таблица310[[#This Row],[№ акта]],$AQ$1:$AT$594,3,FALSE())</f>
        <v>4.39396489540755</v>
      </c>
      <c r="AM459" s="198" t="str">
        <f aca="false">IF(Таблица310[[#This Row],[Площадь уборки, га]]=Таблица310[[#This Row],[Площадь уборки до корр]],"нет","да")</f>
        <v>да</v>
      </c>
      <c r="AN459" s="230" t="n">
        <f aca="false">Таблица310[[#This Row],[Площадь уборки до корр]]-Таблица310[[#This Row],[Площадь уборки, га]]</f>
        <v>1.23106573288287</v>
      </c>
      <c r="AQ459" s="0" t="s">
        <v>1031</v>
      </c>
      <c r="AR459" s="0" t="s">
        <v>996</v>
      </c>
      <c r="AS459" s="0" t="n">
        <v>4.39396489540755</v>
      </c>
      <c r="AT459" s="0" t="s">
        <v>279</v>
      </c>
    </row>
    <row r="460" customFormat="false" ht="19.4" hidden="false" customHeight="false" outlineLevel="0" collapsed="false">
      <c r="A460" s="198"/>
      <c r="B460" s="223"/>
      <c r="C460" s="198" t="n">
        <f aca="false">VLOOKUP(Таблица310[[#This Row],[№ акта]],'Степень зрелости 2025'!$H$13:$I$463,2,FALSE())</f>
        <v>49</v>
      </c>
      <c r="D460" s="224" t="s">
        <v>1032</v>
      </c>
      <c r="E460" s="225" t="n">
        <v>45831</v>
      </c>
      <c r="F460" s="223" t="n">
        <v>35190</v>
      </c>
      <c r="G460" s="223" t="n">
        <v>14010</v>
      </c>
      <c r="H460" s="226" t="n">
        <v>21180</v>
      </c>
      <c r="I460" s="223" t="n">
        <v>10857.7</v>
      </c>
      <c r="J460" s="198" t="s">
        <v>994</v>
      </c>
      <c r="K460" s="198" t="s">
        <v>997</v>
      </c>
      <c r="L460" s="198" t="s">
        <v>995</v>
      </c>
      <c r="M460" s="189" t="s">
        <v>427</v>
      </c>
      <c r="N460" s="198"/>
      <c r="O460" s="198"/>
      <c r="P460" s="198"/>
      <c r="Q460" s="198"/>
      <c r="R460" s="198" t="s">
        <v>431</v>
      </c>
      <c r="S460" s="198"/>
      <c r="T460" s="198" t="s">
        <v>995</v>
      </c>
      <c r="U460" s="198" t="str">
        <f aca="false">Таблица310[[#This Row],[Регистратор.Номенклатура]]</f>
        <v>Грюнди</v>
      </c>
      <c r="V460" s="230" t="n">
        <f aca="false">9*Таблица310[[#This Row],[Регистратор.Вес нетто]]/81700</f>
        <v>1.54332925336597</v>
      </c>
      <c r="W460" s="198" t="s">
        <v>279</v>
      </c>
      <c r="X460" s="198" t="s">
        <v>315</v>
      </c>
      <c r="Y460" s="198" t="n">
        <v>3</v>
      </c>
      <c r="Z460" s="200" t="n">
        <v>45831</v>
      </c>
      <c r="AA460" s="198"/>
      <c r="AB460" s="198"/>
      <c r="AC460" s="198" t="s">
        <v>53</v>
      </c>
      <c r="AD460" s="198" t="s">
        <v>417</v>
      </c>
      <c r="AE460" s="198" t="s">
        <v>1032</v>
      </c>
      <c r="AF460" s="200" t="n">
        <v>45831</v>
      </c>
      <c r="AG460" s="198" t="n">
        <v>28</v>
      </c>
      <c r="AH460" s="198" t="n">
        <f aca="false">VLOOKUP(Таблица310[[#This Row],[№ акта]],'Степень зрелости 2025'!$H$13:$I$583,2,FALSE())</f>
        <v>49</v>
      </c>
      <c r="AI460" s="198" t="str">
        <f aca="false">VLOOKUP(Таблица310[[#This Row],[№ акта]],$AQ$1:$AT$594,2,FALSE())</f>
        <v>4.4</v>
      </c>
      <c r="AJ460" s="198" t="str">
        <f aca="false">Таблица310[[#This Row],[Регистратор.Номенклатура]]</f>
        <v>Грюнди</v>
      </c>
      <c r="AK460" s="198" t="str">
        <f aca="false">VLOOKUP(Таблица310[[#This Row],[№ акта]],$AQ$1:$AT$594,4,FALSE())</f>
        <v>Колос (полив)</v>
      </c>
      <c r="AL460" s="230" t="n">
        <f aca="false">VLOOKUP(Таблица310[[#This Row],[№ акта]],$AQ$1:$AT$594,3,FALSE())</f>
        <v>4.41286366915124</v>
      </c>
      <c r="AM460" s="198" t="str">
        <f aca="false">IF(Таблица310[[#This Row],[Площадь уборки, га]]=Таблица310[[#This Row],[Площадь уборки до корр]],"нет","да")</f>
        <v>да</v>
      </c>
      <c r="AN460" s="230" t="n">
        <f aca="false">Таблица310[[#This Row],[Площадь уборки до корр]]-Таблица310[[#This Row],[Площадь уборки, га]]</f>
        <v>2.86953441578527</v>
      </c>
      <c r="AQ460" s="0" t="s">
        <v>1032</v>
      </c>
      <c r="AR460" s="0" t="s">
        <v>996</v>
      </c>
      <c r="AS460" s="0" t="n">
        <v>4.41286366915124</v>
      </c>
      <c r="AT460" s="0" t="s">
        <v>279</v>
      </c>
    </row>
    <row r="461" customFormat="false" ht="19.4" hidden="false" customHeight="false" outlineLevel="0" collapsed="false">
      <c r="A461" s="198"/>
      <c r="B461" s="223"/>
      <c r="C461" s="198" t="n">
        <f aca="false">VLOOKUP(Таблица310[[#This Row],[№ акта]],'Степень зрелости 2025'!$H$13:$I$463,2,FALSE())</f>
        <v>55</v>
      </c>
      <c r="D461" s="224" t="s">
        <v>1033</v>
      </c>
      <c r="E461" s="225" t="n">
        <v>45831</v>
      </c>
      <c r="F461" s="223" t="n">
        <v>28910</v>
      </c>
      <c r="G461" s="223" t="n">
        <v>13950</v>
      </c>
      <c r="H461" s="226" t="n">
        <v>14960</v>
      </c>
      <c r="I461" s="223" t="n">
        <v>11857.5</v>
      </c>
      <c r="J461" s="198" t="s">
        <v>994</v>
      </c>
      <c r="K461" s="198" t="s">
        <v>997</v>
      </c>
      <c r="L461" s="198" t="s">
        <v>995</v>
      </c>
      <c r="M461" s="189" t="s">
        <v>433</v>
      </c>
      <c r="N461" s="198"/>
      <c r="O461" s="198"/>
      <c r="P461" s="198"/>
      <c r="Q461" s="198"/>
      <c r="R461" s="198" t="s">
        <v>437</v>
      </c>
      <c r="S461" s="198"/>
      <c r="T461" s="198" t="s">
        <v>995</v>
      </c>
      <c r="U461" s="198" t="str">
        <f aca="false">Таблица310[[#This Row],[Регистратор.Номенклатура]]</f>
        <v>Грюнди</v>
      </c>
      <c r="V461" s="230" t="n">
        <f aca="false">9*Таблица310[[#This Row],[Регистратор.Вес нетто]]/81700</f>
        <v>1.53671970624235</v>
      </c>
      <c r="W461" s="198" t="s">
        <v>279</v>
      </c>
      <c r="X461" s="198" t="s">
        <v>315</v>
      </c>
      <c r="Y461" s="198" t="n">
        <v>3</v>
      </c>
      <c r="Z461" s="200" t="n">
        <v>45831</v>
      </c>
      <c r="AA461" s="198"/>
      <c r="AB461" s="198"/>
      <c r="AC461" s="198" t="s">
        <v>302</v>
      </c>
      <c r="AD461" s="198" t="s">
        <v>417</v>
      </c>
      <c r="AE461" s="198" t="s">
        <v>1033</v>
      </c>
      <c r="AF461" s="200" t="n">
        <v>45831</v>
      </c>
      <c r="AG461" s="198" t="n">
        <v>27</v>
      </c>
      <c r="AH461" s="198" t="n">
        <f aca="false">VLOOKUP(Таблица310[[#This Row],[№ акта]],'Степень зрелости 2025'!$H$13:$I$583,2,FALSE())</f>
        <v>55</v>
      </c>
      <c r="AI461" s="198" t="str">
        <f aca="false">VLOOKUP(Таблица310[[#This Row],[№ акта]],$AQ$1:$AT$594,2,FALSE())</f>
        <v>4.1</v>
      </c>
      <c r="AJ461" s="198" t="str">
        <f aca="false">Таблица310[[#This Row],[Регистратор.Номенклатура]]</f>
        <v>Грюнди</v>
      </c>
      <c r="AK461" s="198" t="str">
        <f aca="false">VLOOKUP(Таблица310[[#This Row],[№ акта]],$AQ$1:$AT$594,4,FALSE())</f>
        <v>Колос (полив)</v>
      </c>
      <c r="AL461" s="230" t="n">
        <f aca="false">VLOOKUP(Таблица310[[#This Row],[№ акта]],$AQ$1:$AT$594,3,FALSE())</f>
        <v>1.85477914019796</v>
      </c>
      <c r="AM461" s="198" t="str">
        <f aca="false">IF(Таблица310[[#This Row],[Площадь уборки, га]]=Таблица310[[#This Row],[Площадь уборки до корр]],"нет","да")</f>
        <v>да</v>
      </c>
      <c r="AN461" s="230" t="n">
        <f aca="false">Таблица310[[#This Row],[Площадь уборки до корр]]-Таблица310[[#This Row],[Площадь уборки, га]]</f>
        <v>0.318059433955611</v>
      </c>
      <c r="AQ461" s="0" t="s">
        <v>1033</v>
      </c>
      <c r="AR461" s="0" t="s">
        <v>995</v>
      </c>
      <c r="AS461" s="0" t="n">
        <v>1.85477914019796</v>
      </c>
      <c r="AT461" s="0" t="s">
        <v>279</v>
      </c>
    </row>
    <row r="462" customFormat="false" ht="19.4" hidden="false" customHeight="false" outlineLevel="0" collapsed="false">
      <c r="A462" s="198"/>
      <c r="B462" s="223"/>
      <c r="C462" s="198" t="n">
        <f aca="false">VLOOKUP(Таблица310[[#This Row],[№ акта]],'Степень зрелости 2025'!$H$13:$I$463,2,FALSE())</f>
        <v>52</v>
      </c>
      <c r="D462" s="224" t="s">
        <v>1034</v>
      </c>
      <c r="E462" s="225" t="n">
        <v>45831</v>
      </c>
      <c r="F462" s="223" t="n">
        <v>37910</v>
      </c>
      <c r="G462" s="223" t="n">
        <v>13770</v>
      </c>
      <c r="H462" s="226" t="n">
        <v>24140</v>
      </c>
      <c r="I462" s="223" t="n">
        <v>11635.6</v>
      </c>
      <c r="J462" s="198" t="s">
        <v>994</v>
      </c>
      <c r="K462" s="198" t="s">
        <v>997</v>
      </c>
      <c r="L462" s="198" t="s">
        <v>995</v>
      </c>
      <c r="M462" s="189" t="s">
        <v>439</v>
      </c>
      <c r="N462" s="198"/>
      <c r="O462" s="198"/>
      <c r="P462" s="198"/>
      <c r="Q462" s="198"/>
      <c r="R462" s="198" t="s">
        <v>443</v>
      </c>
      <c r="S462" s="198"/>
      <c r="T462" s="198" t="s">
        <v>995</v>
      </c>
      <c r="U462" s="198" t="str">
        <f aca="false">Таблица310[[#This Row],[Регистратор.Номенклатура]]</f>
        <v>Грюнди</v>
      </c>
      <c r="V462" s="230" t="n">
        <f aca="false">9*Таблица310[[#This Row],[Регистратор.Вес нетто]]/81700</f>
        <v>1.51689106487148</v>
      </c>
      <c r="W462" s="198" t="s">
        <v>279</v>
      </c>
      <c r="X462" s="198" t="s">
        <v>315</v>
      </c>
      <c r="Y462" s="198" t="n">
        <v>3</v>
      </c>
      <c r="Z462" s="200" t="n">
        <v>45831</v>
      </c>
      <c r="AA462" s="198"/>
      <c r="AB462" s="198"/>
      <c r="AC462" s="198" t="s">
        <v>53</v>
      </c>
      <c r="AD462" s="198" t="s">
        <v>417</v>
      </c>
      <c r="AE462" s="198" t="s">
        <v>1034</v>
      </c>
      <c r="AF462" s="200" t="n">
        <v>45831</v>
      </c>
      <c r="AG462" s="198" t="n">
        <v>29</v>
      </c>
      <c r="AH462" s="198" t="n">
        <f aca="false">VLOOKUP(Таблица310[[#This Row],[№ акта]],'Степень зрелости 2025'!$H$13:$I$583,2,FALSE())</f>
        <v>52</v>
      </c>
      <c r="AI462" s="198" t="str">
        <f aca="false">VLOOKUP(Таблица310[[#This Row],[№ акта]],$AQ$1:$AT$594,2,FALSE())</f>
        <v>4.1</v>
      </c>
      <c r="AJ462" s="198" t="str">
        <f aca="false">Таблица310[[#This Row],[Регистратор.Номенклатура]]</f>
        <v>Грюнди</v>
      </c>
      <c r="AK462" s="198" t="str">
        <f aca="false">VLOOKUP(Таблица310[[#This Row],[№ акта]],$AQ$1:$AT$594,4,FALSE())</f>
        <v>Колос (полив)</v>
      </c>
      <c r="AL462" s="230" t="n">
        <f aca="false">VLOOKUP(Таблица310[[#This Row],[№ акта]],$AQ$1:$AT$594,3,FALSE())</f>
        <v>1.83084650613089</v>
      </c>
      <c r="AM462" s="198" t="str">
        <f aca="false">IF(Таблица310[[#This Row],[Площадь уборки, га]]=Таблица310[[#This Row],[Площадь уборки до корр]],"нет","да")</f>
        <v>да</v>
      </c>
      <c r="AN462" s="230" t="n">
        <f aca="false">Таблица310[[#This Row],[Площадь уборки до корр]]-Таблица310[[#This Row],[Площадь уборки, га]]</f>
        <v>0.31395544125941</v>
      </c>
      <c r="AQ462" s="0" t="s">
        <v>1034</v>
      </c>
      <c r="AR462" s="0" t="s">
        <v>995</v>
      </c>
      <c r="AS462" s="0" t="n">
        <v>1.83084650613089</v>
      </c>
      <c r="AT462" s="0" t="s">
        <v>279</v>
      </c>
    </row>
    <row r="463" customFormat="false" ht="28.35" hidden="false" customHeight="false" outlineLevel="0" collapsed="false">
      <c r="A463" s="198"/>
      <c r="B463" s="223"/>
      <c r="C463" s="198" t="n">
        <f aca="false">VLOOKUP(Таблица310[[#This Row],[№ акта]],'Степень зрелости 2025'!$H$13:$I$463,2,FALSE())</f>
        <v>51</v>
      </c>
      <c r="D463" s="224" t="s">
        <v>1035</v>
      </c>
      <c r="E463" s="225" t="n">
        <v>45831</v>
      </c>
      <c r="F463" s="223" t="n">
        <v>28840</v>
      </c>
      <c r="G463" s="223" t="n">
        <v>13760</v>
      </c>
      <c r="H463" s="226" t="n">
        <v>15080</v>
      </c>
      <c r="I463" s="223" t="n">
        <v>11214.4</v>
      </c>
      <c r="J463" s="198" t="s">
        <v>994</v>
      </c>
      <c r="K463" s="198" t="s">
        <v>997</v>
      </c>
      <c r="L463" s="198" t="s">
        <v>995</v>
      </c>
      <c r="M463" s="189" t="s">
        <v>371</v>
      </c>
      <c r="N463" s="198"/>
      <c r="O463" s="198"/>
      <c r="P463" s="198"/>
      <c r="Q463" s="198"/>
      <c r="R463" s="198" t="s">
        <v>372</v>
      </c>
      <c r="S463" s="198"/>
      <c r="T463" s="198" t="s">
        <v>995</v>
      </c>
      <c r="U463" s="198" t="str">
        <f aca="false">Таблица310[[#This Row],[Регистратор.Номенклатура]]</f>
        <v>Грюнди</v>
      </c>
      <c r="V463" s="230" t="n">
        <f aca="false">9*Таблица310[[#This Row],[Регистратор.Вес нетто]]/81700</f>
        <v>1.51578947368421</v>
      </c>
      <c r="W463" s="198" t="s">
        <v>279</v>
      </c>
      <c r="X463" s="198" t="s">
        <v>315</v>
      </c>
      <c r="Y463" s="198" t="n">
        <v>3</v>
      </c>
      <c r="Z463" s="200" t="n">
        <v>45831</v>
      </c>
      <c r="AA463" s="198"/>
      <c r="AB463" s="198"/>
      <c r="AC463" s="198" t="s">
        <v>53</v>
      </c>
      <c r="AD463" s="198" t="s">
        <v>417</v>
      </c>
      <c r="AE463" s="198" t="s">
        <v>1035</v>
      </c>
      <c r="AF463" s="200" t="n">
        <v>45831</v>
      </c>
      <c r="AG463" s="198" t="n">
        <v>30</v>
      </c>
      <c r="AH463" s="198" t="n">
        <f aca="false">VLOOKUP(Таблица310[[#This Row],[№ акта]],'Степень зрелости 2025'!$H$13:$I$583,2,FALSE())</f>
        <v>51</v>
      </c>
      <c r="AI463" s="198" t="str">
        <f aca="false">VLOOKUP(Таблица310[[#This Row],[№ акта]],$AQ$1:$AT$594,2,FALSE())</f>
        <v>4.1</v>
      </c>
      <c r="AJ463" s="198" t="str">
        <f aca="false">Таблица310[[#This Row],[Регистратор.Номенклатура]]</f>
        <v>Грюнди</v>
      </c>
      <c r="AK463" s="198" t="str">
        <f aca="false">VLOOKUP(Таблица310[[#This Row],[№ акта]],$AQ$1:$AT$594,4,FALSE())</f>
        <v>Колос (полив)</v>
      </c>
      <c r="AL463" s="230" t="n">
        <f aca="false">VLOOKUP(Таблица310[[#This Row],[№ акта]],$AQ$1:$AT$594,3,FALSE())</f>
        <v>1.82951691534939</v>
      </c>
      <c r="AM463" s="198" t="str">
        <f aca="false">IF(Таблица310[[#This Row],[Площадь уборки, га]]=Таблица310[[#This Row],[Площадь уборки до корр]],"нет","да")</f>
        <v>да</v>
      </c>
      <c r="AN463" s="230" t="n">
        <f aca="false">Таблица310[[#This Row],[Площадь уборки до корр]]-Таблица310[[#This Row],[Площадь уборки, га]]</f>
        <v>0.313727441665176</v>
      </c>
      <c r="AQ463" s="0" t="s">
        <v>1035</v>
      </c>
      <c r="AR463" s="0" t="s">
        <v>995</v>
      </c>
      <c r="AS463" s="0" t="n">
        <v>1.82951691534939</v>
      </c>
      <c r="AT463" s="0" t="s">
        <v>279</v>
      </c>
    </row>
    <row r="464" customFormat="false" ht="28.35" hidden="false" customHeight="false" outlineLevel="0" collapsed="false">
      <c r="A464" s="198"/>
      <c r="B464" s="223"/>
      <c r="C464" s="198" t="n">
        <f aca="false">VLOOKUP(Таблица310[[#This Row],[№ акта]],'Степень зрелости 2025'!$H$13:$I$463,2,FALSE())</f>
        <v>54</v>
      </c>
      <c r="D464" s="224" t="s">
        <v>1036</v>
      </c>
      <c r="E464" s="225" t="n">
        <v>45831</v>
      </c>
      <c r="F464" s="223" t="n">
        <v>28290</v>
      </c>
      <c r="G464" s="223" t="n">
        <v>13380</v>
      </c>
      <c r="H464" s="226" t="n">
        <v>14910</v>
      </c>
      <c r="I464" s="223" t="n">
        <v>10904.7</v>
      </c>
      <c r="J464" s="198" t="s">
        <v>994</v>
      </c>
      <c r="K464" s="198" t="s">
        <v>997</v>
      </c>
      <c r="L464" s="198" t="s">
        <v>995</v>
      </c>
      <c r="M464" s="189" t="s">
        <v>553</v>
      </c>
      <c r="N464" s="198"/>
      <c r="O464" s="198"/>
      <c r="P464" s="198"/>
      <c r="Q464" s="198"/>
      <c r="R464" s="198" t="s">
        <v>557</v>
      </c>
      <c r="S464" s="198"/>
      <c r="T464" s="198" t="s">
        <v>995</v>
      </c>
      <c r="U464" s="198" t="str">
        <f aca="false">Таблица310[[#This Row],[Регистратор.Номенклатура]]</f>
        <v>Грюнди</v>
      </c>
      <c r="V464" s="230" t="n">
        <f aca="false">9*Таблица310[[#This Row],[Регистратор.Вес нетто]]/81700</f>
        <v>1.47392900856793</v>
      </c>
      <c r="W464" s="198" t="s">
        <v>279</v>
      </c>
      <c r="X464" s="198" t="s">
        <v>315</v>
      </c>
      <c r="Y464" s="198" t="n">
        <v>3</v>
      </c>
      <c r="Z464" s="200" t="n">
        <v>45831</v>
      </c>
      <c r="AA464" s="198"/>
      <c r="AB464" s="198"/>
      <c r="AC464" s="198" t="s">
        <v>302</v>
      </c>
      <c r="AD464" s="198" t="s">
        <v>417</v>
      </c>
      <c r="AE464" s="198" t="s">
        <v>1036</v>
      </c>
      <c r="AF464" s="200" t="n">
        <v>45831</v>
      </c>
      <c r="AG464" s="198" t="n">
        <v>31</v>
      </c>
      <c r="AH464" s="198" t="n">
        <f aca="false">VLOOKUP(Таблица310[[#This Row],[№ акта]],'Степень зрелости 2025'!$H$13:$I$583,2,FALSE())</f>
        <v>54</v>
      </c>
      <c r="AI464" s="198" t="str">
        <f aca="false">VLOOKUP(Таблица310[[#This Row],[№ акта]],$AQ$1:$AT$594,2,FALSE())</f>
        <v>4.1</v>
      </c>
      <c r="AJ464" s="198" t="str">
        <f aca="false">Таблица310[[#This Row],[Регистратор.Номенклатура]]</f>
        <v>Грюнди</v>
      </c>
      <c r="AK464" s="198" t="str">
        <f aca="false">VLOOKUP(Таблица310[[#This Row],[№ акта]],$AQ$1:$AT$594,4,FALSE())</f>
        <v>Колос (полив)</v>
      </c>
      <c r="AL464" s="230" t="n">
        <f aca="false">VLOOKUP(Таблица310[[#This Row],[№ акта]],$AQ$1:$AT$594,3,FALSE())</f>
        <v>1.77899246565224</v>
      </c>
      <c r="AM464" s="198" t="str">
        <f aca="false">IF(Таблица310[[#This Row],[Площадь уборки, га]]=Таблица310[[#This Row],[Площадь уборки до корр]],"нет","да")</f>
        <v>да</v>
      </c>
      <c r="AN464" s="230" t="n">
        <f aca="false">Таблица310[[#This Row],[Площадь уборки до корр]]-Таблица310[[#This Row],[Площадь уборки, га]]</f>
        <v>0.305063457084307</v>
      </c>
      <c r="AQ464" s="0" t="s">
        <v>1036</v>
      </c>
      <c r="AR464" s="0" t="s">
        <v>995</v>
      </c>
      <c r="AS464" s="0" t="n">
        <v>1.77899246565224</v>
      </c>
      <c r="AT464" s="0" t="s">
        <v>279</v>
      </c>
    </row>
    <row r="465" customFormat="false" ht="19.4" hidden="false" customHeight="false" outlineLevel="0" collapsed="false">
      <c r="A465" s="198"/>
      <c r="B465" s="223"/>
      <c r="C465" s="198" t="n">
        <f aca="false">VLOOKUP(Таблица310[[#This Row],[№ акта]],'Степень зрелости 2025'!$H$13:$I$463,2,FALSE())</f>
        <v>53</v>
      </c>
      <c r="D465" s="224" t="s">
        <v>1037</v>
      </c>
      <c r="E465" s="225" t="n">
        <v>45831</v>
      </c>
      <c r="F465" s="223" t="n">
        <v>28630</v>
      </c>
      <c r="G465" s="223" t="n">
        <v>12830</v>
      </c>
      <c r="H465" s="226" t="n">
        <v>15800</v>
      </c>
      <c r="I465" s="223" t="n">
        <v>10584.7</v>
      </c>
      <c r="J465" s="198" t="s">
        <v>994</v>
      </c>
      <c r="K465" s="198" t="s">
        <v>997</v>
      </c>
      <c r="L465" s="198" t="s">
        <v>995</v>
      </c>
      <c r="M465" s="189" t="s">
        <v>57</v>
      </c>
      <c r="N465" s="198"/>
      <c r="O465" s="198"/>
      <c r="P465" s="198"/>
      <c r="Q465" s="198"/>
      <c r="R465" s="198" t="s">
        <v>58</v>
      </c>
      <c r="S465" s="198"/>
      <c r="T465" s="198" t="s">
        <v>995</v>
      </c>
      <c r="U465" s="198" t="str">
        <f aca="false">Таблица310[[#This Row],[Регистратор.Номенклатура]]</f>
        <v>Грюнди</v>
      </c>
      <c r="V465" s="230" t="n">
        <f aca="false">9*Таблица310[[#This Row],[Регистратор.Вес нетто]]/81700</f>
        <v>1.41334149326805</v>
      </c>
      <c r="W465" s="198" t="s">
        <v>279</v>
      </c>
      <c r="X465" s="198" t="s">
        <v>315</v>
      </c>
      <c r="Y465" s="198" t="n">
        <v>3</v>
      </c>
      <c r="Z465" s="200" t="n">
        <v>45831</v>
      </c>
      <c r="AA465" s="198"/>
      <c r="AB465" s="198"/>
      <c r="AC465" s="198" t="s">
        <v>302</v>
      </c>
      <c r="AD465" s="198" t="s">
        <v>417</v>
      </c>
      <c r="AE465" s="198" t="s">
        <v>1037</v>
      </c>
      <c r="AF465" s="200" t="n">
        <v>45831</v>
      </c>
      <c r="AG465" s="198" t="n">
        <v>32</v>
      </c>
      <c r="AH465" s="198" t="n">
        <f aca="false">VLOOKUP(Таблица310[[#This Row],[№ акта]],'Степень зрелости 2025'!$H$13:$I$583,2,FALSE())</f>
        <v>53</v>
      </c>
      <c r="AI465" s="198" t="str">
        <f aca="false">VLOOKUP(Таблица310[[#This Row],[№ акта]],$AQ$1:$AT$594,2,FALSE())</f>
        <v>4.1</v>
      </c>
      <c r="AJ465" s="198" t="str">
        <f aca="false">Таблица310[[#This Row],[Регистратор.Номенклатура]]</f>
        <v>Грюнди</v>
      </c>
      <c r="AK465" s="198" t="str">
        <f aca="false">VLOOKUP(Таблица310[[#This Row],[№ акта]],$AQ$1:$AT$594,4,FALSE())</f>
        <v>Колос (полив)</v>
      </c>
      <c r="AL465" s="230" t="n">
        <f aca="false">VLOOKUP(Таблица310[[#This Row],[№ акта]],$AQ$1:$AT$594,3,FALSE())</f>
        <v>1.70586497266952</v>
      </c>
      <c r="AM465" s="198" t="str">
        <f aca="false">IF(Таблица310[[#This Row],[Площадь уборки, га]]=Таблица310[[#This Row],[Площадь уборки до корр]],"нет","да")</f>
        <v>да</v>
      </c>
      <c r="AN465" s="230" t="n">
        <f aca="false">Таблица310[[#This Row],[Площадь уборки до корр]]-Таблица310[[#This Row],[Площадь уборки, га]]</f>
        <v>0.292523479401469</v>
      </c>
      <c r="AQ465" s="0" t="s">
        <v>1037</v>
      </c>
      <c r="AR465" s="0" t="s">
        <v>995</v>
      </c>
      <c r="AS465" s="0" t="n">
        <v>1.70586497266952</v>
      </c>
      <c r="AT465" s="0" t="s">
        <v>279</v>
      </c>
    </row>
    <row r="466" customFormat="false" ht="46.25" hidden="false" customHeight="false" outlineLevel="0" collapsed="false">
      <c r="A466" s="198"/>
      <c r="B466" s="223"/>
      <c r="C466" s="198" t="n">
        <v>52</v>
      </c>
      <c r="D466" s="224" t="s">
        <v>1038</v>
      </c>
      <c r="E466" s="225" t="n">
        <v>45832</v>
      </c>
      <c r="F466" s="223" t="n">
        <v>28570</v>
      </c>
      <c r="G466" s="223" t="n">
        <v>13530</v>
      </c>
      <c r="H466" s="226" t="n">
        <v>15040</v>
      </c>
      <c r="I466" s="223" t="n">
        <v>11365.2</v>
      </c>
      <c r="J466" s="198" t="s">
        <v>994</v>
      </c>
      <c r="K466" s="198" t="s">
        <v>997</v>
      </c>
      <c r="L466" s="198" t="s">
        <v>995</v>
      </c>
      <c r="M466" s="189" t="s">
        <v>451</v>
      </c>
      <c r="N466" s="198"/>
      <c r="O466" s="198"/>
      <c r="P466" s="198"/>
      <c r="Q466" s="198"/>
      <c r="R466" s="198" t="s">
        <v>455</v>
      </c>
      <c r="S466" s="198"/>
      <c r="T466" s="198" t="s">
        <v>995</v>
      </c>
      <c r="U466" s="198" t="str">
        <f aca="false">Таблица310[[#This Row],[Регистратор.Номенклатура]]</f>
        <v>Грюнди</v>
      </c>
      <c r="V466" s="230" t="n">
        <f aca="false">2*Таблица310[[#This Row],[Регистратор.Вес нетто]]/20150</f>
        <v>1.34292803970223</v>
      </c>
      <c r="W466" s="198" t="s">
        <v>279</v>
      </c>
      <c r="X466" s="198" t="s">
        <v>315</v>
      </c>
      <c r="Y466" s="198" t="n">
        <v>4</v>
      </c>
      <c r="Z466" s="200" t="n">
        <v>45832</v>
      </c>
      <c r="AA466" s="198"/>
      <c r="AB466" s="198" t="s">
        <v>1039</v>
      </c>
      <c r="AC466" s="198" t="s">
        <v>53</v>
      </c>
      <c r="AD466" s="198" t="s">
        <v>417</v>
      </c>
      <c r="AE466" s="198" t="s">
        <v>1038</v>
      </c>
      <c r="AF466" s="200" t="n">
        <v>45832</v>
      </c>
      <c r="AG466" s="198" t="n">
        <v>33</v>
      </c>
      <c r="AH466" s="198" t="n">
        <f aca="false">VLOOKUP(Таблица310[[#This Row],[№ акта]],'Степень зрелости 2025'!$H$13:$I$583,2,FALSE())</f>
        <v>52</v>
      </c>
      <c r="AI466" s="198" t="str">
        <f aca="false">VLOOKUP(Таблица310[[#This Row],[№ акта]],$AQ$1:$AT$594,2,FALSE())</f>
        <v>4.1</v>
      </c>
      <c r="AJ466" s="198" t="str">
        <f aca="false">Таблица310[[#This Row],[Регистратор.Номенклатура]]</f>
        <v>Грюнди</v>
      </c>
      <c r="AK466" s="198" t="str">
        <f aca="false">VLOOKUP(Таблица310[[#This Row],[№ акта]],$AQ$1:$AT$594,4,FALSE())</f>
        <v>Колос (полив)</v>
      </c>
      <c r="AL466" s="230" t="n">
        <f aca="false">VLOOKUP(Таблица310[[#This Row],[№ акта]],$AQ$1:$AT$594,3,FALSE())</f>
        <v>1.34292803970223</v>
      </c>
      <c r="AM466" s="198" t="str">
        <f aca="false">IF(Таблица310[[#This Row],[Площадь уборки, га]]=Таблица310[[#This Row],[Площадь уборки до корр]],"нет","да")</f>
        <v>нет</v>
      </c>
      <c r="AN466" s="230" t="n">
        <f aca="false">Таблица310[[#This Row],[Площадь уборки до корр]]-Таблица310[[#This Row],[Площадь уборки, га]]</f>
        <v>0</v>
      </c>
      <c r="AQ466" s="0" t="s">
        <v>1038</v>
      </c>
      <c r="AR466" s="0" t="s">
        <v>995</v>
      </c>
      <c r="AS466" s="0" t="n">
        <v>1.34292803970223</v>
      </c>
      <c r="AT466" s="0" t="s">
        <v>279</v>
      </c>
    </row>
    <row r="467" customFormat="false" ht="19.4" hidden="false" customHeight="false" outlineLevel="0" collapsed="false">
      <c r="A467" s="198"/>
      <c r="B467" s="223"/>
      <c r="C467" s="198" t="n">
        <v>48</v>
      </c>
      <c r="D467" s="224" t="s">
        <v>1040</v>
      </c>
      <c r="E467" s="225" t="n">
        <v>45832</v>
      </c>
      <c r="F467" s="223" t="n">
        <v>28260</v>
      </c>
      <c r="G467" s="223" t="n">
        <v>6860</v>
      </c>
      <c r="H467" s="226" t="n">
        <v>21400</v>
      </c>
      <c r="I467" s="223" t="n">
        <v>5899.6</v>
      </c>
      <c r="J467" s="198" t="s">
        <v>994</v>
      </c>
      <c r="K467" s="198" t="s">
        <v>900</v>
      </c>
      <c r="L467" s="198" t="s">
        <v>995</v>
      </c>
      <c r="M467" s="189" t="s">
        <v>361</v>
      </c>
      <c r="N467" s="198"/>
      <c r="O467" s="198"/>
      <c r="P467" s="198"/>
      <c r="Q467" s="198"/>
      <c r="R467" s="198" t="s">
        <v>362</v>
      </c>
      <c r="S467" s="198"/>
      <c r="T467" s="198" t="s">
        <v>995</v>
      </c>
      <c r="U467" s="198" t="str">
        <f aca="false">Таблица310[[#This Row],[Регистратор.Номенклатура]]</f>
        <v>Фаворит</v>
      </c>
      <c r="V467" s="230" t="n">
        <f aca="false">24*Таблица310[[#This Row],[Регистратор.Вес нетто]]/180130</f>
        <v>0.914006550824405</v>
      </c>
      <c r="W467" s="198" t="s">
        <v>279</v>
      </c>
      <c r="X467" s="198" t="s">
        <v>315</v>
      </c>
      <c r="Y467" s="198" t="n">
        <v>4</v>
      </c>
      <c r="Z467" s="200" t="n">
        <v>45832</v>
      </c>
      <c r="AA467" s="198"/>
      <c r="AB467" s="198"/>
      <c r="AC467" s="198" t="s">
        <v>53</v>
      </c>
      <c r="AD467" s="198" t="s">
        <v>417</v>
      </c>
      <c r="AE467" s="198" t="s">
        <v>1040</v>
      </c>
      <c r="AF467" s="200" t="n">
        <v>45832</v>
      </c>
      <c r="AG467" s="198" t="n">
        <v>34</v>
      </c>
      <c r="AH467" s="198" t="n">
        <f aca="false">VLOOKUP(Таблица310[[#This Row],[№ акта]],'Степень зрелости 2025'!$H$13:$I$583,2,FALSE())</f>
        <v>48</v>
      </c>
      <c r="AI467" s="198" t="str">
        <f aca="false">VLOOKUP(Таблица310[[#This Row],[№ акта]],$AQ$1:$AT$594,2,FALSE())</f>
        <v>4.1</v>
      </c>
      <c r="AJ467" s="198" t="str">
        <f aca="false">Таблица310[[#This Row],[Регистратор.Номенклатура]]</f>
        <v>Фаворит</v>
      </c>
      <c r="AK467" s="198" t="str">
        <f aca="false">VLOOKUP(Таблица310[[#This Row],[№ акта]],$AQ$1:$AT$594,4,FALSE())</f>
        <v>Колос (полив)</v>
      </c>
      <c r="AL467" s="230" t="n">
        <f aca="false">VLOOKUP(Таблица310[[#This Row],[№ акта]],$AQ$1:$AT$594,3,FALSE())</f>
        <v>0.914006550824405</v>
      </c>
      <c r="AM467" s="198" t="str">
        <f aca="false">IF(Таблица310[[#This Row],[Площадь уборки, га]]=Таблица310[[#This Row],[Площадь уборки до корр]],"нет","да")</f>
        <v>нет</v>
      </c>
      <c r="AN467" s="230" t="n">
        <f aca="false">Таблица310[[#This Row],[Площадь уборки до корр]]-Таблица310[[#This Row],[Площадь уборки, га]]</f>
        <v>0</v>
      </c>
      <c r="AQ467" s="0" t="s">
        <v>1040</v>
      </c>
      <c r="AR467" s="0" t="s">
        <v>995</v>
      </c>
      <c r="AS467" s="0" t="n">
        <v>0.914006550824405</v>
      </c>
      <c r="AT467" s="0" t="s">
        <v>279</v>
      </c>
    </row>
    <row r="468" customFormat="false" ht="19.4" hidden="false" customHeight="false" outlineLevel="0" collapsed="false">
      <c r="A468" s="198"/>
      <c r="B468" s="223"/>
      <c r="C468" s="198" t="n">
        <v>49</v>
      </c>
      <c r="D468" s="224" t="s">
        <v>1041</v>
      </c>
      <c r="E468" s="225" t="n">
        <v>45832</v>
      </c>
      <c r="F468" s="223" t="n">
        <v>21400</v>
      </c>
      <c r="G468" s="223" t="n">
        <v>6620</v>
      </c>
      <c r="H468" s="226" t="n">
        <v>14780</v>
      </c>
      <c r="I468" s="223" t="n">
        <v>5825.6</v>
      </c>
      <c r="J468" s="198" t="s">
        <v>994</v>
      </c>
      <c r="K468" s="198" t="s">
        <v>997</v>
      </c>
      <c r="L468" s="198" t="s">
        <v>995</v>
      </c>
      <c r="M468" s="189" t="s">
        <v>361</v>
      </c>
      <c r="N468" s="198"/>
      <c r="O468" s="198"/>
      <c r="P468" s="198"/>
      <c r="Q468" s="198"/>
      <c r="R468" s="198" t="s">
        <v>362</v>
      </c>
      <c r="S468" s="198"/>
      <c r="T468" s="198" t="s">
        <v>995</v>
      </c>
      <c r="U468" s="198" t="str">
        <f aca="false">Таблица310[[#This Row],[Регистратор.Номенклатура]]</f>
        <v>Грюнди</v>
      </c>
      <c r="V468" s="230" t="n">
        <f aca="false">2*Таблица310[[#This Row],[Регистратор.Вес нетто]]/20150</f>
        <v>0.657071960297767</v>
      </c>
      <c r="W468" s="198" t="s">
        <v>279</v>
      </c>
      <c r="X468" s="198" t="s">
        <v>315</v>
      </c>
      <c r="Y468" s="198" t="n">
        <v>4</v>
      </c>
      <c r="Z468" s="200" t="n">
        <v>45832</v>
      </c>
      <c r="AA468" s="198"/>
      <c r="AB468" s="198"/>
      <c r="AC468" s="198" t="s">
        <v>53</v>
      </c>
      <c r="AD468" s="198" t="s">
        <v>417</v>
      </c>
      <c r="AE468" s="198" t="s">
        <v>1041</v>
      </c>
      <c r="AF468" s="200" t="n">
        <v>45832</v>
      </c>
      <c r="AG468" s="198" t="n">
        <v>34</v>
      </c>
      <c r="AH468" s="198" t="n">
        <f aca="false">VLOOKUP(Таблица310[[#This Row],[№ акта]],'Степень зрелости 2025'!$H$13:$I$583,2,FALSE())</f>
        <v>49</v>
      </c>
      <c r="AI468" s="198" t="str">
        <f aca="false">VLOOKUP(Таблица310[[#This Row],[№ акта]],$AQ$1:$AT$594,2,FALSE())</f>
        <v>4.1</v>
      </c>
      <c r="AJ468" s="198" t="str">
        <f aca="false">Таблица310[[#This Row],[Регистратор.Номенклатура]]</f>
        <v>Грюнди</v>
      </c>
      <c r="AK468" s="198" t="str">
        <f aca="false">VLOOKUP(Таблица310[[#This Row],[№ акта]],$AQ$1:$AT$594,4,FALSE())</f>
        <v>Колос (полив)</v>
      </c>
      <c r="AL468" s="230" t="n">
        <f aca="false">VLOOKUP(Таблица310[[#This Row],[№ акта]],$AQ$1:$AT$594,3,FALSE())</f>
        <v>0.657071960297767</v>
      </c>
      <c r="AM468" s="198" t="str">
        <f aca="false">IF(Таблица310[[#This Row],[Площадь уборки, га]]=Таблица310[[#This Row],[Площадь уборки до корр]],"нет","да")</f>
        <v>нет</v>
      </c>
      <c r="AN468" s="230" t="n">
        <f aca="false">Таблица310[[#This Row],[Площадь уборки до корр]]-Таблица310[[#This Row],[Площадь уборки, га]]</f>
        <v>0</v>
      </c>
      <c r="AQ468" s="0" t="s">
        <v>1041</v>
      </c>
      <c r="AR468" s="0" t="s">
        <v>995</v>
      </c>
      <c r="AS468" s="0" t="n">
        <v>0.657071960297767</v>
      </c>
      <c r="AT468" s="0" t="s">
        <v>279</v>
      </c>
    </row>
    <row r="469" customFormat="false" ht="19.4" hidden="false" customHeight="false" outlineLevel="0" collapsed="false">
      <c r="A469" s="198"/>
      <c r="B469" s="223"/>
      <c r="C469" s="198" t="n">
        <v>45</v>
      </c>
      <c r="D469" s="224" t="s">
        <v>1042</v>
      </c>
      <c r="E469" s="225" t="n">
        <v>45832</v>
      </c>
      <c r="F469" s="223" t="n">
        <v>28550</v>
      </c>
      <c r="G469" s="223" t="n">
        <v>13560</v>
      </c>
      <c r="H469" s="226" t="n">
        <v>14990</v>
      </c>
      <c r="I469" s="223" t="n">
        <v>11322.6</v>
      </c>
      <c r="J469" s="198" t="s">
        <v>994</v>
      </c>
      <c r="K469" s="198" t="s">
        <v>900</v>
      </c>
      <c r="L469" s="198" t="s">
        <v>995</v>
      </c>
      <c r="M469" s="189" t="s">
        <v>547</v>
      </c>
      <c r="N469" s="198"/>
      <c r="O469" s="198"/>
      <c r="P469" s="198"/>
      <c r="Q469" s="198"/>
      <c r="R469" s="198" t="s">
        <v>551</v>
      </c>
      <c r="S469" s="198"/>
      <c r="T469" s="198" t="s">
        <v>995</v>
      </c>
      <c r="U469" s="198" t="str">
        <f aca="false">Таблица310[[#This Row],[Регистратор.Номенклатура]]</f>
        <v>Фаворит</v>
      </c>
      <c r="V469" s="230" t="n">
        <f aca="false">24*Таблица310[[#This Row],[Регистратор.Вес нетто]]/180130</f>
        <v>1.80669516460334</v>
      </c>
      <c r="W469" s="198" t="s">
        <v>279</v>
      </c>
      <c r="X469" s="198" t="s">
        <v>315</v>
      </c>
      <c r="Y469" s="198" t="n">
        <v>4</v>
      </c>
      <c r="Z469" s="200" t="n">
        <v>45832</v>
      </c>
      <c r="AA469" s="198"/>
      <c r="AB469" s="198"/>
      <c r="AC469" s="198" t="s">
        <v>53</v>
      </c>
      <c r="AD469" s="198" t="s">
        <v>417</v>
      </c>
      <c r="AE469" s="198" t="s">
        <v>1042</v>
      </c>
      <c r="AF469" s="200" t="n">
        <v>45832</v>
      </c>
      <c r="AG469" s="198" t="n">
        <v>35</v>
      </c>
      <c r="AH469" s="198" t="n">
        <f aca="false">VLOOKUP(Таблица310[[#This Row],[№ акта]],'Степень зрелости 2025'!$H$13:$I$583,2,FALSE())</f>
        <v>45</v>
      </c>
      <c r="AI469" s="198" t="str">
        <f aca="false">VLOOKUP(Таблица310[[#This Row],[№ акта]],$AQ$1:$AT$594,2,FALSE())</f>
        <v>4.1</v>
      </c>
      <c r="AJ469" s="198" t="str">
        <f aca="false">Таблица310[[#This Row],[Регистратор.Номенклатура]]</f>
        <v>Фаворит</v>
      </c>
      <c r="AK469" s="198" t="str">
        <f aca="false">VLOOKUP(Таблица310[[#This Row],[№ акта]],$AQ$1:$AT$594,4,FALSE())</f>
        <v>Колос (полив)</v>
      </c>
      <c r="AL469" s="230" t="n">
        <f aca="false">VLOOKUP(Таблица310[[#This Row],[№ акта]],$AQ$1:$AT$594,3,FALSE())</f>
        <v>1.80669516460334</v>
      </c>
      <c r="AM469" s="198" t="str">
        <f aca="false">IF(Таблица310[[#This Row],[Площадь уборки, га]]=Таблица310[[#This Row],[Площадь уборки до корр]],"нет","да")</f>
        <v>нет</v>
      </c>
      <c r="AN469" s="230" t="n">
        <f aca="false">Таблица310[[#This Row],[Площадь уборки до корр]]-Таблица310[[#This Row],[Площадь уборки, га]]</f>
        <v>0</v>
      </c>
      <c r="AQ469" s="0" t="s">
        <v>1042</v>
      </c>
      <c r="AR469" s="0" t="s">
        <v>995</v>
      </c>
      <c r="AS469" s="0" t="n">
        <v>1.80669516460334</v>
      </c>
      <c r="AT469" s="0" t="s">
        <v>279</v>
      </c>
    </row>
    <row r="470" customFormat="false" ht="28.35" hidden="false" customHeight="false" outlineLevel="0" collapsed="false">
      <c r="A470" s="198"/>
      <c r="B470" s="223"/>
      <c r="C470" s="198" t="n">
        <v>49</v>
      </c>
      <c r="D470" s="224" t="s">
        <v>1043</v>
      </c>
      <c r="E470" s="225" t="n">
        <v>45832</v>
      </c>
      <c r="F470" s="223" t="n">
        <v>28120</v>
      </c>
      <c r="G470" s="223" t="n">
        <v>13420</v>
      </c>
      <c r="H470" s="226" t="n">
        <v>14700</v>
      </c>
      <c r="I470" s="223" t="n">
        <v>11339.9</v>
      </c>
      <c r="J470" s="198" t="s">
        <v>994</v>
      </c>
      <c r="K470" s="198" t="s">
        <v>900</v>
      </c>
      <c r="L470" s="198" t="s">
        <v>995</v>
      </c>
      <c r="M470" s="189" t="s">
        <v>363</v>
      </c>
      <c r="N470" s="198"/>
      <c r="O470" s="198"/>
      <c r="P470" s="198"/>
      <c r="Q470" s="198"/>
      <c r="R470" s="198" t="s">
        <v>364</v>
      </c>
      <c r="S470" s="198"/>
      <c r="T470" s="198" t="s">
        <v>995</v>
      </c>
      <c r="U470" s="198" t="str">
        <f aca="false">Таблица310[[#This Row],[Регистратор.Номенклатура]]</f>
        <v>Фаворит</v>
      </c>
      <c r="V470" s="230" t="n">
        <f aca="false">24*Таблица310[[#This Row],[Регистратор.Вес нетто]]/180130</f>
        <v>1.78804196968856</v>
      </c>
      <c r="W470" s="198" t="s">
        <v>279</v>
      </c>
      <c r="X470" s="198" t="s">
        <v>315</v>
      </c>
      <c r="Y470" s="198" t="n">
        <v>4</v>
      </c>
      <c r="Z470" s="200" t="n">
        <v>45832</v>
      </c>
      <c r="AA470" s="198"/>
      <c r="AB470" s="198"/>
      <c r="AC470" s="198" t="s">
        <v>53</v>
      </c>
      <c r="AD470" s="198" t="s">
        <v>417</v>
      </c>
      <c r="AE470" s="198" t="s">
        <v>1043</v>
      </c>
      <c r="AF470" s="200" t="n">
        <v>45832</v>
      </c>
      <c r="AG470" s="198" t="n">
        <v>36</v>
      </c>
      <c r="AH470" s="198" t="n">
        <f aca="false">VLOOKUP(Таблица310[[#This Row],[№ акта]],'Степень зрелости 2025'!$H$13:$I$583,2,FALSE())</f>
        <v>49</v>
      </c>
      <c r="AI470" s="198" t="str">
        <f aca="false">VLOOKUP(Таблица310[[#This Row],[№ акта]],$AQ$1:$AT$594,2,FALSE())</f>
        <v>4.1</v>
      </c>
      <c r="AJ470" s="198" t="str">
        <f aca="false">Таблица310[[#This Row],[Регистратор.Номенклатура]]</f>
        <v>Фаворит</v>
      </c>
      <c r="AK470" s="198" t="str">
        <f aca="false">VLOOKUP(Таблица310[[#This Row],[№ акта]],$AQ$1:$AT$594,4,FALSE())</f>
        <v>Колос (полив)</v>
      </c>
      <c r="AL470" s="230" t="n">
        <f aca="false">VLOOKUP(Таблица310[[#This Row],[№ акта]],$AQ$1:$AT$594,3,FALSE())</f>
        <v>1.78804196968856</v>
      </c>
      <c r="AM470" s="198" t="str">
        <f aca="false">IF(Таблица310[[#This Row],[Площадь уборки, га]]=Таблица310[[#This Row],[Площадь уборки до корр]],"нет","да")</f>
        <v>нет</v>
      </c>
      <c r="AN470" s="230" t="n">
        <f aca="false">Таблица310[[#This Row],[Площадь уборки до корр]]-Таблица310[[#This Row],[Площадь уборки, га]]</f>
        <v>0</v>
      </c>
      <c r="AQ470" s="0" t="s">
        <v>1043</v>
      </c>
      <c r="AR470" s="0" t="s">
        <v>995</v>
      </c>
      <c r="AS470" s="0" t="n">
        <v>1.78804196968856</v>
      </c>
      <c r="AT470" s="0" t="s">
        <v>279</v>
      </c>
    </row>
    <row r="471" customFormat="false" ht="19.4" hidden="false" customHeight="false" outlineLevel="0" collapsed="false">
      <c r="A471" s="198"/>
      <c r="B471" s="223"/>
      <c r="C471" s="198" t="n">
        <v>50</v>
      </c>
      <c r="D471" s="224" t="s">
        <v>1044</v>
      </c>
      <c r="E471" s="225" t="n">
        <v>45832</v>
      </c>
      <c r="F471" s="223" t="n">
        <v>32280</v>
      </c>
      <c r="G471" s="223" t="n">
        <v>13500</v>
      </c>
      <c r="H471" s="226" t="n">
        <v>18780</v>
      </c>
      <c r="I471" s="223" t="n">
        <v>11677.5</v>
      </c>
      <c r="J471" s="198" t="s">
        <v>994</v>
      </c>
      <c r="K471" s="198" t="s">
        <v>900</v>
      </c>
      <c r="L471" s="198" t="s">
        <v>995</v>
      </c>
      <c r="M471" s="189" t="s">
        <v>365</v>
      </c>
      <c r="N471" s="198"/>
      <c r="O471" s="198"/>
      <c r="P471" s="198"/>
      <c r="Q471" s="198"/>
      <c r="R471" s="198" t="s">
        <v>373</v>
      </c>
      <c r="S471" s="198"/>
      <c r="T471" s="198" t="s">
        <v>995</v>
      </c>
      <c r="U471" s="198" t="str">
        <f aca="false">Таблица310[[#This Row],[Регистратор.Номенклатура]]</f>
        <v>Фаворит</v>
      </c>
      <c r="V471" s="230" t="n">
        <f aca="false">24*Таблица310[[#This Row],[Регистратор.Вес нетто]]/180130</f>
        <v>1.79870093821129</v>
      </c>
      <c r="W471" s="198" t="s">
        <v>279</v>
      </c>
      <c r="X471" s="198" t="s">
        <v>315</v>
      </c>
      <c r="Y471" s="198" t="n">
        <v>4</v>
      </c>
      <c r="Z471" s="200" t="n">
        <v>45832</v>
      </c>
      <c r="AA471" s="198"/>
      <c r="AB471" s="198"/>
      <c r="AC471" s="198" t="s">
        <v>53</v>
      </c>
      <c r="AD471" s="198" t="s">
        <v>417</v>
      </c>
      <c r="AE471" s="198" t="s">
        <v>1044</v>
      </c>
      <c r="AF471" s="200" t="n">
        <v>45832</v>
      </c>
      <c r="AG471" s="198" t="n">
        <v>36</v>
      </c>
      <c r="AH471" s="198" t="n">
        <f aca="false">VLOOKUP(Таблица310[[#This Row],[№ акта]],'Степень зрелости 2025'!$H$13:$I$583,2,FALSE())</f>
        <v>50</v>
      </c>
      <c r="AI471" s="198" t="str">
        <f aca="false">VLOOKUP(Таблица310[[#This Row],[№ акта]],$AQ$1:$AT$594,2,FALSE())</f>
        <v>4.1</v>
      </c>
      <c r="AJ471" s="198" t="str">
        <f aca="false">Таблица310[[#This Row],[Регистратор.Номенклатура]]</f>
        <v>Фаворит</v>
      </c>
      <c r="AK471" s="198" t="str">
        <f aca="false">VLOOKUP(Таблица310[[#This Row],[№ акта]],$AQ$1:$AT$594,4,FALSE())</f>
        <v>Колос (полив)</v>
      </c>
      <c r="AL471" s="230" t="n">
        <f aca="false">VLOOKUP(Таблица310[[#This Row],[№ акта]],$AQ$1:$AT$594,3,FALSE())</f>
        <v>1.79870093821129</v>
      </c>
      <c r="AM471" s="198" t="str">
        <f aca="false">IF(Таблица310[[#This Row],[Площадь уборки, га]]=Таблица310[[#This Row],[Площадь уборки до корр]],"нет","да")</f>
        <v>нет</v>
      </c>
      <c r="AN471" s="230" t="n">
        <f aca="false">Таблица310[[#This Row],[Площадь уборки до корр]]-Таблица310[[#This Row],[Площадь уборки, га]]</f>
        <v>0</v>
      </c>
      <c r="AQ471" s="0" t="s">
        <v>1044</v>
      </c>
      <c r="AR471" s="0" t="s">
        <v>995</v>
      </c>
      <c r="AS471" s="0" t="n">
        <v>1.79870093821129</v>
      </c>
      <c r="AT471" s="0" t="s">
        <v>279</v>
      </c>
    </row>
    <row r="472" customFormat="false" ht="19.4" hidden="false" customHeight="false" outlineLevel="0" collapsed="false">
      <c r="A472" s="198"/>
      <c r="B472" s="223"/>
      <c r="C472" s="198" t="n">
        <v>52</v>
      </c>
      <c r="D472" s="224" t="s">
        <v>1045</v>
      </c>
      <c r="E472" s="225" t="n">
        <v>45832</v>
      </c>
      <c r="F472" s="223" t="n">
        <v>27870</v>
      </c>
      <c r="G472" s="223" t="n">
        <v>12900</v>
      </c>
      <c r="H472" s="226" t="n">
        <v>14970</v>
      </c>
      <c r="I472" s="223" t="n">
        <v>10900.5</v>
      </c>
      <c r="J472" s="198" t="s">
        <v>994</v>
      </c>
      <c r="K472" s="198" t="s">
        <v>900</v>
      </c>
      <c r="L472" s="198" t="s">
        <v>995</v>
      </c>
      <c r="M472" s="189" t="s">
        <v>457</v>
      </c>
      <c r="N472" s="198"/>
      <c r="O472" s="198"/>
      <c r="P472" s="198"/>
      <c r="Q472" s="198"/>
      <c r="R472" s="198" t="s">
        <v>366</v>
      </c>
      <c r="S472" s="198"/>
      <c r="T472" s="198" t="s">
        <v>995</v>
      </c>
      <c r="U472" s="198" t="str">
        <f aca="false">Таблица310[[#This Row],[Регистратор.Номенклатура]]</f>
        <v>Фаворит</v>
      </c>
      <c r="V472" s="230" t="n">
        <f aca="false">24*Таблица310[[#This Row],[Регистратор.Вес нетто]]/180130</f>
        <v>1.71875867429079</v>
      </c>
      <c r="W472" s="198" t="s">
        <v>279</v>
      </c>
      <c r="X472" s="198" t="s">
        <v>315</v>
      </c>
      <c r="Y472" s="198" t="n">
        <v>4</v>
      </c>
      <c r="Z472" s="200" t="n">
        <v>45832</v>
      </c>
      <c r="AA472" s="198"/>
      <c r="AB472" s="198"/>
      <c r="AC472" s="198" t="s">
        <v>53</v>
      </c>
      <c r="AD472" s="198" t="s">
        <v>417</v>
      </c>
      <c r="AE472" s="198" t="s">
        <v>1045</v>
      </c>
      <c r="AF472" s="200" t="n">
        <v>45832</v>
      </c>
      <c r="AG472" s="198" t="n">
        <v>37</v>
      </c>
      <c r="AH472" s="198" t="n">
        <f aca="false">VLOOKUP(Таблица310[[#This Row],[№ акта]],'Степень зрелости 2025'!$H$13:$I$583,2,FALSE())</f>
        <v>52</v>
      </c>
      <c r="AI472" s="198" t="str">
        <f aca="false">VLOOKUP(Таблица310[[#This Row],[№ акта]],$AQ$1:$AT$594,2,FALSE())</f>
        <v>4.1</v>
      </c>
      <c r="AJ472" s="198" t="str">
        <f aca="false">Таблица310[[#This Row],[Регистратор.Номенклатура]]</f>
        <v>Фаворит</v>
      </c>
      <c r="AK472" s="198" t="str">
        <f aca="false">VLOOKUP(Таблица310[[#This Row],[№ акта]],$AQ$1:$AT$594,4,FALSE())</f>
        <v>Колос (полив)</v>
      </c>
      <c r="AL472" s="230" t="n">
        <f aca="false">VLOOKUP(Таблица310[[#This Row],[№ акта]],$AQ$1:$AT$594,3,FALSE())</f>
        <v>1.71875867429079</v>
      </c>
      <c r="AM472" s="198" t="str">
        <f aca="false">IF(Таблица310[[#This Row],[Площадь уборки, га]]=Таблица310[[#This Row],[Площадь уборки до корр]],"нет","да")</f>
        <v>нет</v>
      </c>
      <c r="AN472" s="230" t="n">
        <f aca="false">Таблица310[[#This Row],[Площадь уборки до корр]]-Таблица310[[#This Row],[Площадь уборки, га]]</f>
        <v>0</v>
      </c>
      <c r="AQ472" s="0" t="s">
        <v>1045</v>
      </c>
      <c r="AR472" s="0" t="s">
        <v>995</v>
      </c>
      <c r="AS472" s="0" t="n">
        <v>1.71875867429079</v>
      </c>
      <c r="AT472" s="0" t="s">
        <v>279</v>
      </c>
    </row>
    <row r="473" customFormat="false" ht="28.35" hidden="false" customHeight="false" outlineLevel="0" collapsed="false">
      <c r="A473" s="198"/>
      <c r="B473" s="223"/>
      <c r="C473" s="198" t="n">
        <v>50</v>
      </c>
      <c r="D473" s="224" t="s">
        <v>1046</v>
      </c>
      <c r="E473" s="225" t="n">
        <v>45832</v>
      </c>
      <c r="F473" s="223" t="n">
        <v>28890</v>
      </c>
      <c r="G473" s="223" t="n">
        <v>13690</v>
      </c>
      <c r="H473" s="226" t="n">
        <v>15200</v>
      </c>
      <c r="I473" s="223" t="n">
        <v>11225.8</v>
      </c>
      <c r="J473" s="198" t="s">
        <v>994</v>
      </c>
      <c r="K473" s="198" t="s">
        <v>900</v>
      </c>
      <c r="L473" s="198" t="s">
        <v>995</v>
      </c>
      <c r="M473" s="189" t="s">
        <v>371</v>
      </c>
      <c r="N473" s="198"/>
      <c r="O473" s="198"/>
      <c r="P473" s="198"/>
      <c r="Q473" s="198"/>
      <c r="R473" s="198" t="s">
        <v>372</v>
      </c>
      <c r="S473" s="198"/>
      <c r="T473" s="198" t="s">
        <v>995</v>
      </c>
      <c r="U473" s="198" t="str">
        <f aca="false">Таблица310[[#This Row],[Регистратор.Номенклатура]]</f>
        <v>Фаворит</v>
      </c>
      <c r="V473" s="230" t="n">
        <f aca="false">24*Таблица310[[#This Row],[Регистратор.Вес нетто]]/180130</f>
        <v>1.82401598845278</v>
      </c>
      <c r="W473" s="198" t="s">
        <v>279</v>
      </c>
      <c r="X473" s="198" t="s">
        <v>315</v>
      </c>
      <c r="Y473" s="198" t="n">
        <v>4</v>
      </c>
      <c r="Z473" s="200" t="n">
        <v>45832</v>
      </c>
      <c r="AA473" s="198"/>
      <c r="AB473" s="198"/>
      <c r="AC473" s="198" t="s">
        <v>53</v>
      </c>
      <c r="AD473" s="198" t="s">
        <v>417</v>
      </c>
      <c r="AE473" s="198" t="s">
        <v>1046</v>
      </c>
      <c r="AF473" s="200" t="n">
        <v>45832</v>
      </c>
      <c r="AG473" s="198" t="n">
        <v>38</v>
      </c>
      <c r="AH473" s="198" t="n">
        <f aca="false">VLOOKUP(Таблица310[[#This Row],[№ акта]],'Степень зрелости 2025'!$H$13:$I$583,2,FALSE())</f>
        <v>50</v>
      </c>
      <c r="AI473" s="198" t="str">
        <f aca="false">VLOOKUP(Таблица310[[#This Row],[№ акта]],$AQ$1:$AT$594,2,FALSE())</f>
        <v>4.1</v>
      </c>
      <c r="AJ473" s="198" t="str">
        <f aca="false">Таблица310[[#This Row],[Регистратор.Номенклатура]]</f>
        <v>Фаворит</v>
      </c>
      <c r="AK473" s="198" t="str">
        <f aca="false">VLOOKUP(Таблица310[[#This Row],[№ акта]],$AQ$1:$AT$594,4,FALSE())</f>
        <v>Колос (полив)</v>
      </c>
      <c r="AL473" s="230" t="n">
        <f aca="false">VLOOKUP(Таблица310[[#This Row],[№ акта]],$AQ$1:$AT$594,3,FALSE())</f>
        <v>1.82401598845278</v>
      </c>
      <c r="AM473" s="198" t="str">
        <f aca="false">IF(Таблица310[[#This Row],[Площадь уборки, га]]=Таблица310[[#This Row],[Площадь уборки до корр]],"нет","да")</f>
        <v>нет</v>
      </c>
      <c r="AN473" s="230" t="n">
        <f aca="false">Таблица310[[#This Row],[Площадь уборки до корр]]-Таблица310[[#This Row],[Площадь уборки, га]]</f>
        <v>0</v>
      </c>
      <c r="AQ473" s="0" t="s">
        <v>1046</v>
      </c>
      <c r="AR473" s="0" t="s">
        <v>995</v>
      </c>
      <c r="AS473" s="0" t="n">
        <v>1.82401598845278</v>
      </c>
      <c r="AT473" s="0" t="s">
        <v>279</v>
      </c>
    </row>
    <row r="474" customFormat="false" ht="19.4" hidden="false" customHeight="false" outlineLevel="0" collapsed="false">
      <c r="A474" s="198"/>
      <c r="B474" s="223"/>
      <c r="C474" s="198" t="n">
        <v>52</v>
      </c>
      <c r="D474" s="224" t="s">
        <v>1047</v>
      </c>
      <c r="E474" s="225" t="n">
        <v>45833</v>
      </c>
      <c r="F474" s="223" t="n">
        <v>28640</v>
      </c>
      <c r="G474" s="223" t="n">
        <v>13430</v>
      </c>
      <c r="H474" s="226" t="n">
        <v>15210</v>
      </c>
      <c r="I474" s="223" t="n">
        <v>11214</v>
      </c>
      <c r="J474" s="198" t="s">
        <v>994</v>
      </c>
      <c r="K474" s="198" t="s">
        <v>900</v>
      </c>
      <c r="L474" s="198" t="s">
        <v>995</v>
      </c>
      <c r="M474" s="189" t="s">
        <v>466</v>
      </c>
      <c r="N474" s="198"/>
      <c r="O474" s="198"/>
      <c r="P474" s="198"/>
      <c r="Q474" s="198"/>
      <c r="R474" s="198" t="s">
        <v>470</v>
      </c>
      <c r="S474" s="198"/>
      <c r="T474" s="198" t="s">
        <v>995</v>
      </c>
      <c r="U474" s="198" t="str">
        <f aca="false">Таблица310[[#This Row],[Регистратор.Номенклатура]]</f>
        <v>Фаворит</v>
      </c>
      <c r="V474" s="230" t="n">
        <f aca="false">24*Таблица310[[#This Row],[Регистратор.Вес нетто]]/180130</f>
        <v>1.7893743407539</v>
      </c>
      <c r="W474" s="198" t="s">
        <v>279</v>
      </c>
      <c r="X474" s="198" t="s">
        <v>315</v>
      </c>
      <c r="Y474" s="198" t="n">
        <v>4</v>
      </c>
      <c r="Z474" s="200" t="n">
        <v>45832</v>
      </c>
      <c r="AA474" s="198"/>
      <c r="AB474" s="198"/>
      <c r="AC474" s="198" t="s">
        <v>53</v>
      </c>
      <c r="AD474" s="198" t="s">
        <v>417</v>
      </c>
      <c r="AE474" s="198" t="s">
        <v>1047</v>
      </c>
      <c r="AF474" s="200" t="n">
        <v>45833</v>
      </c>
      <c r="AG474" s="198" t="n">
        <v>39</v>
      </c>
      <c r="AH474" s="198" t="n">
        <f aca="false">VLOOKUP(Таблица310[[#This Row],[№ акта]],'Степень зрелости 2025'!$H$13:$I$583,2,FALSE())</f>
        <v>52</v>
      </c>
      <c r="AI474" s="198" t="str">
        <f aca="false">VLOOKUP(Таблица310[[#This Row],[№ акта]],$AQ$1:$AT$594,2,FALSE())</f>
        <v>4.1</v>
      </c>
      <c r="AJ474" s="198" t="str">
        <f aca="false">Таблица310[[#This Row],[Регистратор.Номенклатура]]</f>
        <v>Фаворит</v>
      </c>
      <c r="AK474" s="198" t="str">
        <f aca="false">VLOOKUP(Таблица310[[#This Row],[№ акта]],$AQ$1:$AT$594,4,FALSE())</f>
        <v>Колос (полив)</v>
      </c>
      <c r="AL474" s="230" t="n">
        <f aca="false">VLOOKUP(Таблица310[[#This Row],[№ акта]],$AQ$1:$AT$594,3,FALSE())</f>
        <v>1.7893743407539</v>
      </c>
      <c r="AM474" s="198" t="str">
        <f aca="false">IF(Таблица310[[#This Row],[Площадь уборки, га]]=Таблица310[[#This Row],[Площадь уборки до корр]],"нет","да")</f>
        <v>нет</v>
      </c>
      <c r="AN474" s="230" t="n">
        <f aca="false">Таблица310[[#This Row],[Площадь уборки до корр]]-Таблица310[[#This Row],[Площадь уборки, га]]</f>
        <v>0</v>
      </c>
      <c r="AQ474" s="0" t="s">
        <v>1047</v>
      </c>
      <c r="AR474" s="0" t="s">
        <v>995</v>
      </c>
      <c r="AS474" s="0" t="n">
        <v>1.7893743407539</v>
      </c>
      <c r="AT474" s="0" t="s">
        <v>279</v>
      </c>
    </row>
    <row r="475" customFormat="false" ht="19.4" hidden="false" customHeight="false" outlineLevel="0" collapsed="false">
      <c r="A475" s="198"/>
      <c r="B475" s="223"/>
      <c r="C475" s="198" t="n">
        <v>51</v>
      </c>
      <c r="D475" s="224" t="s">
        <v>1048</v>
      </c>
      <c r="E475" s="225" t="n">
        <v>45833</v>
      </c>
      <c r="F475" s="223" t="n">
        <v>28540</v>
      </c>
      <c r="G475" s="223" t="n">
        <v>13340</v>
      </c>
      <c r="H475" s="226" t="n">
        <v>15200</v>
      </c>
      <c r="I475" s="223" t="n">
        <v>11072.2</v>
      </c>
      <c r="J475" s="198" t="s">
        <v>994</v>
      </c>
      <c r="K475" s="198" t="s">
        <v>900</v>
      </c>
      <c r="L475" s="198" t="s">
        <v>995</v>
      </c>
      <c r="M475" s="189" t="s">
        <v>48</v>
      </c>
      <c r="N475" s="198"/>
      <c r="O475" s="198"/>
      <c r="P475" s="198"/>
      <c r="Q475" s="198"/>
      <c r="R475" s="198" t="s">
        <v>49</v>
      </c>
      <c r="S475" s="198"/>
      <c r="T475" s="198" t="s">
        <v>995</v>
      </c>
      <c r="U475" s="198" t="str">
        <f aca="false">Таблица310[[#This Row],[Регистратор.Номенклатура]]</f>
        <v>Фаворит</v>
      </c>
      <c r="V475" s="230" t="n">
        <f aca="false">24*Таблица310[[#This Row],[Регистратор.Вес нетто]]/180130</f>
        <v>1.77738300116582</v>
      </c>
      <c r="W475" s="198" t="s">
        <v>279</v>
      </c>
      <c r="X475" s="198" t="s">
        <v>315</v>
      </c>
      <c r="Y475" s="198" t="n">
        <v>4</v>
      </c>
      <c r="Z475" s="200" t="n">
        <v>45832</v>
      </c>
      <c r="AA475" s="198"/>
      <c r="AB475" s="198"/>
      <c r="AC475" s="198" t="s">
        <v>53</v>
      </c>
      <c r="AD475" s="198" t="s">
        <v>417</v>
      </c>
      <c r="AE475" s="198" t="s">
        <v>1048</v>
      </c>
      <c r="AF475" s="200" t="n">
        <v>45833</v>
      </c>
      <c r="AG475" s="198" t="n">
        <v>40</v>
      </c>
      <c r="AH475" s="198" t="n">
        <f aca="false">VLOOKUP(Таблица310[[#This Row],[№ акта]],'Степень зрелости 2025'!$H$13:$I$583,2,FALSE())</f>
        <v>51</v>
      </c>
      <c r="AI475" s="198" t="str">
        <f aca="false">VLOOKUP(Таблица310[[#This Row],[№ акта]],$AQ$1:$AT$594,2,FALSE())</f>
        <v>4.1</v>
      </c>
      <c r="AJ475" s="198" t="str">
        <f aca="false">Таблица310[[#This Row],[Регистратор.Номенклатура]]</f>
        <v>Фаворит</v>
      </c>
      <c r="AK475" s="198" t="str">
        <f aca="false">VLOOKUP(Таблица310[[#This Row],[№ акта]],$AQ$1:$AT$594,4,FALSE())</f>
        <v>Колос (полив)</v>
      </c>
      <c r="AL475" s="230" t="n">
        <f aca="false">VLOOKUP(Таблица310[[#This Row],[№ акта]],$AQ$1:$AT$594,3,FALSE())</f>
        <v>1.77738300116582</v>
      </c>
      <c r="AM475" s="198" t="str">
        <f aca="false">IF(Таблица310[[#This Row],[Площадь уборки, га]]=Таблица310[[#This Row],[Площадь уборки до корр]],"нет","да")</f>
        <v>нет</v>
      </c>
      <c r="AN475" s="230" t="n">
        <f aca="false">Таблица310[[#This Row],[Площадь уборки до корр]]-Таблица310[[#This Row],[Площадь уборки, га]]</f>
        <v>0</v>
      </c>
      <c r="AQ475" s="0" t="s">
        <v>1048</v>
      </c>
      <c r="AR475" s="0" t="s">
        <v>995</v>
      </c>
      <c r="AS475" s="0" t="n">
        <v>1.77738300116582</v>
      </c>
      <c r="AT475" s="0" t="s">
        <v>279</v>
      </c>
    </row>
    <row r="476" customFormat="false" ht="19.4" hidden="false" customHeight="false" outlineLevel="0" collapsed="false">
      <c r="A476" s="198"/>
      <c r="B476" s="223"/>
      <c r="C476" s="198" t="n">
        <v>52</v>
      </c>
      <c r="D476" s="224" t="s">
        <v>1049</v>
      </c>
      <c r="E476" s="225" t="n">
        <v>45833</v>
      </c>
      <c r="F476" s="223" t="n">
        <v>28910</v>
      </c>
      <c r="G476" s="223" t="n">
        <v>13180</v>
      </c>
      <c r="H476" s="226" t="n">
        <v>15730</v>
      </c>
      <c r="I476" s="223" t="n">
        <v>11268.9</v>
      </c>
      <c r="J476" s="198" t="s">
        <v>994</v>
      </c>
      <c r="K476" s="198" t="s">
        <v>900</v>
      </c>
      <c r="L476" s="198" t="s">
        <v>995</v>
      </c>
      <c r="M476" s="189" t="s">
        <v>445</v>
      </c>
      <c r="N476" s="198"/>
      <c r="O476" s="198"/>
      <c r="P476" s="198"/>
      <c r="Q476" s="198"/>
      <c r="R476" s="198" t="s">
        <v>449</v>
      </c>
      <c r="S476" s="198"/>
      <c r="T476" s="198" t="s">
        <v>995</v>
      </c>
      <c r="U476" s="198" t="str">
        <f aca="false">Таблица310[[#This Row],[Регистратор.Номенклатура]]</f>
        <v>Фаворит</v>
      </c>
      <c r="V476" s="230" t="n">
        <f aca="false">24*Таблица310[[#This Row],[Регистратор.Вес нетто]]/180130</f>
        <v>1.75606506412036</v>
      </c>
      <c r="W476" s="198" t="s">
        <v>279</v>
      </c>
      <c r="X476" s="198" t="s">
        <v>315</v>
      </c>
      <c r="Y476" s="198" t="n">
        <v>4</v>
      </c>
      <c r="Z476" s="200" t="n">
        <v>45832</v>
      </c>
      <c r="AA476" s="198"/>
      <c r="AB476" s="198"/>
      <c r="AC476" s="198" t="s">
        <v>53</v>
      </c>
      <c r="AD476" s="198" t="s">
        <v>417</v>
      </c>
      <c r="AE476" s="198" t="s">
        <v>1049</v>
      </c>
      <c r="AF476" s="200" t="n">
        <v>45833</v>
      </c>
      <c r="AG476" s="198" t="n">
        <v>41</v>
      </c>
      <c r="AH476" s="198" t="n">
        <f aca="false">VLOOKUP(Таблица310[[#This Row],[№ акта]],'Степень зрелости 2025'!$H$13:$I$583,2,FALSE())</f>
        <v>52</v>
      </c>
      <c r="AI476" s="198" t="str">
        <f aca="false">VLOOKUP(Таблица310[[#This Row],[№ акта]],$AQ$1:$AT$594,2,FALSE())</f>
        <v>4.1</v>
      </c>
      <c r="AJ476" s="198" t="str">
        <f aca="false">Таблица310[[#This Row],[Регистратор.Номенклатура]]</f>
        <v>Фаворит</v>
      </c>
      <c r="AK476" s="198" t="str">
        <f aca="false">VLOOKUP(Таблица310[[#This Row],[№ акта]],$AQ$1:$AT$594,4,FALSE())</f>
        <v>Колос (полив)</v>
      </c>
      <c r="AL476" s="230" t="n">
        <f aca="false">VLOOKUP(Таблица310[[#This Row],[№ акта]],$AQ$1:$AT$594,3,FALSE())</f>
        <v>1.75606506412036</v>
      </c>
      <c r="AM476" s="198" t="str">
        <f aca="false">IF(Таблица310[[#This Row],[Площадь уборки, га]]=Таблица310[[#This Row],[Площадь уборки до корр]],"нет","да")</f>
        <v>нет</v>
      </c>
      <c r="AN476" s="230" t="n">
        <f aca="false">Таблица310[[#This Row],[Площадь уборки до корр]]-Таблица310[[#This Row],[Площадь уборки, га]]</f>
        <v>0</v>
      </c>
      <c r="AQ476" s="0" t="s">
        <v>1049</v>
      </c>
      <c r="AR476" s="0" t="s">
        <v>995</v>
      </c>
      <c r="AS476" s="0" t="n">
        <v>1.75606506412036</v>
      </c>
      <c r="AT476" s="0" t="s">
        <v>279</v>
      </c>
    </row>
    <row r="477" customFormat="false" ht="28.35" hidden="false" customHeight="false" outlineLevel="0" collapsed="false">
      <c r="A477" s="198"/>
      <c r="B477" s="223"/>
      <c r="C477" s="198" t="n">
        <v>49</v>
      </c>
      <c r="D477" s="224" t="s">
        <v>1050</v>
      </c>
      <c r="E477" s="225" t="n">
        <v>45833</v>
      </c>
      <c r="F477" s="223" t="n">
        <v>28650</v>
      </c>
      <c r="G477" s="223" t="n">
        <v>13550</v>
      </c>
      <c r="H477" s="226" t="n">
        <v>15100</v>
      </c>
      <c r="I477" s="223" t="n">
        <v>11314.2</v>
      </c>
      <c r="J477" s="198" t="s">
        <v>994</v>
      </c>
      <c r="K477" s="198" t="s">
        <v>900</v>
      </c>
      <c r="L477" s="198" t="s">
        <v>995</v>
      </c>
      <c r="M477" s="189" t="s">
        <v>553</v>
      </c>
      <c r="N477" s="198"/>
      <c r="O477" s="198"/>
      <c r="P477" s="198"/>
      <c r="Q477" s="198"/>
      <c r="R477" s="198" t="s">
        <v>557</v>
      </c>
      <c r="S477" s="198"/>
      <c r="T477" s="198" t="s">
        <v>995</v>
      </c>
      <c r="U477" s="198" t="str">
        <f aca="false">Таблица310[[#This Row],[Регистратор.Номенклатура]]</f>
        <v>Фаворит</v>
      </c>
      <c r="V477" s="230" t="n">
        <f aca="false">24*Таблица310[[#This Row],[Регистратор.Вес нетто]]/180130</f>
        <v>1.805362793538</v>
      </c>
      <c r="W477" s="198" t="s">
        <v>279</v>
      </c>
      <c r="X477" s="198" t="s">
        <v>315</v>
      </c>
      <c r="Y477" s="198" t="n">
        <v>4</v>
      </c>
      <c r="Z477" s="200" t="n">
        <v>45832</v>
      </c>
      <c r="AA477" s="198"/>
      <c r="AB477" s="198"/>
      <c r="AC477" s="198" t="s">
        <v>53</v>
      </c>
      <c r="AD477" s="198" t="s">
        <v>417</v>
      </c>
      <c r="AE477" s="198" t="s">
        <v>1050</v>
      </c>
      <c r="AF477" s="200" t="n">
        <v>45833</v>
      </c>
      <c r="AG477" s="198" t="n">
        <v>42</v>
      </c>
      <c r="AH477" s="198" t="n">
        <f aca="false">VLOOKUP(Таблица310[[#This Row],[№ акта]],'Степень зрелости 2025'!$H$13:$I$583,2,FALSE())</f>
        <v>49</v>
      </c>
      <c r="AI477" s="198" t="str">
        <f aca="false">VLOOKUP(Таблица310[[#This Row],[№ акта]],$AQ$1:$AT$594,2,FALSE())</f>
        <v>4.1</v>
      </c>
      <c r="AJ477" s="198" t="str">
        <f aca="false">Таблица310[[#This Row],[Регистратор.Номенклатура]]</f>
        <v>Фаворит</v>
      </c>
      <c r="AK477" s="198" t="str">
        <f aca="false">VLOOKUP(Таблица310[[#This Row],[№ акта]],$AQ$1:$AT$594,4,FALSE())</f>
        <v>Колос (полив)</v>
      </c>
      <c r="AL477" s="230" t="n">
        <f aca="false">VLOOKUP(Таблица310[[#This Row],[№ акта]],$AQ$1:$AT$594,3,FALSE())</f>
        <v>1.805362793538</v>
      </c>
      <c r="AM477" s="198" t="str">
        <f aca="false">IF(Таблица310[[#This Row],[Площадь уборки, га]]=Таблица310[[#This Row],[Площадь уборки до корр]],"нет","да")</f>
        <v>нет</v>
      </c>
      <c r="AN477" s="230" t="n">
        <f aca="false">Таблица310[[#This Row],[Площадь уборки до корр]]-Таблица310[[#This Row],[Площадь уборки, га]]</f>
        <v>0</v>
      </c>
      <c r="AQ477" s="0" t="s">
        <v>1050</v>
      </c>
      <c r="AR477" s="0" t="s">
        <v>995</v>
      </c>
      <c r="AS477" s="0" t="n">
        <v>1.805362793538</v>
      </c>
      <c r="AT477" s="0" t="s">
        <v>279</v>
      </c>
    </row>
    <row r="478" customFormat="false" ht="19.4" hidden="false" customHeight="false" outlineLevel="0" collapsed="false">
      <c r="A478" s="198"/>
      <c r="B478" s="223"/>
      <c r="C478" s="198" t="n">
        <v>47</v>
      </c>
      <c r="D478" s="224" t="s">
        <v>1051</v>
      </c>
      <c r="E478" s="225" t="n">
        <v>45833</v>
      </c>
      <c r="F478" s="223" t="n">
        <v>28180</v>
      </c>
      <c r="G478" s="223" t="n">
        <v>13160</v>
      </c>
      <c r="H478" s="226" t="n">
        <v>15020</v>
      </c>
      <c r="I478" s="223" t="n">
        <v>10593.8</v>
      </c>
      <c r="J478" s="198" t="s">
        <v>994</v>
      </c>
      <c r="K478" s="198" t="s">
        <v>900</v>
      </c>
      <c r="L478" s="198" t="s">
        <v>995</v>
      </c>
      <c r="M478" s="189" t="s">
        <v>433</v>
      </c>
      <c r="N478" s="198"/>
      <c r="O478" s="198"/>
      <c r="P478" s="198"/>
      <c r="Q478" s="198"/>
      <c r="R478" s="198" t="s">
        <v>437</v>
      </c>
      <c r="S478" s="198"/>
      <c r="T478" s="198" t="s">
        <v>995</v>
      </c>
      <c r="U478" s="198" t="str">
        <f aca="false">Таблица310[[#This Row],[Регистратор.Номенклатура]]</f>
        <v>Фаворит</v>
      </c>
      <c r="V478" s="230" t="n">
        <f aca="false">24*Таблица310[[#This Row],[Регистратор.Вес нетто]]/180130</f>
        <v>1.75340032198967</v>
      </c>
      <c r="W478" s="198" t="s">
        <v>279</v>
      </c>
      <c r="X478" s="198" t="s">
        <v>315</v>
      </c>
      <c r="Y478" s="198" t="n">
        <v>4</v>
      </c>
      <c r="Z478" s="200" t="n">
        <v>45832</v>
      </c>
      <c r="AA478" s="198"/>
      <c r="AB478" s="198"/>
      <c r="AC478" s="198" t="s">
        <v>53</v>
      </c>
      <c r="AD478" s="198" t="s">
        <v>417</v>
      </c>
      <c r="AE478" s="198" t="s">
        <v>1051</v>
      </c>
      <c r="AF478" s="200" t="n">
        <v>45833</v>
      </c>
      <c r="AG478" s="198" t="n">
        <v>43</v>
      </c>
      <c r="AH478" s="198" t="n">
        <f aca="false">VLOOKUP(Таблица310[[#This Row],[№ акта]],'Степень зрелости 2025'!$H$13:$I$583,2,FALSE())</f>
        <v>47</v>
      </c>
      <c r="AI478" s="198" t="str">
        <f aca="false">VLOOKUP(Таблица310[[#This Row],[№ акта]],$AQ$1:$AT$594,2,FALSE())</f>
        <v>4.1</v>
      </c>
      <c r="AJ478" s="198" t="str">
        <f aca="false">Таблица310[[#This Row],[Регистратор.Номенклатура]]</f>
        <v>Фаворит</v>
      </c>
      <c r="AK478" s="198" t="str">
        <f aca="false">VLOOKUP(Таблица310[[#This Row],[№ акта]],$AQ$1:$AT$594,4,FALSE())</f>
        <v>Колос (полив)</v>
      </c>
      <c r="AL478" s="230" t="n">
        <f aca="false">VLOOKUP(Таблица310[[#This Row],[№ акта]],$AQ$1:$AT$594,3,FALSE())</f>
        <v>1.75340032198967</v>
      </c>
      <c r="AM478" s="198" t="str">
        <f aca="false">IF(Таблица310[[#This Row],[Площадь уборки, га]]=Таблица310[[#This Row],[Площадь уборки до корр]],"нет","да")</f>
        <v>нет</v>
      </c>
      <c r="AN478" s="230" t="n">
        <f aca="false">Таблица310[[#This Row],[Площадь уборки до корр]]-Таблица310[[#This Row],[Площадь уборки, га]]</f>
        <v>0</v>
      </c>
      <c r="AQ478" s="0" t="s">
        <v>1051</v>
      </c>
      <c r="AR478" s="0" t="s">
        <v>995</v>
      </c>
      <c r="AS478" s="0" t="n">
        <v>1.75340032198967</v>
      </c>
      <c r="AT478" s="0" t="s">
        <v>279</v>
      </c>
    </row>
    <row r="479" customFormat="false" ht="19.4" hidden="false" customHeight="false" outlineLevel="0" collapsed="false">
      <c r="A479" s="198"/>
      <c r="B479" s="223"/>
      <c r="C479" s="198" t="n">
        <v>47</v>
      </c>
      <c r="D479" s="224" t="s">
        <v>1052</v>
      </c>
      <c r="E479" s="225" t="n">
        <v>45833</v>
      </c>
      <c r="F479" s="223" t="n">
        <v>37380</v>
      </c>
      <c r="G479" s="223" t="n">
        <v>13110</v>
      </c>
      <c r="H479" s="226" t="n">
        <v>24270</v>
      </c>
      <c r="I479" s="223" t="n">
        <v>10815.7</v>
      </c>
      <c r="J479" s="198" t="s">
        <v>994</v>
      </c>
      <c r="K479" s="198" t="s">
        <v>900</v>
      </c>
      <c r="L479" s="198" t="s">
        <v>995</v>
      </c>
      <c r="M479" s="189" t="s">
        <v>439</v>
      </c>
      <c r="N479" s="198"/>
      <c r="O479" s="198"/>
      <c r="P479" s="198"/>
      <c r="Q479" s="198"/>
      <c r="R479" s="198" t="s">
        <v>443</v>
      </c>
      <c r="S479" s="198"/>
      <c r="T479" s="198" t="s">
        <v>995</v>
      </c>
      <c r="U479" s="198" t="str">
        <f aca="false">Таблица310[[#This Row],[Регистратор.Номенклатура]]</f>
        <v>Фаворит</v>
      </c>
      <c r="V479" s="230" t="n">
        <f aca="false">24*Таблица310[[#This Row],[Регистратор.Вес нетто]]/180130</f>
        <v>1.74673846666297</v>
      </c>
      <c r="W479" s="198" t="s">
        <v>279</v>
      </c>
      <c r="X479" s="198" t="s">
        <v>315</v>
      </c>
      <c r="Y479" s="198" t="n">
        <v>4</v>
      </c>
      <c r="Z479" s="200" t="n">
        <v>45832</v>
      </c>
      <c r="AA479" s="198"/>
      <c r="AB479" s="198"/>
      <c r="AC479" s="198" t="s">
        <v>53</v>
      </c>
      <c r="AD479" s="198" t="s">
        <v>417</v>
      </c>
      <c r="AE479" s="198" t="s">
        <v>1052</v>
      </c>
      <c r="AF479" s="200" t="n">
        <v>45833</v>
      </c>
      <c r="AG479" s="198" t="n">
        <v>44</v>
      </c>
      <c r="AH479" s="198" t="n">
        <f aca="false">VLOOKUP(Таблица310[[#This Row],[№ акта]],'Степень зрелости 2025'!$H$13:$I$583,2,FALSE())</f>
        <v>47</v>
      </c>
      <c r="AI479" s="198" t="str">
        <f aca="false">VLOOKUP(Таблица310[[#This Row],[№ акта]],$AQ$1:$AT$594,2,FALSE())</f>
        <v>4.1</v>
      </c>
      <c r="AJ479" s="198" t="str">
        <f aca="false">Таблица310[[#This Row],[Регистратор.Номенклатура]]</f>
        <v>Фаворит</v>
      </c>
      <c r="AK479" s="198" t="str">
        <f aca="false">VLOOKUP(Таблица310[[#This Row],[№ акта]],$AQ$1:$AT$594,4,FALSE())</f>
        <v>Колос (полив)</v>
      </c>
      <c r="AL479" s="230" t="n">
        <f aca="false">VLOOKUP(Таблица310[[#This Row],[№ акта]],$AQ$1:$AT$594,3,FALSE())</f>
        <v>1.74673846666297</v>
      </c>
      <c r="AM479" s="198" t="str">
        <f aca="false">IF(Таблица310[[#This Row],[Площадь уборки, га]]=Таблица310[[#This Row],[Площадь уборки до корр]],"нет","да")</f>
        <v>нет</v>
      </c>
      <c r="AN479" s="230" t="n">
        <f aca="false">Таблица310[[#This Row],[Площадь уборки до корр]]-Таблица310[[#This Row],[Площадь уборки, га]]</f>
        <v>0</v>
      </c>
      <c r="AQ479" s="0" t="s">
        <v>1052</v>
      </c>
      <c r="AR479" s="0" t="s">
        <v>995</v>
      </c>
      <c r="AS479" s="0" t="n">
        <v>1.74673846666297</v>
      </c>
      <c r="AT479" s="0" t="s">
        <v>279</v>
      </c>
    </row>
    <row r="480" customFormat="false" ht="19.4" hidden="false" customHeight="false" outlineLevel="0" collapsed="false">
      <c r="A480" s="198"/>
      <c r="B480" s="223"/>
      <c r="C480" s="198" t="n">
        <v>49</v>
      </c>
      <c r="D480" s="224" t="s">
        <v>1053</v>
      </c>
      <c r="E480" s="225" t="n">
        <v>45833</v>
      </c>
      <c r="F480" s="223" t="n">
        <v>28450</v>
      </c>
      <c r="G480" s="223" t="n">
        <v>13190</v>
      </c>
      <c r="H480" s="226" t="n">
        <v>15260</v>
      </c>
      <c r="I480" s="223" t="n">
        <v>11073</v>
      </c>
      <c r="J480" s="198" t="s">
        <v>994</v>
      </c>
      <c r="K480" s="198" t="s">
        <v>900</v>
      </c>
      <c r="L480" s="198" t="s">
        <v>995</v>
      </c>
      <c r="M480" s="189" t="s">
        <v>451</v>
      </c>
      <c r="N480" s="198"/>
      <c r="O480" s="198"/>
      <c r="P480" s="198"/>
      <c r="Q480" s="198"/>
      <c r="R480" s="198" t="s">
        <v>455</v>
      </c>
      <c r="S480" s="198"/>
      <c r="T480" s="198" t="s">
        <v>995</v>
      </c>
      <c r="U480" s="198" t="str">
        <f aca="false">Таблица310[[#This Row],[Регистратор.Номенклатура]]</f>
        <v>Фаворит</v>
      </c>
      <c r="V480" s="230" t="n">
        <f aca="false">24*Таблица310[[#This Row],[Регистратор.Вес нетто]]/180130</f>
        <v>1.7573974351857</v>
      </c>
      <c r="W480" s="198" t="s">
        <v>279</v>
      </c>
      <c r="X480" s="198" t="s">
        <v>315</v>
      </c>
      <c r="Y480" s="198" t="n">
        <v>4</v>
      </c>
      <c r="Z480" s="200" t="n">
        <v>45832</v>
      </c>
      <c r="AA480" s="198"/>
      <c r="AB480" s="198"/>
      <c r="AC480" s="198" t="s">
        <v>53</v>
      </c>
      <c r="AD480" s="198" t="s">
        <v>417</v>
      </c>
      <c r="AE480" s="198" t="s">
        <v>1053</v>
      </c>
      <c r="AF480" s="200" t="n">
        <v>45833</v>
      </c>
      <c r="AG480" s="198" t="n">
        <v>45</v>
      </c>
      <c r="AH480" s="198" t="e">
        <f aca="false">VLOOKUP(Таблица310[[#This Row],[№ акта]],'Степень зрелости 2025'!$H$13:$I$583,2,FALSE())</f>
        <v>#N/A</v>
      </c>
      <c r="AI480" s="198" t="str">
        <f aca="false">VLOOKUP(Таблица310[[#This Row],[№ акта]],$AQ$1:$AT$594,2,FALSE())</f>
        <v>4.1</v>
      </c>
      <c r="AJ480" s="198" t="str">
        <f aca="false">Таблица310[[#This Row],[Регистратор.Номенклатура]]</f>
        <v>Фаворит</v>
      </c>
      <c r="AK480" s="198" t="str">
        <f aca="false">VLOOKUP(Таблица310[[#This Row],[№ акта]],$AQ$1:$AT$594,4,FALSE())</f>
        <v>Колос (полив)</v>
      </c>
      <c r="AL480" s="230" t="n">
        <f aca="false">VLOOKUP(Таблица310[[#This Row],[№ акта]],$AQ$1:$AT$594,3,FALSE())</f>
        <v>1.7573974351857</v>
      </c>
      <c r="AM480" s="198" t="str">
        <f aca="false">IF(Таблица310[[#This Row],[Площадь уборки, га]]=Таблица310[[#This Row],[Площадь уборки до корр]],"нет","да")</f>
        <v>нет</v>
      </c>
      <c r="AN480" s="230" t="n">
        <f aca="false">Таблица310[[#This Row],[Площадь уборки до корр]]-Таблица310[[#This Row],[Площадь уборки, га]]</f>
        <v>0</v>
      </c>
      <c r="AQ480" s="0" t="s">
        <v>1053</v>
      </c>
      <c r="AR480" s="0" t="s">
        <v>995</v>
      </c>
      <c r="AS480" s="0" t="n">
        <v>1.7573974351857</v>
      </c>
      <c r="AT480" s="0" t="s">
        <v>279</v>
      </c>
    </row>
    <row r="481" customFormat="false" ht="19.4" hidden="false" customHeight="false" outlineLevel="0" collapsed="false">
      <c r="A481" s="198"/>
      <c r="B481" s="223"/>
      <c r="C481" s="198" t="n">
        <v>48</v>
      </c>
      <c r="D481" s="224" t="s">
        <v>1054</v>
      </c>
      <c r="E481" s="225" t="n">
        <v>45833</v>
      </c>
      <c r="F481" s="223" t="n">
        <v>28180</v>
      </c>
      <c r="G481" s="223" t="n">
        <v>13240</v>
      </c>
      <c r="H481" s="226" t="n">
        <v>14940</v>
      </c>
      <c r="I481" s="223" t="n">
        <v>11320.2</v>
      </c>
      <c r="J481" s="198" t="s">
        <v>994</v>
      </c>
      <c r="K481" s="198" t="s">
        <v>900</v>
      </c>
      <c r="L481" s="198" t="s">
        <v>995</v>
      </c>
      <c r="M481" s="189" t="s">
        <v>547</v>
      </c>
      <c r="N481" s="198"/>
      <c r="O481" s="198"/>
      <c r="P481" s="198"/>
      <c r="Q481" s="198"/>
      <c r="R481" s="198" t="s">
        <v>551</v>
      </c>
      <c r="S481" s="198"/>
      <c r="T481" s="198" t="s">
        <v>995</v>
      </c>
      <c r="U481" s="198" t="str">
        <f aca="false">Таблица310[[#This Row],[Регистратор.Номенклатура]]</f>
        <v>Фаворит</v>
      </c>
      <c r="V481" s="230" t="n">
        <f aca="false">24*Таблица310[[#This Row],[Регистратор.Вес нетто]]/180130</f>
        <v>1.76405929051241</v>
      </c>
      <c r="W481" s="198" t="s">
        <v>279</v>
      </c>
      <c r="X481" s="198" t="s">
        <v>315</v>
      </c>
      <c r="Y481" s="198" t="n">
        <v>4</v>
      </c>
      <c r="Z481" s="200" t="n">
        <v>45832</v>
      </c>
      <c r="AA481" s="198"/>
      <c r="AB481" s="198"/>
      <c r="AC481" s="198" t="s">
        <v>53</v>
      </c>
      <c r="AD481" s="198" t="s">
        <v>417</v>
      </c>
      <c r="AE481" s="198" t="s">
        <v>1054</v>
      </c>
      <c r="AF481" s="200" t="n">
        <v>45833</v>
      </c>
      <c r="AG481" s="198" t="n">
        <v>46</v>
      </c>
      <c r="AH481" s="198" t="e">
        <f aca="false">VLOOKUP(Таблица310[[#This Row],[№ акта]],'Степень зрелости 2025'!$H$13:$I$583,2,FALSE())</f>
        <v>#N/A</v>
      </c>
      <c r="AI481" s="198" t="str">
        <f aca="false">VLOOKUP(Таблица310[[#This Row],[№ акта]],$AQ$1:$AT$594,2,FALSE())</f>
        <v>4.1</v>
      </c>
      <c r="AJ481" s="198" t="str">
        <f aca="false">Таблица310[[#This Row],[Регистратор.Номенклатура]]</f>
        <v>Фаворит</v>
      </c>
      <c r="AK481" s="198" t="str">
        <f aca="false">VLOOKUP(Таблица310[[#This Row],[№ акта]],$AQ$1:$AT$594,4,FALSE())</f>
        <v>Колос (полив)</v>
      </c>
      <c r="AL481" s="230" t="n">
        <f aca="false">VLOOKUP(Таблица310[[#This Row],[№ акта]],$AQ$1:$AT$594,3,FALSE())</f>
        <v>1.76405929051241</v>
      </c>
      <c r="AM481" s="198" t="str">
        <f aca="false">IF(Таблица310[[#This Row],[Площадь уборки, га]]=Таблица310[[#This Row],[Площадь уборки до корр]],"нет","да")</f>
        <v>нет</v>
      </c>
      <c r="AN481" s="230" t="n">
        <f aca="false">Таблица310[[#This Row],[Площадь уборки до корр]]-Таблица310[[#This Row],[Площадь уборки, га]]</f>
        <v>0</v>
      </c>
      <c r="AQ481" s="0" t="s">
        <v>1054</v>
      </c>
      <c r="AR481" s="0" t="s">
        <v>995</v>
      </c>
      <c r="AS481" s="0" t="n">
        <v>1.76405929051241</v>
      </c>
      <c r="AT481" s="0" t="s">
        <v>279</v>
      </c>
    </row>
    <row r="482" customFormat="false" ht="28.35" hidden="false" customHeight="false" outlineLevel="0" collapsed="false">
      <c r="A482" s="198"/>
      <c r="B482" s="223"/>
      <c r="C482" s="198" t="n">
        <v>47</v>
      </c>
      <c r="D482" s="224" t="s">
        <v>1055</v>
      </c>
      <c r="E482" s="225" t="n">
        <v>45833</v>
      </c>
      <c r="F482" s="223" t="n">
        <v>15880</v>
      </c>
      <c r="G482" s="223" t="n">
        <v>6160</v>
      </c>
      <c r="H482" s="226" t="n">
        <v>9720</v>
      </c>
      <c r="I482" s="223" t="n">
        <v>4958.8</v>
      </c>
      <c r="J482" s="198" t="s">
        <v>994</v>
      </c>
      <c r="K482" s="198" t="s">
        <v>900</v>
      </c>
      <c r="L482" s="198" t="s">
        <v>995</v>
      </c>
      <c r="M482" s="189" t="s">
        <v>553</v>
      </c>
      <c r="N482" s="198"/>
      <c r="O482" s="198"/>
      <c r="P482" s="198"/>
      <c r="Q482" s="198"/>
      <c r="R482" s="198" t="s">
        <v>557</v>
      </c>
      <c r="S482" s="198"/>
      <c r="T482" s="198" t="s">
        <v>995</v>
      </c>
      <c r="U482" s="198" t="str">
        <f aca="false">Таблица310[[#This Row],[Регистратор.Номенклатура]]</f>
        <v>Фаворит</v>
      </c>
      <c r="V482" s="230" t="n">
        <f aca="false">2*Таблица310[[#This Row],[Регистратор.Вес нетто]]/19230</f>
        <v>0.640665626625065</v>
      </c>
      <c r="W482" s="198" t="s">
        <v>279</v>
      </c>
      <c r="X482" s="198" t="s">
        <v>315</v>
      </c>
      <c r="Y482" s="198" t="n">
        <v>5</v>
      </c>
      <c r="Z482" s="200" t="n">
        <v>45833</v>
      </c>
      <c r="AA482" s="198"/>
      <c r="AB482" s="198"/>
      <c r="AC482" s="198" t="s">
        <v>53</v>
      </c>
      <c r="AD482" s="198" t="s">
        <v>417</v>
      </c>
      <c r="AE482" s="198" t="s">
        <v>1055</v>
      </c>
      <c r="AF482" s="200" t="n">
        <v>45833</v>
      </c>
      <c r="AG482" s="198" t="n">
        <v>48</v>
      </c>
      <c r="AH482" s="198" t="e">
        <f aca="false">VLOOKUP(Таблица310[[#This Row],[№ акта]],'Степень зрелости 2025'!$H$13:$I$583,2,FALSE())</f>
        <v>#N/A</v>
      </c>
      <c r="AI482" s="198" t="str">
        <f aca="false">VLOOKUP(Таблица310[[#This Row],[№ акта]],$AQ$1:$AT$594,2,FALSE())</f>
        <v>4.1</v>
      </c>
      <c r="AJ482" s="198" t="str">
        <f aca="false">Таблица310[[#This Row],[Регистратор.Номенклатура]]</f>
        <v>Фаворит</v>
      </c>
      <c r="AK482" s="198" t="str">
        <f aca="false">VLOOKUP(Таблица310[[#This Row],[№ акта]],$AQ$1:$AT$594,4,FALSE())</f>
        <v>Колос (полив)</v>
      </c>
      <c r="AL482" s="230" t="n">
        <f aca="false">VLOOKUP(Таблица310[[#This Row],[№ акта]],$AQ$1:$AT$594,3,FALSE())</f>
        <v>0.640665626625065</v>
      </c>
      <c r="AM482" s="198" t="str">
        <f aca="false">IF(Таблица310[[#This Row],[Площадь уборки, га]]=Таблица310[[#This Row],[Площадь уборки до корр]],"нет","да")</f>
        <v>нет</v>
      </c>
      <c r="AN482" s="230" t="n">
        <f aca="false">Таблица310[[#This Row],[Площадь уборки до корр]]-Таблица310[[#This Row],[Площадь уборки, га]]</f>
        <v>0</v>
      </c>
      <c r="AQ482" s="0" t="s">
        <v>1055</v>
      </c>
      <c r="AR482" s="0" t="s">
        <v>995</v>
      </c>
      <c r="AS482" s="0" t="n">
        <v>0.640665626625065</v>
      </c>
      <c r="AT482" s="0" t="s">
        <v>279</v>
      </c>
    </row>
    <row r="483" customFormat="false" ht="19.4" hidden="false" customHeight="false" outlineLevel="0" collapsed="false">
      <c r="A483" s="198"/>
      <c r="B483" s="223"/>
      <c r="C483" s="198" t="n">
        <v>50</v>
      </c>
      <c r="D483" s="224" t="s">
        <v>1056</v>
      </c>
      <c r="E483" s="225" t="n">
        <v>45833</v>
      </c>
      <c r="F483" s="223" t="n">
        <v>28810</v>
      </c>
      <c r="G483" s="223" t="n">
        <v>13070</v>
      </c>
      <c r="H483" s="226" t="n">
        <v>15740</v>
      </c>
      <c r="I483" s="223" t="n">
        <v>10913.4</v>
      </c>
      <c r="J483" s="198" t="s">
        <v>994</v>
      </c>
      <c r="K483" s="198" t="s">
        <v>900</v>
      </c>
      <c r="L483" s="198" t="s">
        <v>995</v>
      </c>
      <c r="M483" s="189" t="s">
        <v>445</v>
      </c>
      <c r="N483" s="198"/>
      <c r="O483" s="198"/>
      <c r="P483" s="198"/>
      <c r="Q483" s="198"/>
      <c r="R483" s="198" t="s">
        <v>449</v>
      </c>
      <c r="S483" s="198"/>
      <c r="T483" s="198" t="s">
        <v>995</v>
      </c>
      <c r="U483" s="198" t="str">
        <f aca="false">Таблица310[[#This Row],[Регистратор.Номенклатура]]</f>
        <v>Фаворит</v>
      </c>
      <c r="V483" s="230" t="n">
        <f aca="false">2*Таблица310[[#This Row],[Регистратор.Вес нетто]]/19230</f>
        <v>1.35933437337494</v>
      </c>
      <c r="W483" s="198" t="s">
        <v>279</v>
      </c>
      <c r="X483" s="198" t="s">
        <v>315</v>
      </c>
      <c r="Y483" s="198" t="n">
        <v>5</v>
      </c>
      <c r="Z483" s="200" t="n">
        <v>45833</v>
      </c>
      <c r="AA483" s="198"/>
      <c r="AB483" s="198"/>
      <c r="AC483" s="198" t="s">
        <v>53</v>
      </c>
      <c r="AD483" s="198" t="s">
        <v>417</v>
      </c>
      <c r="AE483" s="198" t="s">
        <v>1056</v>
      </c>
      <c r="AF483" s="200" t="n">
        <v>45833</v>
      </c>
      <c r="AG483" s="198" t="n">
        <v>47</v>
      </c>
      <c r="AH483" s="198" t="e">
        <f aca="false">VLOOKUP(Таблица310[[#This Row],[№ акта]],'Степень зрелости 2025'!$H$13:$I$583,2,FALSE())</f>
        <v>#N/A</v>
      </c>
      <c r="AI483" s="198" t="str">
        <f aca="false">VLOOKUP(Таблица310[[#This Row],[№ акта]],$AQ$1:$AT$594,2,FALSE())</f>
        <v>4.1</v>
      </c>
      <c r="AJ483" s="198" t="str">
        <f aca="false">Таблица310[[#This Row],[Регистратор.Номенклатура]]</f>
        <v>Фаворит</v>
      </c>
      <c r="AK483" s="198" t="str">
        <f aca="false">VLOOKUP(Таблица310[[#This Row],[№ акта]],$AQ$1:$AT$594,4,FALSE())</f>
        <v>Колос (полив)</v>
      </c>
      <c r="AL483" s="230" t="n">
        <f aca="false">VLOOKUP(Таблица310[[#This Row],[№ акта]],$AQ$1:$AT$594,3,FALSE())</f>
        <v>1.35933437337494</v>
      </c>
      <c r="AM483" s="198" t="str">
        <f aca="false">IF(Таблица310[[#This Row],[Площадь уборки, га]]=Таблица310[[#This Row],[Площадь уборки до корр]],"нет","да")</f>
        <v>нет</v>
      </c>
      <c r="AN483" s="230" t="n">
        <f aca="false">Таблица310[[#This Row],[Площадь уборки до корр]]-Таблица310[[#This Row],[Площадь уборки, га]]</f>
        <v>0</v>
      </c>
      <c r="AQ483" s="0" t="s">
        <v>1056</v>
      </c>
      <c r="AR483" s="0" t="s">
        <v>995</v>
      </c>
      <c r="AS483" s="0" t="n">
        <v>1.35933437337494</v>
      </c>
      <c r="AT483" s="0" t="s">
        <v>279</v>
      </c>
    </row>
    <row r="484" customFormat="false" ht="19.4" hidden="false" customHeight="false" outlineLevel="0" collapsed="false">
      <c r="A484" s="198"/>
      <c r="B484" s="223"/>
      <c r="C484" s="198" t="n">
        <v>47</v>
      </c>
      <c r="D484" s="224" t="s">
        <v>1057</v>
      </c>
      <c r="E484" s="225" t="n">
        <v>45836</v>
      </c>
      <c r="F484" s="223" t="n">
        <v>18390</v>
      </c>
      <c r="G484" s="223" t="n">
        <v>4170</v>
      </c>
      <c r="H484" s="226" t="n">
        <v>14220</v>
      </c>
      <c r="I484" s="223" t="n">
        <v>3461.1</v>
      </c>
      <c r="J484" s="198" t="s">
        <v>908</v>
      </c>
      <c r="K484" s="198" t="s">
        <v>1058</v>
      </c>
      <c r="L484" s="198" t="n">
        <v>14</v>
      </c>
      <c r="M484" s="189" t="s">
        <v>376</v>
      </c>
      <c r="N484" s="198"/>
      <c r="O484" s="198"/>
      <c r="P484" s="198"/>
      <c r="Q484" s="198"/>
      <c r="R484" s="198" t="s">
        <v>377</v>
      </c>
      <c r="S484" s="198"/>
      <c r="T484" s="198" t="n">
        <v>14</v>
      </c>
      <c r="U484" s="198" t="str">
        <f aca="false">Таблица310[[#This Row],[Регистратор.Номенклатура]]</f>
        <v>Исток</v>
      </c>
      <c r="V484" s="230" t="n">
        <v>1</v>
      </c>
      <c r="W484" s="198" t="s">
        <v>278</v>
      </c>
      <c r="X484" s="198" t="s">
        <v>315</v>
      </c>
      <c r="Y484" s="198" t="n">
        <v>8</v>
      </c>
      <c r="Z484" s="200" t="n">
        <v>45835</v>
      </c>
      <c r="AA484" s="198"/>
      <c r="AB484" s="198" t="s">
        <v>1059</v>
      </c>
      <c r="AC484" s="198" t="s">
        <v>53</v>
      </c>
      <c r="AD484" s="198" t="s">
        <v>417</v>
      </c>
      <c r="AE484" s="198" t="s">
        <v>1057</v>
      </c>
      <c r="AF484" s="200" t="n">
        <v>45836</v>
      </c>
      <c r="AG484" s="198" t="n">
        <v>54957</v>
      </c>
      <c r="AH484" s="198" t="n">
        <f aca="false">VLOOKUP(Таблица310[[#This Row],[№ акта]],'Степень зрелости 2025'!$H$13:$I$583,2,FALSE())</f>
        <v>47</v>
      </c>
      <c r="AI484" s="198" t="n">
        <f aca="false">VLOOKUP(Таблица310[[#This Row],[№ акта]],$AQ$1:$AT$594,2,FALSE())</f>
        <v>14</v>
      </c>
      <c r="AJ484" s="198" t="str">
        <f aca="false">Таблица310[[#This Row],[Регистратор.Номенклатура]]</f>
        <v>Исток</v>
      </c>
      <c r="AK484" s="198" t="str">
        <f aca="false">VLOOKUP(Таблица310[[#This Row],[№ акта]],$AQ$1:$AT$594,4,FALSE())</f>
        <v>Агролидер (полив)</v>
      </c>
      <c r="AL484" s="230" t="n">
        <f aca="false">VLOOKUP(Таблица310[[#This Row],[№ акта]],$AQ$1:$AT$594,3,FALSE())</f>
        <v>1</v>
      </c>
      <c r="AM484" s="198" t="str">
        <f aca="false">IF(Таблица310[[#This Row],[Площадь уборки, га]]=Таблица310[[#This Row],[Площадь уборки до корр]],"нет","да")</f>
        <v>нет</v>
      </c>
      <c r="AN484" s="230" t="n">
        <f aca="false">Таблица310[[#This Row],[Площадь уборки до корр]]-Таблица310[[#This Row],[Площадь уборки, га]]</f>
        <v>0</v>
      </c>
      <c r="AQ484" s="0" t="s">
        <v>1057</v>
      </c>
      <c r="AR484" s="0" t="n">
        <v>14</v>
      </c>
      <c r="AS484" s="0" t="n">
        <v>1</v>
      </c>
      <c r="AT484" s="0" t="s">
        <v>278</v>
      </c>
    </row>
    <row r="485" customFormat="false" ht="19.4" hidden="false" customHeight="false" outlineLevel="0" collapsed="false">
      <c r="A485" s="198"/>
      <c r="B485" s="223"/>
      <c r="C485" s="198" t="n">
        <v>45</v>
      </c>
      <c r="D485" s="224" t="s">
        <v>1060</v>
      </c>
      <c r="E485" s="225" t="n">
        <v>45836</v>
      </c>
      <c r="F485" s="223" t="n">
        <v>28270</v>
      </c>
      <c r="G485" s="223" t="n">
        <v>13390</v>
      </c>
      <c r="H485" s="226" t="n">
        <v>14880</v>
      </c>
      <c r="I485" s="223" t="n">
        <v>11515.4</v>
      </c>
      <c r="J485" s="198" t="s">
        <v>994</v>
      </c>
      <c r="K485" s="198" t="s">
        <v>1061</v>
      </c>
      <c r="L485" s="198" t="s">
        <v>995</v>
      </c>
      <c r="M485" s="189" t="s">
        <v>382</v>
      </c>
      <c r="N485" s="198"/>
      <c r="O485" s="198"/>
      <c r="P485" s="198"/>
      <c r="Q485" s="198"/>
      <c r="R485" s="198" t="s">
        <v>383</v>
      </c>
      <c r="S485" s="198"/>
      <c r="T485" s="198" t="s">
        <v>995</v>
      </c>
      <c r="U485" s="198" t="str">
        <f aca="false">Таблица310[[#This Row],[Регистратор.Номенклатура]]</f>
        <v>Парус</v>
      </c>
      <c r="V485" s="230" t="n">
        <v>2</v>
      </c>
      <c r="W485" s="198" t="s">
        <v>279</v>
      </c>
      <c r="X485" s="198" t="s">
        <v>315</v>
      </c>
      <c r="Y485" s="198" t="n">
        <v>6</v>
      </c>
      <c r="Z485" s="200" t="n">
        <v>45835</v>
      </c>
      <c r="AA485" s="198"/>
      <c r="AB485" s="198"/>
      <c r="AC485" s="198" t="s">
        <v>53</v>
      </c>
      <c r="AD485" s="198" t="s">
        <v>417</v>
      </c>
      <c r="AE485" s="198" t="s">
        <v>1060</v>
      </c>
      <c r="AF485" s="200" t="n">
        <v>45836</v>
      </c>
      <c r="AG485" s="198" t="n">
        <v>51</v>
      </c>
      <c r="AH485" s="198" t="n">
        <f aca="false">VLOOKUP(Таблица310[[#This Row],[№ акта]],'Степень зрелости 2025'!$H$13:$I$583,2,FALSE())</f>
        <v>45</v>
      </c>
      <c r="AI485" s="198" t="str">
        <f aca="false">VLOOKUP(Таблица310[[#This Row],[№ акта]],$AQ$1:$AT$594,2,FALSE())</f>
        <v>4.1</v>
      </c>
      <c r="AJ485" s="198" t="str">
        <f aca="false">Таблица310[[#This Row],[Регистратор.Номенклатура]]</f>
        <v>Парус</v>
      </c>
      <c r="AK485" s="198" t="str">
        <f aca="false">VLOOKUP(Таблица310[[#This Row],[№ акта]],$AQ$1:$AT$594,4,FALSE())</f>
        <v>Колос (полив)</v>
      </c>
      <c r="AL485" s="230" t="n">
        <f aca="false">VLOOKUP(Таблица310[[#This Row],[№ акта]],$AQ$1:$AT$594,3,FALSE())</f>
        <v>2</v>
      </c>
      <c r="AM485" s="198" t="str">
        <f aca="false">IF(Таблица310[[#This Row],[Площадь уборки, га]]=Таблица310[[#This Row],[Площадь уборки до корр]],"нет","да")</f>
        <v>нет</v>
      </c>
      <c r="AN485" s="230" t="n">
        <f aca="false">Таблица310[[#This Row],[Площадь уборки до корр]]-Таблица310[[#This Row],[Площадь уборки, га]]</f>
        <v>0</v>
      </c>
      <c r="AQ485" s="0" t="s">
        <v>1060</v>
      </c>
      <c r="AR485" s="0" t="s">
        <v>995</v>
      </c>
      <c r="AS485" s="0" t="n">
        <v>2</v>
      </c>
      <c r="AT485" s="0" t="s">
        <v>279</v>
      </c>
    </row>
    <row r="486" customFormat="false" ht="55.2" hidden="false" customHeight="false" outlineLevel="0" collapsed="false">
      <c r="A486" s="198"/>
      <c r="B486" s="223"/>
      <c r="C486" s="198" t="n">
        <v>51</v>
      </c>
      <c r="D486" s="224" t="s">
        <v>1062</v>
      </c>
      <c r="E486" s="225" t="n">
        <v>45836</v>
      </c>
      <c r="F486" s="223" t="n">
        <v>29130</v>
      </c>
      <c r="G486" s="223" t="n">
        <v>14020</v>
      </c>
      <c r="H486" s="226" t="n">
        <v>15110</v>
      </c>
      <c r="I486" s="223" t="n">
        <v>11987.1</v>
      </c>
      <c r="J486" s="198" t="s">
        <v>994</v>
      </c>
      <c r="K486" s="198" t="s">
        <v>1061</v>
      </c>
      <c r="L486" s="198" t="s">
        <v>995</v>
      </c>
      <c r="M486" s="189" t="s">
        <v>371</v>
      </c>
      <c r="N486" s="198"/>
      <c r="O486" s="198"/>
      <c r="P486" s="198"/>
      <c r="Q486" s="198"/>
      <c r="R486" s="198" t="s">
        <v>372</v>
      </c>
      <c r="S486" s="198"/>
      <c r="T486" s="198" t="s">
        <v>995</v>
      </c>
      <c r="U486" s="198" t="str">
        <f aca="false">Таблица310[[#This Row],[Регистратор.Номенклатура]]</f>
        <v>Парус</v>
      </c>
      <c r="V486" s="230" t="n">
        <f aca="false">15*Таблица310[[#This Row],[Регистратор.Вес нетто]]/98790</f>
        <v>2.1287579714546</v>
      </c>
      <c r="W486" s="198" t="s">
        <v>279</v>
      </c>
      <c r="X486" s="198" t="s">
        <v>315</v>
      </c>
      <c r="Y486" s="198" t="n">
        <v>7</v>
      </c>
      <c r="Z486" s="200" t="n">
        <v>45836</v>
      </c>
      <c r="AA486" s="198"/>
      <c r="AB486" s="198" t="s">
        <v>1063</v>
      </c>
      <c r="AC486" s="198" t="s">
        <v>53</v>
      </c>
      <c r="AD486" s="198" t="s">
        <v>417</v>
      </c>
      <c r="AE486" s="198" t="s">
        <v>1062</v>
      </c>
      <c r="AF486" s="200" t="n">
        <v>45836</v>
      </c>
      <c r="AG486" s="198" t="n">
        <v>49</v>
      </c>
      <c r="AH486" s="198" t="e">
        <f aca="false">VLOOKUP(Таблица310[[#This Row],[№ акта]],'Степень зрелости 2025'!$H$13:$I$583,2,FALSE())</f>
        <v>#N/A</v>
      </c>
      <c r="AI486" s="198" t="str">
        <f aca="false">VLOOKUP(Таблица310[[#This Row],[№ акта]],$AQ$1:$AT$594,2,FALSE())</f>
        <v>4.1</v>
      </c>
      <c r="AJ486" s="198" t="str">
        <f aca="false">Таблица310[[#This Row],[Регистратор.Номенклатура]]</f>
        <v>Парус</v>
      </c>
      <c r="AK486" s="198" t="str">
        <f aca="false">VLOOKUP(Таблица310[[#This Row],[№ акта]],$AQ$1:$AT$594,4,FALSE())</f>
        <v>Колос (полив)</v>
      </c>
      <c r="AL486" s="230" t="n">
        <f aca="false">VLOOKUP(Таблица310[[#This Row],[№ акта]],$AQ$1:$AT$594,3,FALSE())</f>
        <v>2.1287579714546</v>
      </c>
      <c r="AM486" s="198" t="str">
        <f aca="false">IF(Таблица310[[#This Row],[Площадь уборки, га]]=Таблица310[[#This Row],[Площадь уборки до корр]],"нет","да")</f>
        <v>нет</v>
      </c>
      <c r="AN486" s="230" t="n">
        <f aca="false">Таблица310[[#This Row],[Площадь уборки до корр]]-Таблица310[[#This Row],[Площадь уборки, га]]</f>
        <v>0</v>
      </c>
      <c r="AQ486" s="0" t="s">
        <v>1062</v>
      </c>
      <c r="AR486" s="0" t="s">
        <v>995</v>
      </c>
      <c r="AS486" s="0" t="n">
        <v>2.1287579714546</v>
      </c>
      <c r="AT486" s="0" t="s">
        <v>279</v>
      </c>
    </row>
    <row r="487" customFormat="false" ht="55.2" hidden="false" customHeight="false" outlineLevel="0" collapsed="false">
      <c r="A487" s="198"/>
      <c r="B487" s="223"/>
      <c r="C487" s="198" t="n">
        <v>47</v>
      </c>
      <c r="D487" s="224" t="s">
        <v>1064</v>
      </c>
      <c r="E487" s="225" t="n">
        <v>45836</v>
      </c>
      <c r="F487" s="223" t="n">
        <v>22010</v>
      </c>
      <c r="G487" s="223" t="n">
        <v>7090</v>
      </c>
      <c r="H487" s="226" t="n">
        <v>14920</v>
      </c>
      <c r="I487" s="223" t="n">
        <v>5742.9</v>
      </c>
      <c r="J487" s="198" t="s">
        <v>994</v>
      </c>
      <c r="K487" s="198" t="s">
        <v>904</v>
      </c>
      <c r="L487" s="198" t="s">
        <v>995</v>
      </c>
      <c r="M487" s="189" t="s">
        <v>361</v>
      </c>
      <c r="N487" s="198"/>
      <c r="O487" s="198"/>
      <c r="P487" s="198"/>
      <c r="Q487" s="198"/>
      <c r="R487" s="198" t="s">
        <v>362</v>
      </c>
      <c r="S487" s="198"/>
      <c r="T487" s="247" t="s">
        <v>995</v>
      </c>
      <c r="U487" s="198" t="str">
        <f aca="false">Таблица310[[#This Row],[Регистратор.Номенклатура]]</f>
        <v>Тристар</v>
      </c>
      <c r="V487" s="230" t="n">
        <f aca="false">15*Таблица310[[#This Row],[Регистратор.Вес нетто]]/98790</f>
        <v>1.07652596416641</v>
      </c>
      <c r="W487" s="198" t="s">
        <v>279</v>
      </c>
      <c r="X487" s="198" t="s">
        <v>315</v>
      </c>
      <c r="Y487" s="198" t="n">
        <v>7</v>
      </c>
      <c r="Z487" s="200" t="n">
        <v>45836</v>
      </c>
      <c r="AA487" s="198"/>
      <c r="AB487" s="198" t="s">
        <v>1063</v>
      </c>
      <c r="AC487" s="198" t="s">
        <v>53</v>
      </c>
      <c r="AD487" s="198" t="s">
        <v>417</v>
      </c>
      <c r="AE487" s="198" t="s">
        <v>1064</v>
      </c>
      <c r="AF487" s="200" t="n">
        <v>45836</v>
      </c>
      <c r="AG487" s="198" t="n">
        <v>52</v>
      </c>
      <c r="AH487" s="198" t="n">
        <f aca="false">VLOOKUP(Таблица310[[#This Row],[№ акта]],'Степень зрелости 2025'!$H$13:$I$583,2,FALSE())</f>
        <v>47</v>
      </c>
      <c r="AI487" s="198" t="str">
        <f aca="false">VLOOKUP(Таблица310[[#This Row],[№ акта]],$AQ$1:$AT$594,2,FALSE())</f>
        <v>4.1</v>
      </c>
      <c r="AJ487" s="198" t="str">
        <f aca="false">Таблица310[[#This Row],[Регистратор.Номенклатура]]</f>
        <v>Тристар</v>
      </c>
      <c r="AK487" s="198" t="str">
        <f aca="false">VLOOKUP(Таблица310[[#This Row],[№ акта]],$AQ$1:$AT$594,4,FALSE())</f>
        <v>Колос (полив)</v>
      </c>
      <c r="AL487" s="230" t="n">
        <f aca="false">VLOOKUP(Таблица310[[#This Row],[№ акта]],$AQ$1:$AT$594,3,FALSE())</f>
        <v>1.07652596416641</v>
      </c>
      <c r="AM487" s="198" t="str">
        <f aca="false">IF(Таблица310[[#This Row],[Площадь уборки, га]]=Таблица310[[#This Row],[Площадь уборки до корр]],"нет","да")</f>
        <v>нет</v>
      </c>
      <c r="AN487" s="230" t="n">
        <f aca="false">Таблица310[[#This Row],[Площадь уборки до корр]]-Таблица310[[#This Row],[Площадь уборки, га]]</f>
        <v>0</v>
      </c>
      <c r="AQ487" s="0" t="s">
        <v>1064</v>
      </c>
      <c r="AR487" s="0" t="s">
        <v>995</v>
      </c>
      <c r="AS487" s="0" t="n">
        <v>1.07652596416641</v>
      </c>
      <c r="AT487" s="0" t="s">
        <v>279</v>
      </c>
    </row>
    <row r="488" customFormat="false" ht="55.2" hidden="false" customHeight="false" outlineLevel="0" collapsed="false">
      <c r="A488" s="198"/>
      <c r="B488" s="223"/>
      <c r="C488" s="198" t="n">
        <v>45</v>
      </c>
      <c r="D488" s="224" t="s">
        <v>1065</v>
      </c>
      <c r="E488" s="225" t="n">
        <v>45836</v>
      </c>
      <c r="F488" s="223" t="n">
        <v>29040</v>
      </c>
      <c r="G488" s="223" t="n">
        <v>7030</v>
      </c>
      <c r="H488" s="226" t="n">
        <v>22010</v>
      </c>
      <c r="I488" s="223" t="n">
        <v>5834.9</v>
      </c>
      <c r="J488" s="198" t="s">
        <v>994</v>
      </c>
      <c r="K488" s="198" t="s">
        <v>1061</v>
      </c>
      <c r="L488" s="198" t="s">
        <v>995</v>
      </c>
      <c r="M488" s="189" t="s">
        <v>361</v>
      </c>
      <c r="N488" s="198"/>
      <c r="O488" s="198"/>
      <c r="P488" s="198"/>
      <c r="Q488" s="198"/>
      <c r="R488" s="198" t="s">
        <v>362</v>
      </c>
      <c r="S488" s="198"/>
      <c r="T488" s="198" t="s">
        <v>995</v>
      </c>
      <c r="U488" s="198" t="str">
        <f aca="false">Таблица310[[#This Row],[Регистратор.Номенклатура]]</f>
        <v>Парус</v>
      </c>
      <c r="V488" s="230" t="n">
        <f aca="false">15*Таблица310[[#This Row],[Регистратор.Вес нетто]]/98790</f>
        <v>1.06741573033708</v>
      </c>
      <c r="W488" s="198" t="s">
        <v>279</v>
      </c>
      <c r="X488" s="198" t="s">
        <v>315</v>
      </c>
      <c r="Y488" s="198" t="n">
        <v>7</v>
      </c>
      <c r="Z488" s="200" t="n">
        <v>45836</v>
      </c>
      <c r="AA488" s="198"/>
      <c r="AB488" s="198" t="s">
        <v>1063</v>
      </c>
      <c r="AC488" s="198" t="s">
        <v>53</v>
      </c>
      <c r="AD488" s="198" t="s">
        <v>417</v>
      </c>
      <c r="AE488" s="198" t="s">
        <v>1065</v>
      </c>
      <c r="AF488" s="200" t="n">
        <v>45836</v>
      </c>
      <c r="AG488" s="198" t="n">
        <v>52</v>
      </c>
      <c r="AH488" s="198" t="n">
        <f aca="false">VLOOKUP(Таблица310[[#This Row],[№ акта]],'Степень зрелости 2025'!$H$13:$I$583,2,FALSE())</f>
        <v>45</v>
      </c>
      <c r="AI488" s="198" t="str">
        <f aca="false">VLOOKUP(Таблица310[[#This Row],[№ акта]],$AQ$1:$AT$594,2,FALSE())</f>
        <v>4.1</v>
      </c>
      <c r="AJ488" s="198" t="str">
        <f aca="false">Таблица310[[#This Row],[Регистратор.Номенклатура]]</f>
        <v>Парус</v>
      </c>
      <c r="AK488" s="198" t="str">
        <f aca="false">VLOOKUP(Таблица310[[#This Row],[№ акта]],$AQ$1:$AT$594,4,FALSE())</f>
        <v>Колос (полив)</v>
      </c>
      <c r="AL488" s="230" t="n">
        <f aca="false">VLOOKUP(Таблица310[[#This Row],[№ акта]],$AQ$1:$AT$594,3,FALSE())</f>
        <v>1.06741573033708</v>
      </c>
      <c r="AM488" s="198" t="str">
        <f aca="false">IF(Таблица310[[#This Row],[Площадь уборки, га]]=Таблица310[[#This Row],[Площадь уборки до корр]],"нет","да")</f>
        <v>нет</v>
      </c>
      <c r="AN488" s="230" t="n">
        <f aca="false">Таблица310[[#This Row],[Площадь уборки до корр]]-Таблица310[[#This Row],[Площадь уборки, га]]</f>
        <v>0</v>
      </c>
      <c r="AQ488" s="0" t="s">
        <v>1065</v>
      </c>
      <c r="AR488" s="0" t="s">
        <v>995</v>
      </c>
      <c r="AS488" s="0" t="n">
        <v>1.06741573033708</v>
      </c>
      <c r="AT488" s="0" t="s">
        <v>279</v>
      </c>
    </row>
    <row r="489" customFormat="false" ht="55.2" hidden="false" customHeight="false" outlineLevel="0" collapsed="false">
      <c r="A489" s="198"/>
      <c r="B489" s="223"/>
      <c r="C489" s="198" t="n">
        <v>49</v>
      </c>
      <c r="D489" s="224" t="s">
        <v>1066</v>
      </c>
      <c r="E489" s="225" t="n">
        <v>45836</v>
      </c>
      <c r="F489" s="223" t="n">
        <v>29480</v>
      </c>
      <c r="G489" s="223" t="n">
        <v>15050</v>
      </c>
      <c r="H489" s="226" t="n">
        <v>14430</v>
      </c>
      <c r="I489" s="223" t="n">
        <v>12792.5</v>
      </c>
      <c r="J489" s="198" t="s">
        <v>994</v>
      </c>
      <c r="K489" s="198" t="s">
        <v>904</v>
      </c>
      <c r="L489" s="198" t="s">
        <v>995</v>
      </c>
      <c r="M489" s="189" t="s">
        <v>384</v>
      </c>
      <c r="N489" s="198"/>
      <c r="O489" s="198"/>
      <c r="P489" s="198"/>
      <c r="Q489" s="198"/>
      <c r="R489" s="198" t="s">
        <v>385</v>
      </c>
      <c r="S489" s="198"/>
      <c r="T489" s="198" t="s">
        <v>995</v>
      </c>
      <c r="U489" s="198" t="str">
        <f aca="false">Таблица310[[#This Row],[Регистратор.Номенклатура]]</f>
        <v>Тристар</v>
      </c>
      <c r="V489" s="230" t="n">
        <f aca="false">15*Таблица310[[#This Row],[Регистратор.Вес нетто]]/98790</f>
        <v>2.28515031885818</v>
      </c>
      <c r="W489" s="198" t="s">
        <v>279</v>
      </c>
      <c r="X489" s="198" t="s">
        <v>315</v>
      </c>
      <c r="Y489" s="198" t="n">
        <v>7</v>
      </c>
      <c r="Z489" s="200" t="n">
        <v>45836</v>
      </c>
      <c r="AA489" s="198"/>
      <c r="AB489" s="198" t="s">
        <v>1063</v>
      </c>
      <c r="AC489" s="198" t="s">
        <v>53</v>
      </c>
      <c r="AD489" s="198" t="s">
        <v>417</v>
      </c>
      <c r="AE489" s="198" t="s">
        <v>1066</v>
      </c>
      <c r="AF489" s="200" t="n">
        <v>45836</v>
      </c>
      <c r="AG489" s="198" t="n">
        <v>50</v>
      </c>
      <c r="AH489" s="198" t="n">
        <f aca="false">VLOOKUP(Таблица310[[#This Row],[№ акта]],'Степень зрелости 2025'!$H$13:$I$583,2,FALSE())</f>
        <v>49</v>
      </c>
      <c r="AI489" s="198" t="str">
        <f aca="false">VLOOKUP(Таблица310[[#This Row],[№ акта]],$AQ$1:$AT$594,2,FALSE())</f>
        <v>4.1</v>
      </c>
      <c r="AJ489" s="198" t="str">
        <f aca="false">Таблица310[[#This Row],[Регистратор.Номенклатура]]</f>
        <v>Тристар</v>
      </c>
      <c r="AK489" s="198" t="str">
        <f aca="false">VLOOKUP(Таблица310[[#This Row],[№ акта]],$AQ$1:$AT$594,4,FALSE())</f>
        <v>Колос (полив)</v>
      </c>
      <c r="AL489" s="230" t="n">
        <f aca="false">VLOOKUP(Таблица310[[#This Row],[№ акта]],$AQ$1:$AT$594,3,FALSE())</f>
        <v>2.28515031885818</v>
      </c>
      <c r="AM489" s="198" t="str">
        <f aca="false">IF(Таблица310[[#This Row],[Площадь уборки, га]]=Таблица310[[#This Row],[Площадь уборки до корр]],"нет","да")</f>
        <v>нет</v>
      </c>
      <c r="AN489" s="230" t="n">
        <f aca="false">Таблица310[[#This Row],[Площадь уборки до корр]]-Таблица310[[#This Row],[Площадь уборки, га]]</f>
        <v>0</v>
      </c>
      <c r="AQ489" s="0" t="s">
        <v>1066</v>
      </c>
      <c r="AR489" s="0" t="s">
        <v>995</v>
      </c>
      <c r="AS489" s="0" t="n">
        <v>2.28515031885818</v>
      </c>
      <c r="AT489" s="0" t="s">
        <v>279</v>
      </c>
    </row>
    <row r="490" customFormat="false" ht="55.2" hidden="false" customHeight="false" outlineLevel="0" collapsed="false">
      <c r="A490" s="198"/>
      <c r="B490" s="223"/>
      <c r="C490" s="198" t="n">
        <v>50</v>
      </c>
      <c r="D490" s="224" t="s">
        <v>1067</v>
      </c>
      <c r="E490" s="225" t="n">
        <v>45837</v>
      </c>
      <c r="F490" s="223" t="n">
        <v>35120</v>
      </c>
      <c r="G490" s="223" t="n">
        <v>7150</v>
      </c>
      <c r="H490" s="226" t="n">
        <v>27970</v>
      </c>
      <c r="I490" s="223" t="n">
        <v>6399.2</v>
      </c>
      <c r="J490" s="198" t="s">
        <v>994</v>
      </c>
      <c r="K490" s="198" t="s">
        <v>904</v>
      </c>
      <c r="L490" s="198" t="s">
        <v>995</v>
      </c>
      <c r="M490" s="189" t="s">
        <v>1068</v>
      </c>
      <c r="N490" s="198"/>
      <c r="O490" s="198"/>
      <c r="P490" s="198"/>
      <c r="Q490" s="198"/>
      <c r="R490" s="198" t="s">
        <v>431</v>
      </c>
      <c r="S490" s="198"/>
      <c r="T490" s="198" t="s">
        <v>995</v>
      </c>
      <c r="U490" s="198" t="str">
        <f aca="false">Таблица310[[#This Row],[Регистратор.Номенклатура]]</f>
        <v>Тристар</v>
      </c>
      <c r="V490" s="230" t="n">
        <f aca="false">15*Таблица310[[#This Row],[Регистратор.Вес нетто]]/98790</f>
        <v>1.08563619799575</v>
      </c>
      <c r="W490" s="198" t="s">
        <v>279</v>
      </c>
      <c r="X490" s="198" t="s">
        <v>315</v>
      </c>
      <c r="Y490" s="198" t="n">
        <v>8</v>
      </c>
      <c r="Z490" s="200" t="n">
        <v>45837</v>
      </c>
      <c r="AA490" s="198"/>
      <c r="AB490" s="198" t="s">
        <v>1063</v>
      </c>
      <c r="AC490" s="198" t="s">
        <v>53</v>
      </c>
      <c r="AD490" s="198" t="s">
        <v>417</v>
      </c>
      <c r="AE490" s="198" t="s">
        <v>1067</v>
      </c>
      <c r="AF490" s="200" t="n">
        <v>45837</v>
      </c>
      <c r="AG490" s="198" t="n">
        <v>55</v>
      </c>
      <c r="AH490" s="198" t="n">
        <f aca="false">VLOOKUP(Таблица310[[#This Row],[№ акта]],'Степень зрелости 2025'!$H$13:$I$583,2,FALSE())</f>
        <v>50</v>
      </c>
      <c r="AI490" s="198" t="str">
        <f aca="false">VLOOKUP(Таблица310[[#This Row],[№ акта]],$AQ$1:$AT$594,2,FALSE())</f>
        <v>4.1</v>
      </c>
      <c r="AJ490" s="198" t="str">
        <f aca="false">Таблица310[[#This Row],[Регистратор.Номенклатура]]</f>
        <v>Тристар</v>
      </c>
      <c r="AK490" s="198" t="str">
        <f aca="false">VLOOKUP(Таблица310[[#This Row],[№ акта]],$AQ$1:$AT$594,4,FALSE())</f>
        <v>Колос (полив)</v>
      </c>
      <c r="AL490" s="230" t="n">
        <f aca="false">VLOOKUP(Таблица310[[#This Row],[№ акта]],$AQ$1:$AT$594,3,FALSE())</f>
        <v>1.08563619799575</v>
      </c>
      <c r="AM490" s="198" t="str">
        <f aca="false">IF(Таблица310[[#This Row],[Площадь уборки, га]]=Таблица310[[#This Row],[Площадь уборки до корр]],"нет","да")</f>
        <v>нет</v>
      </c>
      <c r="AN490" s="230" t="n">
        <f aca="false">Таблица310[[#This Row],[Площадь уборки до корр]]-Таблица310[[#This Row],[Площадь уборки, га]]</f>
        <v>0</v>
      </c>
      <c r="AQ490" s="0" t="s">
        <v>1067</v>
      </c>
      <c r="AR490" s="0" t="s">
        <v>995</v>
      </c>
      <c r="AS490" s="0" t="n">
        <v>1.08563619799575</v>
      </c>
      <c r="AT490" s="0" t="s">
        <v>279</v>
      </c>
    </row>
    <row r="491" customFormat="false" ht="55.2" hidden="false" customHeight="false" outlineLevel="0" collapsed="false">
      <c r="A491" s="198"/>
      <c r="B491" s="223"/>
      <c r="C491" s="198" t="n">
        <v>51</v>
      </c>
      <c r="D491" s="224" t="s">
        <v>1069</v>
      </c>
      <c r="E491" s="225" t="n">
        <v>45837</v>
      </c>
      <c r="F491" s="223" t="n">
        <v>27970</v>
      </c>
      <c r="G491" s="223" t="n">
        <v>7050</v>
      </c>
      <c r="H491" s="226" t="n">
        <v>20920</v>
      </c>
      <c r="I491" s="223" t="n">
        <v>6450.7</v>
      </c>
      <c r="J491" s="198" t="s">
        <v>994</v>
      </c>
      <c r="K491" s="198" t="s">
        <v>1061</v>
      </c>
      <c r="L491" s="198" t="s">
        <v>995</v>
      </c>
      <c r="M491" s="189" t="s">
        <v>1068</v>
      </c>
      <c r="N491" s="198"/>
      <c r="O491" s="198"/>
      <c r="P491" s="198"/>
      <c r="Q491" s="198"/>
      <c r="R491" s="198" t="s">
        <v>431</v>
      </c>
      <c r="S491" s="198"/>
      <c r="T491" s="198" t="s">
        <v>995</v>
      </c>
      <c r="U491" s="198" t="str">
        <f aca="false">Таблица310[[#This Row],[Регистратор.Номенклатура]]</f>
        <v>Парус</v>
      </c>
      <c r="V491" s="230" t="n">
        <f aca="false">15*Таблица310[[#This Row],[Регистратор.Вес нетто]]/98790</f>
        <v>1.07045247494686</v>
      </c>
      <c r="W491" s="198" t="s">
        <v>279</v>
      </c>
      <c r="X491" s="198" t="s">
        <v>315</v>
      </c>
      <c r="Y491" s="198" t="n">
        <v>8</v>
      </c>
      <c r="Z491" s="200" t="n">
        <v>45837</v>
      </c>
      <c r="AA491" s="198"/>
      <c r="AB491" s="198" t="s">
        <v>1063</v>
      </c>
      <c r="AC491" s="198" t="s">
        <v>53</v>
      </c>
      <c r="AD491" s="198" t="s">
        <v>417</v>
      </c>
      <c r="AE491" s="198" t="s">
        <v>1069</v>
      </c>
      <c r="AF491" s="200" t="n">
        <v>45837</v>
      </c>
      <c r="AG491" s="198" t="n">
        <v>55</v>
      </c>
      <c r="AH491" s="198" t="n">
        <f aca="false">VLOOKUP(Таблица310[[#This Row],[№ акта]],'Степень зрелости 2025'!$H$13:$I$583,2,FALSE())</f>
        <v>51</v>
      </c>
      <c r="AI491" s="198" t="str">
        <f aca="false">VLOOKUP(Таблица310[[#This Row],[№ акта]],$AQ$1:$AT$594,2,FALSE())</f>
        <v>4.1</v>
      </c>
      <c r="AJ491" s="198" t="str">
        <f aca="false">Таблица310[[#This Row],[Регистратор.Номенклатура]]</f>
        <v>Парус</v>
      </c>
      <c r="AK491" s="198" t="str">
        <f aca="false">VLOOKUP(Таблица310[[#This Row],[№ акта]],$AQ$1:$AT$594,4,FALSE())</f>
        <v>Колос (полив)</v>
      </c>
      <c r="AL491" s="230" t="n">
        <f aca="false">VLOOKUP(Таблица310[[#This Row],[№ акта]],$AQ$1:$AT$594,3,FALSE())</f>
        <v>1.07045247494686</v>
      </c>
      <c r="AM491" s="198" t="str">
        <f aca="false">IF(Таблица310[[#This Row],[Площадь уборки, га]]=Таблица310[[#This Row],[Площадь уборки до корр]],"нет","да")</f>
        <v>нет</v>
      </c>
      <c r="AN491" s="230" t="n">
        <f aca="false">Таблица310[[#This Row],[Площадь уборки до корр]]-Таблица310[[#This Row],[Площадь уборки, га]]</f>
        <v>0</v>
      </c>
      <c r="AQ491" s="0" t="s">
        <v>1069</v>
      </c>
      <c r="AR491" s="0" t="s">
        <v>995</v>
      </c>
      <c r="AS491" s="0" t="n">
        <v>1.07045247494686</v>
      </c>
      <c r="AT491" s="0" t="s">
        <v>279</v>
      </c>
    </row>
    <row r="492" customFormat="false" ht="55.2" hidden="false" customHeight="false" outlineLevel="0" collapsed="false">
      <c r="A492" s="198"/>
      <c r="B492" s="223"/>
      <c r="C492" s="198" t="n">
        <v>45</v>
      </c>
      <c r="D492" s="224" t="s">
        <v>1070</v>
      </c>
      <c r="E492" s="225" t="n">
        <v>45837</v>
      </c>
      <c r="F492" s="223" t="n">
        <v>38080</v>
      </c>
      <c r="G492" s="223" t="n">
        <v>13930</v>
      </c>
      <c r="H492" s="226" t="n">
        <v>24150</v>
      </c>
      <c r="I492" s="223" t="n">
        <v>11979.8</v>
      </c>
      <c r="J492" s="198" t="s">
        <v>994</v>
      </c>
      <c r="K492" s="198" t="s">
        <v>1061</v>
      </c>
      <c r="L492" s="198" t="s">
        <v>995</v>
      </c>
      <c r="M492" s="189" t="s">
        <v>439</v>
      </c>
      <c r="N492" s="198"/>
      <c r="O492" s="198"/>
      <c r="P492" s="198"/>
      <c r="Q492" s="198"/>
      <c r="R492" s="198" t="s">
        <v>443</v>
      </c>
      <c r="S492" s="198"/>
      <c r="T492" s="198" t="s">
        <v>995</v>
      </c>
      <c r="U492" s="198" t="str">
        <f aca="false">Таблица310[[#This Row],[Регистратор.Номенклатура]]</f>
        <v>Парус</v>
      </c>
      <c r="V492" s="230" t="n">
        <f aca="false">15*Таблица310[[#This Row],[Регистратор.Вес нетто]]/98790</f>
        <v>2.1150926207106</v>
      </c>
      <c r="W492" s="198" t="s">
        <v>279</v>
      </c>
      <c r="X492" s="198" t="s">
        <v>315</v>
      </c>
      <c r="Y492" s="198" t="n">
        <v>8</v>
      </c>
      <c r="Z492" s="200" t="n">
        <v>45837</v>
      </c>
      <c r="AA492" s="198"/>
      <c r="AB492" s="198" t="s">
        <v>1063</v>
      </c>
      <c r="AC492" s="198" t="s">
        <v>53</v>
      </c>
      <c r="AD492" s="198" t="s">
        <v>417</v>
      </c>
      <c r="AE492" s="198" t="s">
        <v>1070</v>
      </c>
      <c r="AF492" s="200" t="n">
        <v>45837</v>
      </c>
      <c r="AG492" s="198" t="n">
        <v>54</v>
      </c>
      <c r="AH492" s="198" t="n">
        <f aca="false">VLOOKUP(Таблица310[[#This Row],[№ акта]],'Степень зрелости 2025'!$H$13:$I$583,2,FALSE())</f>
        <v>45</v>
      </c>
      <c r="AI492" s="198" t="str">
        <f aca="false">VLOOKUP(Таблица310[[#This Row],[№ акта]],$AQ$1:$AT$594,2,FALSE())</f>
        <v>4.1</v>
      </c>
      <c r="AJ492" s="198" t="str">
        <f aca="false">Таблица310[[#This Row],[Регистратор.Номенклатура]]</f>
        <v>Парус</v>
      </c>
      <c r="AK492" s="198" t="str">
        <f aca="false">VLOOKUP(Таблица310[[#This Row],[№ акта]],$AQ$1:$AT$594,4,FALSE())</f>
        <v>Колос (полив)</v>
      </c>
      <c r="AL492" s="230" t="n">
        <f aca="false">VLOOKUP(Таблица310[[#This Row],[№ акта]],$AQ$1:$AT$594,3,FALSE())</f>
        <v>2.1150926207106</v>
      </c>
      <c r="AM492" s="198" t="str">
        <f aca="false">IF(Таблица310[[#This Row],[Площадь уборки, га]]=Таблица310[[#This Row],[Площадь уборки до корр]],"нет","да")</f>
        <v>нет</v>
      </c>
      <c r="AN492" s="230" t="n">
        <f aca="false">Таблица310[[#This Row],[Площадь уборки до корр]]-Таблица310[[#This Row],[Площадь уборки, га]]</f>
        <v>0</v>
      </c>
      <c r="AQ492" s="0" t="s">
        <v>1070</v>
      </c>
      <c r="AR492" s="0" t="s">
        <v>995</v>
      </c>
      <c r="AS492" s="0" t="n">
        <v>2.1150926207106</v>
      </c>
      <c r="AT492" s="0" t="s">
        <v>279</v>
      </c>
    </row>
    <row r="493" customFormat="false" ht="19.4" hidden="false" customHeight="false" outlineLevel="0" collapsed="false">
      <c r="A493" s="198"/>
      <c r="B493" s="223"/>
      <c r="C493" s="198" t="n">
        <v>44</v>
      </c>
      <c r="D493" s="224" t="s">
        <v>1071</v>
      </c>
      <c r="E493" s="225" t="n">
        <v>45837</v>
      </c>
      <c r="F493" s="223" t="n">
        <v>23440</v>
      </c>
      <c r="G493" s="223" t="n">
        <v>9090</v>
      </c>
      <c r="H493" s="226" t="n">
        <v>14350</v>
      </c>
      <c r="I493" s="223" t="n">
        <v>7862.8</v>
      </c>
      <c r="J493" s="198" t="s">
        <v>908</v>
      </c>
      <c r="K493" s="198" t="s">
        <v>1058</v>
      </c>
      <c r="L493" s="198" t="n">
        <v>14</v>
      </c>
      <c r="M493" s="189" t="s">
        <v>376</v>
      </c>
      <c r="N493" s="198"/>
      <c r="O493" s="198"/>
      <c r="P493" s="198"/>
      <c r="Q493" s="198"/>
      <c r="R493" s="198" t="s">
        <v>377</v>
      </c>
      <c r="S493" s="198"/>
      <c r="T493" s="198" t="n">
        <v>14</v>
      </c>
      <c r="U493" s="198" t="str">
        <f aca="false">Таблица310[[#This Row],[Регистратор.Номенклатура]]</f>
        <v>Исток</v>
      </c>
      <c r="V493" s="230" t="n">
        <f aca="false">3*Таблица310[[#This Row],[Регистратор.Вес нетто]]/16370</f>
        <v>1.6658521686011</v>
      </c>
      <c r="W493" s="198" t="s">
        <v>278</v>
      </c>
      <c r="X493" s="198" t="s">
        <v>315</v>
      </c>
      <c r="Y493" s="198" t="n">
        <v>9</v>
      </c>
      <c r="Z493" s="200" t="n">
        <v>45837</v>
      </c>
      <c r="AA493" s="198"/>
      <c r="AB493" s="198" t="s">
        <v>1059</v>
      </c>
      <c r="AC493" s="198" t="s">
        <v>53</v>
      </c>
      <c r="AD493" s="198" t="s">
        <v>417</v>
      </c>
      <c r="AE493" s="198" t="s">
        <v>1071</v>
      </c>
      <c r="AF493" s="200" t="n">
        <v>45837</v>
      </c>
      <c r="AG493" s="198" t="n">
        <v>54958</v>
      </c>
      <c r="AH493" s="198" t="n">
        <f aca="false">VLOOKUP(Таблица310[[#This Row],[№ акта]],'Степень зрелости 2025'!$H$13:$I$583,2,FALSE())</f>
        <v>44</v>
      </c>
      <c r="AI493" s="198" t="n">
        <f aca="false">VLOOKUP(Таблица310[[#This Row],[№ акта]],$AQ$1:$AT$594,2,FALSE())</f>
        <v>14</v>
      </c>
      <c r="AJ493" s="198" t="str">
        <f aca="false">Таблица310[[#This Row],[Регистратор.Номенклатура]]</f>
        <v>Исток</v>
      </c>
      <c r="AK493" s="198" t="str">
        <f aca="false">VLOOKUP(Таблица310[[#This Row],[№ акта]],$AQ$1:$AT$594,4,FALSE())</f>
        <v>Агролидер (полив)</v>
      </c>
      <c r="AL493" s="230" t="n">
        <f aca="false">VLOOKUP(Таблица310[[#This Row],[№ акта]],$AQ$1:$AT$594,3,FALSE())</f>
        <v>1.6658521686011</v>
      </c>
      <c r="AM493" s="198" t="str">
        <f aca="false">IF(Таблица310[[#This Row],[Площадь уборки, га]]=Таблица310[[#This Row],[Площадь уборки до корр]],"нет","да")</f>
        <v>нет</v>
      </c>
      <c r="AN493" s="230" t="n">
        <f aca="false">Таблица310[[#This Row],[Площадь уборки до корр]]-Таблица310[[#This Row],[Площадь уборки, га]]</f>
        <v>0</v>
      </c>
      <c r="AQ493" s="0" t="s">
        <v>1071</v>
      </c>
      <c r="AR493" s="0" t="n">
        <v>14</v>
      </c>
      <c r="AS493" s="0" t="n">
        <v>1.6658521686011</v>
      </c>
      <c r="AT493" s="0" t="s">
        <v>278</v>
      </c>
    </row>
    <row r="494" customFormat="false" ht="55.2" hidden="false" customHeight="false" outlineLevel="0" collapsed="false">
      <c r="A494" s="198"/>
      <c r="B494" s="223"/>
      <c r="C494" s="198" t="n">
        <v>46</v>
      </c>
      <c r="D494" s="224" t="s">
        <v>1072</v>
      </c>
      <c r="E494" s="225" t="n">
        <v>45837</v>
      </c>
      <c r="F494" s="223" t="n">
        <v>28620</v>
      </c>
      <c r="G494" s="223" t="n">
        <v>13680</v>
      </c>
      <c r="H494" s="226" t="n">
        <v>14940</v>
      </c>
      <c r="I494" s="223" t="n">
        <v>11628</v>
      </c>
      <c r="J494" s="198" t="s">
        <v>994</v>
      </c>
      <c r="K494" s="198" t="s">
        <v>904</v>
      </c>
      <c r="L494" s="198" t="s">
        <v>995</v>
      </c>
      <c r="M494" s="189" t="s">
        <v>451</v>
      </c>
      <c r="N494" s="198"/>
      <c r="O494" s="198"/>
      <c r="P494" s="198"/>
      <c r="Q494" s="198"/>
      <c r="R494" s="198" t="s">
        <v>455</v>
      </c>
      <c r="S494" s="198"/>
      <c r="T494" s="198" t="s">
        <v>995</v>
      </c>
      <c r="U494" s="198" t="str">
        <f aca="false">Таблица310[[#This Row],[Регистратор.Номенклатура]]</f>
        <v>Тристар</v>
      </c>
      <c r="V494" s="230" t="n">
        <f aca="false">15*Таблица310[[#This Row],[Регистратор.Вес нетто]]/98790</f>
        <v>2.07713331308837</v>
      </c>
      <c r="W494" s="198" t="s">
        <v>279</v>
      </c>
      <c r="X494" s="198" t="s">
        <v>315</v>
      </c>
      <c r="Y494" s="198" t="n">
        <v>8</v>
      </c>
      <c r="Z494" s="200" t="n">
        <v>45837</v>
      </c>
      <c r="AA494" s="198"/>
      <c r="AB494" s="198" t="s">
        <v>1063</v>
      </c>
      <c r="AC494" s="198" t="s">
        <v>53</v>
      </c>
      <c r="AD494" s="198" t="s">
        <v>417</v>
      </c>
      <c r="AE494" s="198" t="s">
        <v>1072</v>
      </c>
      <c r="AF494" s="200" t="n">
        <v>45837</v>
      </c>
      <c r="AG494" s="198" t="n">
        <v>57</v>
      </c>
      <c r="AH494" s="198" t="n">
        <f aca="false">VLOOKUP(Таблица310[[#This Row],[№ акта]],'Степень зрелости 2025'!$H$13:$I$583,2,FALSE())</f>
        <v>46</v>
      </c>
      <c r="AI494" s="198" t="str">
        <f aca="false">VLOOKUP(Таблица310[[#This Row],[№ акта]],$AQ$1:$AT$594,2,FALSE())</f>
        <v>4.1</v>
      </c>
      <c r="AJ494" s="198" t="str">
        <f aca="false">Таблица310[[#This Row],[Регистратор.Номенклатура]]</f>
        <v>Тристар</v>
      </c>
      <c r="AK494" s="198" t="str">
        <f aca="false">VLOOKUP(Таблица310[[#This Row],[№ акта]],$AQ$1:$AT$594,4,FALSE())</f>
        <v>Колос (полив)</v>
      </c>
      <c r="AL494" s="230" t="n">
        <f aca="false">VLOOKUP(Таблица310[[#This Row],[№ акта]],$AQ$1:$AT$594,3,FALSE())</f>
        <v>2.07713331308837</v>
      </c>
      <c r="AM494" s="198" t="str">
        <f aca="false">IF(Таблица310[[#This Row],[Площадь уборки, га]]=Таблица310[[#This Row],[Площадь уборки до корр]],"нет","да")</f>
        <v>нет</v>
      </c>
      <c r="AN494" s="230" t="n">
        <f aca="false">Таблица310[[#This Row],[Площадь уборки до корр]]-Таблица310[[#This Row],[Площадь уборки, га]]</f>
        <v>0</v>
      </c>
      <c r="AQ494" s="0" t="s">
        <v>1072</v>
      </c>
      <c r="AR494" s="0" t="s">
        <v>995</v>
      </c>
      <c r="AS494" s="0" t="n">
        <v>2.07713331308837</v>
      </c>
      <c r="AT494" s="0" t="s">
        <v>279</v>
      </c>
    </row>
    <row r="495" customFormat="false" ht="19.4" hidden="false" customHeight="false" outlineLevel="0" collapsed="false">
      <c r="A495" s="198"/>
      <c r="B495" s="223"/>
      <c r="C495" s="198" t="n">
        <v>45</v>
      </c>
      <c r="D495" s="224" t="s">
        <v>1073</v>
      </c>
      <c r="E495" s="225" t="n">
        <v>45837</v>
      </c>
      <c r="F495" s="223" t="n">
        <v>9150</v>
      </c>
      <c r="G495" s="223" t="n">
        <v>4540</v>
      </c>
      <c r="H495" s="226" t="n">
        <v>4610</v>
      </c>
      <c r="I495" s="223" t="n">
        <v>3972.5</v>
      </c>
      <c r="J495" s="198" t="s">
        <v>908</v>
      </c>
      <c r="K495" s="198" t="s">
        <v>1058</v>
      </c>
      <c r="L495" s="198" t="n">
        <v>14</v>
      </c>
      <c r="M495" s="189" t="s">
        <v>378</v>
      </c>
      <c r="N495" s="198"/>
      <c r="O495" s="198"/>
      <c r="P495" s="198"/>
      <c r="Q495" s="198"/>
      <c r="R495" s="198" t="s">
        <v>379</v>
      </c>
      <c r="S495" s="198"/>
      <c r="T495" s="198" t="n">
        <v>14</v>
      </c>
      <c r="U495" s="198" t="str">
        <f aca="false">Таблица310[[#This Row],[Регистратор.Номенклатура]]</f>
        <v>Исток</v>
      </c>
      <c r="V495" s="230" t="n">
        <f aca="false">3*Таблица310[[#This Row],[Регистратор.Вес нетто]]/16370</f>
        <v>0.832009773976787</v>
      </c>
      <c r="W495" s="198" t="s">
        <v>278</v>
      </c>
      <c r="X495" s="198" t="s">
        <v>315</v>
      </c>
      <c r="Y495" s="198" t="n">
        <v>9</v>
      </c>
      <c r="Z495" s="200" t="n">
        <v>45837</v>
      </c>
      <c r="AA495" s="198"/>
      <c r="AB495" s="198" t="s">
        <v>1059</v>
      </c>
      <c r="AC495" s="198" t="s">
        <v>53</v>
      </c>
      <c r="AD495" s="198" t="s">
        <v>417</v>
      </c>
      <c r="AE495" s="198" t="s">
        <v>1073</v>
      </c>
      <c r="AF495" s="200" t="n">
        <v>45837</v>
      </c>
      <c r="AG495" s="198" t="n">
        <v>54958</v>
      </c>
      <c r="AH495" s="198" t="n">
        <f aca="false">VLOOKUP(Таблица310[[#This Row],[№ акта]],'Степень зрелости 2025'!$H$13:$I$583,2,FALSE())</f>
        <v>45</v>
      </c>
      <c r="AI495" s="198" t="n">
        <f aca="false">VLOOKUP(Таблица310[[#This Row],[№ акта]],$AQ$1:$AT$594,2,FALSE())</f>
        <v>14</v>
      </c>
      <c r="AJ495" s="198" t="str">
        <f aca="false">Таблица310[[#This Row],[Регистратор.Номенклатура]]</f>
        <v>Исток</v>
      </c>
      <c r="AK495" s="198" t="str">
        <f aca="false">VLOOKUP(Таблица310[[#This Row],[№ акта]],$AQ$1:$AT$594,4,FALSE())</f>
        <v>Агролидер (полив)</v>
      </c>
      <c r="AL495" s="230" t="n">
        <f aca="false">VLOOKUP(Таблица310[[#This Row],[№ акта]],$AQ$1:$AT$594,3,FALSE())</f>
        <v>0.832009773976787</v>
      </c>
      <c r="AM495" s="198" t="str">
        <f aca="false">IF(Таблица310[[#This Row],[Площадь уборки, га]]=Таблица310[[#This Row],[Площадь уборки до корр]],"нет","да")</f>
        <v>нет</v>
      </c>
      <c r="AN495" s="230" t="n">
        <f aca="false">Таблица310[[#This Row],[Площадь уборки до корр]]-Таблица310[[#This Row],[Площадь уборки, га]]</f>
        <v>0</v>
      </c>
      <c r="AQ495" s="0" t="s">
        <v>1073</v>
      </c>
      <c r="AR495" s="0" t="n">
        <v>14</v>
      </c>
      <c r="AS495" s="0" t="n">
        <v>0.832009773976787</v>
      </c>
      <c r="AT495" s="0" t="s">
        <v>278</v>
      </c>
    </row>
    <row r="496" customFormat="false" ht="28.35" hidden="false" customHeight="false" outlineLevel="0" collapsed="false">
      <c r="A496" s="198"/>
      <c r="B496" s="223"/>
      <c r="C496" s="198" t="n">
        <v>54</v>
      </c>
      <c r="D496" s="224" t="s">
        <v>1074</v>
      </c>
      <c r="E496" s="225" t="n">
        <v>45838</v>
      </c>
      <c r="F496" s="223" t="n">
        <v>18400</v>
      </c>
      <c r="G496" s="223" t="n">
        <v>2740</v>
      </c>
      <c r="H496" s="226" t="n">
        <v>15660</v>
      </c>
      <c r="I496" s="223" t="n">
        <v>2438.6</v>
      </c>
      <c r="J496" s="198" t="s">
        <v>908</v>
      </c>
      <c r="K496" s="198" t="s">
        <v>1058</v>
      </c>
      <c r="L496" s="198" t="n">
        <v>14</v>
      </c>
      <c r="M496" s="189" t="s">
        <v>519</v>
      </c>
      <c r="N496" s="198"/>
      <c r="O496" s="198"/>
      <c r="P496" s="198"/>
      <c r="Q496" s="198"/>
      <c r="R496" s="198" t="s">
        <v>523</v>
      </c>
      <c r="S496" s="198"/>
      <c r="T496" s="198" t="n">
        <v>14</v>
      </c>
      <c r="U496" s="198" t="str">
        <f aca="false">Таблица310[[#This Row],[Регистратор.Номенклатура]]</f>
        <v>Исток</v>
      </c>
      <c r="V496" s="230" t="n">
        <f aca="false">3*Таблица310[[#This Row],[Регистратор.Вес нетто]]/16370</f>
        <v>0.502138057422114</v>
      </c>
      <c r="W496" s="198" t="s">
        <v>278</v>
      </c>
      <c r="X496" s="198" t="s">
        <v>315</v>
      </c>
      <c r="Y496" s="198" t="n">
        <v>9</v>
      </c>
      <c r="Z496" s="200" t="n">
        <v>45837</v>
      </c>
      <c r="AA496" s="198"/>
      <c r="AB496" s="198" t="s">
        <v>1059</v>
      </c>
      <c r="AC496" s="198" t="s">
        <v>302</v>
      </c>
      <c r="AD496" s="198" t="s">
        <v>417</v>
      </c>
      <c r="AE496" s="198" t="s">
        <v>1074</v>
      </c>
      <c r="AF496" s="200" t="n">
        <v>45838</v>
      </c>
      <c r="AG496" s="198" t="n">
        <v>54953</v>
      </c>
      <c r="AH496" s="198" t="n">
        <f aca="false">VLOOKUP(Таблица310[[#This Row],[№ акта]],'Степень зрелости 2025'!$H$13:$I$583,2,FALSE())</f>
        <v>54</v>
      </c>
      <c r="AI496" s="198" t="n">
        <f aca="false">VLOOKUP(Таблица310[[#This Row],[№ акта]],$AQ$1:$AT$594,2,FALSE())</f>
        <v>14</v>
      </c>
      <c r="AJ496" s="198" t="str">
        <f aca="false">Таблица310[[#This Row],[Регистратор.Номенклатура]]</f>
        <v>Исток</v>
      </c>
      <c r="AK496" s="198" t="str">
        <f aca="false">VLOOKUP(Таблица310[[#This Row],[№ акта]],$AQ$1:$AT$594,4,FALSE())</f>
        <v>Агролидер (полив)</v>
      </c>
      <c r="AL496" s="230" t="n">
        <f aca="false">VLOOKUP(Таблица310[[#This Row],[№ акта]],$AQ$1:$AT$594,3,FALSE())</f>
        <v>0.502138057422114</v>
      </c>
      <c r="AM496" s="198" t="str">
        <f aca="false">IF(Таблица310[[#This Row],[Площадь уборки, га]]=Таблица310[[#This Row],[Площадь уборки до корр]],"нет","да")</f>
        <v>нет</v>
      </c>
      <c r="AN496" s="230" t="n">
        <f aca="false">Таблица310[[#This Row],[Площадь уборки до корр]]-Таблица310[[#This Row],[Площадь уборки, га]]</f>
        <v>0</v>
      </c>
      <c r="AQ496" s="0" t="s">
        <v>1074</v>
      </c>
      <c r="AR496" s="0" t="n">
        <v>14</v>
      </c>
      <c r="AS496" s="0" t="n">
        <v>0.502138057422114</v>
      </c>
      <c r="AT496" s="0" t="s">
        <v>278</v>
      </c>
    </row>
    <row r="497" customFormat="false" ht="55.2" hidden="false" customHeight="false" outlineLevel="0" collapsed="false">
      <c r="A497" s="198"/>
      <c r="B497" s="223"/>
      <c r="C497" s="198" t="n">
        <v>53</v>
      </c>
      <c r="D497" s="224" t="s">
        <v>1075</v>
      </c>
      <c r="E497" s="225" t="n">
        <v>45837</v>
      </c>
      <c r="F497" s="223" t="n">
        <v>29430</v>
      </c>
      <c r="G497" s="223" t="n">
        <v>6895</v>
      </c>
      <c r="H497" s="226" t="n">
        <v>22535</v>
      </c>
      <c r="I497" s="223" t="n">
        <v>6240</v>
      </c>
      <c r="J497" s="198" t="s">
        <v>994</v>
      </c>
      <c r="K497" s="198" t="s">
        <v>1061</v>
      </c>
      <c r="L497" s="198" t="s">
        <v>995</v>
      </c>
      <c r="M497" s="189" t="s">
        <v>365</v>
      </c>
      <c r="N497" s="198"/>
      <c r="O497" s="198"/>
      <c r="P497" s="198"/>
      <c r="Q497" s="198"/>
      <c r="R497" s="198" t="s">
        <v>373</v>
      </c>
      <c r="S497" s="198"/>
      <c r="T497" s="198" t="s">
        <v>995</v>
      </c>
      <c r="U497" s="198" t="str">
        <f aca="false">Таблица310[[#This Row],[Регистратор.Номенклатура]]</f>
        <v>Парус</v>
      </c>
      <c r="V497" s="230" t="n">
        <f aca="false">15*Таблица310[[#This Row],[Регистратор.Вес нетто]]/98790</f>
        <v>1.04691770422108</v>
      </c>
      <c r="W497" s="198" t="s">
        <v>279</v>
      </c>
      <c r="X497" s="198" t="s">
        <v>315</v>
      </c>
      <c r="Y497" s="198" t="n">
        <v>8</v>
      </c>
      <c r="Z497" s="200" t="n">
        <v>45837</v>
      </c>
      <c r="AA497" s="198"/>
      <c r="AB497" s="198" t="s">
        <v>1063</v>
      </c>
      <c r="AC497" s="198" t="s">
        <v>302</v>
      </c>
      <c r="AD497" s="198" t="s">
        <v>417</v>
      </c>
      <c r="AE497" s="198" t="s">
        <v>1075</v>
      </c>
      <c r="AF497" s="200" t="n">
        <v>45837</v>
      </c>
      <c r="AG497" s="198" t="n">
        <v>53</v>
      </c>
      <c r="AH497" s="198" t="n">
        <f aca="false">VLOOKUP(Таблица310[[#This Row],[№ акта]],'Степень зрелости 2025'!$H$13:$I$583,2,FALSE())</f>
        <v>53</v>
      </c>
      <c r="AI497" s="198" t="str">
        <f aca="false">VLOOKUP(Таблица310[[#This Row],[№ акта]],$AQ$1:$AT$594,2,FALSE())</f>
        <v>4.1</v>
      </c>
      <c r="AJ497" s="198" t="str">
        <f aca="false">Таблица310[[#This Row],[Регистратор.Номенклатура]]</f>
        <v>Парус</v>
      </c>
      <c r="AK497" s="198" t="str">
        <f aca="false">VLOOKUP(Таблица310[[#This Row],[№ акта]],$AQ$1:$AT$594,4,FALSE())</f>
        <v>Колос (полив)</v>
      </c>
      <c r="AL497" s="230" t="n">
        <f aca="false">VLOOKUP(Таблица310[[#This Row],[№ акта]],$AQ$1:$AT$594,3,FALSE())</f>
        <v>1.04691770422108</v>
      </c>
      <c r="AM497" s="198" t="str">
        <f aca="false">IF(Таблица310[[#This Row],[Площадь уборки, га]]=Таблица310[[#This Row],[Площадь уборки до корр]],"нет","да")</f>
        <v>нет</v>
      </c>
      <c r="AN497" s="230" t="n">
        <f aca="false">Таблица310[[#This Row],[Площадь уборки до корр]]-Таблица310[[#This Row],[Площадь уборки, га]]</f>
        <v>0</v>
      </c>
      <c r="AQ497" s="0" t="s">
        <v>1075</v>
      </c>
      <c r="AR497" s="0" t="s">
        <v>995</v>
      </c>
      <c r="AS497" s="0" t="n">
        <v>1.04691770422108</v>
      </c>
      <c r="AT497" s="0" t="s">
        <v>279</v>
      </c>
    </row>
    <row r="498" customFormat="false" ht="55.2" hidden="false" customHeight="false" outlineLevel="0" collapsed="false">
      <c r="A498" s="198"/>
      <c r="B498" s="223"/>
      <c r="C498" s="198" t="n">
        <v>48</v>
      </c>
      <c r="D498" s="224" t="s">
        <v>1076</v>
      </c>
      <c r="E498" s="225" t="n">
        <v>45837</v>
      </c>
      <c r="F498" s="223" t="n">
        <v>22535</v>
      </c>
      <c r="G498" s="223" t="n">
        <v>6895</v>
      </c>
      <c r="H498" s="226" t="n">
        <v>15640</v>
      </c>
      <c r="I498" s="223" t="n">
        <v>6067.6</v>
      </c>
      <c r="J498" s="198" t="s">
        <v>994</v>
      </c>
      <c r="K498" s="198" t="s">
        <v>904</v>
      </c>
      <c r="L498" s="198" t="s">
        <v>995</v>
      </c>
      <c r="M498" s="189" t="s">
        <v>365</v>
      </c>
      <c r="N498" s="198"/>
      <c r="O498" s="198"/>
      <c r="P498" s="198"/>
      <c r="Q498" s="198"/>
      <c r="R498" s="198" t="s">
        <v>373</v>
      </c>
      <c r="S498" s="198"/>
      <c r="T498" s="198" t="s">
        <v>995</v>
      </c>
      <c r="U498" s="198" t="str">
        <f aca="false">Таблица310[[#This Row],[Регистратор.Номенклатура]]</f>
        <v>Тристар</v>
      </c>
      <c r="V498" s="230" t="n">
        <f aca="false">15*Таблица310[[#This Row],[Регистратор.Вес нетто]]/98790</f>
        <v>1.04691770422108</v>
      </c>
      <c r="W498" s="198" t="s">
        <v>279</v>
      </c>
      <c r="X498" s="198" t="s">
        <v>315</v>
      </c>
      <c r="Y498" s="198" t="n">
        <v>8</v>
      </c>
      <c r="Z498" s="200" t="n">
        <v>45837</v>
      </c>
      <c r="AA498" s="198"/>
      <c r="AB498" s="198" t="s">
        <v>1063</v>
      </c>
      <c r="AC498" s="198" t="s">
        <v>53</v>
      </c>
      <c r="AD498" s="198" t="s">
        <v>417</v>
      </c>
      <c r="AE498" s="198" t="s">
        <v>1076</v>
      </c>
      <c r="AF498" s="200" t="n">
        <v>45837</v>
      </c>
      <c r="AG498" s="198" t="n">
        <v>53</v>
      </c>
      <c r="AH498" s="198" t="n">
        <f aca="false">VLOOKUP(Таблица310[[#This Row],[№ акта]],'Степень зрелости 2025'!$H$13:$I$583,2,FALSE())</f>
        <v>48</v>
      </c>
      <c r="AI498" s="198" t="str">
        <f aca="false">VLOOKUP(Таблица310[[#This Row],[№ акта]],$AQ$1:$AT$594,2,FALSE())</f>
        <v>4.1</v>
      </c>
      <c r="AJ498" s="198" t="str">
        <f aca="false">Таблица310[[#This Row],[Регистратор.Номенклатура]]</f>
        <v>Тристар</v>
      </c>
      <c r="AK498" s="198" t="str">
        <f aca="false">VLOOKUP(Таблица310[[#This Row],[№ акта]],$AQ$1:$AT$594,4,FALSE())</f>
        <v>Колос (полив)</v>
      </c>
      <c r="AL498" s="230" t="n">
        <f aca="false">VLOOKUP(Таблица310[[#This Row],[№ акта]],$AQ$1:$AT$594,3,FALSE())</f>
        <v>1.04691770422108</v>
      </c>
      <c r="AM498" s="198" t="str">
        <f aca="false">IF(Таблица310[[#This Row],[Площадь уборки, га]]=Таблица310[[#This Row],[Площадь уборки до корр]],"нет","да")</f>
        <v>нет</v>
      </c>
      <c r="AN498" s="230" t="n">
        <f aca="false">Таблица310[[#This Row],[Площадь уборки до корр]]-Таблица310[[#This Row],[Площадь уборки, га]]</f>
        <v>0</v>
      </c>
      <c r="AQ498" s="0" t="s">
        <v>1076</v>
      </c>
      <c r="AR498" s="0" t="s">
        <v>995</v>
      </c>
      <c r="AS498" s="0" t="n">
        <v>1.04691770422108</v>
      </c>
      <c r="AT498" s="0" t="s">
        <v>279</v>
      </c>
    </row>
    <row r="499" customFormat="false" ht="19.4" hidden="false" customHeight="false" outlineLevel="0" collapsed="false">
      <c r="A499" s="198"/>
      <c r="B499" s="223"/>
      <c r="C499" s="198" t="n">
        <v>49</v>
      </c>
      <c r="D499" s="224" t="s">
        <v>1077</v>
      </c>
      <c r="E499" s="225" t="n">
        <v>45838</v>
      </c>
      <c r="F499" s="223" t="n">
        <v>23370</v>
      </c>
      <c r="G499" s="223" t="n">
        <v>8540</v>
      </c>
      <c r="H499" s="226" t="n">
        <v>14830</v>
      </c>
      <c r="I499" s="223" t="n">
        <v>7643.3</v>
      </c>
      <c r="J499" s="198" t="s">
        <v>908</v>
      </c>
      <c r="K499" s="198" t="s">
        <v>1058</v>
      </c>
      <c r="L499" s="198" t="n">
        <v>14</v>
      </c>
      <c r="M499" s="189" t="s">
        <v>511</v>
      </c>
      <c r="N499" s="198"/>
      <c r="O499" s="198"/>
      <c r="P499" s="198"/>
      <c r="Q499" s="198"/>
      <c r="R499" s="198" t="s">
        <v>515</v>
      </c>
      <c r="S499" s="198"/>
      <c r="T499" s="198" t="n">
        <v>14</v>
      </c>
      <c r="U499" s="198" t="str">
        <f aca="false">Таблица310[[#This Row],[Регистратор.Номенклатура]]</f>
        <v>Исток</v>
      </c>
      <c r="V499" s="230" t="n">
        <f aca="false">4*Таблица310[[#This Row],[Регистратор.Вес нетто]]/25630</f>
        <v>1.33281310963714</v>
      </c>
      <c r="W499" s="198" t="s">
        <v>278</v>
      </c>
      <c r="X499" s="198" t="s">
        <v>315</v>
      </c>
      <c r="Y499" s="198" t="n">
        <v>10</v>
      </c>
      <c r="Z499" s="200" t="n">
        <v>45838</v>
      </c>
      <c r="AA499" s="198"/>
      <c r="AB499" s="198" t="s">
        <v>1059</v>
      </c>
      <c r="AC499" s="198" t="s">
        <v>53</v>
      </c>
      <c r="AD499" s="198" t="s">
        <v>417</v>
      </c>
      <c r="AE499" s="198" t="s">
        <v>1077</v>
      </c>
      <c r="AF499" s="200" t="n">
        <v>45838</v>
      </c>
      <c r="AG499" s="198" t="n">
        <v>54959</v>
      </c>
      <c r="AH499" s="198" t="n">
        <f aca="false">VLOOKUP(Таблица310[[#This Row],[№ акта]],'Степень зрелости 2025'!$H$13:$I$583,2,FALSE())</f>
        <v>49</v>
      </c>
      <c r="AI499" s="198" t="n">
        <f aca="false">VLOOKUP(Таблица310[[#This Row],[№ акта]],$AQ$1:$AT$594,2,FALSE())</f>
        <v>14</v>
      </c>
      <c r="AJ499" s="198" t="str">
        <f aca="false">Таблица310[[#This Row],[Регистратор.Номенклатура]]</f>
        <v>Исток</v>
      </c>
      <c r="AK499" s="198" t="str">
        <f aca="false">VLOOKUP(Таблица310[[#This Row],[№ акта]],$AQ$1:$AT$594,4,FALSE())</f>
        <v>Агролидер (полив)</v>
      </c>
      <c r="AL499" s="230" t="n">
        <f aca="false">VLOOKUP(Таблица310[[#This Row],[№ акта]],$AQ$1:$AT$594,3,FALSE())</f>
        <v>1.33281310963714</v>
      </c>
      <c r="AM499" s="198" t="str">
        <f aca="false">IF(Таблица310[[#This Row],[Площадь уборки, га]]=Таблица310[[#This Row],[Площадь уборки до корр]],"нет","да")</f>
        <v>нет</v>
      </c>
      <c r="AN499" s="230" t="n">
        <f aca="false">Таблица310[[#This Row],[Площадь уборки до корр]]-Таблица310[[#This Row],[Площадь уборки, га]]</f>
        <v>0</v>
      </c>
      <c r="AQ499" s="0" t="s">
        <v>1077</v>
      </c>
      <c r="AR499" s="0" t="n">
        <v>14</v>
      </c>
      <c r="AS499" s="0" t="n">
        <v>1.33281310963714</v>
      </c>
      <c r="AT499" s="0" t="s">
        <v>278</v>
      </c>
    </row>
    <row r="500" customFormat="false" ht="28.35" hidden="false" customHeight="false" outlineLevel="0" collapsed="false">
      <c r="A500" s="198"/>
      <c r="B500" s="223"/>
      <c r="C500" s="198" t="n">
        <v>54</v>
      </c>
      <c r="D500" s="224" t="s">
        <v>1078</v>
      </c>
      <c r="E500" s="225" t="n">
        <v>45838</v>
      </c>
      <c r="F500" s="223" t="n">
        <v>23950</v>
      </c>
      <c r="G500" s="223" t="n">
        <v>8390</v>
      </c>
      <c r="H500" s="226" t="n">
        <v>15560</v>
      </c>
      <c r="I500" s="223" t="n">
        <v>7215.4</v>
      </c>
      <c r="J500" s="198" t="s">
        <v>908</v>
      </c>
      <c r="K500" s="198" t="s">
        <v>1058</v>
      </c>
      <c r="L500" s="198" t="n">
        <v>14</v>
      </c>
      <c r="M500" s="189" t="s">
        <v>472</v>
      </c>
      <c r="N500" s="198"/>
      <c r="O500" s="198"/>
      <c r="P500" s="198"/>
      <c r="Q500" s="198"/>
      <c r="R500" s="198" t="s">
        <v>476</v>
      </c>
      <c r="S500" s="198"/>
      <c r="T500" s="198" t="n">
        <v>14</v>
      </c>
      <c r="U500" s="198" t="str">
        <f aca="false">Таблица310[[#This Row],[Регистратор.Номенклатура]]</f>
        <v>Исток</v>
      </c>
      <c r="V500" s="230" t="n">
        <f aca="false">4*Таблица310[[#This Row],[Регистратор.Вес нетто]]/25630</f>
        <v>1.30940304330862</v>
      </c>
      <c r="W500" s="198" t="s">
        <v>278</v>
      </c>
      <c r="X500" s="198" t="s">
        <v>315</v>
      </c>
      <c r="Y500" s="198" t="n">
        <v>10</v>
      </c>
      <c r="Z500" s="200" t="n">
        <v>45838</v>
      </c>
      <c r="AA500" s="198"/>
      <c r="AB500" s="198" t="s">
        <v>1059</v>
      </c>
      <c r="AC500" s="198" t="s">
        <v>302</v>
      </c>
      <c r="AD500" s="198" t="s">
        <v>417</v>
      </c>
      <c r="AE500" s="198" t="s">
        <v>1078</v>
      </c>
      <c r="AF500" s="200" t="n">
        <v>45838</v>
      </c>
      <c r="AG500" s="198" t="n">
        <v>54960</v>
      </c>
      <c r="AH500" s="198" t="n">
        <f aca="false">VLOOKUP(Таблица310[[#This Row],[№ акта]],'Степень зрелости 2025'!$H$13:$I$583,2,FALSE())</f>
        <v>54</v>
      </c>
      <c r="AI500" s="198" t="n">
        <f aca="false">VLOOKUP(Таблица310[[#This Row],[№ акта]],$AQ$1:$AT$594,2,FALSE())</f>
        <v>14</v>
      </c>
      <c r="AJ500" s="198" t="str">
        <f aca="false">Таблица310[[#This Row],[Регистратор.Номенклатура]]</f>
        <v>Исток</v>
      </c>
      <c r="AK500" s="198" t="str">
        <f aca="false">VLOOKUP(Таблица310[[#This Row],[№ акта]],$AQ$1:$AT$594,4,FALSE())</f>
        <v>Агролидер (полив)</v>
      </c>
      <c r="AL500" s="230" t="n">
        <f aca="false">VLOOKUP(Таблица310[[#This Row],[№ акта]],$AQ$1:$AT$594,3,FALSE())</f>
        <v>1.30940304330862</v>
      </c>
      <c r="AM500" s="198" t="str">
        <f aca="false">IF(Таблица310[[#This Row],[Площадь уборки, га]]=Таблица310[[#This Row],[Площадь уборки до корр]],"нет","да")</f>
        <v>нет</v>
      </c>
      <c r="AN500" s="230" t="n">
        <f aca="false">Таблица310[[#This Row],[Площадь уборки до корр]]-Таблица310[[#This Row],[Площадь уборки, га]]</f>
        <v>0</v>
      </c>
      <c r="AQ500" s="0" t="s">
        <v>1078</v>
      </c>
      <c r="AR500" s="0" t="n">
        <v>14</v>
      </c>
      <c r="AS500" s="0" t="n">
        <v>1.30940304330862</v>
      </c>
      <c r="AT500" s="0" t="s">
        <v>278</v>
      </c>
    </row>
    <row r="501" customFormat="false" ht="19.4" hidden="false" customHeight="false" outlineLevel="0" collapsed="false">
      <c r="A501" s="198"/>
      <c r="B501" s="223"/>
      <c r="C501" s="198" t="n">
        <v>53</v>
      </c>
      <c r="D501" s="224" t="s">
        <v>1079</v>
      </c>
      <c r="E501" s="225" t="n">
        <v>45838</v>
      </c>
      <c r="F501" s="223" t="n">
        <v>22880</v>
      </c>
      <c r="G501" s="223" t="n">
        <v>8700</v>
      </c>
      <c r="H501" s="226" t="n">
        <v>14180</v>
      </c>
      <c r="I501" s="223" t="n">
        <v>7395</v>
      </c>
      <c r="J501" s="198" t="s">
        <v>908</v>
      </c>
      <c r="K501" s="198" t="s">
        <v>1058</v>
      </c>
      <c r="L501" s="198" t="n">
        <v>14</v>
      </c>
      <c r="M501" s="189" t="s">
        <v>411</v>
      </c>
      <c r="N501" s="198"/>
      <c r="O501" s="198"/>
      <c r="P501" s="198"/>
      <c r="Q501" s="198"/>
      <c r="R501" s="198" t="s">
        <v>381</v>
      </c>
      <c r="S501" s="198"/>
      <c r="T501" s="198" t="n">
        <v>14</v>
      </c>
      <c r="U501" s="198" t="str">
        <f aca="false">Таблица310[[#This Row],[Регистратор.Номенклатура]]</f>
        <v>Исток</v>
      </c>
      <c r="V501" s="230" t="n">
        <f aca="false">4*Таблица310[[#This Row],[Регистратор.Вес нетто]]/25630</f>
        <v>1.35778384705423</v>
      </c>
      <c r="W501" s="198" t="s">
        <v>278</v>
      </c>
      <c r="X501" s="198" t="s">
        <v>315</v>
      </c>
      <c r="Y501" s="198" t="n">
        <v>10</v>
      </c>
      <c r="Z501" s="200" t="n">
        <v>45838</v>
      </c>
      <c r="AA501" s="198"/>
      <c r="AB501" s="198" t="s">
        <v>1059</v>
      </c>
      <c r="AC501" s="198" t="s">
        <v>302</v>
      </c>
      <c r="AD501" s="198" t="s">
        <v>417</v>
      </c>
      <c r="AE501" s="198" t="s">
        <v>1079</v>
      </c>
      <c r="AF501" s="200" t="n">
        <v>45838</v>
      </c>
      <c r="AG501" s="198" t="n">
        <v>54961</v>
      </c>
      <c r="AH501" s="198" t="n">
        <f aca="false">VLOOKUP(Таблица310[[#This Row],[№ акта]],'Степень зрелости 2025'!$H$13:$I$583,2,FALSE())</f>
        <v>53</v>
      </c>
      <c r="AI501" s="198" t="n">
        <f aca="false">VLOOKUP(Таблица310[[#This Row],[№ акта]],$AQ$1:$AT$594,2,FALSE())</f>
        <v>14</v>
      </c>
      <c r="AJ501" s="198" t="str">
        <f aca="false">Таблица310[[#This Row],[Регистратор.Номенклатура]]</f>
        <v>Исток</v>
      </c>
      <c r="AK501" s="198" t="str">
        <f aca="false">VLOOKUP(Таблица310[[#This Row],[№ акта]],$AQ$1:$AT$594,4,FALSE())</f>
        <v>Агролидер (полив)</v>
      </c>
      <c r="AL501" s="230" t="n">
        <f aca="false">VLOOKUP(Таблица310[[#This Row],[№ акта]],$AQ$1:$AT$594,3,FALSE())</f>
        <v>1.35778384705423</v>
      </c>
      <c r="AM501" s="198" t="str">
        <f aca="false">IF(Таблица310[[#This Row],[Площадь уборки, га]]=Таблица310[[#This Row],[Площадь уборки до корр]],"нет","да")</f>
        <v>нет</v>
      </c>
      <c r="AN501" s="230" t="n">
        <f aca="false">Таблица310[[#This Row],[Площадь уборки до корр]]-Таблица310[[#This Row],[Площадь уборки, га]]</f>
        <v>0</v>
      </c>
      <c r="AQ501" s="0" t="s">
        <v>1079</v>
      </c>
      <c r="AR501" s="0" t="n">
        <v>14</v>
      </c>
      <c r="AS501" s="0" t="n">
        <v>1.35778384705423</v>
      </c>
      <c r="AT501" s="0" t="s">
        <v>278</v>
      </c>
    </row>
    <row r="502" customFormat="false" ht="19.4" hidden="false" customHeight="false" outlineLevel="0" collapsed="false">
      <c r="A502" s="198"/>
      <c r="B502" s="223"/>
      <c r="C502" s="198" t="n">
        <v>55</v>
      </c>
      <c r="D502" s="224" t="s">
        <v>1080</v>
      </c>
      <c r="E502" s="225" t="n">
        <v>45839</v>
      </c>
      <c r="F502" s="223" t="n">
        <v>27500</v>
      </c>
      <c r="G502" s="223" t="n">
        <v>13680</v>
      </c>
      <c r="H502" s="226" t="n">
        <v>13820</v>
      </c>
      <c r="I502" s="223" t="n">
        <v>11901.6</v>
      </c>
      <c r="J502" s="198" t="s">
        <v>994</v>
      </c>
      <c r="K502" s="198" t="s">
        <v>904</v>
      </c>
      <c r="L502" s="198" t="s">
        <v>995</v>
      </c>
      <c r="M502" s="189" t="s">
        <v>359</v>
      </c>
      <c r="N502" s="198"/>
      <c r="O502" s="198"/>
      <c r="P502" s="198"/>
      <c r="Q502" s="198"/>
      <c r="R502" s="198" t="s">
        <v>426</v>
      </c>
      <c r="S502" s="198"/>
      <c r="T502" s="198" t="s">
        <v>995</v>
      </c>
      <c r="U502" s="198" t="str">
        <f aca="false">Таблица310[[#This Row],[Регистратор.Номенклатура]]</f>
        <v>Тристар</v>
      </c>
      <c r="V502" s="230" t="n">
        <f aca="false">27*Таблица310[[#This Row],[Регистратор.Вес нетто]]/176530</f>
        <v>2.09233558035461</v>
      </c>
      <c r="W502" s="198" t="s">
        <v>279</v>
      </c>
      <c r="X502" s="198" t="s">
        <v>315</v>
      </c>
      <c r="Y502" s="198" t="n">
        <v>9</v>
      </c>
      <c r="Z502" s="200" t="n">
        <v>45839</v>
      </c>
      <c r="AA502" s="198"/>
      <c r="AB502" s="198"/>
      <c r="AC502" s="198" t="s">
        <v>302</v>
      </c>
      <c r="AD502" s="198" t="s">
        <v>417</v>
      </c>
      <c r="AE502" s="198" t="s">
        <v>1080</v>
      </c>
      <c r="AF502" s="200" t="n">
        <v>45839</v>
      </c>
      <c r="AG502" s="198" t="n">
        <v>59</v>
      </c>
      <c r="AH502" s="198" t="n">
        <f aca="false">VLOOKUP(Таблица310[[#This Row],[№ акта]],'Степень зрелости 2025'!$H$13:$I$583,2,FALSE())</f>
        <v>55</v>
      </c>
      <c r="AI502" s="198" t="str">
        <f aca="false">VLOOKUP(Таблица310[[#This Row],[№ акта]],$AQ$1:$AT$594,2,FALSE())</f>
        <v>4.1</v>
      </c>
      <c r="AJ502" s="198" t="str">
        <f aca="false">Таблица310[[#This Row],[Регистратор.Номенклатура]]</f>
        <v>Тристар</v>
      </c>
      <c r="AK502" s="198" t="str">
        <f aca="false">VLOOKUP(Таблица310[[#This Row],[№ акта]],$AQ$1:$AT$594,4,FALSE())</f>
        <v>Колос (полив)</v>
      </c>
      <c r="AL502" s="230" t="n">
        <f aca="false">VLOOKUP(Таблица310[[#This Row],[№ акта]],$AQ$1:$AT$594,3,FALSE())</f>
        <v>2.09233558035461</v>
      </c>
      <c r="AM502" s="198" t="str">
        <f aca="false">IF(Таблица310[[#This Row],[Площадь уборки, га]]=Таблица310[[#This Row],[Площадь уборки до корр]],"нет","да")</f>
        <v>нет</v>
      </c>
      <c r="AN502" s="230" t="n">
        <f aca="false">Таблица310[[#This Row],[Площадь уборки до корр]]-Таблица310[[#This Row],[Площадь уборки, га]]</f>
        <v>0</v>
      </c>
      <c r="AQ502" s="0" t="s">
        <v>1080</v>
      </c>
      <c r="AR502" s="0" t="s">
        <v>995</v>
      </c>
      <c r="AS502" s="0" t="n">
        <v>2.09233558035461</v>
      </c>
      <c r="AT502" s="0" t="s">
        <v>279</v>
      </c>
    </row>
    <row r="503" customFormat="false" ht="28.35" hidden="false" customHeight="false" outlineLevel="0" collapsed="false">
      <c r="A503" s="198"/>
      <c r="B503" s="223"/>
      <c r="C503" s="198" t="n">
        <v>53</v>
      </c>
      <c r="D503" s="224" t="s">
        <v>1081</v>
      </c>
      <c r="E503" s="225" t="n">
        <v>45839</v>
      </c>
      <c r="F503" s="223" t="n">
        <v>28870</v>
      </c>
      <c r="G503" s="223" t="n">
        <v>13910</v>
      </c>
      <c r="H503" s="226" t="n">
        <v>14960</v>
      </c>
      <c r="I503" s="223" t="n">
        <v>12658.1</v>
      </c>
      <c r="J503" s="198" t="s">
        <v>994</v>
      </c>
      <c r="K503" s="198" t="s">
        <v>904</v>
      </c>
      <c r="L503" s="198" t="s">
        <v>995</v>
      </c>
      <c r="M503" s="189" t="s">
        <v>553</v>
      </c>
      <c r="N503" s="198"/>
      <c r="O503" s="198"/>
      <c r="P503" s="198"/>
      <c r="Q503" s="198"/>
      <c r="R503" s="198" t="s">
        <v>557</v>
      </c>
      <c r="S503" s="198"/>
      <c r="T503" s="198" t="s">
        <v>995</v>
      </c>
      <c r="U503" s="198" t="str">
        <f aca="false">Таблица310[[#This Row],[Регистратор.Номенклатура]]</f>
        <v>Тристар</v>
      </c>
      <c r="V503" s="230" t="n">
        <f aca="false">27*Таблица310[[#This Row],[Регистратор.Вес нетто]]/176530</f>
        <v>2.12751373704186</v>
      </c>
      <c r="W503" s="198" t="s">
        <v>279</v>
      </c>
      <c r="X503" s="198" t="s">
        <v>315</v>
      </c>
      <c r="Y503" s="198" t="n">
        <v>9</v>
      </c>
      <c r="Z503" s="200" t="n">
        <v>45839</v>
      </c>
      <c r="AA503" s="198"/>
      <c r="AB503" s="198"/>
      <c r="AC503" s="198" t="s">
        <v>302</v>
      </c>
      <c r="AD503" s="198" t="s">
        <v>417</v>
      </c>
      <c r="AE503" s="198" t="s">
        <v>1081</v>
      </c>
      <c r="AF503" s="200" t="n">
        <v>45839</v>
      </c>
      <c r="AG503" s="198" t="n">
        <v>58</v>
      </c>
      <c r="AH503" s="198" t="e">
        <f aca="false">VLOOKUP(Таблица310[[#This Row],[№ акта]],'Степень зрелости 2025'!$H$13:$I$583,2,FALSE())</f>
        <v>#N/A</v>
      </c>
      <c r="AI503" s="198" t="str">
        <f aca="false">VLOOKUP(Таблица310[[#This Row],[№ акта]],$AQ$1:$AT$594,2,FALSE())</f>
        <v>4.1</v>
      </c>
      <c r="AJ503" s="198" t="str">
        <f aca="false">Таблица310[[#This Row],[Регистратор.Номенклатура]]</f>
        <v>Тристар</v>
      </c>
      <c r="AK503" s="198" t="str">
        <f aca="false">VLOOKUP(Таблица310[[#This Row],[№ акта]],$AQ$1:$AT$594,4,FALSE())</f>
        <v>Колос (полив)</v>
      </c>
      <c r="AL503" s="230" t="n">
        <f aca="false">VLOOKUP(Таблица310[[#This Row],[№ акта]],$AQ$1:$AT$594,3,FALSE())</f>
        <v>2.12751373704186</v>
      </c>
      <c r="AM503" s="198" t="str">
        <f aca="false">IF(Таблица310[[#This Row],[Площадь уборки, га]]=Таблица310[[#This Row],[Площадь уборки до корр]],"нет","да")</f>
        <v>нет</v>
      </c>
      <c r="AN503" s="230" t="n">
        <f aca="false">Таблица310[[#This Row],[Площадь уборки до корр]]-Таблица310[[#This Row],[Площадь уборки, га]]</f>
        <v>0</v>
      </c>
      <c r="AQ503" s="0" t="s">
        <v>1081</v>
      </c>
      <c r="AR503" s="0" t="s">
        <v>995</v>
      </c>
      <c r="AS503" s="0" t="n">
        <v>2.12751373704186</v>
      </c>
      <c r="AT503" s="0" t="s">
        <v>279</v>
      </c>
    </row>
    <row r="504" customFormat="false" ht="19.4" hidden="false" customHeight="false" outlineLevel="0" collapsed="false">
      <c r="A504" s="198"/>
      <c r="B504" s="223"/>
      <c r="C504" s="198" t="n">
        <v>53</v>
      </c>
      <c r="D504" s="224" t="s">
        <v>1082</v>
      </c>
      <c r="E504" s="225" t="n">
        <v>45839</v>
      </c>
      <c r="F504" s="223" t="n">
        <v>29640</v>
      </c>
      <c r="G504" s="223" t="n">
        <v>13890</v>
      </c>
      <c r="H504" s="226" t="n">
        <v>15750</v>
      </c>
      <c r="I504" s="223" t="n">
        <v>11667.6</v>
      </c>
      <c r="J504" s="198" t="s">
        <v>994</v>
      </c>
      <c r="K504" s="198" t="s">
        <v>904</v>
      </c>
      <c r="L504" s="198" t="s">
        <v>995</v>
      </c>
      <c r="M504" s="189" t="s">
        <v>445</v>
      </c>
      <c r="N504" s="198"/>
      <c r="O504" s="198"/>
      <c r="P504" s="198"/>
      <c r="Q504" s="198"/>
      <c r="R504" s="198" t="s">
        <v>449</v>
      </c>
      <c r="S504" s="198"/>
      <c r="T504" s="198" t="s">
        <v>995</v>
      </c>
      <c r="U504" s="198" t="str">
        <f aca="false">Таблица310[[#This Row],[Регистратор.Номенклатура]]</f>
        <v>Тристар</v>
      </c>
      <c r="V504" s="230" t="n">
        <f aca="false">27*Таблица310[[#This Row],[Регистратор.Вес нетто]]/176530</f>
        <v>2.12445476689515</v>
      </c>
      <c r="W504" s="198" t="s">
        <v>279</v>
      </c>
      <c r="X504" s="198" t="s">
        <v>315</v>
      </c>
      <c r="Y504" s="198" t="n">
        <v>9</v>
      </c>
      <c r="Z504" s="200" t="n">
        <v>45839</v>
      </c>
      <c r="AA504" s="198"/>
      <c r="AB504" s="198"/>
      <c r="AC504" s="198" t="s">
        <v>302</v>
      </c>
      <c r="AD504" s="198" t="s">
        <v>417</v>
      </c>
      <c r="AE504" s="198" t="s">
        <v>1082</v>
      </c>
      <c r="AF504" s="200" t="n">
        <v>45839</v>
      </c>
      <c r="AG504" s="198" t="n">
        <v>56</v>
      </c>
      <c r="AH504" s="198" t="e">
        <f aca="false">VLOOKUP(Таблица310[[#This Row],[№ акта]],'Степень зрелости 2025'!$H$13:$I$583,2,FALSE())</f>
        <v>#N/A</v>
      </c>
      <c r="AI504" s="198" t="str">
        <f aca="false">VLOOKUP(Таблица310[[#This Row],[№ акта]],$AQ$1:$AT$594,2,FALSE())</f>
        <v>4.1</v>
      </c>
      <c r="AJ504" s="198" t="str">
        <f aca="false">Таблица310[[#This Row],[Регистратор.Номенклатура]]</f>
        <v>Тристар</v>
      </c>
      <c r="AK504" s="198" t="str">
        <f aca="false">VLOOKUP(Таблица310[[#This Row],[№ акта]],$AQ$1:$AT$594,4,FALSE())</f>
        <v>Колос (полив)</v>
      </c>
      <c r="AL504" s="230" t="n">
        <f aca="false">VLOOKUP(Таблица310[[#This Row],[№ акта]],$AQ$1:$AT$594,3,FALSE())</f>
        <v>2.12445476689515</v>
      </c>
      <c r="AM504" s="198" t="str">
        <f aca="false">IF(Таблица310[[#This Row],[Площадь уборки, га]]=Таблица310[[#This Row],[Площадь уборки до корр]],"нет","да")</f>
        <v>нет</v>
      </c>
      <c r="AN504" s="230" t="n">
        <f aca="false">Таблица310[[#This Row],[Площадь уборки до корр]]-Таблица310[[#This Row],[Площадь уборки, га]]</f>
        <v>0</v>
      </c>
      <c r="AQ504" s="0" t="s">
        <v>1082</v>
      </c>
      <c r="AR504" s="0" t="s">
        <v>995</v>
      </c>
      <c r="AS504" s="0" t="n">
        <v>2.12445476689515</v>
      </c>
      <c r="AT504" s="0" t="s">
        <v>279</v>
      </c>
    </row>
    <row r="505" customFormat="false" ht="19.4" hidden="false" customHeight="false" outlineLevel="0" collapsed="false">
      <c r="A505" s="198"/>
      <c r="B505" s="223"/>
      <c r="C505" s="198" t="n">
        <v>52</v>
      </c>
      <c r="D505" s="224" t="s">
        <v>1083</v>
      </c>
      <c r="E505" s="225" t="n">
        <v>45839</v>
      </c>
      <c r="F505" s="223" t="n">
        <v>28640</v>
      </c>
      <c r="G505" s="223" t="n">
        <v>13860</v>
      </c>
      <c r="H505" s="226" t="n">
        <v>14780</v>
      </c>
      <c r="I505" s="223" t="n">
        <v>12335.4</v>
      </c>
      <c r="J505" s="198" t="s">
        <v>994</v>
      </c>
      <c r="K505" s="198" t="s">
        <v>904</v>
      </c>
      <c r="L505" s="198" t="s">
        <v>995</v>
      </c>
      <c r="M505" s="189" t="s">
        <v>547</v>
      </c>
      <c r="N505" s="198"/>
      <c r="O505" s="198"/>
      <c r="P505" s="198"/>
      <c r="Q505" s="198"/>
      <c r="R505" s="198" t="s">
        <v>551</v>
      </c>
      <c r="S505" s="198"/>
      <c r="T505" s="198" t="s">
        <v>995</v>
      </c>
      <c r="U505" s="198" t="str">
        <f aca="false">Таблица310[[#This Row],[Регистратор.Номенклатура]]</f>
        <v>Тристар</v>
      </c>
      <c r="V505" s="230" t="n">
        <f aca="false">27*Таблица310[[#This Row],[Регистратор.Вес нетто]]/176530</f>
        <v>2.11986631167507</v>
      </c>
      <c r="W505" s="198" t="s">
        <v>279</v>
      </c>
      <c r="X505" s="198" t="s">
        <v>315</v>
      </c>
      <c r="Y505" s="198" t="n">
        <v>9</v>
      </c>
      <c r="Z505" s="200" t="n">
        <v>45839</v>
      </c>
      <c r="AA505" s="198"/>
      <c r="AB505" s="198"/>
      <c r="AC505" s="198" t="s">
        <v>53</v>
      </c>
      <c r="AD505" s="198" t="s">
        <v>417</v>
      </c>
      <c r="AE505" s="198" t="s">
        <v>1083</v>
      </c>
      <c r="AF505" s="200" t="n">
        <v>45839</v>
      </c>
      <c r="AG505" s="198" t="n">
        <v>60</v>
      </c>
      <c r="AH505" s="198" t="e">
        <f aca="false">VLOOKUP(Таблица310[[#This Row],[№ акта]],'Степень зрелости 2025'!$H$13:$I$583,2,FALSE())</f>
        <v>#N/A</v>
      </c>
      <c r="AI505" s="198" t="str">
        <f aca="false">VLOOKUP(Таблица310[[#This Row],[№ акта]],$AQ$1:$AT$594,2,FALSE())</f>
        <v>4.1</v>
      </c>
      <c r="AJ505" s="198" t="str">
        <f aca="false">Таблица310[[#This Row],[Регистратор.Номенклатура]]</f>
        <v>Тристар</v>
      </c>
      <c r="AK505" s="198" t="str">
        <f aca="false">VLOOKUP(Таблица310[[#This Row],[№ акта]],$AQ$1:$AT$594,4,FALSE())</f>
        <v>Колос (полив)</v>
      </c>
      <c r="AL505" s="230" t="n">
        <f aca="false">VLOOKUP(Таблица310[[#This Row],[№ акта]],$AQ$1:$AT$594,3,FALSE())</f>
        <v>2.11986631167507</v>
      </c>
      <c r="AM505" s="198" t="str">
        <f aca="false">IF(Таблица310[[#This Row],[Площадь уборки, га]]=Таблица310[[#This Row],[Площадь уборки до корр]],"нет","да")</f>
        <v>нет</v>
      </c>
      <c r="AN505" s="230" t="n">
        <f aca="false">Таблица310[[#This Row],[Площадь уборки до корр]]-Таблица310[[#This Row],[Площадь уборки, га]]</f>
        <v>0</v>
      </c>
      <c r="AQ505" s="0" t="s">
        <v>1083</v>
      </c>
      <c r="AR505" s="0" t="s">
        <v>995</v>
      </c>
      <c r="AS505" s="0" t="n">
        <v>2.11986631167507</v>
      </c>
      <c r="AT505" s="0" t="s">
        <v>279</v>
      </c>
    </row>
    <row r="506" customFormat="false" ht="19.4" hidden="false" customHeight="false" outlineLevel="0" collapsed="false">
      <c r="A506" s="198"/>
      <c r="B506" s="223"/>
      <c r="C506" s="198" t="n">
        <v>55</v>
      </c>
      <c r="D506" s="224" t="s">
        <v>1084</v>
      </c>
      <c r="E506" s="225" t="n">
        <v>45839</v>
      </c>
      <c r="F506" s="223" t="n">
        <v>29000</v>
      </c>
      <c r="G506" s="223" t="n">
        <v>13850</v>
      </c>
      <c r="H506" s="226" t="n">
        <v>15150</v>
      </c>
      <c r="I506" s="223" t="n">
        <v>11772.5</v>
      </c>
      <c r="J506" s="198" t="s">
        <v>994</v>
      </c>
      <c r="K506" s="198" t="s">
        <v>904</v>
      </c>
      <c r="L506" s="198" t="s">
        <v>995</v>
      </c>
      <c r="M506" s="189" t="s">
        <v>451</v>
      </c>
      <c r="N506" s="198"/>
      <c r="O506" s="198"/>
      <c r="P506" s="198"/>
      <c r="Q506" s="198"/>
      <c r="R506" s="198" t="s">
        <v>455</v>
      </c>
      <c r="S506" s="198"/>
      <c r="T506" s="198" t="s">
        <v>995</v>
      </c>
      <c r="U506" s="198" t="str">
        <f aca="false">Таблица310[[#This Row],[Регистратор.Номенклатура]]</f>
        <v>Тристар</v>
      </c>
      <c r="V506" s="230" t="n">
        <f aca="false">27*Таблица310[[#This Row],[Регистратор.Вес нетто]]/176530</f>
        <v>2.11833682660171</v>
      </c>
      <c r="W506" s="198" t="s">
        <v>279</v>
      </c>
      <c r="X506" s="198" t="s">
        <v>315</v>
      </c>
      <c r="Y506" s="198" t="n">
        <v>9</v>
      </c>
      <c r="Z506" s="200" t="n">
        <v>45839</v>
      </c>
      <c r="AA506" s="198"/>
      <c r="AB506" s="198"/>
      <c r="AC506" s="198" t="s">
        <v>302</v>
      </c>
      <c r="AD506" s="198" t="s">
        <v>417</v>
      </c>
      <c r="AE506" s="198" t="s">
        <v>1084</v>
      </c>
      <c r="AF506" s="200" t="n">
        <v>45839</v>
      </c>
      <c r="AG506" s="198" t="n">
        <v>61</v>
      </c>
      <c r="AH506" s="198" t="n">
        <f aca="false">VLOOKUP(Таблица310[[#This Row],[№ акта]],'Степень зрелости 2025'!$H$13:$I$583,2,FALSE())</f>
        <v>55</v>
      </c>
      <c r="AI506" s="198" t="str">
        <f aca="false">VLOOKUP(Таблица310[[#This Row],[№ акта]],$AQ$1:$AT$594,2,FALSE())</f>
        <v>4.1</v>
      </c>
      <c r="AJ506" s="198" t="str">
        <f aca="false">Таблица310[[#This Row],[Регистратор.Номенклатура]]</f>
        <v>Тристар</v>
      </c>
      <c r="AK506" s="198" t="str">
        <f aca="false">VLOOKUP(Таблица310[[#This Row],[№ акта]],$AQ$1:$AT$594,4,FALSE())</f>
        <v>Колос (полив)</v>
      </c>
      <c r="AL506" s="230" t="n">
        <f aca="false">VLOOKUP(Таблица310[[#This Row],[№ акта]],$AQ$1:$AT$594,3,FALSE())</f>
        <v>2.11833682660171</v>
      </c>
      <c r="AM506" s="198" t="str">
        <f aca="false">IF(Таблица310[[#This Row],[Площадь уборки, га]]=Таблица310[[#This Row],[Площадь уборки до корр]],"нет","да")</f>
        <v>нет</v>
      </c>
      <c r="AN506" s="230" t="n">
        <f aca="false">Таблица310[[#This Row],[Площадь уборки до корр]]-Таблица310[[#This Row],[Площадь уборки, га]]</f>
        <v>0</v>
      </c>
      <c r="AQ506" s="0" t="s">
        <v>1084</v>
      </c>
      <c r="AR506" s="0" t="s">
        <v>995</v>
      </c>
      <c r="AS506" s="0" t="n">
        <v>2.11833682660171</v>
      </c>
      <c r="AT506" s="0" t="s">
        <v>279</v>
      </c>
    </row>
    <row r="507" customFormat="false" ht="28.35" hidden="false" customHeight="false" outlineLevel="0" collapsed="false">
      <c r="A507" s="198"/>
      <c r="B507" s="223"/>
      <c r="C507" s="198" t="n">
        <v>53</v>
      </c>
      <c r="D507" s="224" t="s">
        <v>1085</v>
      </c>
      <c r="E507" s="225" t="n">
        <v>45840</v>
      </c>
      <c r="F507" s="223" t="n">
        <v>28630</v>
      </c>
      <c r="G507" s="223" t="n">
        <v>13670</v>
      </c>
      <c r="H507" s="226" t="n">
        <v>14960</v>
      </c>
      <c r="I507" s="223" t="n">
        <v>11551.1</v>
      </c>
      <c r="J507" s="198" t="s">
        <v>994</v>
      </c>
      <c r="K507" s="198" t="s">
        <v>904</v>
      </c>
      <c r="L507" s="198" t="s">
        <v>995</v>
      </c>
      <c r="M507" s="189" t="s">
        <v>1086</v>
      </c>
      <c r="N507" s="198"/>
      <c r="O507" s="198"/>
      <c r="P507" s="198"/>
      <c r="Q507" s="198"/>
      <c r="R507" s="198" t="s">
        <v>1087</v>
      </c>
      <c r="S507" s="198"/>
      <c r="T507" s="198" t="s">
        <v>995</v>
      </c>
      <c r="U507" s="198" t="str">
        <f aca="false">Таблица310[[#This Row],[Регистратор.Номенклатура]]</f>
        <v>Тристар</v>
      </c>
      <c r="V507" s="230" t="n">
        <f aca="false">27*Таблица310[[#This Row],[Регистратор.Вес нетто]]/176530</f>
        <v>2.09080609528126</v>
      </c>
      <c r="W507" s="198" t="s">
        <v>279</v>
      </c>
      <c r="X507" s="198" t="s">
        <v>315</v>
      </c>
      <c r="Y507" s="198" t="n">
        <v>9</v>
      </c>
      <c r="Z507" s="200" t="n">
        <v>45839</v>
      </c>
      <c r="AA507" s="198"/>
      <c r="AB507" s="198"/>
      <c r="AC507" s="198" t="s">
        <v>302</v>
      </c>
      <c r="AD507" s="198" t="s">
        <v>417</v>
      </c>
      <c r="AE507" s="198" t="s">
        <v>1085</v>
      </c>
      <c r="AF507" s="200" t="n">
        <v>45840</v>
      </c>
      <c r="AG507" s="198" t="n">
        <v>62</v>
      </c>
      <c r="AH507" s="198" t="n">
        <f aca="false">VLOOKUP(Таблица310[[#This Row],[№ акта]],'Степень зрелости 2025'!$H$13:$I$583,2,FALSE())</f>
        <v>53</v>
      </c>
      <c r="AI507" s="198" t="str">
        <f aca="false">VLOOKUP(Таблица310[[#This Row],[№ акта]],$AQ$1:$AT$594,2,FALSE())</f>
        <v>4.1</v>
      </c>
      <c r="AJ507" s="198" t="str">
        <f aca="false">Таблица310[[#This Row],[Регистратор.Номенклатура]]</f>
        <v>Тристар</v>
      </c>
      <c r="AK507" s="198" t="str">
        <f aca="false">VLOOKUP(Таблица310[[#This Row],[№ акта]],$AQ$1:$AT$594,4,FALSE())</f>
        <v>Колос (полив)</v>
      </c>
      <c r="AL507" s="230" t="n">
        <f aca="false">VLOOKUP(Таблица310[[#This Row],[№ акта]],$AQ$1:$AT$594,3,FALSE())</f>
        <v>2.09080609528126</v>
      </c>
      <c r="AM507" s="198" t="str">
        <f aca="false">IF(Таблица310[[#This Row],[Площадь уборки, га]]=Таблица310[[#This Row],[Площадь уборки до корр]],"нет","да")</f>
        <v>нет</v>
      </c>
      <c r="AN507" s="230" t="n">
        <f aca="false">Таблица310[[#This Row],[Площадь уборки до корр]]-Таблица310[[#This Row],[Площадь уборки, га]]</f>
        <v>0</v>
      </c>
      <c r="AQ507" s="0" t="s">
        <v>1085</v>
      </c>
      <c r="AR507" s="0" t="s">
        <v>995</v>
      </c>
      <c r="AS507" s="0" t="n">
        <v>2.09080609528126</v>
      </c>
      <c r="AT507" s="0" t="s">
        <v>279</v>
      </c>
    </row>
    <row r="508" customFormat="false" ht="19.4" hidden="false" customHeight="false" outlineLevel="0" collapsed="false">
      <c r="A508" s="198"/>
      <c r="B508" s="223"/>
      <c r="C508" s="198" t="n">
        <v>55</v>
      </c>
      <c r="D508" s="224" t="s">
        <v>1088</v>
      </c>
      <c r="E508" s="225" t="n">
        <v>45840</v>
      </c>
      <c r="F508" s="223" t="n">
        <v>28060</v>
      </c>
      <c r="G508" s="223" t="n">
        <v>13610</v>
      </c>
      <c r="H508" s="226" t="n">
        <v>14450</v>
      </c>
      <c r="I508" s="223" t="n">
        <v>11772.6</v>
      </c>
      <c r="J508" s="198" t="s">
        <v>994</v>
      </c>
      <c r="K508" s="198" t="s">
        <v>904</v>
      </c>
      <c r="L508" s="198" t="s">
        <v>995</v>
      </c>
      <c r="M508" s="189" t="s">
        <v>384</v>
      </c>
      <c r="N508" s="198"/>
      <c r="O508" s="198"/>
      <c r="P508" s="198"/>
      <c r="Q508" s="198"/>
      <c r="R508" s="198" t="s">
        <v>385</v>
      </c>
      <c r="S508" s="198"/>
      <c r="T508" s="198" t="s">
        <v>995</v>
      </c>
      <c r="U508" s="198" t="str">
        <f aca="false">Таблица310[[#This Row],[Регистратор.Номенклатура]]</f>
        <v>Тристар</v>
      </c>
      <c r="V508" s="230" t="n">
        <f aca="false">27*Таблица310[[#This Row],[Регистратор.Вес нетто]]/176530</f>
        <v>2.0816291848411</v>
      </c>
      <c r="W508" s="198" t="s">
        <v>279</v>
      </c>
      <c r="X508" s="198" t="s">
        <v>315</v>
      </c>
      <c r="Y508" s="198" t="n">
        <v>9</v>
      </c>
      <c r="Z508" s="200" t="n">
        <v>45839</v>
      </c>
      <c r="AA508" s="198"/>
      <c r="AB508" s="198"/>
      <c r="AC508" s="198" t="s">
        <v>302</v>
      </c>
      <c r="AD508" s="198" t="s">
        <v>417</v>
      </c>
      <c r="AE508" s="198" t="s">
        <v>1088</v>
      </c>
      <c r="AF508" s="200" t="n">
        <v>45840</v>
      </c>
      <c r="AG508" s="198" t="n">
        <v>63</v>
      </c>
      <c r="AH508" s="198" t="n">
        <f aca="false">VLOOKUP(Таблица310[[#This Row],[№ акта]],'Степень зрелости 2025'!$H$13:$I$583,2,FALSE())</f>
        <v>55</v>
      </c>
      <c r="AI508" s="198" t="str">
        <f aca="false">VLOOKUP(Таблица310[[#This Row],[№ акта]],$AQ$1:$AT$594,2,FALSE())</f>
        <v>4.1</v>
      </c>
      <c r="AJ508" s="198" t="str">
        <f aca="false">Таблица310[[#This Row],[Регистратор.Номенклатура]]</f>
        <v>Тристар</v>
      </c>
      <c r="AK508" s="198" t="str">
        <f aca="false">VLOOKUP(Таблица310[[#This Row],[№ акта]],$AQ$1:$AT$594,4,FALSE())</f>
        <v>Колос (полив)</v>
      </c>
      <c r="AL508" s="230" t="n">
        <f aca="false">VLOOKUP(Таблица310[[#This Row],[№ акта]],$AQ$1:$AT$594,3,FALSE())</f>
        <v>2.0816291848411</v>
      </c>
      <c r="AM508" s="198" t="str">
        <f aca="false">IF(Таблица310[[#This Row],[Площадь уборки, га]]=Таблица310[[#This Row],[Площадь уборки до корр]],"нет","да")</f>
        <v>нет</v>
      </c>
      <c r="AN508" s="230" t="n">
        <f aca="false">Таблица310[[#This Row],[Площадь уборки до корр]]-Таблица310[[#This Row],[Площадь уборки, га]]</f>
        <v>0</v>
      </c>
      <c r="AQ508" s="0" t="s">
        <v>1088</v>
      </c>
      <c r="AR508" s="0" t="s">
        <v>995</v>
      </c>
      <c r="AS508" s="0" t="n">
        <v>2.0816291848411</v>
      </c>
      <c r="AT508" s="0" t="s">
        <v>279</v>
      </c>
    </row>
    <row r="509" customFormat="false" ht="19.4" hidden="false" customHeight="false" outlineLevel="0" collapsed="false">
      <c r="A509" s="198"/>
      <c r="B509" s="223"/>
      <c r="C509" s="198" t="n">
        <v>56</v>
      </c>
      <c r="D509" s="224" t="s">
        <v>1089</v>
      </c>
      <c r="E509" s="225" t="n">
        <v>45840</v>
      </c>
      <c r="F509" s="223" t="n">
        <v>28320</v>
      </c>
      <c r="G509" s="223" t="n">
        <v>13420</v>
      </c>
      <c r="H509" s="226" t="n">
        <v>14900</v>
      </c>
      <c r="I509" s="223" t="n">
        <v>12010.9</v>
      </c>
      <c r="J509" s="198" t="s">
        <v>994</v>
      </c>
      <c r="K509" s="198" t="s">
        <v>904</v>
      </c>
      <c r="L509" s="198" t="s">
        <v>995</v>
      </c>
      <c r="M509" s="189" t="s">
        <v>382</v>
      </c>
      <c r="N509" s="198"/>
      <c r="O509" s="198"/>
      <c r="P509" s="198"/>
      <c r="Q509" s="198"/>
      <c r="R509" s="198" t="s">
        <v>383</v>
      </c>
      <c r="S509" s="198"/>
      <c r="T509" s="198" t="s">
        <v>995</v>
      </c>
      <c r="U509" s="198" t="str">
        <f aca="false">Таблица310[[#This Row],[Регистратор.Номенклатура]]</f>
        <v>Тристар</v>
      </c>
      <c r="V509" s="230" t="n">
        <f aca="false">27*Таблица310[[#This Row],[Регистратор.Вес нетто]]/176530</f>
        <v>2.05256896844729</v>
      </c>
      <c r="W509" s="198" t="s">
        <v>279</v>
      </c>
      <c r="X509" s="198" t="s">
        <v>315</v>
      </c>
      <c r="Y509" s="198" t="n">
        <v>9</v>
      </c>
      <c r="Z509" s="200" t="n">
        <v>45839</v>
      </c>
      <c r="AA509" s="198"/>
      <c r="AB509" s="198"/>
      <c r="AC509" s="198" t="s">
        <v>302</v>
      </c>
      <c r="AD509" s="198" t="s">
        <v>417</v>
      </c>
      <c r="AE509" s="198" t="s">
        <v>1089</v>
      </c>
      <c r="AF509" s="200" t="n">
        <v>45840</v>
      </c>
      <c r="AG509" s="198" t="n">
        <v>64</v>
      </c>
      <c r="AH509" s="198" t="n">
        <f aca="false">VLOOKUP(Таблица310[[#This Row],[№ акта]],'Степень зрелости 2025'!$H$13:$I$583,2,FALSE())</f>
        <v>56</v>
      </c>
      <c r="AI509" s="198" t="str">
        <f aca="false">VLOOKUP(Таблица310[[#This Row],[№ акта]],$AQ$1:$AT$594,2,FALSE())</f>
        <v>4.1</v>
      </c>
      <c r="AJ509" s="198" t="str">
        <f aca="false">Таблица310[[#This Row],[Регистратор.Номенклатура]]</f>
        <v>Тристар</v>
      </c>
      <c r="AK509" s="198" t="str">
        <f aca="false">VLOOKUP(Таблица310[[#This Row],[№ акта]],$AQ$1:$AT$594,4,FALSE())</f>
        <v>Колос (полив)</v>
      </c>
      <c r="AL509" s="230" t="n">
        <f aca="false">VLOOKUP(Таблица310[[#This Row],[№ акта]],$AQ$1:$AT$594,3,FALSE())</f>
        <v>2.05256896844729</v>
      </c>
      <c r="AM509" s="198" t="str">
        <f aca="false">IF(Таблица310[[#This Row],[Площадь уборки, га]]=Таблица310[[#This Row],[Площадь уборки до корр]],"нет","да")</f>
        <v>нет</v>
      </c>
      <c r="AN509" s="230" t="n">
        <f aca="false">Таблица310[[#This Row],[Площадь уборки до корр]]-Таблица310[[#This Row],[Площадь уборки, га]]</f>
        <v>0</v>
      </c>
      <c r="AQ509" s="0" t="s">
        <v>1089</v>
      </c>
      <c r="AR509" s="0" t="s">
        <v>995</v>
      </c>
      <c r="AS509" s="0" t="n">
        <v>2.05256896844729</v>
      </c>
      <c r="AT509" s="0" t="s">
        <v>279</v>
      </c>
    </row>
    <row r="510" customFormat="false" ht="19.4" hidden="false" customHeight="false" outlineLevel="0" collapsed="false">
      <c r="A510" s="198"/>
      <c r="B510" s="223"/>
      <c r="C510" s="198" t="n">
        <v>56</v>
      </c>
      <c r="D510" s="224" t="s">
        <v>1090</v>
      </c>
      <c r="E510" s="225" t="n">
        <v>45840</v>
      </c>
      <c r="F510" s="223" t="n">
        <v>28080</v>
      </c>
      <c r="G510" s="223" t="n">
        <v>13250</v>
      </c>
      <c r="H510" s="226" t="n">
        <v>14830</v>
      </c>
      <c r="I510" s="223" t="n">
        <v>11328.7</v>
      </c>
      <c r="J510" s="198" t="s">
        <v>994</v>
      </c>
      <c r="K510" s="198" t="s">
        <v>904</v>
      </c>
      <c r="L510" s="198" t="s">
        <v>995</v>
      </c>
      <c r="M510" s="189" t="s">
        <v>361</v>
      </c>
      <c r="N510" s="198"/>
      <c r="O510" s="198"/>
      <c r="P510" s="198"/>
      <c r="Q510" s="198"/>
      <c r="R510" s="198" t="s">
        <v>362</v>
      </c>
      <c r="S510" s="198"/>
      <c r="T510" s="198" t="s">
        <v>995</v>
      </c>
      <c r="U510" s="198" t="str">
        <f aca="false">Таблица310[[#This Row],[Регистратор.Номенклатура]]</f>
        <v>Тристар</v>
      </c>
      <c r="V510" s="230" t="n">
        <f aca="false">27*Таблица310[[#This Row],[Регистратор.Вес нетто]]/176530</f>
        <v>2.02656772220019</v>
      </c>
      <c r="W510" s="198" t="s">
        <v>279</v>
      </c>
      <c r="X510" s="198" t="s">
        <v>315</v>
      </c>
      <c r="Y510" s="198" t="n">
        <v>9</v>
      </c>
      <c r="Z510" s="200" t="n">
        <v>45839</v>
      </c>
      <c r="AA510" s="198"/>
      <c r="AB510" s="198"/>
      <c r="AC510" s="198" t="s">
        <v>302</v>
      </c>
      <c r="AD510" s="198" t="s">
        <v>417</v>
      </c>
      <c r="AE510" s="198" t="s">
        <v>1090</v>
      </c>
      <c r="AF510" s="200" t="n">
        <v>45840</v>
      </c>
      <c r="AG510" s="198" t="n">
        <v>65</v>
      </c>
      <c r="AH510" s="198" t="n">
        <f aca="false">VLOOKUP(Таблица310[[#This Row],[№ акта]],'Степень зрелости 2025'!$H$13:$I$583,2,FALSE())</f>
        <v>56</v>
      </c>
      <c r="AI510" s="198" t="str">
        <f aca="false">VLOOKUP(Таблица310[[#This Row],[№ акта]],$AQ$1:$AT$594,2,FALSE())</f>
        <v>4.1</v>
      </c>
      <c r="AJ510" s="198" t="str">
        <f aca="false">Таблица310[[#This Row],[Регистратор.Номенклатура]]</f>
        <v>Тристар</v>
      </c>
      <c r="AK510" s="198" t="str">
        <f aca="false">VLOOKUP(Таблица310[[#This Row],[№ акта]],$AQ$1:$AT$594,4,FALSE())</f>
        <v>Колос (полив)</v>
      </c>
      <c r="AL510" s="230" t="n">
        <f aca="false">VLOOKUP(Таблица310[[#This Row],[№ акта]],$AQ$1:$AT$594,3,FALSE())</f>
        <v>2.02656772220019</v>
      </c>
      <c r="AM510" s="198" t="str">
        <f aca="false">IF(Таблица310[[#This Row],[Площадь уборки, га]]=Таблица310[[#This Row],[Площадь уборки до корр]],"нет","да")</f>
        <v>нет</v>
      </c>
      <c r="AN510" s="230" t="n">
        <f aca="false">Таблица310[[#This Row],[Площадь уборки до корр]]-Таблица310[[#This Row],[Площадь уборки, га]]</f>
        <v>0</v>
      </c>
      <c r="AQ510" s="0" t="s">
        <v>1090</v>
      </c>
      <c r="AR510" s="0" t="s">
        <v>995</v>
      </c>
      <c r="AS510" s="0" t="n">
        <v>2.02656772220019</v>
      </c>
      <c r="AT510" s="0" t="s">
        <v>279</v>
      </c>
    </row>
    <row r="511" customFormat="false" ht="19.4" hidden="false" customHeight="false" outlineLevel="0" collapsed="false">
      <c r="A511" s="198"/>
      <c r="B511" s="223"/>
      <c r="C511" s="198" t="n">
        <v>52</v>
      </c>
      <c r="D511" s="224" t="s">
        <v>1091</v>
      </c>
      <c r="E511" s="225" t="n">
        <v>45840</v>
      </c>
      <c r="F511" s="223" t="n">
        <v>37610</v>
      </c>
      <c r="G511" s="223" t="n">
        <v>13510</v>
      </c>
      <c r="H511" s="226" t="n">
        <v>24100</v>
      </c>
      <c r="I511" s="223" t="n">
        <v>11551</v>
      </c>
      <c r="J511" s="198" t="s">
        <v>994</v>
      </c>
      <c r="K511" s="198" t="s">
        <v>904</v>
      </c>
      <c r="L511" s="198" t="s">
        <v>995</v>
      </c>
      <c r="M511" s="189" t="s">
        <v>1092</v>
      </c>
      <c r="N511" s="198"/>
      <c r="O511" s="198"/>
      <c r="P511" s="198"/>
      <c r="Q511" s="198"/>
      <c r="R511" s="198" t="s">
        <v>1093</v>
      </c>
      <c r="S511" s="198"/>
      <c r="T511" s="198" t="s">
        <v>995</v>
      </c>
      <c r="U511" s="198" t="str">
        <f aca="false">Таблица310[[#This Row],[Регистратор.Номенклатура]]</f>
        <v>Тристар</v>
      </c>
      <c r="V511" s="230" t="n">
        <f aca="false">27*Таблица310[[#This Row],[Регистратор.Вес нетто]]/176530</f>
        <v>2.06633433410752</v>
      </c>
      <c r="W511" s="198" t="s">
        <v>279</v>
      </c>
      <c r="X511" s="198" t="s">
        <v>315</v>
      </c>
      <c r="Y511" s="198" t="n">
        <v>9</v>
      </c>
      <c r="Z511" s="200" t="n">
        <v>45839</v>
      </c>
      <c r="AA511" s="198"/>
      <c r="AB511" s="198"/>
      <c r="AC511" s="198" t="s">
        <v>53</v>
      </c>
      <c r="AD511" s="198" t="s">
        <v>417</v>
      </c>
      <c r="AE511" s="198" t="s">
        <v>1091</v>
      </c>
      <c r="AF511" s="200" t="n">
        <v>45840</v>
      </c>
      <c r="AG511" s="198" t="n">
        <v>66</v>
      </c>
      <c r="AH511" s="198" t="n">
        <f aca="false">VLOOKUP(Таблица310[[#This Row],[№ акта]],'Степень зрелости 2025'!$H$13:$I$583,2,FALSE())</f>
        <v>52</v>
      </c>
      <c r="AI511" s="198" t="str">
        <f aca="false">VLOOKUP(Таблица310[[#This Row],[№ акта]],$AQ$1:$AT$594,2,FALSE())</f>
        <v>4.1</v>
      </c>
      <c r="AJ511" s="198" t="str">
        <f aca="false">Таблица310[[#This Row],[Регистратор.Номенклатура]]</f>
        <v>Тристар</v>
      </c>
      <c r="AK511" s="198" t="str">
        <f aca="false">VLOOKUP(Таблица310[[#This Row],[№ акта]],$AQ$1:$AT$594,4,FALSE())</f>
        <v>Колос (полив)</v>
      </c>
      <c r="AL511" s="230" t="n">
        <f aca="false">VLOOKUP(Таблица310[[#This Row],[№ акта]],$AQ$1:$AT$594,3,FALSE())</f>
        <v>2.06633433410752</v>
      </c>
      <c r="AM511" s="198" t="str">
        <f aca="false">IF(Таблица310[[#This Row],[Площадь уборки, га]]=Таблица310[[#This Row],[Площадь уборки до корр]],"нет","да")</f>
        <v>нет</v>
      </c>
      <c r="AN511" s="230" t="n">
        <f aca="false">Таблица310[[#This Row],[Площадь уборки до корр]]-Таблица310[[#This Row],[Площадь уборки, га]]</f>
        <v>0</v>
      </c>
      <c r="AQ511" s="0" t="s">
        <v>1091</v>
      </c>
      <c r="AR511" s="0" t="s">
        <v>995</v>
      </c>
      <c r="AS511" s="0" t="n">
        <v>2.06633433410752</v>
      </c>
      <c r="AT511" s="0" t="s">
        <v>279</v>
      </c>
    </row>
    <row r="512" customFormat="false" ht="19.4" hidden="false" customHeight="false" outlineLevel="0" collapsed="false">
      <c r="A512" s="198"/>
      <c r="B512" s="223"/>
      <c r="C512" s="198" t="n">
        <v>55</v>
      </c>
      <c r="D512" s="224" t="s">
        <v>1094</v>
      </c>
      <c r="E512" s="225" t="n">
        <v>45840</v>
      </c>
      <c r="F512" s="223" t="n">
        <v>29160</v>
      </c>
      <c r="G512" s="223" t="n">
        <v>6740</v>
      </c>
      <c r="H512" s="226" t="n">
        <v>22420</v>
      </c>
      <c r="I512" s="223" t="n">
        <v>5762.7</v>
      </c>
      <c r="J512" s="198" t="s">
        <v>994</v>
      </c>
      <c r="K512" s="198" t="s">
        <v>1061</v>
      </c>
      <c r="L512" s="198" t="s">
        <v>995</v>
      </c>
      <c r="M512" s="189" t="s">
        <v>1095</v>
      </c>
      <c r="N512" s="198"/>
      <c r="O512" s="198"/>
      <c r="P512" s="198"/>
      <c r="Q512" s="198"/>
      <c r="R512" s="198" t="s">
        <v>1096</v>
      </c>
      <c r="S512" s="198"/>
      <c r="T512" s="198" t="s">
        <v>995</v>
      </c>
      <c r="U512" s="198" t="str">
        <f aca="false">Таблица310[[#This Row],[Регистратор.Номенклатура]]</f>
        <v>Парус</v>
      </c>
      <c r="V512" s="230" t="n">
        <f aca="false">27*Таблица310[[#This Row],[Регистратор.Вес нетто]]/176530</f>
        <v>1.03087293944372</v>
      </c>
      <c r="W512" s="198" t="s">
        <v>279</v>
      </c>
      <c r="X512" s="198" t="s">
        <v>315</v>
      </c>
      <c r="Y512" s="198" t="n">
        <v>9</v>
      </c>
      <c r="Z512" s="200" t="n">
        <v>45839</v>
      </c>
      <c r="AA512" s="198"/>
      <c r="AB512" s="198"/>
      <c r="AC512" s="198" t="s">
        <v>302</v>
      </c>
      <c r="AD512" s="198" t="s">
        <v>417</v>
      </c>
      <c r="AE512" s="198" t="s">
        <v>1094</v>
      </c>
      <c r="AF512" s="200" t="n">
        <v>45840</v>
      </c>
      <c r="AG512" s="198" t="n">
        <v>67</v>
      </c>
      <c r="AH512" s="198" t="n">
        <f aca="false">VLOOKUP(Таблица310[[#This Row],[№ акта]],'Степень зрелости 2025'!$H$13:$I$583,2,FALSE())</f>
        <v>55</v>
      </c>
      <c r="AI512" s="198" t="str">
        <f aca="false">VLOOKUP(Таблица310[[#This Row],[№ акта]],$AQ$1:$AT$594,2,FALSE())</f>
        <v>4.1</v>
      </c>
      <c r="AJ512" s="198" t="str">
        <f aca="false">Таблица310[[#This Row],[Регистратор.Номенклатура]]</f>
        <v>Парус</v>
      </c>
      <c r="AK512" s="198" t="str">
        <f aca="false">VLOOKUP(Таблица310[[#This Row],[№ акта]],$AQ$1:$AT$594,4,FALSE())</f>
        <v>Колос (полив)</v>
      </c>
      <c r="AL512" s="230" t="n">
        <f aca="false">VLOOKUP(Таблица310[[#This Row],[№ акта]],$AQ$1:$AT$594,3,FALSE())</f>
        <v>1.03087293944372</v>
      </c>
      <c r="AM512" s="198" t="str">
        <f aca="false">IF(Таблица310[[#This Row],[Площадь уборки, га]]=Таблица310[[#This Row],[Площадь уборки до корр]],"нет","да")</f>
        <v>нет</v>
      </c>
      <c r="AN512" s="230" t="n">
        <f aca="false">Таблица310[[#This Row],[Площадь уборки до корр]]-Таблица310[[#This Row],[Площадь уборки, га]]</f>
        <v>0</v>
      </c>
      <c r="AQ512" s="0" t="s">
        <v>1094</v>
      </c>
      <c r="AR512" s="0" t="s">
        <v>995</v>
      </c>
      <c r="AS512" s="0" t="n">
        <v>1.03087293944372</v>
      </c>
      <c r="AT512" s="0" t="s">
        <v>279</v>
      </c>
    </row>
    <row r="513" customFormat="false" ht="19.4" hidden="false" customHeight="false" outlineLevel="0" collapsed="false">
      <c r="A513" s="198"/>
      <c r="B513" s="223"/>
      <c r="C513" s="198" t="n">
        <v>54</v>
      </c>
      <c r="D513" s="224" t="s">
        <v>1097</v>
      </c>
      <c r="E513" s="225" t="n">
        <v>45840</v>
      </c>
      <c r="F513" s="223" t="n">
        <v>22430</v>
      </c>
      <c r="G513" s="223" t="n">
        <v>6740</v>
      </c>
      <c r="H513" s="226" t="n">
        <v>15690</v>
      </c>
      <c r="I513" s="223" t="n">
        <v>6032.3</v>
      </c>
      <c r="J513" s="198" t="s">
        <v>994</v>
      </c>
      <c r="K513" s="198" t="s">
        <v>904</v>
      </c>
      <c r="L513" s="198" t="s">
        <v>995</v>
      </c>
      <c r="M513" s="189" t="s">
        <v>1095</v>
      </c>
      <c r="N513" s="198"/>
      <c r="O513" s="198"/>
      <c r="P513" s="198"/>
      <c r="Q513" s="198"/>
      <c r="R513" s="198" t="s">
        <v>1096</v>
      </c>
      <c r="S513" s="198"/>
      <c r="T513" s="198" t="s">
        <v>995</v>
      </c>
      <c r="U513" s="198" t="str">
        <f aca="false">Таблица310[[#This Row],[Регистратор.Номенклатура]]</f>
        <v>Тристар</v>
      </c>
      <c r="V513" s="230" t="n">
        <f aca="false">27*Таблица310[[#This Row],[Регистратор.Вес нетто]]/176530</f>
        <v>1.03087293944372</v>
      </c>
      <c r="W513" s="198" t="s">
        <v>279</v>
      </c>
      <c r="X513" s="198" t="s">
        <v>315</v>
      </c>
      <c r="Y513" s="198" t="n">
        <v>9</v>
      </c>
      <c r="Z513" s="200" t="n">
        <v>45839</v>
      </c>
      <c r="AA513" s="198"/>
      <c r="AB513" s="198"/>
      <c r="AC513" s="198" t="s">
        <v>302</v>
      </c>
      <c r="AD513" s="198" t="s">
        <v>417</v>
      </c>
      <c r="AE513" s="198" t="s">
        <v>1097</v>
      </c>
      <c r="AF513" s="200" t="n">
        <v>45840</v>
      </c>
      <c r="AG513" s="198" t="n">
        <v>67</v>
      </c>
      <c r="AH513" s="198" t="n">
        <f aca="false">VLOOKUP(Таблица310[[#This Row],[№ акта]],'Степень зрелости 2025'!$H$13:$I$583,2,FALSE())</f>
        <v>54</v>
      </c>
      <c r="AI513" s="198" t="str">
        <f aca="false">VLOOKUP(Таблица310[[#This Row],[№ акта]],$AQ$1:$AT$594,2,FALSE())</f>
        <v>4.1</v>
      </c>
      <c r="AJ513" s="198" t="str">
        <f aca="false">Таблица310[[#This Row],[Регистратор.Номенклатура]]</f>
        <v>Тристар</v>
      </c>
      <c r="AK513" s="198" t="str">
        <f aca="false">VLOOKUP(Таблица310[[#This Row],[№ акта]],$AQ$1:$AT$594,4,FALSE())</f>
        <v>Колос (полив)</v>
      </c>
      <c r="AL513" s="230" t="n">
        <f aca="false">VLOOKUP(Таблица310[[#This Row],[№ акта]],$AQ$1:$AT$594,3,FALSE())</f>
        <v>1.03087293944372</v>
      </c>
      <c r="AM513" s="198" t="str">
        <f aca="false">IF(Таблица310[[#This Row],[Площадь уборки, га]]=Таблица310[[#This Row],[Площадь уборки до корр]],"нет","да")</f>
        <v>нет</v>
      </c>
      <c r="AN513" s="230" t="n">
        <f aca="false">Таблица310[[#This Row],[Площадь уборки до корр]]-Таблица310[[#This Row],[Площадь уборки, га]]</f>
        <v>0</v>
      </c>
      <c r="AQ513" s="0" t="s">
        <v>1097</v>
      </c>
      <c r="AR513" s="0" t="s">
        <v>995</v>
      </c>
      <c r="AS513" s="0" t="n">
        <v>1.03087293944372</v>
      </c>
      <c r="AT513" s="0" t="s">
        <v>279</v>
      </c>
    </row>
    <row r="514" customFormat="false" ht="19.4" hidden="false" customHeight="false" outlineLevel="0" collapsed="false">
      <c r="A514" s="198"/>
      <c r="B514" s="223"/>
      <c r="C514" s="198" t="n">
        <v>52</v>
      </c>
      <c r="D514" s="224" t="s">
        <v>1098</v>
      </c>
      <c r="E514" s="225" t="n">
        <v>45840</v>
      </c>
      <c r="F514" s="223" t="n">
        <v>28880</v>
      </c>
      <c r="G514" s="223" t="n">
        <v>13140</v>
      </c>
      <c r="H514" s="226" t="n">
        <v>15740</v>
      </c>
      <c r="I514" s="223" t="n">
        <v>11103.3</v>
      </c>
      <c r="J514" s="198" t="s">
        <v>994</v>
      </c>
      <c r="K514" s="198" t="s">
        <v>1061</v>
      </c>
      <c r="L514" s="198" t="s">
        <v>995</v>
      </c>
      <c r="M514" s="189" t="s">
        <v>365</v>
      </c>
      <c r="N514" s="198"/>
      <c r="O514" s="198"/>
      <c r="P514" s="198"/>
      <c r="Q514" s="198"/>
      <c r="R514" s="198" t="s">
        <v>373</v>
      </c>
      <c r="S514" s="198"/>
      <c r="T514" s="198" t="s">
        <v>995</v>
      </c>
      <c r="U514" s="198" t="str">
        <f aca="false">Таблица310[[#This Row],[Регистратор.Номенклатура]]</f>
        <v>Парус</v>
      </c>
      <c r="V514" s="230" t="n">
        <f aca="false">27*Таблица310[[#This Row],[Регистратор.Вес нетто]]/176530</f>
        <v>2.00974338639325</v>
      </c>
      <c r="W514" s="198" t="s">
        <v>279</v>
      </c>
      <c r="X514" s="198" t="s">
        <v>315</v>
      </c>
      <c r="Y514" s="198" t="n">
        <v>9</v>
      </c>
      <c r="Z514" s="200" t="n">
        <v>45839</v>
      </c>
      <c r="AA514" s="198"/>
      <c r="AB514" s="198"/>
      <c r="AC514" s="198" t="s">
        <v>53</v>
      </c>
      <c r="AD514" s="198" t="s">
        <v>417</v>
      </c>
      <c r="AE514" s="198" t="s">
        <v>1098</v>
      </c>
      <c r="AF514" s="200" t="n">
        <v>45840</v>
      </c>
      <c r="AG514" s="198" t="n">
        <v>68</v>
      </c>
      <c r="AH514" s="198" t="n">
        <f aca="false">VLOOKUP(Таблица310[[#This Row],[№ акта]],'Степень зрелости 2025'!$H$13:$I$583,2,FALSE())</f>
        <v>52</v>
      </c>
      <c r="AI514" s="198" t="str">
        <f aca="false">VLOOKUP(Таблица310[[#This Row],[№ акта]],$AQ$1:$AT$594,2,FALSE())</f>
        <v>4.1</v>
      </c>
      <c r="AJ514" s="198" t="str">
        <f aca="false">Таблица310[[#This Row],[Регистратор.Номенклатура]]</f>
        <v>Парус</v>
      </c>
      <c r="AK514" s="198" t="str">
        <f aca="false">VLOOKUP(Таблица310[[#This Row],[№ акта]],$AQ$1:$AT$594,4,FALSE())</f>
        <v>Колос (полив)</v>
      </c>
      <c r="AL514" s="230" t="n">
        <f aca="false">VLOOKUP(Таблица310[[#This Row],[№ акта]],$AQ$1:$AT$594,3,FALSE())</f>
        <v>2.00974338639325</v>
      </c>
      <c r="AM514" s="198" t="str">
        <f aca="false">IF(Таблица310[[#This Row],[Площадь уборки, га]]=Таблица310[[#This Row],[Площадь уборки до корр]],"нет","да")</f>
        <v>нет</v>
      </c>
      <c r="AN514" s="230" t="n">
        <f aca="false">Таблица310[[#This Row],[Площадь уборки до корр]]-Таблица310[[#This Row],[Площадь уборки, га]]</f>
        <v>0</v>
      </c>
      <c r="AQ514" s="0" t="s">
        <v>1098</v>
      </c>
      <c r="AR514" s="0" t="s">
        <v>995</v>
      </c>
      <c r="AS514" s="0" t="n">
        <v>2.00974338639325</v>
      </c>
      <c r="AT514" s="0" t="s">
        <v>279</v>
      </c>
    </row>
    <row r="515" customFormat="false" ht="19.4" hidden="false" customHeight="false" outlineLevel="0" collapsed="false">
      <c r="A515" s="198"/>
      <c r="B515" s="223"/>
      <c r="C515" s="198" t="n">
        <v>55</v>
      </c>
      <c r="D515" s="224" t="s">
        <v>1099</v>
      </c>
      <c r="E515" s="225" t="n">
        <v>45840</v>
      </c>
      <c r="F515" s="223" t="n">
        <v>27090</v>
      </c>
      <c r="G515" s="223" t="n">
        <v>13260</v>
      </c>
      <c r="H515" s="226" t="n">
        <v>13830</v>
      </c>
      <c r="I515" s="223" t="n">
        <v>11602.5</v>
      </c>
      <c r="J515" s="198" t="s">
        <v>994</v>
      </c>
      <c r="K515" s="198" t="s">
        <v>1061</v>
      </c>
      <c r="L515" s="198" t="s">
        <v>995</v>
      </c>
      <c r="M515" s="189" t="s">
        <v>359</v>
      </c>
      <c r="N515" s="198"/>
      <c r="O515" s="198"/>
      <c r="P515" s="198"/>
      <c r="Q515" s="198"/>
      <c r="R515" s="198" t="s">
        <v>426</v>
      </c>
      <c r="S515" s="198"/>
      <c r="T515" s="198" t="s">
        <v>995</v>
      </c>
      <c r="U515" s="198" t="str">
        <f aca="false">Таблица310[[#This Row],[Регистратор.Номенклатура]]</f>
        <v>Парус</v>
      </c>
      <c r="V515" s="230" t="n">
        <f aca="false">27*Таблица310[[#This Row],[Регистратор.Вес нетто]]/176530</f>
        <v>2.02809720727355</v>
      </c>
      <c r="W515" s="198" t="s">
        <v>279</v>
      </c>
      <c r="X515" s="198" t="s">
        <v>315</v>
      </c>
      <c r="Y515" s="198" t="n">
        <v>9</v>
      </c>
      <c r="Z515" s="200" t="n">
        <v>45839</v>
      </c>
      <c r="AA515" s="198"/>
      <c r="AB515" s="198"/>
      <c r="AC515" s="198" t="s">
        <v>302</v>
      </c>
      <c r="AD515" s="198" t="s">
        <v>417</v>
      </c>
      <c r="AE515" s="198" t="s">
        <v>1099</v>
      </c>
      <c r="AF515" s="200" t="n">
        <v>45840</v>
      </c>
      <c r="AG515" s="198" t="n">
        <v>69</v>
      </c>
      <c r="AH515" s="198" t="n">
        <f aca="false">VLOOKUP(Таблица310[[#This Row],[№ акта]],'Степень зрелости 2025'!$H$13:$I$583,2,FALSE())</f>
        <v>55</v>
      </c>
      <c r="AI515" s="198" t="str">
        <f aca="false">VLOOKUP(Таблица310[[#This Row],[№ акта]],$AQ$1:$AT$594,2,FALSE())</f>
        <v>4.1</v>
      </c>
      <c r="AJ515" s="198" t="str">
        <f aca="false">Таблица310[[#This Row],[Регистратор.Номенклатура]]</f>
        <v>Парус</v>
      </c>
      <c r="AK515" s="198" t="str">
        <f aca="false">VLOOKUP(Таблица310[[#This Row],[№ акта]],$AQ$1:$AT$594,4,FALSE())</f>
        <v>Колос (полив)</v>
      </c>
      <c r="AL515" s="230" t="n">
        <f aca="false">VLOOKUP(Таблица310[[#This Row],[№ акта]],$AQ$1:$AT$594,3,FALSE())</f>
        <v>2.02809720727355</v>
      </c>
      <c r="AM515" s="198" t="str">
        <f aca="false">IF(Таблица310[[#This Row],[Площадь уборки, га]]=Таблица310[[#This Row],[Площадь уборки до корр]],"нет","да")</f>
        <v>нет</v>
      </c>
      <c r="AN515" s="230" t="n">
        <f aca="false">Таблица310[[#This Row],[Площадь уборки до корр]]-Таблица310[[#This Row],[Площадь уборки, га]]</f>
        <v>0</v>
      </c>
      <c r="AQ515" s="0" t="s">
        <v>1099</v>
      </c>
      <c r="AR515" s="0" t="s">
        <v>995</v>
      </c>
      <c r="AS515" s="0" t="n">
        <v>2.02809720727355</v>
      </c>
      <c r="AT515" s="0" t="s">
        <v>279</v>
      </c>
    </row>
    <row r="516" customFormat="false" ht="19.4" hidden="false" customHeight="false" outlineLevel="0" collapsed="false">
      <c r="A516" s="198"/>
      <c r="B516" s="224"/>
      <c r="C516" s="198" t="n">
        <f aca="false">VLOOKUP(Таблица310[[#This Row],[№ акта]],'Степень зрелости 2025'!$H$13:$I$518,2,FALSE())</f>
        <v>55</v>
      </c>
      <c r="D516" s="223" t="s">
        <v>1100</v>
      </c>
      <c r="E516" s="248" t="n">
        <v>45840</v>
      </c>
      <c r="F516" s="226" t="n">
        <v>38010</v>
      </c>
      <c r="G516" s="223" t="n">
        <v>13900</v>
      </c>
      <c r="H516" s="198" t="n">
        <v>24110</v>
      </c>
      <c r="I516" s="198" t="n">
        <v>11815</v>
      </c>
      <c r="J516" s="198" t="s">
        <v>994</v>
      </c>
      <c r="K516" s="189" t="s">
        <v>1061</v>
      </c>
      <c r="L516" s="198" t="s">
        <v>995</v>
      </c>
      <c r="M516" s="198" t="s">
        <v>439</v>
      </c>
      <c r="N516" s="198"/>
      <c r="O516" s="198"/>
      <c r="P516" s="198"/>
      <c r="Q516" s="198"/>
      <c r="R516" s="198" t="s">
        <v>443</v>
      </c>
      <c r="S516" s="230"/>
      <c r="T516" s="198" t="s">
        <v>995</v>
      </c>
      <c r="U516" s="198" t="str">
        <f aca="false">Таблица310[[#This Row],[Регистратор.Номенклатура]]</f>
        <v>Парус</v>
      </c>
      <c r="V516" s="230" t="n">
        <f aca="false">4*Таблица310[[#This Row],[Регистратор.Вес нетто]]/27850</f>
        <v>1.99640933572711</v>
      </c>
      <c r="W516" s="198" t="s">
        <v>279</v>
      </c>
      <c r="X516" s="198" t="s">
        <v>315</v>
      </c>
      <c r="Y516" s="198" t="n">
        <v>10</v>
      </c>
      <c r="Z516" s="200" t="n">
        <v>45840</v>
      </c>
      <c r="AA516" s="198"/>
      <c r="AB516" s="198"/>
      <c r="AC516" s="198" t="s">
        <v>302</v>
      </c>
      <c r="AD516" s="198" t="s">
        <v>417</v>
      </c>
      <c r="AE516" s="198" t="s">
        <v>1100</v>
      </c>
      <c r="AF516" s="200" t="n">
        <v>45840</v>
      </c>
      <c r="AG516" s="198" t="n">
        <v>70</v>
      </c>
      <c r="AH516" s="198" t="n">
        <f aca="false">VLOOKUP(Таблица310[[#This Row],[№ акта]],'Степень зрелости 2025'!$H$13:$I$583,2,FALSE())</f>
        <v>55</v>
      </c>
      <c r="AI516" s="198" t="str">
        <f aca="false">VLOOKUP(Таблица310[[#This Row],[№ акта]],$AQ$1:$AT$594,2,FALSE())</f>
        <v>4.1</v>
      </c>
      <c r="AJ516" s="198" t="str">
        <f aca="false">Таблица310[[#This Row],[Регистратор.Номенклатура]]</f>
        <v>Парус</v>
      </c>
      <c r="AK516" s="198" t="str">
        <f aca="false">VLOOKUP(Таблица310[[#This Row],[№ акта]],$AQ$1:$AT$594,4,FALSE())</f>
        <v>Колос (полив)</v>
      </c>
      <c r="AL516" s="230" t="n">
        <f aca="false">VLOOKUP(Таблица310[[#This Row],[№ акта]],$AQ$1:$AT$594,3,FALSE())</f>
        <v>1.99640933572711</v>
      </c>
      <c r="AM516" s="198" t="str">
        <f aca="false">IF(Таблица310[[#This Row],[Площадь уборки, га]]=Таблица310[[#This Row],[Площадь уборки до корр]],"нет","да")</f>
        <v>нет</v>
      </c>
      <c r="AN516" s="230" t="n">
        <f aca="false">Таблица310[[#This Row],[Площадь уборки до корр]]-Таблица310[[#This Row],[Площадь уборки, га]]</f>
        <v>0</v>
      </c>
      <c r="AQ516" s="0" t="s">
        <v>1100</v>
      </c>
      <c r="AR516" s="0" t="s">
        <v>995</v>
      </c>
      <c r="AS516" s="0" t="n">
        <v>1.99640933572711</v>
      </c>
      <c r="AT516" s="0" t="s">
        <v>279</v>
      </c>
      <c r="XFD516" s="198"/>
    </row>
    <row r="517" customFormat="false" ht="28.35" hidden="false" customHeight="false" outlineLevel="0" collapsed="false">
      <c r="A517" s="198"/>
      <c r="B517" s="224"/>
      <c r="C517" s="198" t="n">
        <f aca="false">VLOOKUP(Таблица310[[#This Row],[№ акта]],'Степень зрелости 2025'!$H$13:$I$518,2,FALSE())</f>
        <v>55</v>
      </c>
      <c r="D517" s="223" t="s">
        <v>1101</v>
      </c>
      <c r="E517" s="248" t="n">
        <v>45840</v>
      </c>
      <c r="F517" s="226" t="n">
        <v>28780</v>
      </c>
      <c r="G517" s="223" t="n">
        <v>13950</v>
      </c>
      <c r="H517" s="198" t="n">
        <v>14830</v>
      </c>
      <c r="I517" s="198" t="n">
        <v>12345.7</v>
      </c>
      <c r="J517" s="198" t="s">
        <v>994</v>
      </c>
      <c r="K517" s="189" t="s">
        <v>1061</v>
      </c>
      <c r="L517" s="198" t="s">
        <v>995</v>
      </c>
      <c r="M517" s="198" t="s">
        <v>553</v>
      </c>
      <c r="N517" s="198"/>
      <c r="O517" s="198"/>
      <c r="P517" s="198"/>
      <c r="Q517" s="198"/>
      <c r="R517" s="198" t="s">
        <v>557</v>
      </c>
      <c r="S517" s="230"/>
      <c r="T517" s="198" t="s">
        <v>995</v>
      </c>
      <c r="U517" s="198" t="str">
        <f aca="false">Таблица310[[#This Row],[Регистратор.Номенклатура]]</f>
        <v>Парус</v>
      </c>
      <c r="V517" s="230" t="n">
        <f aca="false">4*Таблица310[[#This Row],[Регистратор.Вес нетто]]/27850</f>
        <v>2.00359066427289</v>
      </c>
      <c r="W517" s="198" t="s">
        <v>279</v>
      </c>
      <c r="X517" s="198" t="s">
        <v>315</v>
      </c>
      <c r="Y517" s="198" t="n">
        <v>10</v>
      </c>
      <c r="Z517" s="200" t="n">
        <v>45840</v>
      </c>
      <c r="AA517" s="198"/>
      <c r="AB517" s="198"/>
      <c r="AC517" s="198" t="s">
        <v>302</v>
      </c>
      <c r="AD517" s="198" t="s">
        <v>417</v>
      </c>
      <c r="AE517" s="198" t="s">
        <v>1101</v>
      </c>
      <c r="AF517" s="200" t="n">
        <v>45840</v>
      </c>
      <c r="AG517" s="198" t="n">
        <v>71</v>
      </c>
      <c r="AH517" s="198" t="n">
        <f aca="false">VLOOKUP(Таблица310[[#This Row],[№ акта]],'Степень зрелости 2025'!$H$13:$I$583,2,FALSE())</f>
        <v>55</v>
      </c>
      <c r="AI517" s="198" t="str">
        <f aca="false">VLOOKUP(Таблица310[[#This Row],[№ акта]],$AQ$1:$AT$594,2,FALSE())</f>
        <v>4.1</v>
      </c>
      <c r="AJ517" s="198" t="str">
        <f aca="false">Таблица310[[#This Row],[Регистратор.Номенклатура]]</f>
        <v>Парус</v>
      </c>
      <c r="AK517" s="198" t="str">
        <f aca="false">VLOOKUP(Таблица310[[#This Row],[№ акта]],$AQ$1:$AT$594,4,FALSE())</f>
        <v>Колос (полив)</v>
      </c>
      <c r="AL517" s="230" t="n">
        <f aca="false">VLOOKUP(Таблица310[[#This Row],[№ акта]],$AQ$1:$AT$594,3,FALSE())</f>
        <v>2.00359066427289</v>
      </c>
      <c r="AM517" s="198" t="str">
        <f aca="false">IF(Таблица310[[#This Row],[Площадь уборки, га]]=Таблица310[[#This Row],[Площадь уборки до корр]],"нет","да")</f>
        <v>нет</v>
      </c>
      <c r="AN517" s="230" t="n">
        <f aca="false">Таблица310[[#This Row],[Площадь уборки до корр]]-Таблица310[[#This Row],[Площадь уборки, га]]</f>
        <v>0</v>
      </c>
      <c r="AQ517" s="0" t="s">
        <v>1101</v>
      </c>
      <c r="AR517" s="0" t="s">
        <v>995</v>
      </c>
      <c r="AS517" s="0" t="n">
        <v>2.00359066427289</v>
      </c>
      <c r="AT517" s="0" t="s">
        <v>279</v>
      </c>
      <c r="XFD517" s="198"/>
    </row>
    <row r="518" customFormat="false" ht="19.4" hidden="false" customHeight="false" outlineLevel="0" collapsed="false">
      <c r="A518" s="198"/>
      <c r="B518" s="224"/>
      <c r="C518" s="198" t="n">
        <f aca="false">VLOOKUP(Таблица310[[#This Row],[№ акта]],'Степень зрелости 2025'!$H$13:$I$518,2,FALSE())</f>
        <v>55</v>
      </c>
      <c r="D518" s="223" t="s">
        <v>1102</v>
      </c>
      <c r="E518" s="248" t="n">
        <v>45840</v>
      </c>
      <c r="F518" s="226" t="n">
        <v>29430</v>
      </c>
      <c r="G518" s="223" t="n">
        <v>13850</v>
      </c>
      <c r="H518" s="198" t="n">
        <v>15580</v>
      </c>
      <c r="I518" s="198" t="n">
        <v>11911</v>
      </c>
      <c r="J518" s="198" t="s">
        <v>994</v>
      </c>
      <c r="K518" s="189" t="s">
        <v>904</v>
      </c>
      <c r="L518" s="198" t="s">
        <v>1103</v>
      </c>
      <c r="M518" s="198" t="s">
        <v>445</v>
      </c>
      <c r="N518" s="198"/>
      <c r="O518" s="198"/>
      <c r="P518" s="198"/>
      <c r="Q518" s="198"/>
      <c r="R518" s="198" t="s">
        <v>449</v>
      </c>
      <c r="S518" s="230"/>
      <c r="T518" s="198" t="s">
        <v>1103</v>
      </c>
      <c r="U518" s="198" t="str">
        <f aca="false">Таблица310[[#This Row],[Регистратор.Номенклатура]]</f>
        <v>Тристар</v>
      </c>
      <c r="V518" s="230" t="n">
        <f aca="false">30*Таблица310[[#This Row],[Регистратор.Вес нетто]]/164930</f>
        <v>2.51925059115989</v>
      </c>
      <c r="W518" s="198" t="s">
        <v>279</v>
      </c>
      <c r="X518" s="198" t="s">
        <v>315</v>
      </c>
      <c r="Y518" s="198" t="n">
        <v>10</v>
      </c>
      <c r="Z518" s="200" t="n">
        <v>45840</v>
      </c>
      <c r="AA518" s="198"/>
      <c r="AB518" s="198"/>
      <c r="AC518" s="198" t="s">
        <v>302</v>
      </c>
      <c r="AD518" s="198" t="s">
        <v>417</v>
      </c>
      <c r="AE518" s="198" t="s">
        <v>1102</v>
      </c>
      <c r="AF518" s="200" t="n">
        <v>45840</v>
      </c>
      <c r="AG518" s="198" t="n">
        <v>72</v>
      </c>
      <c r="AH518" s="198" t="n">
        <f aca="false">VLOOKUP(Таблица310[[#This Row],[№ акта]],'Степень зрелости 2025'!$H$13:$I$583,2,FALSE())</f>
        <v>55</v>
      </c>
      <c r="AI518" s="198" t="str">
        <f aca="false">VLOOKUP(Таблица310[[#This Row],[№ акта]],$AQ$1:$AT$594,2,FALSE())</f>
        <v>4.2</v>
      </c>
      <c r="AJ518" s="198" t="str">
        <f aca="false">Таблица310[[#This Row],[Регистратор.Номенклатура]]</f>
        <v>Тристар</v>
      </c>
      <c r="AK518" s="198" t="str">
        <f aca="false">VLOOKUP(Таблица310[[#This Row],[№ акта]],$AQ$1:$AT$594,4,FALSE())</f>
        <v>Колос (полив)</v>
      </c>
      <c r="AL518" s="230" t="n">
        <f aca="false">VLOOKUP(Таблица310[[#This Row],[№ акта]],$AQ$1:$AT$594,3,FALSE())</f>
        <v>2.51925059115989</v>
      </c>
      <c r="AM518" s="198" t="str">
        <f aca="false">IF(Таблица310[[#This Row],[Площадь уборки, га]]=Таблица310[[#This Row],[Площадь уборки до корр]],"нет","да")</f>
        <v>нет</v>
      </c>
      <c r="AN518" s="230" t="n">
        <f aca="false">Таблица310[[#This Row],[Площадь уборки до корр]]-Таблица310[[#This Row],[Площадь уборки, га]]</f>
        <v>0</v>
      </c>
      <c r="AQ518" s="0" t="s">
        <v>1102</v>
      </c>
      <c r="AR518" s="0" t="s">
        <v>1103</v>
      </c>
      <c r="AS518" s="0" t="n">
        <v>2.51925059115989</v>
      </c>
      <c r="AT518" s="0" t="s">
        <v>279</v>
      </c>
      <c r="XFD518" s="198"/>
    </row>
    <row r="519" customFormat="false" ht="19.4" hidden="false" customHeight="false" outlineLevel="0" collapsed="false">
      <c r="A519" s="198"/>
      <c r="B519" s="224"/>
      <c r="C519" s="198" t="n">
        <f aca="false">VLOOKUP(Таблица310[[#This Row],[№ акта]],'Степень зрелости 2025'!$H$13:$I$518,2,FALSE())</f>
        <v>53</v>
      </c>
      <c r="D519" s="223" t="s">
        <v>1104</v>
      </c>
      <c r="E519" s="248" t="n">
        <v>45840</v>
      </c>
      <c r="F519" s="226" t="n">
        <v>28620</v>
      </c>
      <c r="G519" s="223" t="n">
        <v>13950</v>
      </c>
      <c r="H519" s="198" t="n">
        <v>14670</v>
      </c>
      <c r="I519" s="198" t="n">
        <v>11508.7</v>
      </c>
      <c r="J519" s="198" t="s">
        <v>994</v>
      </c>
      <c r="K519" s="189" t="s">
        <v>904</v>
      </c>
      <c r="L519" s="198" t="s">
        <v>1103</v>
      </c>
      <c r="M519" s="198" t="s">
        <v>547</v>
      </c>
      <c r="N519" s="198"/>
      <c r="O519" s="198"/>
      <c r="P519" s="198"/>
      <c r="Q519" s="198"/>
      <c r="R519" s="198" t="s">
        <v>551</v>
      </c>
      <c r="S519" s="230"/>
      <c r="T519" s="198" t="s">
        <v>1103</v>
      </c>
      <c r="U519" s="198" t="str">
        <f aca="false">Таблица310[[#This Row],[Регистратор.Номенклатура]]</f>
        <v>Тристар</v>
      </c>
      <c r="V519" s="230" t="n">
        <f aca="false">30*Таблица310[[#This Row],[Регистратор.Вес нетто]]/164930</f>
        <v>2.53744012611411</v>
      </c>
      <c r="W519" s="198" t="s">
        <v>279</v>
      </c>
      <c r="X519" s="198" t="s">
        <v>315</v>
      </c>
      <c r="Y519" s="198" t="n">
        <v>10</v>
      </c>
      <c r="Z519" s="200" t="n">
        <v>45840</v>
      </c>
      <c r="AA519" s="198"/>
      <c r="AB519" s="198"/>
      <c r="AC519" s="198" t="s">
        <v>302</v>
      </c>
      <c r="AD519" s="198" t="s">
        <v>417</v>
      </c>
      <c r="AE519" s="198" t="s">
        <v>1104</v>
      </c>
      <c r="AF519" s="200" t="n">
        <v>45840</v>
      </c>
      <c r="AG519" s="198" t="n">
        <v>73</v>
      </c>
      <c r="AH519" s="198" t="n">
        <f aca="false">VLOOKUP(Таблица310[[#This Row],[№ акта]],'Степень зрелости 2025'!$H$13:$I$583,2,FALSE())</f>
        <v>53</v>
      </c>
      <c r="AI519" s="198" t="str">
        <f aca="false">VLOOKUP(Таблица310[[#This Row],[№ акта]],$AQ$1:$AT$594,2,FALSE())</f>
        <v>4.2</v>
      </c>
      <c r="AJ519" s="198" t="str">
        <f aca="false">Таблица310[[#This Row],[Регистратор.Номенклатура]]</f>
        <v>Тристар</v>
      </c>
      <c r="AK519" s="198" t="str">
        <f aca="false">VLOOKUP(Таблица310[[#This Row],[№ акта]],$AQ$1:$AT$594,4,FALSE())</f>
        <v>Колос (полив)</v>
      </c>
      <c r="AL519" s="230" t="n">
        <f aca="false">VLOOKUP(Таблица310[[#This Row],[№ акта]],$AQ$1:$AT$594,3,FALSE())</f>
        <v>2.53744012611411</v>
      </c>
      <c r="AM519" s="198" t="str">
        <f aca="false">IF(Таблица310[[#This Row],[Площадь уборки, га]]=Таблица310[[#This Row],[Площадь уборки до корр]],"нет","да")</f>
        <v>нет</v>
      </c>
      <c r="AN519" s="230" t="n">
        <f aca="false">Таблица310[[#This Row],[Площадь уборки до корр]]-Таблица310[[#This Row],[Площадь уборки, га]]</f>
        <v>0</v>
      </c>
      <c r="AQ519" s="0" t="s">
        <v>1104</v>
      </c>
      <c r="AR519" s="0" t="s">
        <v>1103</v>
      </c>
      <c r="AS519" s="0" t="n">
        <v>2.53744012611411</v>
      </c>
      <c r="AT519" s="0" t="s">
        <v>279</v>
      </c>
      <c r="XFD519" s="198"/>
    </row>
    <row r="520" customFormat="false" ht="28.35" hidden="false" customHeight="false" outlineLevel="0" collapsed="false">
      <c r="A520" s="198"/>
      <c r="B520" s="224"/>
      <c r="C520" s="198" t="n">
        <f aca="false">VLOOKUP(Таблица310[[#This Row],[№ акта]],'Степень зрелости 2025'!$H$13:$I$518,2,FALSE())</f>
        <v>52</v>
      </c>
      <c r="D520" s="223" t="s">
        <v>1105</v>
      </c>
      <c r="E520" s="248" t="n">
        <v>45840</v>
      </c>
      <c r="F520" s="226" t="n">
        <v>28960</v>
      </c>
      <c r="G520" s="223" t="n">
        <v>14110</v>
      </c>
      <c r="H520" s="198" t="n">
        <v>14850</v>
      </c>
      <c r="I520" s="198" t="n">
        <v>11852.4</v>
      </c>
      <c r="J520" s="198" t="s">
        <v>994</v>
      </c>
      <c r="K520" s="189" t="s">
        <v>904</v>
      </c>
      <c r="L520" s="198" t="s">
        <v>1103</v>
      </c>
      <c r="M520" s="198" t="s">
        <v>1086</v>
      </c>
      <c r="N520" s="198"/>
      <c r="O520" s="198"/>
      <c r="P520" s="198"/>
      <c r="Q520" s="198"/>
      <c r="R520" s="198" t="s">
        <v>1087</v>
      </c>
      <c r="S520" s="230"/>
      <c r="T520" s="198" t="s">
        <v>1103</v>
      </c>
      <c r="U520" s="198" t="str">
        <f aca="false">Таблица310[[#This Row],[Регистратор.Номенклатура]]</f>
        <v>Тристар</v>
      </c>
      <c r="V520" s="230" t="n">
        <f aca="false">30*Таблица310[[#This Row],[Регистратор.Вес нетто]]/164930</f>
        <v>2.56654338204087</v>
      </c>
      <c r="W520" s="198" t="s">
        <v>279</v>
      </c>
      <c r="X520" s="198" t="s">
        <v>315</v>
      </c>
      <c r="Y520" s="198" t="n">
        <v>10</v>
      </c>
      <c r="Z520" s="200" t="n">
        <v>45840</v>
      </c>
      <c r="AA520" s="198"/>
      <c r="AB520" s="198"/>
      <c r="AC520" s="198" t="s">
        <v>53</v>
      </c>
      <c r="AD520" s="198" t="s">
        <v>417</v>
      </c>
      <c r="AE520" s="198" t="s">
        <v>1105</v>
      </c>
      <c r="AF520" s="200" t="n">
        <v>45840</v>
      </c>
      <c r="AG520" s="198" t="n">
        <v>75</v>
      </c>
      <c r="AH520" s="198" t="n">
        <f aca="false">VLOOKUP(Таблица310[[#This Row],[№ акта]],'Степень зрелости 2025'!$H$13:$I$583,2,FALSE())</f>
        <v>52</v>
      </c>
      <c r="AI520" s="198" t="str">
        <f aca="false">VLOOKUP(Таблица310[[#This Row],[№ акта]],$AQ$1:$AT$594,2,FALSE())</f>
        <v>4.2</v>
      </c>
      <c r="AJ520" s="198" t="str">
        <f aca="false">Таблица310[[#This Row],[Регистратор.Номенклатура]]</f>
        <v>Тристар</v>
      </c>
      <c r="AK520" s="198" t="str">
        <f aca="false">VLOOKUP(Таблица310[[#This Row],[№ акта]],$AQ$1:$AT$594,4,FALSE())</f>
        <v>Колос (полив)</v>
      </c>
      <c r="AL520" s="230" t="n">
        <f aca="false">VLOOKUP(Таблица310[[#This Row],[№ акта]],$AQ$1:$AT$594,3,FALSE())</f>
        <v>2.56654338204087</v>
      </c>
      <c r="AM520" s="198" t="str">
        <f aca="false">IF(Таблица310[[#This Row],[Площадь уборки, га]]=Таблица310[[#This Row],[Площадь уборки до корр]],"нет","да")</f>
        <v>нет</v>
      </c>
      <c r="AN520" s="230" t="n">
        <f aca="false">Таблица310[[#This Row],[Площадь уборки до корр]]-Таблица310[[#This Row],[Площадь уборки, га]]</f>
        <v>0</v>
      </c>
      <c r="AQ520" s="0" t="s">
        <v>1105</v>
      </c>
      <c r="AR520" s="0" t="s">
        <v>1103</v>
      </c>
      <c r="AS520" s="0" t="n">
        <v>2.56654338204087</v>
      </c>
      <c r="AT520" s="0" t="s">
        <v>279</v>
      </c>
      <c r="XFD520" s="198"/>
    </row>
    <row r="521" customFormat="false" ht="19.4" hidden="false" customHeight="false" outlineLevel="0" collapsed="false">
      <c r="A521" s="198"/>
      <c r="B521" s="224"/>
      <c r="C521" s="198" t="n">
        <f aca="false">VLOOKUP(Таблица310[[#This Row],[№ акта]],'Степень зрелости 2025'!$H$13:$I$518,2,FALSE())</f>
        <v>49</v>
      </c>
      <c r="D521" s="223" t="s">
        <v>1106</v>
      </c>
      <c r="E521" s="248" t="n">
        <v>45840</v>
      </c>
      <c r="F521" s="226" t="n">
        <v>28980</v>
      </c>
      <c r="G521" s="223" t="n">
        <v>14010</v>
      </c>
      <c r="H521" s="198" t="n">
        <v>14970</v>
      </c>
      <c r="I521" s="198" t="n">
        <v>11698.3</v>
      </c>
      <c r="J521" s="198" t="s">
        <v>994</v>
      </c>
      <c r="K521" s="189" t="s">
        <v>904</v>
      </c>
      <c r="L521" s="198" t="s">
        <v>1103</v>
      </c>
      <c r="M521" s="198" t="s">
        <v>451</v>
      </c>
      <c r="N521" s="198"/>
      <c r="O521" s="198"/>
      <c r="P521" s="198"/>
      <c r="Q521" s="198"/>
      <c r="R521" s="198" t="s">
        <v>455</v>
      </c>
      <c r="S521" s="230"/>
      <c r="T521" s="198" t="s">
        <v>1103</v>
      </c>
      <c r="U521" s="198" t="str">
        <f aca="false">Таблица310[[#This Row],[Регистратор.Номенклатура]]</f>
        <v>Тристар</v>
      </c>
      <c r="V521" s="230" t="n">
        <f aca="false">30*Таблица310[[#This Row],[Регистратор.Вес нетто]]/164930</f>
        <v>2.54835384708664</v>
      </c>
      <c r="W521" s="198" t="s">
        <v>279</v>
      </c>
      <c r="X521" s="198" t="s">
        <v>315</v>
      </c>
      <c r="Y521" s="198" t="n">
        <v>10</v>
      </c>
      <c r="Z521" s="200" t="n">
        <v>45840</v>
      </c>
      <c r="AA521" s="198"/>
      <c r="AB521" s="198"/>
      <c r="AC521" s="198" t="s">
        <v>53</v>
      </c>
      <c r="AD521" s="198" t="s">
        <v>417</v>
      </c>
      <c r="AE521" s="198" t="s">
        <v>1106</v>
      </c>
      <c r="AF521" s="200" t="n">
        <v>45840</v>
      </c>
      <c r="AG521" s="198" t="n">
        <v>74</v>
      </c>
      <c r="AH521" s="198" t="n">
        <f aca="false">VLOOKUP(Таблица310[[#This Row],[№ акта]],'Степень зрелости 2025'!$H$13:$I$583,2,FALSE())</f>
        <v>49</v>
      </c>
      <c r="AI521" s="198" t="str">
        <f aca="false">VLOOKUP(Таблица310[[#This Row],[№ акта]],$AQ$1:$AT$594,2,FALSE())</f>
        <v>4.2</v>
      </c>
      <c r="AJ521" s="198" t="str">
        <f aca="false">Таблица310[[#This Row],[Регистратор.Номенклатура]]</f>
        <v>Тристар</v>
      </c>
      <c r="AK521" s="198" t="str">
        <f aca="false">VLOOKUP(Таблица310[[#This Row],[№ акта]],$AQ$1:$AT$594,4,FALSE())</f>
        <v>Колос (полив)</v>
      </c>
      <c r="AL521" s="230" t="n">
        <f aca="false">VLOOKUP(Таблица310[[#This Row],[№ акта]],$AQ$1:$AT$594,3,FALSE())</f>
        <v>2.54835384708664</v>
      </c>
      <c r="AM521" s="198" t="str">
        <f aca="false">IF(Таблица310[[#This Row],[Площадь уборки, га]]=Таблица310[[#This Row],[Площадь уборки до корр]],"нет","да")</f>
        <v>нет</v>
      </c>
      <c r="AN521" s="230" t="n">
        <f aca="false">Таблица310[[#This Row],[Площадь уборки до корр]]-Таблица310[[#This Row],[Площадь уборки, га]]</f>
        <v>0</v>
      </c>
      <c r="AQ521" s="0" t="s">
        <v>1106</v>
      </c>
      <c r="AR521" s="0" t="s">
        <v>1103</v>
      </c>
      <c r="AS521" s="0" t="n">
        <v>2.54835384708664</v>
      </c>
      <c r="AT521" s="0" t="s">
        <v>279</v>
      </c>
      <c r="XFD521" s="198"/>
    </row>
    <row r="522" customFormat="false" ht="19.4" hidden="false" customHeight="false" outlineLevel="0" collapsed="false">
      <c r="A522" s="198"/>
      <c r="B522" s="224"/>
      <c r="C522" s="198" t="n">
        <f aca="false">VLOOKUP(Таблица310[[#This Row],[№ акта]],'Степень зрелости 2025'!$H$13:$I$518,2,FALSE())</f>
        <v>51</v>
      </c>
      <c r="D522" s="223" t="s">
        <v>1107</v>
      </c>
      <c r="E522" s="248" t="n">
        <v>45840</v>
      </c>
      <c r="F522" s="226" t="n">
        <v>28700</v>
      </c>
      <c r="G522" s="223" t="n">
        <v>13970</v>
      </c>
      <c r="H522" s="198" t="n">
        <v>14730</v>
      </c>
      <c r="I522" s="198" t="n">
        <v>11804.6</v>
      </c>
      <c r="J522" s="198" t="s">
        <v>994</v>
      </c>
      <c r="K522" s="189" t="s">
        <v>904</v>
      </c>
      <c r="L522" s="198" t="s">
        <v>1103</v>
      </c>
      <c r="M522" s="198" t="s">
        <v>361</v>
      </c>
      <c r="N522" s="198"/>
      <c r="O522" s="198"/>
      <c r="P522" s="198"/>
      <c r="Q522" s="198"/>
      <c r="R522" s="198" t="s">
        <v>362</v>
      </c>
      <c r="S522" s="230"/>
      <c r="T522" s="198" t="s">
        <v>1103</v>
      </c>
      <c r="U522" s="198" t="str">
        <f aca="false">Таблица310[[#This Row],[Регистратор.Номенклатура]]</f>
        <v>Тристар</v>
      </c>
      <c r="V522" s="230" t="n">
        <f aca="false">30*Таблица310[[#This Row],[Регистратор.Вес нетто]]/164930</f>
        <v>2.54107803310495</v>
      </c>
      <c r="W522" s="198" t="s">
        <v>279</v>
      </c>
      <c r="X522" s="198" t="s">
        <v>315</v>
      </c>
      <c r="Y522" s="198" t="n">
        <v>10</v>
      </c>
      <c r="Z522" s="200" t="n">
        <v>45840</v>
      </c>
      <c r="AA522" s="198"/>
      <c r="AB522" s="198"/>
      <c r="AC522" s="198" t="s">
        <v>53</v>
      </c>
      <c r="AD522" s="198" t="s">
        <v>417</v>
      </c>
      <c r="AE522" s="198" t="s">
        <v>1107</v>
      </c>
      <c r="AF522" s="200" t="n">
        <v>45840</v>
      </c>
      <c r="AG522" s="198" t="n">
        <v>76</v>
      </c>
      <c r="AH522" s="198" t="n">
        <f aca="false">VLOOKUP(Таблица310[[#This Row],[№ акта]],'Степень зрелости 2025'!$H$13:$I$583,2,FALSE())</f>
        <v>51</v>
      </c>
      <c r="AI522" s="198" t="str">
        <f aca="false">VLOOKUP(Таблица310[[#This Row],[№ акта]],$AQ$1:$AT$594,2,FALSE())</f>
        <v>4.2</v>
      </c>
      <c r="AJ522" s="198" t="str">
        <f aca="false">Таблица310[[#This Row],[Регистратор.Номенклатура]]</f>
        <v>Тристар</v>
      </c>
      <c r="AK522" s="198" t="str">
        <f aca="false">VLOOKUP(Таблица310[[#This Row],[№ акта]],$AQ$1:$AT$594,4,FALSE())</f>
        <v>Колос (полив)</v>
      </c>
      <c r="AL522" s="230" t="n">
        <f aca="false">VLOOKUP(Таблица310[[#This Row],[№ акта]],$AQ$1:$AT$594,3,FALSE())</f>
        <v>2.54107803310495</v>
      </c>
      <c r="AM522" s="198" t="str">
        <f aca="false">IF(Таблица310[[#This Row],[Площадь уборки, га]]=Таблица310[[#This Row],[Площадь уборки до корр]],"нет","да")</f>
        <v>нет</v>
      </c>
      <c r="AN522" s="230" t="n">
        <f aca="false">Таблица310[[#This Row],[Площадь уборки до корр]]-Таблица310[[#This Row],[Площадь уборки, га]]</f>
        <v>0</v>
      </c>
      <c r="AQ522" s="0" t="s">
        <v>1107</v>
      </c>
      <c r="AR522" s="0" t="s">
        <v>1103</v>
      </c>
      <c r="AS522" s="0" t="n">
        <v>2.54107803310495</v>
      </c>
      <c r="AT522" s="0" t="s">
        <v>279</v>
      </c>
      <c r="XFD522" s="198"/>
    </row>
    <row r="523" customFormat="false" ht="19.4" hidden="false" customHeight="false" outlineLevel="0" collapsed="false">
      <c r="A523" s="198"/>
      <c r="B523" s="224"/>
      <c r="C523" s="198" t="n">
        <f aca="false">VLOOKUP(Таблица310[[#This Row],[№ акта]],'Степень зрелости 2025'!$H$13:$I$518,2,FALSE())</f>
        <v>53</v>
      </c>
      <c r="D523" s="223" t="s">
        <v>1108</v>
      </c>
      <c r="E523" s="248" t="n">
        <v>45840</v>
      </c>
      <c r="F523" s="226" t="n">
        <v>38160</v>
      </c>
      <c r="G523" s="223" t="n">
        <v>13840</v>
      </c>
      <c r="H523" s="198" t="n">
        <v>24320</v>
      </c>
      <c r="I523" s="198" t="n">
        <v>11764</v>
      </c>
      <c r="J523" s="198" t="s">
        <v>994</v>
      </c>
      <c r="K523" s="189" t="s">
        <v>904</v>
      </c>
      <c r="L523" s="198" t="s">
        <v>1103</v>
      </c>
      <c r="M523" s="198" t="s">
        <v>1092</v>
      </c>
      <c r="N523" s="198"/>
      <c r="O523" s="198"/>
      <c r="P523" s="198"/>
      <c r="Q523" s="198"/>
      <c r="R523" s="198" t="s">
        <v>1093</v>
      </c>
      <c r="S523" s="230"/>
      <c r="T523" s="198" t="s">
        <v>1103</v>
      </c>
      <c r="U523" s="198" t="str">
        <f aca="false">Таблица310[[#This Row],[Регистратор.Номенклатура]]</f>
        <v>Тристар</v>
      </c>
      <c r="V523" s="230" t="n">
        <f aca="false">30*Таблица310[[#This Row],[Регистратор.Вес нетто]]/164930</f>
        <v>2.51743163766446</v>
      </c>
      <c r="W523" s="198" t="s">
        <v>279</v>
      </c>
      <c r="X523" s="198" t="s">
        <v>315</v>
      </c>
      <c r="Y523" s="198" t="n">
        <v>10</v>
      </c>
      <c r="Z523" s="200" t="n">
        <v>45840</v>
      </c>
      <c r="AA523" s="198"/>
      <c r="AB523" s="198"/>
      <c r="AC523" s="198" t="s">
        <v>302</v>
      </c>
      <c r="AD523" s="198" t="s">
        <v>417</v>
      </c>
      <c r="AE523" s="198" t="s">
        <v>1108</v>
      </c>
      <c r="AF523" s="200" t="n">
        <v>45840</v>
      </c>
      <c r="AG523" s="198" t="n">
        <v>77</v>
      </c>
      <c r="AH523" s="198" t="n">
        <f aca="false">VLOOKUP(Таблица310[[#This Row],[№ акта]],'Степень зрелости 2025'!$H$13:$I$583,2,FALSE())</f>
        <v>53</v>
      </c>
      <c r="AI523" s="198" t="str">
        <f aca="false">VLOOKUP(Таблица310[[#This Row],[№ акта]],$AQ$1:$AT$594,2,FALSE())</f>
        <v>4.2</v>
      </c>
      <c r="AJ523" s="198" t="str">
        <f aca="false">Таблица310[[#This Row],[Регистратор.Номенклатура]]</f>
        <v>Тристар</v>
      </c>
      <c r="AK523" s="198" t="str">
        <f aca="false">VLOOKUP(Таблица310[[#This Row],[№ акта]],$AQ$1:$AT$594,4,FALSE())</f>
        <v>Колос (полив)</v>
      </c>
      <c r="AL523" s="230" t="n">
        <f aca="false">VLOOKUP(Таблица310[[#This Row],[№ акта]],$AQ$1:$AT$594,3,FALSE())</f>
        <v>2.51743163766446</v>
      </c>
      <c r="AM523" s="198" t="str">
        <f aca="false">IF(Таблица310[[#This Row],[Площадь уборки, га]]=Таблица310[[#This Row],[Площадь уборки до корр]],"нет","да")</f>
        <v>нет</v>
      </c>
      <c r="AN523" s="230" t="n">
        <f aca="false">Таблица310[[#This Row],[Площадь уборки до корр]]-Таблица310[[#This Row],[Площадь уборки, га]]</f>
        <v>0</v>
      </c>
      <c r="AQ523" s="0" t="s">
        <v>1108</v>
      </c>
      <c r="AR523" s="0" t="s">
        <v>1103</v>
      </c>
      <c r="AS523" s="0" t="n">
        <v>2.51743163766446</v>
      </c>
      <c r="AT523" s="0" t="s">
        <v>279</v>
      </c>
      <c r="XFD523" s="198"/>
    </row>
    <row r="524" customFormat="false" ht="19.4" hidden="false" customHeight="false" outlineLevel="0" collapsed="false">
      <c r="A524" s="198"/>
      <c r="B524" s="224"/>
      <c r="C524" s="198" t="n">
        <f aca="false">VLOOKUP(Таблица310[[#This Row],[№ акта]],'Степень зрелости 2025'!$H$13:$I$518,2,FALSE())</f>
        <v>54</v>
      </c>
      <c r="D524" s="223" t="s">
        <v>1109</v>
      </c>
      <c r="E524" s="248" t="n">
        <v>45841</v>
      </c>
      <c r="F524" s="226" t="n">
        <v>29310</v>
      </c>
      <c r="G524" s="223" t="n">
        <v>13720</v>
      </c>
      <c r="H524" s="198" t="n">
        <v>15590</v>
      </c>
      <c r="I524" s="198" t="n">
        <v>11593.4</v>
      </c>
      <c r="J524" s="198" t="s">
        <v>994</v>
      </c>
      <c r="K524" s="189" t="s">
        <v>904</v>
      </c>
      <c r="L524" s="198" t="s">
        <v>1103</v>
      </c>
      <c r="M524" s="198" t="s">
        <v>1095</v>
      </c>
      <c r="N524" s="198"/>
      <c r="O524" s="198"/>
      <c r="P524" s="198"/>
      <c r="Q524" s="198"/>
      <c r="R524" s="198" t="s">
        <v>1096</v>
      </c>
      <c r="S524" s="230"/>
      <c r="T524" s="198" t="s">
        <v>1103</v>
      </c>
      <c r="U524" s="198" t="str">
        <f aca="false">Таблица310[[#This Row],[Регистратор.Номенклатура]]</f>
        <v>Тристар</v>
      </c>
      <c r="V524" s="230" t="n">
        <f aca="false">30*Таблица310[[#This Row],[Регистратор.Вес нетто]]/164930</f>
        <v>2.4956041957194</v>
      </c>
      <c r="W524" s="198" t="s">
        <v>279</v>
      </c>
      <c r="X524" s="198" t="s">
        <v>315</v>
      </c>
      <c r="Y524" s="198" t="n">
        <v>10</v>
      </c>
      <c r="Z524" s="200" t="n">
        <v>45840</v>
      </c>
      <c r="AA524" s="198"/>
      <c r="AB524" s="198"/>
      <c r="AC524" s="198" t="s">
        <v>302</v>
      </c>
      <c r="AD524" s="198" t="s">
        <v>417</v>
      </c>
      <c r="AE524" s="198" t="s">
        <v>1109</v>
      </c>
      <c r="AF524" s="200" t="n">
        <v>45841</v>
      </c>
      <c r="AG524" s="198" t="n">
        <v>78</v>
      </c>
      <c r="AH524" s="198" t="n">
        <f aca="false">VLOOKUP(Таблица310[[#This Row],[№ акта]],'Степень зрелости 2025'!$H$13:$I$583,2,FALSE())</f>
        <v>54</v>
      </c>
      <c r="AI524" s="198" t="str">
        <f aca="false">VLOOKUP(Таблица310[[#This Row],[№ акта]],$AQ$1:$AT$594,2,FALSE())</f>
        <v>4.2</v>
      </c>
      <c r="AJ524" s="198" t="str">
        <f aca="false">Таблица310[[#This Row],[Регистратор.Номенклатура]]</f>
        <v>Тристар</v>
      </c>
      <c r="AK524" s="198" t="str">
        <f aca="false">VLOOKUP(Таблица310[[#This Row],[№ акта]],$AQ$1:$AT$594,4,FALSE())</f>
        <v>Колос (полив)</v>
      </c>
      <c r="AL524" s="230" t="n">
        <f aca="false">VLOOKUP(Таблица310[[#This Row],[№ акта]],$AQ$1:$AT$594,3,FALSE())</f>
        <v>2.4956041957194</v>
      </c>
      <c r="AM524" s="198" t="str">
        <f aca="false">IF(Таблица310[[#This Row],[Площадь уборки, га]]=Таблица310[[#This Row],[Площадь уборки до корр]],"нет","да")</f>
        <v>нет</v>
      </c>
      <c r="AN524" s="230" t="n">
        <f aca="false">Таблица310[[#This Row],[Площадь уборки до корр]]-Таблица310[[#This Row],[Площадь уборки, га]]</f>
        <v>0</v>
      </c>
      <c r="AQ524" s="0" t="s">
        <v>1109</v>
      </c>
      <c r="AR524" s="0" t="s">
        <v>1103</v>
      </c>
      <c r="AS524" s="0" t="n">
        <v>2.4956041957194</v>
      </c>
      <c r="AT524" s="0" t="s">
        <v>279</v>
      </c>
      <c r="XFD524" s="198"/>
    </row>
    <row r="525" customFormat="false" ht="19.4" hidden="false" customHeight="false" outlineLevel="0" collapsed="false">
      <c r="A525" s="198"/>
      <c r="B525" s="224"/>
      <c r="C525" s="198" t="n">
        <v>54</v>
      </c>
      <c r="D525" s="223" t="s">
        <v>1110</v>
      </c>
      <c r="E525" s="248" t="n">
        <v>45841</v>
      </c>
      <c r="F525" s="226" t="n">
        <v>29240</v>
      </c>
      <c r="G525" s="223" t="n">
        <v>13430</v>
      </c>
      <c r="H525" s="198" t="n">
        <v>15810</v>
      </c>
      <c r="I525" s="198" t="n">
        <v>12019.8</v>
      </c>
      <c r="J525" s="198" t="s">
        <v>994</v>
      </c>
      <c r="K525" s="189" t="s">
        <v>904</v>
      </c>
      <c r="L525" s="198" t="s">
        <v>1103</v>
      </c>
      <c r="M525" s="198" t="s">
        <v>365</v>
      </c>
      <c r="N525" s="198"/>
      <c r="O525" s="198"/>
      <c r="P525" s="198"/>
      <c r="Q525" s="198"/>
      <c r="R525" s="198" t="s">
        <v>373</v>
      </c>
      <c r="S525" s="230"/>
      <c r="T525" s="198" t="s">
        <v>1103</v>
      </c>
      <c r="U525" s="198" t="str">
        <f aca="false">Таблица310[[#This Row],[Регистратор.Номенклатура]]</f>
        <v>Тристар</v>
      </c>
      <c r="V525" s="230" t="n">
        <f aca="false">30*Таблица310[[#This Row],[Регистратор.Вес нетто]]/164930</f>
        <v>2.44285454435215</v>
      </c>
      <c r="W525" s="198" t="s">
        <v>279</v>
      </c>
      <c r="X525" s="198" t="s">
        <v>315</v>
      </c>
      <c r="Y525" s="198" t="n">
        <v>10</v>
      </c>
      <c r="Z525" s="200" t="n">
        <v>45840</v>
      </c>
      <c r="AA525" s="198"/>
      <c r="AB525" s="198"/>
      <c r="AC525" s="198" t="s">
        <v>302</v>
      </c>
      <c r="AD525" s="198" t="s">
        <v>417</v>
      </c>
      <c r="AE525" s="198" t="s">
        <v>1110</v>
      </c>
      <c r="AF525" s="200" t="n">
        <v>45841</v>
      </c>
      <c r="AG525" s="198" t="n">
        <v>79</v>
      </c>
      <c r="AH525" s="198" t="e">
        <f aca="false">VLOOKUP(Таблица310[[#This Row],[№ акта]],'Степень зрелости 2025'!$H$13:$I$583,2,FALSE())</f>
        <v>#N/A</v>
      </c>
      <c r="AI525" s="198" t="str">
        <f aca="false">VLOOKUP(Таблица310[[#This Row],[№ акта]],$AQ$1:$AT$594,2,FALSE())</f>
        <v>4.2</v>
      </c>
      <c r="AJ525" s="198" t="str">
        <f aca="false">Таблица310[[#This Row],[Регистратор.Номенклатура]]</f>
        <v>Тристар</v>
      </c>
      <c r="AK525" s="198" t="str">
        <f aca="false">VLOOKUP(Таблица310[[#This Row],[№ акта]],$AQ$1:$AT$594,4,FALSE())</f>
        <v>Колос (полив)</v>
      </c>
      <c r="AL525" s="230" t="n">
        <f aca="false">VLOOKUP(Таблица310[[#This Row],[№ акта]],$AQ$1:$AT$594,3,FALSE())</f>
        <v>2.44285454435215</v>
      </c>
      <c r="AM525" s="198" t="str">
        <f aca="false">IF(Таблица310[[#This Row],[Площадь уборки, га]]=Таблица310[[#This Row],[Площадь уборки до корр]],"нет","да")</f>
        <v>нет</v>
      </c>
      <c r="AN525" s="230" t="n">
        <f aca="false">Таблица310[[#This Row],[Площадь уборки до корр]]-Таблица310[[#This Row],[Площадь уборки, га]]</f>
        <v>0</v>
      </c>
      <c r="AQ525" s="0" t="s">
        <v>1110</v>
      </c>
      <c r="AR525" s="0" t="s">
        <v>1103</v>
      </c>
      <c r="AS525" s="0" t="n">
        <v>2.44285454435215</v>
      </c>
      <c r="AT525" s="0" t="s">
        <v>279</v>
      </c>
      <c r="XFD525" s="198"/>
    </row>
    <row r="526" customFormat="false" ht="19.4" hidden="false" customHeight="false" outlineLevel="0" collapsed="false">
      <c r="A526" s="198"/>
      <c r="B526" s="224"/>
      <c r="C526" s="198" t="n">
        <f aca="false">VLOOKUP(Таблица310[[#This Row],[№ акта]],'Степень зрелости 2025'!$H$13:$I$518,2,FALSE())</f>
        <v>53</v>
      </c>
      <c r="D526" s="223" t="s">
        <v>1111</v>
      </c>
      <c r="E526" s="248" t="n">
        <v>45841</v>
      </c>
      <c r="F526" s="226" t="n">
        <v>28100</v>
      </c>
      <c r="G526" s="223" t="n">
        <v>13640</v>
      </c>
      <c r="H526" s="198" t="n">
        <v>14460</v>
      </c>
      <c r="I526" s="198" t="n">
        <v>11594</v>
      </c>
      <c r="J526" s="198" t="s">
        <v>994</v>
      </c>
      <c r="K526" s="189" t="s">
        <v>904</v>
      </c>
      <c r="L526" s="198" t="s">
        <v>1103</v>
      </c>
      <c r="M526" s="198" t="s">
        <v>384</v>
      </c>
      <c r="N526" s="198"/>
      <c r="O526" s="198"/>
      <c r="P526" s="198"/>
      <c r="Q526" s="198"/>
      <c r="R526" s="198" t="s">
        <v>385</v>
      </c>
      <c r="S526" s="230"/>
      <c r="T526" s="198" t="s">
        <v>1103</v>
      </c>
      <c r="U526" s="198" t="str">
        <f aca="false">Таблица310[[#This Row],[Регистратор.Номенклатура]]</f>
        <v>Тристар</v>
      </c>
      <c r="V526" s="230" t="n">
        <f aca="false">30*Таблица310[[#This Row],[Регистратор.Вес нетто]]/164930</f>
        <v>2.48105256775602</v>
      </c>
      <c r="W526" s="198" t="s">
        <v>279</v>
      </c>
      <c r="X526" s="198" t="s">
        <v>315</v>
      </c>
      <c r="Y526" s="198" t="n">
        <v>10</v>
      </c>
      <c r="Z526" s="200" t="n">
        <v>45840</v>
      </c>
      <c r="AA526" s="198"/>
      <c r="AB526" s="198"/>
      <c r="AC526" s="198" t="s">
        <v>302</v>
      </c>
      <c r="AD526" s="198" t="s">
        <v>417</v>
      </c>
      <c r="AE526" s="198" t="s">
        <v>1111</v>
      </c>
      <c r="AF526" s="200" t="n">
        <v>45841</v>
      </c>
      <c r="AG526" s="198" t="n">
        <v>81</v>
      </c>
      <c r="AH526" s="198" t="n">
        <f aca="false">VLOOKUP(Таблица310[[#This Row],[№ акта]],'Степень зрелости 2025'!$H$13:$I$583,2,FALSE())</f>
        <v>53</v>
      </c>
      <c r="AI526" s="198" t="str">
        <f aca="false">VLOOKUP(Таблица310[[#This Row],[№ акта]],$AQ$1:$AT$594,2,FALSE())</f>
        <v>4.2</v>
      </c>
      <c r="AJ526" s="198" t="str">
        <f aca="false">Таблица310[[#This Row],[Регистратор.Номенклатура]]</f>
        <v>Тристар</v>
      </c>
      <c r="AK526" s="198" t="str">
        <f aca="false">VLOOKUP(Таблица310[[#This Row],[№ акта]],$AQ$1:$AT$594,4,FALSE())</f>
        <v>Колос (полив)</v>
      </c>
      <c r="AL526" s="230" t="n">
        <f aca="false">VLOOKUP(Таблица310[[#This Row],[№ акта]],$AQ$1:$AT$594,3,FALSE())</f>
        <v>2.48105256775602</v>
      </c>
      <c r="AM526" s="198" t="str">
        <f aca="false">IF(Таблица310[[#This Row],[Площадь уборки, га]]=Таблица310[[#This Row],[Площадь уборки до корр]],"нет","да")</f>
        <v>нет</v>
      </c>
      <c r="AN526" s="230" t="n">
        <f aca="false">Таблица310[[#This Row],[Площадь уборки до корр]]-Таблица310[[#This Row],[Площадь уборки, га]]</f>
        <v>0</v>
      </c>
      <c r="AQ526" s="0" t="s">
        <v>1111</v>
      </c>
      <c r="AR526" s="0" t="s">
        <v>1103</v>
      </c>
      <c r="AS526" s="0" t="n">
        <v>2.48105256775602</v>
      </c>
      <c r="AT526" s="0" t="s">
        <v>279</v>
      </c>
      <c r="XFD526" s="198"/>
    </row>
    <row r="527" customFormat="false" ht="19.4" hidden="false" customHeight="false" outlineLevel="0" collapsed="false">
      <c r="A527" s="198"/>
      <c r="B527" s="224"/>
      <c r="C527" s="198" t="n">
        <f aca="false">VLOOKUP(Таблица310[[#This Row],[№ акта]],'Степень зрелости 2025'!$H$13:$I$518,2,FALSE())</f>
        <v>46</v>
      </c>
      <c r="D527" s="223" t="s">
        <v>1112</v>
      </c>
      <c r="E527" s="248" t="n">
        <v>45841</v>
      </c>
      <c r="F527" s="226" t="n">
        <v>29070</v>
      </c>
      <c r="G527" s="223" t="n">
        <v>13310</v>
      </c>
      <c r="H527" s="198" t="n">
        <v>15760</v>
      </c>
      <c r="I527" s="198" t="n">
        <v>11313.5</v>
      </c>
      <c r="J527" s="198" t="s">
        <v>994</v>
      </c>
      <c r="K527" s="189" t="s">
        <v>904</v>
      </c>
      <c r="L527" s="198" t="s">
        <v>1103</v>
      </c>
      <c r="M527" s="198" t="s">
        <v>1113</v>
      </c>
      <c r="N527" s="198"/>
      <c r="O527" s="198"/>
      <c r="P527" s="198"/>
      <c r="Q527" s="198"/>
      <c r="R527" s="198" t="s">
        <v>1114</v>
      </c>
      <c r="S527" s="230"/>
      <c r="T527" s="198" t="s">
        <v>1103</v>
      </c>
      <c r="U527" s="198" t="str">
        <f aca="false">Таблица310[[#This Row],[Регистратор.Номенклатура]]</f>
        <v>Тристар</v>
      </c>
      <c r="V527" s="230" t="n">
        <f aca="false">30*Таблица310[[#This Row],[Регистратор.Вес нетто]]/164930</f>
        <v>2.42102710240708</v>
      </c>
      <c r="W527" s="198" t="s">
        <v>279</v>
      </c>
      <c r="X527" s="198" t="s">
        <v>315</v>
      </c>
      <c r="Y527" s="198" t="n">
        <v>10</v>
      </c>
      <c r="Z527" s="200" t="n">
        <v>45840</v>
      </c>
      <c r="AA527" s="198"/>
      <c r="AB527" s="198"/>
      <c r="AC527" s="198" t="s">
        <v>53</v>
      </c>
      <c r="AD527" s="198" t="s">
        <v>417</v>
      </c>
      <c r="AE527" s="198" t="s">
        <v>1112</v>
      </c>
      <c r="AF527" s="200" t="n">
        <v>45841</v>
      </c>
      <c r="AG527" s="198" t="n">
        <v>80</v>
      </c>
      <c r="AH527" s="198" t="n">
        <f aca="false">VLOOKUP(Таблица310[[#This Row],[№ акта]],'Степень зрелости 2025'!$H$13:$I$583,2,FALSE())</f>
        <v>46</v>
      </c>
      <c r="AI527" s="198" t="str">
        <f aca="false">VLOOKUP(Таблица310[[#This Row],[№ акта]],$AQ$1:$AT$594,2,FALSE())</f>
        <v>4.2</v>
      </c>
      <c r="AJ527" s="198" t="str">
        <f aca="false">Таблица310[[#This Row],[Регистратор.Номенклатура]]</f>
        <v>Тристар</v>
      </c>
      <c r="AK527" s="198" t="str">
        <f aca="false">VLOOKUP(Таблица310[[#This Row],[№ акта]],$AQ$1:$AT$594,4,FALSE())</f>
        <v>Колос (полив)</v>
      </c>
      <c r="AL527" s="230" t="n">
        <f aca="false">VLOOKUP(Таблица310[[#This Row],[№ акта]],$AQ$1:$AT$594,3,FALSE())</f>
        <v>2.42102710240708</v>
      </c>
      <c r="AM527" s="198" t="str">
        <f aca="false">IF(Таблица310[[#This Row],[Площадь уборки, га]]=Таблица310[[#This Row],[Площадь уборки до корр]],"нет","да")</f>
        <v>нет</v>
      </c>
      <c r="AN527" s="230" t="n">
        <f aca="false">Таблица310[[#This Row],[Площадь уборки до корр]]-Таблица310[[#This Row],[Площадь уборки, га]]</f>
        <v>0</v>
      </c>
      <c r="AQ527" s="0" t="s">
        <v>1112</v>
      </c>
      <c r="AR527" s="0" t="s">
        <v>1103</v>
      </c>
      <c r="AS527" s="0" t="n">
        <v>2.42102710240708</v>
      </c>
      <c r="AT527" s="0" t="s">
        <v>279</v>
      </c>
      <c r="XFD527" s="198"/>
    </row>
    <row r="528" customFormat="false" ht="19.4" hidden="false" customHeight="false" outlineLevel="0" collapsed="false">
      <c r="A528" s="198"/>
      <c r="B528" s="224"/>
      <c r="C528" s="198" t="n">
        <f aca="false">VLOOKUP(Таблица310[[#This Row],[№ акта]],'Степень зрелости 2025'!$H$13:$I$518,2,FALSE())</f>
        <v>53</v>
      </c>
      <c r="D528" s="223" t="s">
        <v>1115</v>
      </c>
      <c r="E528" s="248" t="n">
        <v>45841</v>
      </c>
      <c r="F528" s="226" t="n">
        <v>28500</v>
      </c>
      <c r="G528" s="223" t="n">
        <v>13630</v>
      </c>
      <c r="H528" s="198" t="n">
        <v>14870</v>
      </c>
      <c r="I528" s="198" t="n">
        <v>10631.4</v>
      </c>
      <c r="J528" s="198" t="s">
        <v>994</v>
      </c>
      <c r="K528" s="189" t="s">
        <v>904</v>
      </c>
      <c r="L528" s="198" t="s">
        <v>1103</v>
      </c>
      <c r="M528" s="198" t="s">
        <v>382</v>
      </c>
      <c r="N528" s="198"/>
      <c r="O528" s="198"/>
      <c r="P528" s="198"/>
      <c r="Q528" s="198"/>
      <c r="R528" s="198" t="s">
        <v>383</v>
      </c>
      <c r="S528" s="230"/>
      <c r="T528" s="198" t="s">
        <v>1103</v>
      </c>
      <c r="U528" s="198" t="str">
        <f aca="false">Таблица310[[#This Row],[Регистратор.Номенклатура]]</f>
        <v>Тристар</v>
      </c>
      <c r="V528" s="230" t="n">
        <f aca="false">30*Таблица310[[#This Row],[Регистратор.Вес нетто]]/164930</f>
        <v>2.4792336142606</v>
      </c>
      <c r="W528" s="198" t="s">
        <v>279</v>
      </c>
      <c r="X528" s="198" t="s">
        <v>315</v>
      </c>
      <c r="Y528" s="198" t="n">
        <v>10</v>
      </c>
      <c r="Z528" s="200" t="n">
        <v>45840</v>
      </c>
      <c r="AA528" s="198"/>
      <c r="AB528" s="198"/>
      <c r="AC528" s="198" t="s">
        <v>302</v>
      </c>
      <c r="AD528" s="198" t="s">
        <v>417</v>
      </c>
      <c r="AE528" s="198" t="s">
        <v>1115</v>
      </c>
      <c r="AF528" s="200" t="n">
        <v>45841</v>
      </c>
      <c r="AG528" s="198" t="n">
        <v>82</v>
      </c>
      <c r="AH528" s="198" t="n">
        <f aca="false">VLOOKUP(Таблица310[[#This Row],[№ акта]],'Степень зрелости 2025'!$H$13:$I$583,2,FALSE())</f>
        <v>53</v>
      </c>
      <c r="AI528" s="198" t="str">
        <f aca="false">VLOOKUP(Таблица310[[#This Row],[№ акта]],$AQ$1:$AT$594,2,FALSE())</f>
        <v>4.2</v>
      </c>
      <c r="AJ528" s="198" t="str">
        <f aca="false">Таблица310[[#This Row],[Регистратор.Номенклатура]]</f>
        <v>Тристар</v>
      </c>
      <c r="AK528" s="198" t="str">
        <f aca="false">VLOOKUP(Таблица310[[#This Row],[№ акта]],$AQ$1:$AT$594,4,FALSE())</f>
        <v>Колос (полив)</v>
      </c>
      <c r="AL528" s="230" t="n">
        <f aca="false">VLOOKUP(Таблица310[[#This Row],[№ акта]],$AQ$1:$AT$594,3,FALSE())</f>
        <v>2.4792336142606</v>
      </c>
      <c r="AM528" s="198" t="str">
        <f aca="false">IF(Таблица310[[#This Row],[Площадь уборки, га]]=Таблица310[[#This Row],[Площадь уборки до корр]],"нет","да")</f>
        <v>нет</v>
      </c>
      <c r="AN528" s="230" t="n">
        <f aca="false">Таблица310[[#This Row],[Площадь уборки до корр]]-Таблица310[[#This Row],[Площадь уборки, га]]</f>
        <v>0</v>
      </c>
      <c r="AQ528" s="0" t="s">
        <v>1115</v>
      </c>
      <c r="AR528" s="0" t="s">
        <v>1103</v>
      </c>
      <c r="AS528" s="0" t="n">
        <v>2.4792336142606</v>
      </c>
      <c r="AT528" s="0" t="s">
        <v>279</v>
      </c>
      <c r="XFD528" s="198"/>
    </row>
    <row r="529" customFormat="false" ht="19.4" hidden="false" customHeight="false" outlineLevel="0" collapsed="false">
      <c r="A529" s="198"/>
      <c r="B529" s="224"/>
      <c r="C529" s="198" t="n">
        <f aca="false">VLOOKUP(Таблица310[[#This Row],[№ акта]],'Степень зрелости 2025'!$H$13:$I$518,2,FALSE())</f>
        <v>50</v>
      </c>
      <c r="D529" s="223" t="s">
        <v>1116</v>
      </c>
      <c r="E529" s="248" t="n">
        <v>45841</v>
      </c>
      <c r="F529" s="226" t="n">
        <v>27310</v>
      </c>
      <c r="G529" s="223" t="n">
        <v>13470</v>
      </c>
      <c r="H529" s="198" t="n">
        <v>13840</v>
      </c>
      <c r="I529" s="198" t="n">
        <v>10506.6</v>
      </c>
      <c r="J529" s="198" t="s">
        <v>994</v>
      </c>
      <c r="K529" s="189" t="s">
        <v>904</v>
      </c>
      <c r="L529" s="198" t="s">
        <v>1103</v>
      </c>
      <c r="M529" s="198" t="s">
        <v>359</v>
      </c>
      <c r="N529" s="198"/>
      <c r="O529" s="198"/>
      <c r="P529" s="198"/>
      <c r="Q529" s="198"/>
      <c r="R529" s="198" t="s">
        <v>426</v>
      </c>
      <c r="S529" s="230"/>
      <c r="T529" s="198" t="s">
        <v>1103</v>
      </c>
      <c r="U529" s="198" t="str">
        <f aca="false">Таблица310[[#This Row],[Регистратор.Номенклатура]]</f>
        <v>Тристар</v>
      </c>
      <c r="V529" s="230" t="n">
        <f aca="false">30*Таблица310[[#This Row],[Регистратор.Вес нетто]]/164930</f>
        <v>2.45013035833384</v>
      </c>
      <c r="W529" s="198" t="s">
        <v>279</v>
      </c>
      <c r="X529" s="198" t="s">
        <v>315</v>
      </c>
      <c r="Y529" s="198" t="n">
        <v>10</v>
      </c>
      <c r="Z529" s="200" t="n">
        <v>45840</v>
      </c>
      <c r="AA529" s="198"/>
      <c r="AB529" s="198"/>
      <c r="AC529" s="198" t="s">
        <v>53</v>
      </c>
      <c r="AD529" s="198" t="s">
        <v>417</v>
      </c>
      <c r="AE529" s="198" t="s">
        <v>1116</v>
      </c>
      <c r="AF529" s="200" t="n">
        <v>45841</v>
      </c>
      <c r="AG529" s="198" t="n">
        <v>83</v>
      </c>
      <c r="AH529" s="198" t="n">
        <f aca="false">VLOOKUP(Таблица310[[#This Row],[№ акта]],'Степень зрелости 2025'!$H$13:$I$583,2,FALSE())</f>
        <v>50</v>
      </c>
      <c r="AI529" s="198" t="str">
        <f aca="false">VLOOKUP(Таблица310[[#This Row],[№ акта]],$AQ$1:$AT$594,2,FALSE())</f>
        <v>4.2</v>
      </c>
      <c r="AJ529" s="198" t="str">
        <f aca="false">Таблица310[[#This Row],[Регистратор.Номенклатура]]</f>
        <v>Тристар</v>
      </c>
      <c r="AK529" s="198" t="str">
        <f aca="false">VLOOKUP(Таблица310[[#This Row],[№ акта]],$AQ$1:$AT$594,4,FALSE())</f>
        <v>Колос (полив)</v>
      </c>
      <c r="AL529" s="230" t="n">
        <f aca="false">VLOOKUP(Таблица310[[#This Row],[№ акта]],$AQ$1:$AT$594,3,FALSE())</f>
        <v>2.45013035833384</v>
      </c>
      <c r="AM529" s="198" t="str">
        <f aca="false">IF(Таблица310[[#This Row],[Площадь уборки, га]]=Таблица310[[#This Row],[Площадь уборки до корр]],"нет","да")</f>
        <v>нет</v>
      </c>
      <c r="AN529" s="230" t="n">
        <f aca="false">Таблица310[[#This Row],[Площадь уборки до корр]]-Таблица310[[#This Row],[Площадь уборки, га]]</f>
        <v>0</v>
      </c>
      <c r="AQ529" s="0" t="s">
        <v>1116</v>
      </c>
      <c r="AR529" s="0" t="s">
        <v>1103</v>
      </c>
      <c r="AS529" s="0" t="n">
        <v>2.45013035833384</v>
      </c>
      <c r="AT529" s="0" t="s">
        <v>279</v>
      </c>
      <c r="XFD529" s="198"/>
    </row>
    <row r="530" customFormat="false" ht="28.35" hidden="false" customHeight="false" outlineLevel="0" collapsed="false">
      <c r="A530" s="198"/>
      <c r="B530" s="224"/>
      <c r="C530" s="198" t="n">
        <v>49</v>
      </c>
      <c r="D530" s="223" t="s">
        <v>1117</v>
      </c>
      <c r="E530" s="248" t="n">
        <v>45841</v>
      </c>
      <c r="F530" s="226" t="n">
        <v>28560</v>
      </c>
      <c r="G530" s="223" t="n">
        <v>13770</v>
      </c>
      <c r="H530" s="198" t="n">
        <v>14790</v>
      </c>
      <c r="I530" s="198" t="n">
        <v>11429.1</v>
      </c>
      <c r="J530" s="198" t="s">
        <v>994</v>
      </c>
      <c r="K530" s="189" t="s">
        <v>904</v>
      </c>
      <c r="L530" s="198" t="s">
        <v>1103</v>
      </c>
      <c r="M530" s="198" t="s">
        <v>553</v>
      </c>
      <c r="N530" s="198"/>
      <c r="O530" s="198"/>
      <c r="P530" s="198"/>
      <c r="Q530" s="198"/>
      <c r="R530" s="198" t="s">
        <v>557</v>
      </c>
      <c r="S530" s="230"/>
      <c r="T530" s="198" t="s">
        <v>1103</v>
      </c>
      <c r="U530" s="198" t="str">
        <f aca="false">Таблица310[[#This Row],[Регистратор.Номенклатура]]</f>
        <v>Тристар</v>
      </c>
      <c r="V530" s="230" t="n">
        <f aca="false">22*Таблица310[[#This Row],[Регистратор.Вес нетто]]/116850</f>
        <v>2.59255455712452</v>
      </c>
      <c r="W530" s="198" t="s">
        <v>279</v>
      </c>
      <c r="X530" s="198" t="s">
        <v>315</v>
      </c>
      <c r="Y530" s="198" t="n">
        <v>11</v>
      </c>
      <c r="Z530" s="200" t="n">
        <v>45841</v>
      </c>
      <c r="AA530" s="198"/>
      <c r="AB530" s="198"/>
      <c r="AC530" s="198" t="s">
        <v>53</v>
      </c>
      <c r="AD530" s="198" t="s">
        <v>417</v>
      </c>
      <c r="AE530" s="198" t="s">
        <v>1117</v>
      </c>
      <c r="AF530" s="200" t="n">
        <v>45841</v>
      </c>
      <c r="AG530" s="198" t="n">
        <v>84</v>
      </c>
      <c r="AH530" s="198" t="n">
        <f aca="false">VLOOKUP(Таблица310[[#This Row],[№ акта]],'Степень зрелости 2025'!$H$13:$I$583,2,FALSE())</f>
        <v>49</v>
      </c>
      <c r="AI530" s="198" t="str">
        <f aca="false">VLOOKUP(Таблица310[[#This Row],[№ акта]],$AQ$1:$AT$594,2,FALSE())</f>
        <v>4.2</v>
      </c>
      <c r="AJ530" s="198" t="str">
        <f aca="false">Таблица310[[#This Row],[Регистратор.Номенклатура]]</f>
        <v>Тристар</v>
      </c>
      <c r="AK530" s="198" t="str">
        <f aca="false">VLOOKUP(Таблица310[[#This Row],[№ акта]],$AQ$1:$AT$594,4,FALSE())</f>
        <v>Колос (полив)</v>
      </c>
      <c r="AL530" s="230" t="n">
        <f aca="false">VLOOKUP(Таблица310[[#This Row],[№ акта]],$AQ$1:$AT$594,3,FALSE())</f>
        <v>2.59255455712452</v>
      </c>
      <c r="AM530" s="198" t="str">
        <f aca="false">IF(Таблица310[[#This Row],[Площадь уборки, га]]=Таблица310[[#This Row],[Площадь уборки до корр]],"нет","да")</f>
        <v>нет</v>
      </c>
      <c r="AN530" s="230" t="n">
        <f aca="false">Таблица310[[#This Row],[Площадь уборки до корр]]-Таблица310[[#This Row],[Площадь уборки, га]]</f>
        <v>0</v>
      </c>
      <c r="AQ530" s="0" t="s">
        <v>1117</v>
      </c>
      <c r="AR530" s="0" t="s">
        <v>1103</v>
      </c>
      <c r="AS530" s="0" t="n">
        <v>2.59255455712452</v>
      </c>
      <c r="AT530" s="0" t="s">
        <v>279</v>
      </c>
      <c r="XFD530" s="198"/>
    </row>
    <row r="531" customFormat="false" ht="19.4" hidden="false" customHeight="false" outlineLevel="0" collapsed="false">
      <c r="A531" s="198"/>
      <c r="B531" s="224"/>
      <c r="C531" s="198" t="n">
        <v>53</v>
      </c>
      <c r="D531" s="223" t="s">
        <v>1118</v>
      </c>
      <c r="E531" s="248" t="n">
        <v>45841</v>
      </c>
      <c r="F531" s="226" t="n">
        <v>29560</v>
      </c>
      <c r="G531" s="223" t="n">
        <v>13830</v>
      </c>
      <c r="H531" s="198" t="n">
        <v>15730</v>
      </c>
      <c r="I531" s="198" t="n">
        <v>11202.3</v>
      </c>
      <c r="J531" s="198" t="s">
        <v>994</v>
      </c>
      <c r="K531" s="189" t="s">
        <v>904</v>
      </c>
      <c r="L531" s="198" t="s">
        <v>1103</v>
      </c>
      <c r="M531" s="198" t="s">
        <v>445</v>
      </c>
      <c r="N531" s="198"/>
      <c r="O531" s="198"/>
      <c r="P531" s="198"/>
      <c r="Q531" s="198"/>
      <c r="R531" s="198" t="s">
        <v>449</v>
      </c>
      <c r="S531" s="230"/>
      <c r="T531" s="198" t="s">
        <v>1103</v>
      </c>
      <c r="U531" s="198" t="str">
        <f aca="false">Таблица310[[#This Row],[Регистратор.Номенклатура]]</f>
        <v>Тристар</v>
      </c>
      <c r="V531" s="230" t="n">
        <f aca="false">22*Таблица310[[#This Row],[Регистратор.Вес нетто]]/116850</f>
        <v>2.60385109114249</v>
      </c>
      <c r="W531" s="198" t="s">
        <v>279</v>
      </c>
      <c r="X531" s="198" t="s">
        <v>315</v>
      </c>
      <c r="Y531" s="198" t="n">
        <v>11</v>
      </c>
      <c r="Z531" s="200" t="n">
        <v>45841</v>
      </c>
      <c r="AA531" s="198"/>
      <c r="AB531" s="198"/>
      <c r="AC531" s="198" t="s">
        <v>302</v>
      </c>
      <c r="AD531" s="198" t="s">
        <v>417</v>
      </c>
      <c r="AE531" s="198" t="s">
        <v>1118</v>
      </c>
      <c r="AF531" s="200" t="n">
        <v>45841</v>
      </c>
      <c r="AG531" s="198" t="n">
        <v>85</v>
      </c>
      <c r="AH531" s="198" t="n">
        <f aca="false">VLOOKUP(Таблица310[[#This Row],[№ акта]],'Степень зрелости 2025'!$H$13:$I$583,2,FALSE())</f>
        <v>53</v>
      </c>
      <c r="AI531" s="198" t="str">
        <f aca="false">VLOOKUP(Таблица310[[#This Row],[№ акта]],$AQ$1:$AT$594,2,FALSE())</f>
        <v>4.2</v>
      </c>
      <c r="AJ531" s="198" t="str">
        <f aca="false">Таблица310[[#This Row],[Регистратор.Номенклатура]]</f>
        <v>Тристар</v>
      </c>
      <c r="AK531" s="198" t="str">
        <f aca="false">VLOOKUP(Таблица310[[#This Row],[№ акта]],$AQ$1:$AT$594,4,FALSE())</f>
        <v>Колос (полив)</v>
      </c>
      <c r="AL531" s="230" t="n">
        <f aca="false">VLOOKUP(Таблица310[[#This Row],[№ акта]],$AQ$1:$AT$594,3,FALSE())</f>
        <v>2.60385109114249</v>
      </c>
      <c r="AM531" s="198" t="str">
        <f aca="false">IF(Таблица310[[#This Row],[Площадь уборки, га]]=Таблица310[[#This Row],[Площадь уборки до корр]],"нет","да")</f>
        <v>нет</v>
      </c>
      <c r="AN531" s="230" t="n">
        <f aca="false">Таблица310[[#This Row],[Площадь уборки до корр]]-Таблица310[[#This Row],[Площадь уборки, га]]</f>
        <v>0</v>
      </c>
      <c r="AQ531" s="0" t="s">
        <v>1118</v>
      </c>
      <c r="AR531" s="0" t="s">
        <v>1103</v>
      </c>
      <c r="AS531" s="0" t="n">
        <v>2.60385109114249</v>
      </c>
      <c r="AT531" s="0" t="s">
        <v>279</v>
      </c>
      <c r="XFD531" s="198"/>
    </row>
    <row r="532" customFormat="false" ht="19.4" hidden="false" customHeight="false" outlineLevel="0" collapsed="false">
      <c r="A532" s="198"/>
      <c r="B532" s="224"/>
      <c r="C532" s="198" t="n">
        <v>52</v>
      </c>
      <c r="D532" s="223" t="s">
        <v>1119</v>
      </c>
      <c r="E532" s="248" t="n">
        <v>45841</v>
      </c>
      <c r="F532" s="226" t="n">
        <v>28510</v>
      </c>
      <c r="G532" s="223" t="n">
        <v>13730</v>
      </c>
      <c r="H532" s="198" t="n">
        <v>14780</v>
      </c>
      <c r="I532" s="198" t="n">
        <v>12082.4</v>
      </c>
      <c r="J532" s="198" t="s">
        <v>994</v>
      </c>
      <c r="K532" s="189" t="s">
        <v>904</v>
      </c>
      <c r="L532" s="198" t="s">
        <v>1103</v>
      </c>
      <c r="M532" s="198" t="s">
        <v>547</v>
      </c>
      <c r="N532" s="198"/>
      <c r="O532" s="198"/>
      <c r="P532" s="198"/>
      <c r="Q532" s="198"/>
      <c r="R532" s="198" t="s">
        <v>551</v>
      </c>
      <c r="S532" s="230"/>
      <c r="T532" s="198" t="s">
        <v>1103</v>
      </c>
      <c r="U532" s="198" t="str">
        <f aca="false">Таблица310[[#This Row],[Регистратор.Номенклатура]]</f>
        <v>Тристар</v>
      </c>
      <c r="V532" s="230" t="n">
        <f aca="false">22*Таблица310[[#This Row],[Регистратор.Вес нетто]]/116850</f>
        <v>2.58502353444587</v>
      </c>
      <c r="W532" s="198" t="s">
        <v>279</v>
      </c>
      <c r="X532" s="198" t="s">
        <v>315</v>
      </c>
      <c r="Y532" s="198" t="n">
        <v>11</v>
      </c>
      <c r="Z532" s="200" t="n">
        <v>45841</v>
      </c>
      <c r="AA532" s="198"/>
      <c r="AB532" s="198"/>
      <c r="AC532" s="198" t="s">
        <v>53</v>
      </c>
      <c r="AD532" s="198" t="s">
        <v>417</v>
      </c>
      <c r="AE532" s="198" t="s">
        <v>1119</v>
      </c>
      <c r="AF532" s="200" t="n">
        <v>45841</v>
      </c>
      <c r="AG532" s="198" t="n">
        <v>86</v>
      </c>
      <c r="AH532" s="198" t="n">
        <f aca="false">VLOOKUP(Таблица310[[#This Row],[№ акта]],'Степень зрелости 2025'!$H$13:$I$583,2,FALSE())</f>
        <v>52</v>
      </c>
      <c r="AI532" s="198" t="str">
        <f aca="false">VLOOKUP(Таблица310[[#This Row],[№ акта]],$AQ$1:$AT$594,2,FALSE())</f>
        <v>4.2</v>
      </c>
      <c r="AJ532" s="198" t="str">
        <f aca="false">Таблица310[[#This Row],[Регистратор.Номенклатура]]</f>
        <v>Тристар</v>
      </c>
      <c r="AK532" s="198" t="str">
        <f aca="false">VLOOKUP(Таблица310[[#This Row],[№ акта]],$AQ$1:$AT$594,4,FALSE())</f>
        <v>Колос (полив)</v>
      </c>
      <c r="AL532" s="230" t="n">
        <f aca="false">VLOOKUP(Таблица310[[#This Row],[№ акта]],$AQ$1:$AT$594,3,FALSE())</f>
        <v>2.58502353444587</v>
      </c>
      <c r="AM532" s="198" t="str">
        <f aca="false">IF(Таблица310[[#This Row],[Площадь уборки, га]]=Таблица310[[#This Row],[Площадь уборки до корр]],"нет","да")</f>
        <v>нет</v>
      </c>
      <c r="AN532" s="230" t="n">
        <f aca="false">Таблица310[[#This Row],[Площадь уборки до корр]]-Таблица310[[#This Row],[Площадь уборки, га]]</f>
        <v>0</v>
      </c>
      <c r="AQ532" s="0" t="s">
        <v>1119</v>
      </c>
      <c r="AR532" s="0" t="s">
        <v>1103</v>
      </c>
      <c r="AS532" s="0" t="n">
        <v>2.58502353444587</v>
      </c>
      <c r="AT532" s="0" t="s">
        <v>279</v>
      </c>
      <c r="XFD532" s="198"/>
    </row>
    <row r="533" customFormat="false" ht="28.35" hidden="false" customHeight="false" outlineLevel="0" collapsed="false">
      <c r="A533" s="198"/>
      <c r="B533" s="224"/>
      <c r="C533" s="198" t="n">
        <v>48</v>
      </c>
      <c r="D533" s="223" t="s">
        <v>1120</v>
      </c>
      <c r="E533" s="248" t="n">
        <v>45841</v>
      </c>
      <c r="F533" s="226" t="n">
        <v>28700</v>
      </c>
      <c r="G533" s="223" t="n">
        <v>13920</v>
      </c>
      <c r="H533" s="198" t="n">
        <v>14780</v>
      </c>
      <c r="I533" s="198" t="n">
        <v>11553.6</v>
      </c>
      <c r="J533" s="198" t="s">
        <v>994</v>
      </c>
      <c r="K533" s="189" t="s">
        <v>904</v>
      </c>
      <c r="L533" s="198" t="s">
        <v>1103</v>
      </c>
      <c r="M533" s="198" t="s">
        <v>1086</v>
      </c>
      <c r="N533" s="198"/>
      <c r="O533" s="198"/>
      <c r="P533" s="198"/>
      <c r="Q533" s="198"/>
      <c r="R533" s="198" t="s">
        <v>1087</v>
      </c>
      <c r="S533" s="230"/>
      <c r="T533" s="198" t="s">
        <v>1103</v>
      </c>
      <c r="U533" s="198" t="str">
        <f aca="false">Таблица310[[#This Row],[Регистратор.Номенклатура]]</f>
        <v>Тристар</v>
      </c>
      <c r="V533" s="230" t="n">
        <f aca="false">22*Таблица310[[#This Row],[Регистратор.Вес нетто]]/116850</f>
        <v>2.62079589216945</v>
      </c>
      <c r="W533" s="198" t="s">
        <v>279</v>
      </c>
      <c r="X533" s="198" t="s">
        <v>315</v>
      </c>
      <c r="Y533" s="198" t="n">
        <v>11</v>
      </c>
      <c r="Z533" s="200" t="n">
        <v>45841</v>
      </c>
      <c r="AA533" s="198"/>
      <c r="AB533" s="198"/>
      <c r="AC533" s="198" t="s">
        <v>53</v>
      </c>
      <c r="AD533" s="198" t="s">
        <v>417</v>
      </c>
      <c r="AE533" s="198" t="s">
        <v>1120</v>
      </c>
      <c r="AF533" s="200" t="n">
        <v>45841</v>
      </c>
      <c r="AG533" s="198" t="n">
        <v>87</v>
      </c>
      <c r="AH533" s="198" t="n">
        <f aca="false">VLOOKUP(Таблица310[[#This Row],[№ акта]],'Степень зрелости 2025'!$H$13:$I$583,2,FALSE())</f>
        <v>48</v>
      </c>
      <c r="AI533" s="198" t="str">
        <f aca="false">VLOOKUP(Таблица310[[#This Row],[№ акта]],$AQ$1:$AT$594,2,FALSE())</f>
        <v>4.2</v>
      </c>
      <c r="AJ533" s="198" t="str">
        <f aca="false">Таблица310[[#This Row],[Регистратор.Номенклатура]]</f>
        <v>Тристар</v>
      </c>
      <c r="AK533" s="198" t="str">
        <f aca="false">VLOOKUP(Таблица310[[#This Row],[№ акта]],$AQ$1:$AT$594,4,FALSE())</f>
        <v>Колос (полив)</v>
      </c>
      <c r="AL533" s="230" t="n">
        <f aca="false">VLOOKUP(Таблица310[[#This Row],[№ акта]],$AQ$1:$AT$594,3,FALSE())</f>
        <v>2.62079589216945</v>
      </c>
      <c r="AM533" s="198" t="str">
        <f aca="false">IF(Таблица310[[#This Row],[Площадь уборки, га]]=Таблица310[[#This Row],[Площадь уборки до корр]],"нет","да")</f>
        <v>нет</v>
      </c>
      <c r="AN533" s="230" t="n">
        <f aca="false">Таблица310[[#This Row],[Площадь уборки до корр]]-Таблица310[[#This Row],[Площадь уборки, га]]</f>
        <v>0</v>
      </c>
      <c r="AQ533" s="0" t="s">
        <v>1120</v>
      </c>
      <c r="AR533" s="0" t="s">
        <v>1103</v>
      </c>
      <c r="AS533" s="0" t="n">
        <v>2.62079589216945</v>
      </c>
      <c r="AT533" s="0" t="s">
        <v>279</v>
      </c>
      <c r="XFD533" s="198"/>
    </row>
    <row r="534" customFormat="false" ht="19.4" hidden="false" customHeight="false" outlineLevel="0" collapsed="false">
      <c r="A534" s="198"/>
      <c r="B534" s="224"/>
      <c r="C534" s="198" t="n">
        <v>54</v>
      </c>
      <c r="D534" s="223" t="s">
        <v>1121</v>
      </c>
      <c r="E534" s="248" t="n">
        <v>45841</v>
      </c>
      <c r="F534" s="226" t="n">
        <v>37980</v>
      </c>
      <c r="G534" s="223" t="n">
        <v>13960</v>
      </c>
      <c r="H534" s="198" t="n">
        <v>24020</v>
      </c>
      <c r="I534" s="198" t="n">
        <v>12005.6</v>
      </c>
      <c r="J534" s="198" t="s">
        <v>994</v>
      </c>
      <c r="K534" s="189" t="s">
        <v>904</v>
      </c>
      <c r="L534" s="198" t="s">
        <v>1103</v>
      </c>
      <c r="M534" s="198" t="s">
        <v>439</v>
      </c>
      <c r="N534" s="198"/>
      <c r="O534" s="198"/>
      <c r="P534" s="198"/>
      <c r="Q534" s="198"/>
      <c r="R534" s="198" t="s">
        <v>443</v>
      </c>
      <c r="S534" s="230"/>
      <c r="T534" s="198" t="s">
        <v>1103</v>
      </c>
      <c r="U534" s="198" t="str">
        <f aca="false">Таблица310[[#This Row],[Регистратор.Номенклатура]]</f>
        <v>Тристар</v>
      </c>
      <c r="V534" s="230" t="n">
        <f aca="false">22*Таблица310[[#This Row],[Регистратор.Вес нетто]]/116850</f>
        <v>2.6283269148481</v>
      </c>
      <c r="W534" s="198" t="s">
        <v>279</v>
      </c>
      <c r="X534" s="198" t="s">
        <v>315</v>
      </c>
      <c r="Y534" s="198" t="n">
        <v>11</v>
      </c>
      <c r="Z534" s="200" t="n">
        <v>45841</v>
      </c>
      <c r="AA534" s="198"/>
      <c r="AB534" s="198"/>
      <c r="AC534" s="198" t="s">
        <v>302</v>
      </c>
      <c r="AD534" s="198" t="s">
        <v>417</v>
      </c>
      <c r="AE534" s="198" t="s">
        <v>1121</v>
      </c>
      <c r="AF534" s="200" t="n">
        <v>45841</v>
      </c>
      <c r="AG534" s="198" t="n">
        <v>88</v>
      </c>
      <c r="AH534" s="198" t="n">
        <f aca="false">VLOOKUP(Таблица310[[#This Row],[№ акта]],'Степень зрелости 2025'!$H$13:$I$583,2,FALSE())</f>
        <v>54</v>
      </c>
      <c r="AI534" s="198" t="str">
        <f aca="false">VLOOKUP(Таблица310[[#This Row],[№ акта]],$AQ$1:$AT$594,2,FALSE())</f>
        <v>4.2</v>
      </c>
      <c r="AJ534" s="198" t="str">
        <f aca="false">Таблица310[[#This Row],[Регистратор.Номенклатура]]</f>
        <v>Тристар</v>
      </c>
      <c r="AK534" s="198" t="str">
        <f aca="false">VLOOKUP(Таблица310[[#This Row],[№ акта]],$AQ$1:$AT$594,4,FALSE())</f>
        <v>Колос (полив)</v>
      </c>
      <c r="AL534" s="230" t="n">
        <f aca="false">VLOOKUP(Таблица310[[#This Row],[№ акта]],$AQ$1:$AT$594,3,FALSE())</f>
        <v>2.6283269148481</v>
      </c>
      <c r="AM534" s="198" t="str">
        <f aca="false">IF(Таблица310[[#This Row],[Площадь уборки, га]]=Таблица310[[#This Row],[Площадь уборки до корр]],"нет","да")</f>
        <v>нет</v>
      </c>
      <c r="AN534" s="230" t="n">
        <f aca="false">Таблица310[[#This Row],[Площадь уборки до корр]]-Таблица310[[#This Row],[Площадь уборки, га]]</f>
        <v>0</v>
      </c>
      <c r="AQ534" s="0" t="s">
        <v>1121</v>
      </c>
      <c r="AR534" s="0" t="s">
        <v>1103</v>
      </c>
      <c r="AS534" s="0" t="n">
        <v>2.6283269148481</v>
      </c>
      <c r="AT534" s="0" t="s">
        <v>279</v>
      </c>
      <c r="XFD534" s="198"/>
    </row>
    <row r="535" customFormat="false" ht="19.4" hidden="false" customHeight="false" outlineLevel="0" collapsed="false">
      <c r="A535" s="198"/>
      <c r="B535" s="224"/>
      <c r="C535" s="198" t="n">
        <v>52</v>
      </c>
      <c r="D535" s="223" t="s">
        <v>1122</v>
      </c>
      <c r="E535" s="248" t="n">
        <v>45841</v>
      </c>
      <c r="F535" s="226" t="n">
        <v>28940</v>
      </c>
      <c r="G535" s="223" t="n">
        <v>14070</v>
      </c>
      <c r="H535" s="198" t="n">
        <v>14870</v>
      </c>
      <c r="I535" s="198" t="n">
        <v>12311.2</v>
      </c>
      <c r="J535" s="198" t="s">
        <v>994</v>
      </c>
      <c r="K535" s="189" t="s">
        <v>904</v>
      </c>
      <c r="L535" s="198" t="s">
        <v>1103</v>
      </c>
      <c r="M535" s="198" t="s">
        <v>451</v>
      </c>
      <c r="N535" s="198"/>
      <c r="O535" s="198"/>
      <c r="P535" s="198"/>
      <c r="Q535" s="198"/>
      <c r="R535" s="198" t="s">
        <v>455</v>
      </c>
      <c r="S535" s="230"/>
      <c r="T535" s="198" t="s">
        <v>1103</v>
      </c>
      <c r="U535" s="198" t="str">
        <f aca="false">Таблица310[[#This Row],[Регистратор.Номенклатура]]</f>
        <v>Тристар</v>
      </c>
      <c r="V535" s="230" t="n">
        <f aca="false">22*Таблица310[[#This Row],[Регистратор.Вес нетто]]/116850</f>
        <v>2.64903722721438</v>
      </c>
      <c r="W535" s="198" t="s">
        <v>279</v>
      </c>
      <c r="X535" s="198" t="s">
        <v>315</v>
      </c>
      <c r="Y535" s="198" t="n">
        <v>11</v>
      </c>
      <c r="Z535" s="200" t="n">
        <v>45841</v>
      </c>
      <c r="AA535" s="198"/>
      <c r="AB535" s="198"/>
      <c r="AC535" s="198" t="s">
        <v>53</v>
      </c>
      <c r="AD535" s="198" t="s">
        <v>417</v>
      </c>
      <c r="AE535" s="198" t="s">
        <v>1122</v>
      </c>
      <c r="AF535" s="200" t="n">
        <v>45841</v>
      </c>
      <c r="AG535" s="198" t="n">
        <v>89</v>
      </c>
      <c r="AH535" s="198" t="n">
        <f aca="false">VLOOKUP(Таблица310[[#This Row],[№ акта]],'Степень зрелости 2025'!$H$13:$I$583,2,FALSE())</f>
        <v>52</v>
      </c>
      <c r="AI535" s="198" t="str">
        <f aca="false">VLOOKUP(Таблица310[[#This Row],[№ акта]],$AQ$1:$AT$594,2,FALSE())</f>
        <v>4.2</v>
      </c>
      <c r="AJ535" s="198" t="str">
        <f aca="false">Таблица310[[#This Row],[Регистратор.Номенклатура]]</f>
        <v>Тристар</v>
      </c>
      <c r="AK535" s="198" t="str">
        <f aca="false">VLOOKUP(Таблица310[[#This Row],[№ акта]],$AQ$1:$AT$594,4,FALSE())</f>
        <v>Колос (полив)</v>
      </c>
      <c r="AL535" s="230" t="n">
        <f aca="false">VLOOKUP(Таблица310[[#This Row],[№ акта]],$AQ$1:$AT$594,3,FALSE())</f>
        <v>2.64903722721438</v>
      </c>
      <c r="AM535" s="198" t="str">
        <f aca="false">IF(Таблица310[[#This Row],[Площадь уборки, га]]=Таблица310[[#This Row],[Площадь уборки до корр]],"нет","да")</f>
        <v>нет</v>
      </c>
      <c r="AN535" s="230" t="n">
        <f aca="false">Таблица310[[#This Row],[Площадь уборки до корр]]-Таблица310[[#This Row],[Площадь уборки, га]]</f>
        <v>0</v>
      </c>
      <c r="AQ535" s="0" t="s">
        <v>1122</v>
      </c>
      <c r="AR535" s="0" t="s">
        <v>1103</v>
      </c>
      <c r="AS535" s="0" t="n">
        <v>2.64903722721438</v>
      </c>
      <c r="AT535" s="0" t="s">
        <v>279</v>
      </c>
      <c r="XFD535" s="198"/>
    </row>
    <row r="536" customFormat="false" ht="19.4" hidden="false" customHeight="false" outlineLevel="0" collapsed="false">
      <c r="A536" s="198"/>
      <c r="B536" s="224"/>
      <c r="C536" s="198" t="n">
        <v>53</v>
      </c>
      <c r="D536" s="223" t="s">
        <v>1123</v>
      </c>
      <c r="E536" s="248" t="n">
        <v>45841</v>
      </c>
      <c r="F536" s="226" t="n">
        <v>28690</v>
      </c>
      <c r="G536" s="223" t="n">
        <v>14000</v>
      </c>
      <c r="H536" s="198" t="n">
        <v>14690</v>
      </c>
      <c r="I536" s="198" t="n">
        <v>11830</v>
      </c>
      <c r="J536" s="198" t="s">
        <v>994</v>
      </c>
      <c r="K536" s="189" t="s">
        <v>904</v>
      </c>
      <c r="L536" s="198" t="s">
        <v>1103</v>
      </c>
      <c r="M536" s="198" t="s">
        <v>361</v>
      </c>
      <c r="N536" s="198"/>
      <c r="O536" s="198"/>
      <c r="P536" s="198"/>
      <c r="Q536" s="198"/>
      <c r="R536" s="198" t="s">
        <v>362</v>
      </c>
      <c r="S536" s="230"/>
      <c r="T536" s="198" t="s">
        <v>1103</v>
      </c>
      <c r="U536" s="198" t="str">
        <f aca="false">Таблица310[[#This Row],[Регистратор.Номенклатура]]</f>
        <v>Тристар</v>
      </c>
      <c r="V536" s="230" t="n">
        <f aca="false">22*Таблица310[[#This Row],[Регистратор.Вес нетто]]/116850</f>
        <v>2.63585793752674</v>
      </c>
      <c r="W536" s="198" t="s">
        <v>279</v>
      </c>
      <c r="X536" s="198" t="s">
        <v>315</v>
      </c>
      <c r="Y536" s="198" t="n">
        <v>11</v>
      </c>
      <c r="Z536" s="200" t="n">
        <v>45841</v>
      </c>
      <c r="AA536" s="198"/>
      <c r="AB536" s="198"/>
      <c r="AC536" s="198" t="s">
        <v>302</v>
      </c>
      <c r="AD536" s="198" t="s">
        <v>417</v>
      </c>
      <c r="AE536" s="198" t="s">
        <v>1123</v>
      </c>
      <c r="AF536" s="200" t="n">
        <v>45841</v>
      </c>
      <c r="AG536" s="198" t="n">
        <v>90</v>
      </c>
      <c r="AH536" s="198" t="n">
        <f aca="false">VLOOKUP(Таблица310[[#This Row],[№ акта]],'Степень зрелости 2025'!$H$13:$I$583,2,FALSE())</f>
        <v>53</v>
      </c>
      <c r="AI536" s="198" t="str">
        <f aca="false">VLOOKUP(Таблица310[[#This Row],[№ акта]],$AQ$1:$AT$594,2,FALSE())</f>
        <v>4.2</v>
      </c>
      <c r="AJ536" s="198" t="str">
        <f aca="false">Таблица310[[#This Row],[Регистратор.Номенклатура]]</f>
        <v>Тристар</v>
      </c>
      <c r="AK536" s="198" t="str">
        <f aca="false">VLOOKUP(Таблица310[[#This Row],[№ акта]],$AQ$1:$AT$594,4,FALSE())</f>
        <v>Колос (полив)</v>
      </c>
      <c r="AL536" s="230" t="n">
        <f aca="false">VLOOKUP(Таблица310[[#This Row],[№ акта]],$AQ$1:$AT$594,3,FALSE())</f>
        <v>2.63585793752674</v>
      </c>
      <c r="AM536" s="198" t="str">
        <f aca="false">IF(Таблица310[[#This Row],[Площадь уборки, га]]=Таблица310[[#This Row],[Площадь уборки до корр]],"нет","да")</f>
        <v>нет</v>
      </c>
      <c r="AN536" s="230" t="n">
        <f aca="false">Таблица310[[#This Row],[Площадь уборки до корр]]-Таблица310[[#This Row],[Площадь уборки, га]]</f>
        <v>0</v>
      </c>
      <c r="AQ536" s="0" t="s">
        <v>1123</v>
      </c>
      <c r="AR536" s="0" t="s">
        <v>1103</v>
      </c>
      <c r="AS536" s="0" t="n">
        <v>2.63585793752674</v>
      </c>
      <c r="AT536" s="0" t="s">
        <v>279</v>
      </c>
      <c r="XFD536" s="198"/>
    </row>
    <row r="537" customFormat="false" ht="19.4" hidden="false" customHeight="false" outlineLevel="0" collapsed="false">
      <c r="A537" s="198"/>
      <c r="B537" s="224"/>
      <c r="C537" s="198" t="n">
        <v>53</v>
      </c>
      <c r="D537" s="223" t="s">
        <v>1124</v>
      </c>
      <c r="E537" s="248" t="n">
        <v>45841</v>
      </c>
      <c r="F537" s="226" t="n">
        <v>38090</v>
      </c>
      <c r="G537" s="223" t="n">
        <v>13890</v>
      </c>
      <c r="H537" s="198" t="n">
        <v>24200</v>
      </c>
      <c r="I537" s="198" t="n">
        <v>11667.6</v>
      </c>
      <c r="J537" s="198" t="s">
        <v>994</v>
      </c>
      <c r="K537" s="189" t="s">
        <v>904</v>
      </c>
      <c r="L537" s="198" t="s">
        <v>1103</v>
      </c>
      <c r="M537" s="198" t="s">
        <v>1092</v>
      </c>
      <c r="N537" s="198"/>
      <c r="O537" s="198"/>
      <c r="P537" s="198"/>
      <c r="Q537" s="198"/>
      <c r="R537" s="198" t="s">
        <v>1093</v>
      </c>
      <c r="S537" s="230"/>
      <c r="T537" s="198" t="s">
        <v>1103</v>
      </c>
      <c r="U537" s="198" t="str">
        <f aca="false">Таблица310[[#This Row],[Регистратор.Номенклатура]]</f>
        <v>Тристар</v>
      </c>
      <c r="V537" s="230" t="n">
        <f aca="false">22*Таблица310[[#This Row],[Регистратор.Вес нетто]]/116850</f>
        <v>2.61514762516046</v>
      </c>
      <c r="W537" s="198" t="s">
        <v>279</v>
      </c>
      <c r="X537" s="198" t="s">
        <v>315</v>
      </c>
      <c r="Y537" s="198" t="n">
        <v>11</v>
      </c>
      <c r="Z537" s="200" t="n">
        <v>45841</v>
      </c>
      <c r="AA537" s="198"/>
      <c r="AB537" s="198"/>
      <c r="AC537" s="198" t="s">
        <v>302</v>
      </c>
      <c r="AD537" s="198" t="s">
        <v>417</v>
      </c>
      <c r="AE537" s="198" t="s">
        <v>1124</v>
      </c>
      <c r="AF537" s="200" t="n">
        <v>45841</v>
      </c>
      <c r="AG537" s="198" t="n">
        <v>91</v>
      </c>
      <c r="AH537" s="198" t="n">
        <f aca="false">VLOOKUP(Таблица310[[#This Row],[№ акта]],'Степень зрелости 2025'!$H$13:$I$583,2,FALSE())</f>
        <v>53</v>
      </c>
      <c r="AI537" s="198" t="str">
        <f aca="false">VLOOKUP(Таблица310[[#This Row],[№ акта]],$AQ$1:$AT$594,2,FALSE())</f>
        <v>4.2</v>
      </c>
      <c r="AJ537" s="198" t="str">
        <f aca="false">Таблица310[[#This Row],[Регистратор.Номенклатура]]</f>
        <v>Тристар</v>
      </c>
      <c r="AK537" s="198" t="str">
        <f aca="false">VLOOKUP(Таблица310[[#This Row],[№ акта]],$AQ$1:$AT$594,4,FALSE())</f>
        <v>Колос (полив)</v>
      </c>
      <c r="AL537" s="230" t="n">
        <f aca="false">VLOOKUP(Таблица310[[#This Row],[№ акта]],$AQ$1:$AT$594,3,FALSE())</f>
        <v>2.61514762516046</v>
      </c>
      <c r="AM537" s="198" t="str">
        <f aca="false">IF(Таблица310[[#This Row],[Площадь уборки, га]]=Таблица310[[#This Row],[Площадь уборки до корр]],"нет","да")</f>
        <v>нет</v>
      </c>
      <c r="AN537" s="230" t="n">
        <f aca="false">Таблица310[[#This Row],[Площадь уборки до корр]]-Таблица310[[#This Row],[Площадь уборки, га]]</f>
        <v>0</v>
      </c>
      <c r="AQ537" s="0" t="s">
        <v>1124</v>
      </c>
      <c r="AR537" s="0" t="s">
        <v>1103</v>
      </c>
      <c r="AS537" s="0" t="n">
        <v>2.61514762516046</v>
      </c>
      <c r="AT537" s="0" t="s">
        <v>279</v>
      </c>
      <c r="XFD537" s="198"/>
    </row>
    <row r="538" customFormat="false" ht="19.4" hidden="false" customHeight="false" outlineLevel="0" collapsed="false">
      <c r="A538" s="198"/>
      <c r="B538" s="224"/>
      <c r="C538" s="198" t="n">
        <v>58</v>
      </c>
      <c r="D538" s="223" t="s">
        <v>1125</v>
      </c>
      <c r="E538" s="248" t="n">
        <v>45842</v>
      </c>
      <c r="F538" s="226" t="n">
        <v>29440</v>
      </c>
      <c r="G538" s="223" t="n">
        <v>8070</v>
      </c>
      <c r="H538" s="198" t="n">
        <v>21370</v>
      </c>
      <c r="I538" s="198" t="n">
        <v>7141.9</v>
      </c>
      <c r="J538" s="198" t="s">
        <v>994</v>
      </c>
      <c r="K538" s="189" t="s">
        <v>1061</v>
      </c>
      <c r="L538" s="198" t="s">
        <v>995</v>
      </c>
      <c r="M538" s="198" t="s">
        <v>1095</v>
      </c>
      <c r="N538" s="198"/>
      <c r="O538" s="198"/>
      <c r="P538" s="198"/>
      <c r="Q538" s="198"/>
      <c r="R538" s="198" t="s">
        <v>1096</v>
      </c>
      <c r="S538" s="230"/>
      <c r="T538" s="198" t="s">
        <v>995</v>
      </c>
      <c r="U538" s="198" t="str">
        <f aca="false">Таблица310[[#This Row],[Регистратор.Номенклатура]]</f>
        <v>Парус</v>
      </c>
      <c r="V538" s="230" t="n">
        <f aca="false">14*Таблица310[[#This Row],[Регистратор.Вес нетто]]/87230</f>
        <v>1.29519660667202</v>
      </c>
      <c r="W538" s="198" t="s">
        <v>279</v>
      </c>
      <c r="X538" s="198" t="s">
        <v>315</v>
      </c>
      <c r="Y538" s="198" t="n">
        <v>11</v>
      </c>
      <c r="Z538" s="200" t="n">
        <v>45841</v>
      </c>
      <c r="AA538" s="198"/>
      <c r="AB538" s="198"/>
      <c r="AC538" s="198" t="s">
        <v>302</v>
      </c>
      <c r="AD538" s="198" t="s">
        <v>417</v>
      </c>
      <c r="AE538" s="198" t="s">
        <v>1125</v>
      </c>
      <c r="AF538" s="200" t="n">
        <v>45842</v>
      </c>
      <c r="AG538" s="198" t="n">
        <v>95</v>
      </c>
      <c r="AH538" s="198" t="n">
        <f aca="false">VLOOKUP(Таблица310[[#This Row],[№ акта]],'Степень зрелости 2025'!$H$13:$I$583,2,FALSE())</f>
        <v>58</v>
      </c>
      <c r="AI538" s="198" t="str">
        <f aca="false">VLOOKUP(Таблица310[[#This Row],[№ акта]],$AQ$1:$AT$594,2,FALSE())</f>
        <v>4.1</v>
      </c>
      <c r="AJ538" s="198" t="str">
        <f aca="false">Таблица310[[#This Row],[Регистратор.Номенклатура]]</f>
        <v>Парус</v>
      </c>
      <c r="AK538" s="198" t="str">
        <f aca="false">VLOOKUP(Таблица310[[#This Row],[№ акта]],$AQ$1:$AT$594,4,FALSE())</f>
        <v>Колос (полив)</v>
      </c>
      <c r="AL538" s="230" t="n">
        <f aca="false">VLOOKUP(Таблица310[[#This Row],[№ акта]],$AQ$1:$AT$594,3,FALSE())</f>
        <v>1.29519660667202</v>
      </c>
      <c r="AM538" s="198" t="str">
        <f aca="false">IF(Таблица310[[#This Row],[Площадь уборки, га]]=Таблица310[[#This Row],[Площадь уборки до корр]],"нет","да")</f>
        <v>нет</v>
      </c>
      <c r="AN538" s="230" t="n">
        <f aca="false">Таблица310[[#This Row],[Площадь уборки до корр]]-Таблица310[[#This Row],[Площадь уборки, га]]</f>
        <v>0</v>
      </c>
      <c r="AQ538" s="0" t="s">
        <v>1125</v>
      </c>
      <c r="AR538" s="0" t="s">
        <v>995</v>
      </c>
      <c r="AS538" s="0" t="n">
        <v>1.29519660667202</v>
      </c>
      <c r="AT538" s="0" t="s">
        <v>279</v>
      </c>
      <c r="XFD538" s="198"/>
    </row>
    <row r="539" customFormat="false" ht="19.4" hidden="false" customHeight="false" outlineLevel="0" collapsed="false">
      <c r="A539" s="198"/>
      <c r="B539" s="224"/>
      <c r="C539" s="198" t="n">
        <v>54</v>
      </c>
      <c r="D539" s="223" t="s">
        <v>1126</v>
      </c>
      <c r="E539" s="248" t="n">
        <v>45842</v>
      </c>
      <c r="F539" s="226" t="n">
        <v>21370</v>
      </c>
      <c r="G539" s="223" t="n">
        <v>5680</v>
      </c>
      <c r="H539" s="198" t="n">
        <v>15690</v>
      </c>
      <c r="I539" s="198" t="n">
        <v>4799.6</v>
      </c>
      <c r="J539" s="198" t="s">
        <v>994</v>
      </c>
      <c r="K539" s="189" t="s">
        <v>904</v>
      </c>
      <c r="L539" s="198" t="s">
        <v>1103</v>
      </c>
      <c r="M539" s="198" t="s">
        <v>1095</v>
      </c>
      <c r="N539" s="198"/>
      <c r="O539" s="198"/>
      <c r="P539" s="198"/>
      <c r="Q539" s="198"/>
      <c r="R539" s="198" t="s">
        <v>1096</v>
      </c>
      <c r="S539" s="230"/>
      <c r="T539" s="198" t="s">
        <v>1103</v>
      </c>
      <c r="U539" s="198" t="str">
        <f aca="false">Таблица310[[#This Row],[Регистратор.Номенклатура]]</f>
        <v>Тристар</v>
      </c>
      <c r="V539" s="230" t="n">
        <f aca="false">11.7*Таблица310[[#This Row],[Регистратор.Вес нетто]]/112950</f>
        <v>0.588366533864542</v>
      </c>
      <c r="W539" s="198" t="s">
        <v>279</v>
      </c>
      <c r="X539" s="198" t="s">
        <v>315</v>
      </c>
      <c r="Y539" s="198" t="n">
        <v>11</v>
      </c>
      <c r="Z539" s="200" t="n">
        <v>45841</v>
      </c>
      <c r="AA539" s="198"/>
      <c r="AB539" s="198" t="s">
        <v>1127</v>
      </c>
      <c r="AC539" s="198" t="s">
        <v>302</v>
      </c>
      <c r="AD539" s="198" t="s">
        <v>417</v>
      </c>
      <c r="AE539" s="198" t="s">
        <v>1126</v>
      </c>
      <c r="AF539" s="200" t="n">
        <v>45842</v>
      </c>
      <c r="AG539" s="198" t="n">
        <v>95</v>
      </c>
      <c r="AH539" s="198" t="n">
        <f aca="false">VLOOKUP(Таблица310[[#This Row],[№ акта]],'Степень зрелости 2025'!$H$13:$I$583,2,FALSE())</f>
        <v>54</v>
      </c>
      <c r="AI539" s="198" t="str">
        <f aca="false">VLOOKUP(Таблица310[[#This Row],[№ акта]],$AQ$1:$AT$594,2,FALSE())</f>
        <v>4.2</v>
      </c>
      <c r="AJ539" s="198" t="str">
        <f aca="false">Таблица310[[#This Row],[Регистратор.Номенклатура]]</f>
        <v>Тристар</v>
      </c>
      <c r="AK539" s="198" t="str">
        <f aca="false">VLOOKUP(Таблица310[[#This Row],[№ акта]],$AQ$1:$AT$594,4,FALSE())</f>
        <v>Колос (полив)</v>
      </c>
      <c r="AL539" s="230" t="n">
        <f aca="false">VLOOKUP(Таблица310[[#This Row],[№ акта]],$AQ$1:$AT$594,3,FALSE())</f>
        <v>1.06940522036799</v>
      </c>
      <c r="AM539" s="198" t="str">
        <f aca="false">IF(Таблица310[[#This Row],[Площадь уборки, га]]=Таблица310[[#This Row],[Площадь уборки до корр]],"нет","да")</f>
        <v>да</v>
      </c>
      <c r="AN539" s="230" t="n">
        <f aca="false">Таблица310[[#This Row],[Площадь уборки до корр]]-Таблица310[[#This Row],[Площадь уборки, га]]</f>
        <v>0.481038686503451</v>
      </c>
      <c r="AQ539" s="0" t="s">
        <v>1126</v>
      </c>
      <c r="AR539" s="0" t="s">
        <v>1103</v>
      </c>
      <c r="AS539" s="0" t="n">
        <v>1.06940522036799</v>
      </c>
      <c r="AT539" s="0" t="s">
        <v>279</v>
      </c>
      <c r="XFD539" s="198"/>
    </row>
    <row r="540" customFormat="false" ht="19.4" hidden="false" customHeight="false" outlineLevel="0" collapsed="false">
      <c r="A540" s="198"/>
      <c r="B540" s="224"/>
      <c r="C540" s="198" t="n">
        <v>59</v>
      </c>
      <c r="D540" s="223" t="s">
        <v>1128</v>
      </c>
      <c r="E540" s="248" t="n">
        <v>45842</v>
      </c>
      <c r="F540" s="226" t="n">
        <v>28830</v>
      </c>
      <c r="G540" s="223" t="n">
        <v>13210</v>
      </c>
      <c r="H540" s="198" t="n">
        <v>15620</v>
      </c>
      <c r="I540" s="198" t="n">
        <v>11955</v>
      </c>
      <c r="J540" s="198" t="s">
        <v>994</v>
      </c>
      <c r="K540" s="189" t="s">
        <v>1061</v>
      </c>
      <c r="L540" s="198" t="s">
        <v>995</v>
      </c>
      <c r="M540" s="198" t="s">
        <v>1113</v>
      </c>
      <c r="N540" s="198"/>
      <c r="O540" s="198"/>
      <c r="P540" s="198"/>
      <c r="Q540" s="198"/>
      <c r="R540" s="198" t="s">
        <v>1114</v>
      </c>
      <c r="S540" s="230"/>
      <c r="T540" s="198" t="s">
        <v>995</v>
      </c>
      <c r="U540" s="198" t="str">
        <f aca="false">Таблица310[[#This Row],[Регистратор.Номенклатура]]</f>
        <v>Парус</v>
      </c>
      <c r="V540" s="230" t="n">
        <f aca="false">14*Таблица310[[#This Row],[Регистратор.Вес нетто]]/87230</f>
        <v>2.12014215292904</v>
      </c>
      <c r="W540" s="198" t="s">
        <v>279</v>
      </c>
      <c r="X540" s="198" t="s">
        <v>315</v>
      </c>
      <c r="Y540" s="198" t="n">
        <v>11</v>
      </c>
      <c r="Z540" s="200" t="n">
        <v>45841</v>
      </c>
      <c r="AA540" s="198"/>
      <c r="AB540" s="198"/>
      <c r="AC540" s="198" t="s">
        <v>302</v>
      </c>
      <c r="AD540" s="198" t="s">
        <v>417</v>
      </c>
      <c r="AE540" s="198" t="s">
        <v>1128</v>
      </c>
      <c r="AF540" s="200" t="n">
        <v>45842</v>
      </c>
      <c r="AG540" s="198" t="n">
        <v>92</v>
      </c>
      <c r="AH540" s="198" t="n">
        <f aca="false">VLOOKUP(Таблица310[[#This Row],[№ акта]],'Степень зрелости 2025'!$H$13:$I$583,2,FALSE())</f>
        <v>59</v>
      </c>
      <c r="AI540" s="198" t="str">
        <f aca="false">VLOOKUP(Таблица310[[#This Row],[№ акта]],$AQ$1:$AT$594,2,FALSE())</f>
        <v>4.1</v>
      </c>
      <c r="AJ540" s="198" t="str">
        <f aca="false">Таблица310[[#This Row],[Регистратор.Номенклатура]]</f>
        <v>Парус</v>
      </c>
      <c r="AK540" s="198" t="str">
        <f aca="false">VLOOKUP(Таблица310[[#This Row],[№ акта]],$AQ$1:$AT$594,4,FALSE())</f>
        <v>Колос (полив)</v>
      </c>
      <c r="AL540" s="230" t="n">
        <f aca="false">VLOOKUP(Таблица310[[#This Row],[№ акта]],$AQ$1:$AT$594,3,FALSE())</f>
        <v>2.12014215292904</v>
      </c>
      <c r="AM540" s="198" t="str">
        <f aca="false">IF(Таблица310[[#This Row],[Площадь уборки, га]]=Таблица310[[#This Row],[Площадь уборки до корр]],"нет","да")</f>
        <v>нет</v>
      </c>
      <c r="AN540" s="230" t="n">
        <f aca="false">Таблица310[[#This Row],[Площадь уборки до корр]]-Таблица310[[#This Row],[Площадь уборки, га]]</f>
        <v>0</v>
      </c>
      <c r="AQ540" s="0" t="s">
        <v>1128</v>
      </c>
      <c r="AR540" s="0" t="s">
        <v>995</v>
      </c>
      <c r="AS540" s="0" t="n">
        <v>2.12014215292904</v>
      </c>
      <c r="AT540" s="0" t="s">
        <v>279</v>
      </c>
      <c r="XFD540" s="198"/>
    </row>
    <row r="541" customFormat="false" ht="19.4" hidden="false" customHeight="false" outlineLevel="0" collapsed="false">
      <c r="A541" s="198"/>
      <c r="B541" s="224"/>
      <c r="C541" s="198" t="n">
        <v>61</v>
      </c>
      <c r="D541" s="223" t="s">
        <v>1129</v>
      </c>
      <c r="E541" s="248" t="n">
        <v>45842</v>
      </c>
      <c r="F541" s="226" t="n">
        <v>27020</v>
      </c>
      <c r="G541" s="223" t="n">
        <v>13170</v>
      </c>
      <c r="H541" s="198" t="n">
        <v>13850</v>
      </c>
      <c r="I541" s="198" t="n">
        <v>12050.5</v>
      </c>
      <c r="J541" s="198" t="s">
        <v>994</v>
      </c>
      <c r="K541" s="189" t="s">
        <v>1061</v>
      </c>
      <c r="L541" s="198" t="s">
        <v>995</v>
      </c>
      <c r="M541" s="198" t="s">
        <v>359</v>
      </c>
      <c r="N541" s="198"/>
      <c r="O541" s="198"/>
      <c r="P541" s="198"/>
      <c r="Q541" s="198"/>
      <c r="R541" s="198" t="s">
        <v>426</v>
      </c>
      <c r="S541" s="230"/>
      <c r="T541" s="198" t="s">
        <v>995</v>
      </c>
      <c r="U541" s="198" t="str">
        <f aca="false">Таблица310[[#This Row],[Регистратор.Номенклатура]]</f>
        <v>Парус</v>
      </c>
      <c r="V541" s="230" t="n">
        <f aca="false">14*Таблица310[[#This Row],[Регистратор.Вес нетто]]/87230</f>
        <v>2.11372234323054</v>
      </c>
      <c r="W541" s="198" t="s">
        <v>279</v>
      </c>
      <c r="X541" s="198" t="s">
        <v>315</v>
      </c>
      <c r="Y541" s="198" t="n">
        <v>11</v>
      </c>
      <c r="Z541" s="200" t="n">
        <v>45841</v>
      </c>
      <c r="AA541" s="198"/>
      <c r="AB541" s="198"/>
      <c r="AC541" s="198" t="s">
        <v>302</v>
      </c>
      <c r="AD541" s="198" t="s">
        <v>417</v>
      </c>
      <c r="AE541" s="198" t="s">
        <v>1129</v>
      </c>
      <c r="AF541" s="200" t="n">
        <v>45842</v>
      </c>
      <c r="AG541" s="198" t="n">
        <v>93</v>
      </c>
      <c r="AH541" s="198" t="n">
        <f aca="false">VLOOKUP(Таблица310[[#This Row],[№ акта]],'Степень зрелости 2025'!$H$13:$I$583,2,FALSE())</f>
        <v>61</v>
      </c>
      <c r="AI541" s="198" t="str">
        <f aca="false">VLOOKUP(Таблица310[[#This Row],[№ акта]],$AQ$1:$AT$594,2,FALSE())</f>
        <v>4.1</v>
      </c>
      <c r="AJ541" s="198" t="str">
        <f aca="false">Таблица310[[#This Row],[Регистратор.Номенклатура]]</f>
        <v>Парус</v>
      </c>
      <c r="AK541" s="198" t="str">
        <f aca="false">VLOOKUP(Таблица310[[#This Row],[№ акта]],$AQ$1:$AT$594,4,FALSE())</f>
        <v>Колос (полив)</v>
      </c>
      <c r="AL541" s="230" t="n">
        <f aca="false">VLOOKUP(Таблица310[[#This Row],[№ акта]],$AQ$1:$AT$594,3,FALSE())</f>
        <v>2.11372234323054</v>
      </c>
      <c r="AM541" s="198" t="str">
        <f aca="false">IF(Таблица310[[#This Row],[Площадь уборки, га]]=Таблица310[[#This Row],[Площадь уборки до корр]],"нет","да")</f>
        <v>нет</v>
      </c>
      <c r="AN541" s="230" t="n">
        <f aca="false">Таблица310[[#This Row],[Площадь уборки до корр]]-Таблица310[[#This Row],[Площадь уборки, га]]</f>
        <v>0</v>
      </c>
      <c r="AQ541" s="0" t="s">
        <v>1129</v>
      </c>
      <c r="AR541" s="0" t="s">
        <v>995</v>
      </c>
      <c r="AS541" s="0" t="n">
        <v>2.11372234323054</v>
      </c>
      <c r="AT541" s="0" t="s">
        <v>279</v>
      </c>
      <c r="XFD541" s="198"/>
    </row>
    <row r="542" customFormat="false" ht="28.35" hidden="false" customHeight="false" outlineLevel="0" collapsed="false">
      <c r="A542" s="198"/>
      <c r="B542" s="224"/>
      <c r="C542" s="198" t="n">
        <v>60</v>
      </c>
      <c r="D542" s="223" t="s">
        <v>1130</v>
      </c>
      <c r="E542" s="248" t="n">
        <v>45842</v>
      </c>
      <c r="F542" s="226" t="n">
        <v>28770</v>
      </c>
      <c r="G542" s="223" t="n">
        <v>13230</v>
      </c>
      <c r="H542" s="198" t="n">
        <v>15540</v>
      </c>
      <c r="I542" s="198" t="n">
        <v>11708.5</v>
      </c>
      <c r="J542" s="198" t="s">
        <v>994</v>
      </c>
      <c r="K542" s="189" t="s">
        <v>1061</v>
      </c>
      <c r="L542" s="198" t="s">
        <v>995</v>
      </c>
      <c r="M542" s="198" t="s">
        <v>472</v>
      </c>
      <c r="N542" s="198"/>
      <c r="O542" s="198"/>
      <c r="P542" s="198"/>
      <c r="Q542" s="198"/>
      <c r="R542" s="198" t="s">
        <v>476</v>
      </c>
      <c r="S542" s="230"/>
      <c r="T542" s="198" t="s">
        <v>995</v>
      </c>
      <c r="U542" s="198" t="str">
        <f aca="false">Таблица310[[#This Row],[Регистратор.Номенклатура]]</f>
        <v>Парус</v>
      </c>
      <c r="V542" s="230" t="n">
        <f aca="false">14*Таблица310[[#This Row],[Регистратор.Вес нетто]]/87230</f>
        <v>2.12335205777829</v>
      </c>
      <c r="W542" s="198" t="s">
        <v>279</v>
      </c>
      <c r="X542" s="198" t="s">
        <v>315</v>
      </c>
      <c r="Y542" s="198" t="n">
        <v>11</v>
      </c>
      <c r="Z542" s="200" t="n">
        <v>45841</v>
      </c>
      <c r="AA542" s="198"/>
      <c r="AB542" s="198"/>
      <c r="AC542" s="198" t="s">
        <v>302</v>
      </c>
      <c r="AD542" s="198" t="s">
        <v>417</v>
      </c>
      <c r="AE542" s="198" t="s">
        <v>1130</v>
      </c>
      <c r="AF542" s="200" t="n">
        <v>45842</v>
      </c>
      <c r="AG542" s="198" t="n">
        <v>94</v>
      </c>
      <c r="AH542" s="198" t="n">
        <f aca="false">VLOOKUP(Таблица310[[#This Row],[№ акта]],'Степень зрелости 2025'!$H$13:$I$583,2,FALSE())</f>
        <v>60</v>
      </c>
      <c r="AI542" s="198" t="str">
        <f aca="false">VLOOKUP(Таблица310[[#This Row],[№ акта]],$AQ$1:$AT$594,2,FALSE())</f>
        <v>4.1</v>
      </c>
      <c r="AJ542" s="198" t="str">
        <f aca="false">Таблица310[[#This Row],[Регистратор.Номенклатура]]</f>
        <v>Парус</v>
      </c>
      <c r="AK542" s="198" t="str">
        <f aca="false">VLOOKUP(Таблица310[[#This Row],[№ акта]],$AQ$1:$AT$594,4,FALSE())</f>
        <v>Колос (полив)</v>
      </c>
      <c r="AL542" s="230" t="n">
        <f aca="false">VLOOKUP(Таблица310[[#This Row],[№ акта]],$AQ$1:$AT$594,3,FALSE())</f>
        <v>2.12335205777829</v>
      </c>
      <c r="AM542" s="198" t="str">
        <f aca="false">IF(Таблица310[[#This Row],[Площадь уборки, га]]=Таблица310[[#This Row],[Площадь уборки до корр]],"нет","да")</f>
        <v>нет</v>
      </c>
      <c r="AN542" s="230" t="n">
        <f aca="false">Таблица310[[#This Row],[Площадь уборки до корр]]-Таблица310[[#This Row],[Площадь уборки, га]]</f>
        <v>0</v>
      </c>
      <c r="AQ542" s="0" t="s">
        <v>1130</v>
      </c>
      <c r="AR542" s="0" t="s">
        <v>995</v>
      </c>
      <c r="AS542" s="0" t="n">
        <v>2.12335205777829</v>
      </c>
      <c r="AT542" s="0" t="s">
        <v>279</v>
      </c>
      <c r="XFD542" s="198"/>
    </row>
    <row r="543" customFormat="false" ht="19.4" hidden="false" customHeight="false" outlineLevel="0" collapsed="false">
      <c r="A543" s="198"/>
      <c r="B543" s="224"/>
      <c r="C543" s="198" t="n">
        <v>61</v>
      </c>
      <c r="D543" s="223" t="s">
        <v>1131</v>
      </c>
      <c r="E543" s="248" t="n">
        <v>45842</v>
      </c>
      <c r="F543" s="226" t="n">
        <v>28900</v>
      </c>
      <c r="G543" s="223" t="n">
        <v>13300</v>
      </c>
      <c r="H543" s="198" t="n">
        <v>15600</v>
      </c>
      <c r="I543" s="198" t="n">
        <v>11970</v>
      </c>
      <c r="J543" s="198" t="s">
        <v>994</v>
      </c>
      <c r="K543" s="189" t="s">
        <v>1061</v>
      </c>
      <c r="L543" s="198" t="s">
        <v>995</v>
      </c>
      <c r="M543" s="198" t="s">
        <v>445</v>
      </c>
      <c r="N543" s="198"/>
      <c r="O543" s="198"/>
      <c r="P543" s="198"/>
      <c r="Q543" s="198"/>
      <c r="R543" s="198" t="s">
        <v>449</v>
      </c>
      <c r="S543" s="230"/>
      <c r="T543" s="198" t="s">
        <v>995</v>
      </c>
      <c r="U543" s="198" t="str">
        <f aca="false">Таблица310[[#This Row],[Регистратор.Номенклатура]]</f>
        <v>Парус</v>
      </c>
      <c r="V543" s="230" t="n">
        <f aca="false">14*Таблица310[[#This Row],[Регистратор.Вес нетто]]/87230</f>
        <v>2.13458672475066</v>
      </c>
      <c r="W543" s="198" t="s">
        <v>279</v>
      </c>
      <c r="X543" s="198" t="s">
        <v>315</v>
      </c>
      <c r="Y543" s="198" t="n">
        <v>11</v>
      </c>
      <c r="Z543" s="200" t="n">
        <v>45841</v>
      </c>
      <c r="AA543" s="198"/>
      <c r="AB543" s="198"/>
      <c r="AC543" s="198" t="s">
        <v>302</v>
      </c>
      <c r="AD543" s="198" t="s">
        <v>417</v>
      </c>
      <c r="AE543" s="198" t="s">
        <v>1131</v>
      </c>
      <c r="AF543" s="200" t="n">
        <v>45842</v>
      </c>
      <c r="AG543" s="198" t="n">
        <v>97</v>
      </c>
      <c r="AH543" s="198" t="n">
        <f aca="false">VLOOKUP(Таблица310[[#This Row],[№ акта]],'Степень зрелости 2025'!$H$13:$I$583,2,FALSE())</f>
        <v>61</v>
      </c>
      <c r="AI543" s="198" t="str">
        <f aca="false">VLOOKUP(Таблица310[[#This Row],[№ акта]],$AQ$1:$AT$594,2,FALSE())</f>
        <v>4.1</v>
      </c>
      <c r="AJ543" s="198" t="str">
        <f aca="false">Таблица310[[#This Row],[Регистратор.Номенклатура]]</f>
        <v>Парус</v>
      </c>
      <c r="AK543" s="198" t="str">
        <f aca="false">VLOOKUP(Таблица310[[#This Row],[№ акта]],$AQ$1:$AT$594,4,FALSE())</f>
        <v>Колос (полив)</v>
      </c>
      <c r="AL543" s="230" t="n">
        <f aca="false">VLOOKUP(Таблица310[[#This Row],[№ акта]],$AQ$1:$AT$594,3,FALSE())</f>
        <v>2.13458672475066</v>
      </c>
      <c r="AM543" s="198" t="str">
        <f aca="false">IF(Таблица310[[#This Row],[Площадь уборки, га]]=Таблица310[[#This Row],[Площадь уборки до корр]],"нет","да")</f>
        <v>нет</v>
      </c>
      <c r="AN543" s="230" t="n">
        <f aca="false">Таблица310[[#This Row],[Площадь уборки до корр]]-Таблица310[[#This Row],[Площадь уборки, га]]</f>
        <v>0</v>
      </c>
      <c r="AQ543" s="0" t="s">
        <v>1131</v>
      </c>
      <c r="AR543" s="0" t="s">
        <v>995</v>
      </c>
      <c r="AS543" s="0" t="n">
        <v>2.13458672475066</v>
      </c>
      <c r="AT543" s="0" t="s">
        <v>279</v>
      </c>
      <c r="XFD543" s="198"/>
    </row>
    <row r="544" customFormat="false" ht="28.35" hidden="false" customHeight="false" outlineLevel="0" collapsed="false">
      <c r="A544" s="198"/>
      <c r="B544" s="224"/>
      <c r="C544" s="198" t="n">
        <v>63</v>
      </c>
      <c r="D544" s="223" t="s">
        <v>1132</v>
      </c>
      <c r="E544" s="248" t="n">
        <v>45842</v>
      </c>
      <c r="F544" s="226" t="n">
        <v>28050</v>
      </c>
      <c r="G544" s="223" t="n">
        <v>13150</v>
      </c>
      <c r="H544" s="198" t="n">
        <v>14900</v>
      </c>
      <c r="I544" s="198" t="n">
        <v>11637.7</v>
      </c>
      <c r="J544" s="198" t="s">
        <v>994</v>
      </c>
      <c r="K544" s="189" t="s">
        <v>1061</v>
      </c>
      <c r="L544" s="198" t="s">
        <v>995</v>
      </c>
      <c r="M544" s="198" t="s">
        <v>553</v>
      </c>
      <c r="N544" s="198"/>
      <c r="O544" s="198"/>
      <c r="P544" s="198"/>
      <c r="Q544" s="198"/>
      <c r="R544" s="198" t="s">
        <v>557</v>
      </c>
      <c r="S544" s="230"/>
      <c r="T544" s="198" t="s">
        <v>995</v>
      </c>
      <c r="U544" s="198" t="str">
        <f aca="false">Таблица310[[#This Row],[Регистратор.Номенклатура]]</f>
        <v>Парус</v>
      </c>
      <c r="V544" s="230" t="n">
        <f aca="false">14*Таблица310[[#This Row],[Регистратор.Вес нетто]]/87230</f>
        <v>2.11051243838129</v>
      </c>
      <c r="W544" s="198" t="s">
        <v>279</v>
      </c>
      <c r="X544" s="198" t="s">
        <v>315</v>
      </c>
      <c r="Y544" s="198" t="n">
        <v>11</v>
      </c>
      <c r="Z544" s="200" t="n">
        <v>45841</v>
      </c>
      <c r="AA544" s="198"/>
      <c r="AB544" s="198"/>
      <c r="AC544" s="198" t="s">
        <v>302</v>
      </c>
      <c r="AD544" s="198" t="s">
        <v>417</v>
      </c>
      <c r="AE544" s="198" t="s">
        <v>1132</v>
      </c>
      <c r="AF544" s="200" t="n">
        <v>45842</v>
      </c>
      <c r="AG544" s="198" t="n">
        <v>96</v>
      </c>
      <c r="AH544" s="198" t="n">
        <f aca="false">VLOOKUP(Таблица310[[#This Row],[№ акта]],'Степень зрелости 2025'!$H$13:$I$583,2,FALSE())</f>
        <v>63</v>
      </c>
      <c r="AI544" s="198" t="str">
        <f aca="false">VLOOKUP(Таблица310[[#This Row],[№ акта]],$AQ$1:$AT$594,2,FALSE())</f>
        <v>4.1</v>
      </c>
      <c r="AJ544" s="198" t="str">
        <f aca="false">Таблица310[[#This Row],[Регистратор.Номенклатура]]</f>
        <v>Парус</v>
      </c>
      <c r="AK544" s="198" t="str">
        <f aca="false">VLOOKUP(Таблица310[[#This Row],[№ акта]],$AQ$1:$AT$594,4,FALSE())</f>
        <v>Колос (полив)</v>
      </c>
      <c r="AL544" s="230" t="n">
        <f aca="false">VLOOKUP(Таблица310[[#This Row],[№ акта]],$AQ$1:$AT$594,3,FALSE())</f>
        <v>2.11051243838129</v>
      </c>
      <c r="AM544" s="198" t="str">
        <f aca="false">IF(Таблица310[[#This Row],[Площадь уборки, га]]=Таблица310[[#This Row],[Площадь уборки до корр]],"нет","да")</f>
        <v>нет</v>
      </c>
      <c r="AN544" s="230" t="n">
        <f aca="false">Таблица310[[#This Row],[Площадь уборки до корр]]-Таблица310[[#This Row],[Площадь уборки, га]]</f>
        <v>0</v>
      </c>
      <c r="AQ544" s="0" t="s">
        <v>1132</v>
      </c>
      <c r="AR544" s="0" t="s">
        <v>995</v>
      </c>
      <c r="AS544" s="0" t="n">
        <v>2.11051243838129</v>
      </c>
      <c r="AT544" s="0" t="s">
        <v>279</v>
      </c>
      <c r="XFD544" s="198"/>
    </row>
    <row r="545" customFormat="false" ht="28.35" hidden="false" customHeight="false" outlineLevel="0" collapsed="false">
      <c r="A545" s="198"/>
      <c r="B545" s="224"/>
      <c r="C545" s="198" t="n">
        <v>61</v>
      </c>
      <c r="D545" s="223" t="s">
        <v>1133</v>
      </c>
      <c r="E545" s="248" t="n">
        <v>45842</v>
      </c>
      <c r="F545" s="226" t="n">
        <v>28060</v>
      </c>
      <c r="G545" s="223" t="n">
        <v>13100</v>
      </c>
      <c r="H545" s="198" t="n">
        <v>14960</v>
      </c>
      <c r="I545" s="198" t="n">
        <v>12117.5</v>
      </c>
      <c r="J545" s="198" t="s">
        <v>994</v>
      </c>
      <c r="K545" s="189" t="s">
        <v>1061</v>
      </c>
      <c r="L545" s="198" t="s">
        <v>995</v>
      </c>
      <c r="M545" s="198" t="s">
        <v>1086</v>
      </c>
      <c r="N545" s="198"/>
      <c r="O545" s="198"/>
      <c r="P545" s="198"/>
      <c r="Q545" s="198"/>
      <c r="R545" s="198" t="s">
        <v>1087</v>
      </c>
      <c r="S545" s="230"/>
      <c r="T545" s="198" t="s">
        <v>995</v>
      </c>
      <c r="U545" s="198" t="str">
        <f aca="false">Таблица310[[#This Row],[Регистратор.Номенклатура]]</f>
        <v>Парус</v>
      </c>
      <c r="V545" s="230" t="n">
        <f aca="false">14*Таблица310[[#This Row],[Регистратор.Вес нетто]]/87230</f>
        <v>2.10248767625817</v>
      </c>
      <c r="W545" s="198" t="s">
        <v>279</v>
      </c>
      <c r="X545" s="198" t="s">
        <v>315</v>
      </c>
      <c r="Y545" s="198" t="n">
        <v>11</v>
      </c>
      <c r="Z545" s="200" t="n">
        <v>45841</v>
      </c>
      <c r="AA545" s="198"/>
      <c r="AB545" s="198"/>
      <c r="AC545" s="198" t="s">
        <v>302</v>
      </c>
      <c r="AD545" s="198" t="s">
        <v>417</v>
      </c>
      <c r="AE545" s="198" t="s">
        <v>1133</v>
      </c>
      <c r="AF545" s="200" t="n">
        <v>45842</v>
      </c>
      <c r="AG545" s="198" t="n">
        <v>99</v>
      </c>
      <c r="AH545" s="198" t="n">
        <f aca="false">VLOOKUP(Таблица310[[#This Row],[№ акта]],'Степень зрелости 2025'!$H$13:$I$583,2,FALSE())</f>
        <v>61</v>
      </c>
      <c r="AI545" s="198" t="str">
        <f aca="false">VLOOKUP(Таблица310[[#This Row],[№ акта]],$AQ$1:$AT$594,2,FALSE())</f>
        <v>4.1</v>
      </c>
      <c r="AJ545" s="198" t="str">
        <f aca="false">Таблица310[[#This Row],[Регистратор.Номенклатура]]</f>
        <v>Парус</v>
      </c>
      <c r="AK545" s="198" t="str">
        <f aca="false">VLOOKUP(Таблица310[[#This Row],[№ акта]],$AQ$1:$AT$594,4,FALSE())</f>
        <v>Колос (полив)</v>
      </c>
      <c r="AL545" s="230" t="n">
        <f aca="false">VLOOKUP(Таблица310[[#This Row],[№ акта]],$AQ$1:$AT$594,3,FALSE())</f>
        <v>2.10248767625817</v>
      </c>
      <c r="AM545" s="198" t="str">
        <f aca="false">IF(Таблица310[[#This Row],[Площадь уборки, га]]=Таблица310[[#This Row],[Площадь уборки до корр]],"нет","да")</f>
        <v>нет</v>
      </c>
      <c r="AN545" s="230" t="n">
        <f aca="false">Таблица310[[#This Row],[Площадь уборки до корр]]-Таблица310[[#This Row],[Площадь уборки, га]]</f>
        <v>0</v>
      </c>
      <c r="AQ545" s="0" t="s">
        <v>1133</v>
      </c>
      <c r="AR545" s="0" t="s">
        <v>995</v>
      </c>
      <c r="AS545" s="0" t="n">
        <v>2.10248767625817</v>
      </c>
      <c r="AT545" s="0" t="s">
        <v>279</v>
      </c>
      <c r="XFD545" s="198"/>
    </row>
    <row r="546" customFormat="false" ht="19.4" hidden="false" customHeight="false" outlineLevel="0" collapsed="false">
      <c r="A546" s="198"/>
      <c r="B546" s="224"/>
      <c r="C546" s="198" t="n">
        <v>59</v>
      </c>
      <c r="D546" s="223" t="s">
        <v>1134</v>
      </c>
      <c r="E546" s="248" t="n">
        <v>45842</v>
      </c>
      <c r="F546" s="226" t="n">
        <v>28210</v>
      </c>
      <c r="G546" s="223" t="n">
        <v>13550</v>
      </c>
      <c r="H546" s="198" t="n">
        <v>14660</v>
      </c>
      <c r="I546" s="198" t="n">
        <v>12330.5</v>
      </c>
      <c r="J546" s="198" t="s">
        <v>994</v>
      </c>
      <c r="K546" s="189" t="s">
        <v>1061</v>
      </c>
      <c r="L546" s="198" t="s">
        <v>995</v>
      </c>
      <c r="M546" s="198" t="s">
        <v>547</v>
      </c>
      <c r="N546" s="198"/>
      <c r="O546" s="198"/>
      <c r="P546" s="198"/>
      <c r="Q546" s="198"/>
      <c r="R546" s="198" t="s">
        <v>551</v>
      </c>
      <c r="S546" s="230"/>
      <c r="T546" s="198" t="s">
        <v>995</v>
      </c>
      <c r="U546" s="198" t="str">
        <f aca="false">Таблица310[[#This Row],[Регистратор.Номенклатура]]</f>
        <v>Парус</v>
      </c>
      <c r="V546" s="230" t="n">
        <v>2</v>
      </c>
      <c r="W546" s="198" t="s">
        <v>279</v>
      </c>
      <c r="X546" s="198" t="s">
        <v>315</v>
      </c>
      <c r="Y546" s="198" t="n">
        <v>12</v>
      </c>
      <c r="Z546" s="200" t="n">
        <v>45842</v>
      </c>
      <c r="AA546" s="198"/>
      <c r="AB546" s="198"/>
      <c r="AC546" s="198" t="s">
        <v>302</v>
      </c>
      <c r="AD546" s="198" t="s">
        <v>417</v>
      </c>
      <c r="AE546" s="198" t="s">
        <v>1134</v>
      </c>
      <c r="AF546" s="200" t="n">
        <v>45842</v>
      </c>
      <c r="AG546" s="198" t="n">
        <v>98</v>
      </c>
      <c r="AH546" s="198" t="n">
        <f aca="false">VLOOKUP(Таблица310[[#This Row],[№ акта]],'Степень зрелости 2025'!$H$13:$I$583,2,FALSE())</f>
        <v>59</v>
      </c>
      <c r="AI546" s="198" t="str">
        <f aca="false">VLOOKUP(Таблица310[[#This Row],[№ акта]],$AQ$1:$AT$594,2,FALSE())</f>
        <v>4.1</v>
      </c>
      <c r="AJ546" s="198" t="str">
        <f aca="false">Таблица310[[#This Row],[Регистратор.Номенклатура]]</f>
        <v>Парус</v>
      </c>
      <c r="AK546" s="198" t="str">
        <f aca="false">VLOOKUP(Таблица310[[#This Row],[№ акта]],$AQ$1:$AT$594,4,FALSE())</f>
        <v>Колос (полив)</v>
      </c>
      <c r="AL546" s="230" t="n">
        <f aca="false">VLOOKUP(Таблица310[[#This Row],[№ акта]],$AQ$1:$AT$594,3,FALSE())</f>
        <v>2</v>
      </c>
      <c r="AM546" s="198" t="str">
        <f aca="false">IF(Таблица310[[#This Row],[Площадь уборки, га]]=Таблица310[[#This Row],[Площадь уборки до корр]],"нет","да")</f>
        <v>нет</v>
      </c>
      <c r="AN546" s="230" t="n">
        <f aca="false">Таблица310[[#This Row],[Площадь уборки до корр]]-Таблица310[[#This Row],[Площадь уборки, га]]</f>
        <v>0</v>
      </c>
      <c r="AQ546" s="0" t="s">
        <v>1134</v>
      </c>
      <c r="AR546" s="0" t="s">
        <v>995</v>
      </c>
      <c r="AS546" s="0" t="n">
        <v>2</v>
      </c>
      <c r="AT546" s="0" t="s">
        <v>279</v>
      </c>
      <c r="XFD546" s="198"/>
    </row>
    <row r="547" customFormat="false" ht="19.4" hidden="false" customHeight="false" outlineLevel="0" collapsed="false">
      <c r="A547" s="198"/>
      <c r="B547" s="224"/>
      <c r="C547" s="198" t="n">
        <v>55</v>
      </c>
      <c r="D547" s="223" t="s">
        <v>1135</v>
      </c>
      <c r="E547" s="248" t="n">
        <v>45842</v>
      </c>
      <c r="F547" s="226" t="n">
        <v>28990</v>
      </c>
      <c r="G547" s="223" t="n">
        <v>13910</v>
      </c>
      <c r="H547" s="198" t="n">
        <v>15080</v>
      </c>
      <c r="I547" s="198" t="n">
        <v>11475.7</v>
      </c>
      <c r="J547" s="198" t="s">
        <v>994</v>
      </c>
      <c r="K547" s="189" t="s">
        <v>904</v>
      </c>
      <c r="L547" s="198" t="s">
        <v>1103</v>
      </c>
      <c r="M547" s="198" t="s">
        <v>451</v>
      </c>
      <c r="N547" s="198"/>
      <c r="O547" s="198"/>
      <c r="P547" s="198"/>
      <c r="Q547" s="198"/>
      <c r="R547" s="198" t="s">
        <v>455</v>
      </c>
      <c r="S547" s="230"/>
      <c r="T547" s="198" t="s">
        <v>1103</v>
      </c>
      <c r="U547" s="198" t="str">
        <f aca="false">Таблица310[[#This Row],[Регистратор.Номенклатура]]</f>
        <v>Тристар</v>
      </c>
      <c r="V547" s="230" t="n">
        <f aca="false">11.7*Таблица310[[#This Row],[Регистратор.Вес нетто]]/112950</f>
        <v>1.4408764940239</v>
      </c>
      <c r="W547" s="198" t="s">
        <v>279</v>
      </c>
      <c r="X547" s="198" t="s">
        <v>315</v>
      </c>
      <c r="Y547" s="198" t="n">
        <v>12</v>
      </c>
      <c r="Z547" s="200" t="n">
        <v>45842</v>
      </c>
      <c r="AA547" s="198"/>
      <c r="AB547" s="198" t="s">
        <v>1127</v>
      </c>
      <c r="AC547" s="198" t="s">
        <v>302</v>
      </c>
      <c r="AD547" s="198" t="s">
        <v>417</v>
      </c>
      <c r="AE547" s="198" t="s">
        <v>1135</v>
      </c>
      <c r="AF547" s="200" t="n">
        <v>45842</v>
      </c>
      <c r="AG547" s="198" t="n">
        <v>100</v>
      </c>
      <c r="AH547" s="198" t="n">
        <f aca="false">VLOOKUP(Таблица310[[#This Row],[№ акта]],'Степень зрелости 2025'!$H$13:$I$583,2,FALSE())</f>
        <v>55</v>
      </c>
      <c r="AI547" s="198" t="str">
        <f aca="false">VLOOKUP(Таблица310[[#This Row],[№ акта]],$AQ$1:$AT$594,2,FALSE())</f>
        <v>4.2</v>
      </c>
      <c r="AJ547" s="198" t="str">
        <f aca="false">Таблица310[[#This Row],[Регистратор.Номенклатура]]</f>
        <v>Тристар</v>
      </c>
      <c r="AK547" s="198" t="str">
        <f aca="false">VLOOKUP(Таблица310[[#This Row],[№ акта]],$AQ$1:$AT$594,4,FALSE())</f>
        <v>Колос (полив)</v>
      </c>
      <c r="AL547" s="230" t="n">
        <f aca="false">VLOOKUP(Таблица310[[#This Row],[№ акта]],$AQ$1:$AT$594,3,FALSE())</f>
        <v>1.91915726671017</v>
      </c>
      <c r="AM547" s="198" t="str">
        <f aca="false">IF(Таблица310[[#This Row],[Площадь уборки, га]]=Таблица310[[#This Row],[Площадь уборки до корр]],"нет","да")</f>
        <v>да</v>
      </c>
      <c r="AN547" s="230" t="n">
        <f aca="false">Таблица310[[#This Row],[Площадь уборки до корр]]-Таблица310[[#This Row],[Площадь уборки, га]]</f>
        <v>0.478280772686266</v>
      </c>
      <c r="AQ547" s="0" t="s">
        <v>1135</v>
      </c>
      <c r="AR547" s="0" t="s">
        <v>1103</v>
      </c>
      <c r="AS547" s="0" t="n">
        <v>1.91915726671017</v>
      </c>
      <c r="AT547" s="0" t="s">
        <v>279</v>
      </c>
      <c r="XFD547" s="198"/>
    </row>
    <row r="548" customFormat="false" ht="19.4" hidden="false" customHeight="false" outlineLevel="0" collapsed="false">
      <c r="A548" s="198"/>
      <c r="B548" s="224"/>
      <c r="C548" s="198" t="n">
        <v>62</v>
      </c>
      <c r="D548" s="223" t="s">
        <v>1136</v>
      </c>
      <c r="E548" s="248" t="n">
        <v>45842</v>
      </c>
      <c r="F548" s="226" t="n">
        <v>37840</v>
      </c>
      <c r="G548" s="223" t="n">
        <v>13770</v>
      </c>
      <c r="H548" s="198" t="n">
        <v>24070</v>
      </c>
      <c r="I548" s="198" t="n">
        <v>12048.7</v>
      </c>
      <c r="J548" s="198" t="s">
        <v>994</v>
      </c>
      <c r="K548" s="189" t="s">
        <v>904</v>
      </c>
      <c r="L548" s="198" t="s">
        <v>1103</v>
      </c>
      <c r="M548" s="198" t="s">
        <v>1092</v>
      </c>
      <c r="N548" s="198"/>
      <c r="O548" s="198"/>
      <c r="P548" s="198"/>
      <c r="Q548" s="198"/>
      <c r="R548" s="198" t="s">
        <v>1093</v>
      </c>
      <c r="S548" s="230"/>
      <c r="T548" s="198" t="s">
        <v>1103</v>
      </c>
      <c r="U548" s="198" t="str">
        <f aca="false">Таблица310[[#This Row],[Регистратор.Номенклатура]]</f>
        <v>Тристар</v>
      </c>
      <c r="V548" s="230" t="n">
        <f aca="false">11.7*Таблица310[[#This Row],[Регистратор.Вес нетто]]/112950</f>
        <v>1.42637450199203</v>
      </c>
      <c r="W548" s="198" t="s">
        <v>279</v>
      </c>
      <c r="X548" s="198" t="s">
        <v>315</v>
      </c>
      <c r="Y548" s="198" t="n">
        <v>12</v>
      </c>
      <c r="Z548" s="200" t="n">
        <v>45842</v>
      </c>
      <c r="AA548" s="198"/>
      <c r="AB548" s="198" t="s">
        <v>1127</v>
      </c>
      <c r="AC548" s="198" t="s">
        <v>302</v>
      </c>
      <c r="AD548" s="198" t="s">
        <v>417</v>
      </c>
      <c r="AE548" s="198" t="s">
        <v>1136</v>
      </c>
      <c r="AF548" s="200" t="n">
        <v>45842</v>
      </c>
      <c r="AG548" s="198" t="n">
        <v>101</v>
      </c>
      <c r="AH548" s="198" t="n">
        <f aca="false">VLOOKUP(Таблица310[[#This Row],[№ акта]],'Степень зрелости 2025'!$H$13:$I$583,2,FALSE())</f>
        <v>62</v>
      </c>
      <c r="AI548" s="198" t="str">
        <f aca="false">VLOOKUP(Таблица310[[#This Row],[№ акта]],$AQ$1:$AT$594,2,FALSE())</f>
        <v>4.2</v>
      </c>
      <c r="AJ548" s="198" t="str">
        <f aca="false">Таблица310[[#This Row],[Регистратор.Номенклатура]]</f>
        <v>Тристар</v>
      </c>
      <c r="AK548" s="198" t="str">
        <f aca="false">VLOOKUP(Таблица310[[#This Row],[№ акта]],$AQ$1:$AT$594,4,FALSE())</f>
        <v>Колос (полив)</v>
      </c>
      <c r="AL548" s="230" t="n">
        <f aca="false">VLOOKUP(Таблица310[[#This Row],[№ акта]],$AQ$1:$AT$594,3,FALSE())</f>
        <v>1.89984152139461</v>
      </c>
      <c r="AM548" s="198" t="str">
        <f aca="false">IF(Таблица310[[#This Row],[Площадь уборки, га]]=Таблица310[[#This Row],[Площадь уборки до корр]],"нет","да")</f>
        <v>да</v>
      </c>
      <c r="AN548" s="230" t="n">
        <f aca="false">Таблица310[[#This Row],[Площадь уборки до корр]]-Таблица310[[#This Row],[Площадь уборки, га]]</f>
        <v>0.47346701940258</v>
      </c>
      <c r="AQ548" s="0" t="s">
        <v>1136</v>
      </c>
      <c r="AR548" s="0" t="s">
        <v>1103</v>
      </c>
      <c r="AS548" s="0" t="n">
        <v>1.89984152139461</v>
      </c>
      <c r="AT548" s="0" t="s">
        <v>279</v>
      </c>
      <c r="XFD548" s="198"/>
    </row>
    <row r="549" customFormat="false" ht="19.4" hidden="false" customHeight="false" outlineLevel="0" collapsed="false">
      <c r="A549" s="198"/>
      <c r="B549" s="224"/>
      <c r="C549" s="198" t="n">
        <v>61</v>
      </c>
      <c r="D549" s="223" t="s">
        <v>1137</v>
      </c>
      <c r="E549" s="248" t="n">
        <v>45842</v>
      </c>
      <c r="F549" s="226" t="n">
        <v>29440</v>
      </c>
      <c r="G549" s="223" t="n">
        <v>13870</v>
      </c>
      <c r="H549" s="198" t="n">
        <v>15570</v>
      </c>
      <c r="I549" s="198" t="n">
        <v>12274.9</v>
      </c>
      <c r="J549" s="198" t="s">
        <v>994</v>
      </c>
      <c r="K549" s="189" t="s">
        <v>904</v>
      </c>
      <c r="L549" s="198" t="s">
        <v>1103</v>
      </c>
      <c r="M549" s="198" t="s">
        <v>1095</v>
      </c>
      <c r="N549" s="198"/>
      <c r="O549" s="198"/>
      <c r="P549" s="198"/>
      <c r="Q549" s="198"/>
      <c r="R549" s="198" t="s">
        <v>1096</v>
      </c>
      <c r="S549" s="230"/>
      <c r="T549" s="198" t="s">
        <v>1103</v>
      </c>
      <c r="U549" s="198" t="str">
        <f aca="false">Таблица310[[#This Row],[Регистратор.Номенклатура]]</f>
        <v>Тристар</v>
      </c>
      <c r="V549" s="230" t="n">
        <f aca="false">11.7*Таблица310[[#This Row],[Регистратор.Вес нетто]]/112950</f>
        <v>1.43673306772908</v>
      </c>
      <c r="W549" s="198" t="s">
        <v>279</v>
      </c>
      <c r="X549" s="198" t="s">
        <v>315</v>
      </c>
      <c r="Y549" s="198" t="n">
        <v>12</v>
      </c>
      <c r="Z549" s="200" t="n">
        <v>45842</v>
      </c>
      <c r="AA549" s="198"/>
      <c r="AB549" s="198" t="s">
        <v>1127</v>
      </c>
      <c r="AC549" s="198" t="s">
        <v>302</v>
      </c>
      <c r="AD549" s="198" t="s">
        <v>417</v>
      </c>
      <c r="AE549" s="198" t="s">
        <v>1137</v>
      </c>
      <c r="AF549" s="200" t="n">
        <v>45842</v>
      </c>
      <c r="AG549" s="198" t="n">
        <v>102</v>
      </c>
      <c r="AH549" s="198" t="n">
        <f aca="false">VLOOKUP(Таблица310[[#This Row],[№ акта]],'Степень зрелости 2025'!$H$13:$I$583,2,FALSE())</f>
        <v>61</v>
      </c>
      <c r="AI549" s="198" t="str">
        <f aca="false">VLOOKUP(Таблица310[[#This Row],[№ акта]],$AQ$1:$AT$594,2,FALSE())</f>
        <v>4.2</v>
      </c>
      <c r="AJ549" s="198" t="str">
        <f aca="false">Таблица310[[#This Row],[Регистратор.Номенклатура]]</f>
        <v>Тристар</v>
      </c>
      <c r="AK549" s="198" t="str">
        <f aca="false">VLOOKUP(Таблица310[[#This Row],[№ акта]],$AQ$1:$AT$594,4,FALSE())</f>
        <v>Колос (полив)</v>
      </c>
      <c r="AL549" s="230" t="n">
        <f aca="false">VLOOKUP(Таблица310[[#This Row],[№ акта]],$AQ$1:$AT$594,3,FALSE())</f>
        <v>1.9136384823343</v>
      </c>
      <c r="AM549" s="198" t="str">
        <f aca="false">IF(Таблица310[[#This Row],[Площадь уборки, га]]=Таблица310[[#This Row],[Площадь уборки до корр]],"нет","да")</f>
        <v>да</v>
      </c>
      <c r="AN549" s="230" t="n">
        <f aca="false">Таблица310[[#This Row],[Площадь уборки до корр]]-Таблица310[[#This Row],[Площадь уборки, га]]</f>
        <v>0.476905414605213</v>
      </c>
      <c r="AQ549" s="0" t="s">
        <v>1137</v>
      </c>
      <c r="AR549" s="0" t="s">
        <v>1103</v>
      </c>
      <c r="AS549" s="0" t="n">
        <v>1.9136384823343</v>
      </c>
      <c r="AT549" s="0" t="s">
        <v>279</v>
      </c>
      <c r="XFD549" s="198"/>
    </row>
    <row r="550" customFormat="false" ht="19.4" hidden="false" customHeight="false" outlineLevel="0" collapsed="false">
      <c r="A550" s="198"/>
      <c r="B550" s="224"/>
      <c r="C550" s="198" t="n">
        <v>59</v>
      </c>
      <c r="D550" s="223" t="s">
        <v>1138</v>
      </c>
      <c r="E550" s="248" t="n">
        <v>45842</v>
      </c>
      <c r="F550" s="226" t="n">
        <v>29280</v>
      </c>
      <c r="G550" s="223" t="n">
        <v>13780</v>
      </c>
      <c r="H550" s="198" t="n">
        <v>15500</v>
      </c>
      <c r="I550" s="198" t="n">
        <v>12126.4</v>
      </c>
      <c r="J550" s="198" t="s">
        <v>994</v>
      </c>
      <c r="K550" s="189" t="s">
        <v>904</v>
      </c>
      <c r="L550" s="198" t="s">
        <v>1103</v>
      </c>
      <c r="M550" s="198" t="s">
        <v>1113</v>
      </c>
      <c r="N550" s="198"/>
      <c r="O550" s="198"/>
      <c r="P550" s="198"/>
      <c r="Q550" s="198"/>
      <c r="R550" s="198" t="s">
        <v>1114</v>
      </c>
      <c r="S550" s="230"/>
      <c r="T550" s="198" t="s">
        <v>1103</v>
      </c>
      <c r="U550" s="198" t="str">
        <f aca="false">Таблица310[[#This Row],[Регистратор.Номенклатура]]</f>
        <v>Тристар</v>
      </c>
      <c r="V550" s="230" t="n">
        <f aca="false">11.7*Таблица310[[#This Row],[Регистратор.Вес нетто]]/112950</f>
        <v>1.42741035856574</v>
      </c>
      <c r="W550" s="198" t="s">
        <v>279</v>
      </c>
      <c r="X550" s="198" t="s">
        <v>315</v>
      </c>
      <c r="Y550" s="198" t="n">
        <v>12</v>
      </c>
      <c r="Z550" s="200" t="n">
        <v>45842</v>
      </c>
      <c r="AA550" s="198"/>
      <c r="AB550" s="198" t="s">
        <v>1127</v>
      </c>
      <c r="AC550" s="198" t="s">
        <v>302</v>
      </c>
      <c r="AD550" s="198" t="s">
        <v>417</v>
      </c>
      <c r="AE550" s="198" t="s">
        <v>1138</v>
      </c>
      <c r="AF550" s="200" t="n">
        <v>45842</v>
      </c>
      <c r="AG550" s="198" t="n">
        <v>103</v>
      </c>
      <c r="AH550" s="198" t="n">
        <f aca="false">VLOOKUP(Таблица310[[#This Row],[№ акта]],'Степень зрелости 2025'!$H$13:$I$583,2,FALSE())</f>
        <v>59</v>
      </c>
      <c r="AI550" s="198" t="str">
        <f aca="false">VLOOKUP(Таблица310[[#This Row],[№ акта]],$AQ$1:$AT$594,2,FALSE())</f>
        <v>4.2</v>
      </c>
      <c r="AJ550" s="198" t="str">
        <f aca="false">Таблица310[[#This Row],[Регистратор.Номенклатура]]</f>
        <v>Тристар</v>
      </c>
      <c r="AK550" s="198" t="str">
        <f aca="false">VLOOKUP(Таблица310[[#This Row],[№ акта]],$AQ$1:$AT$594,4,FALSE())</f>
        <v>Колос (полив)</v>
      </c>
      <c r="AL550" s="230" t="n">
        <f aca="false">VLOOKUP(Таблица310[[#This Row],[№ акта]],$AQ$1:$AT$594,3,FALSE())</f>
        <v>1.90122121748858</v>
      </c>
      <c r="AM550" s="198" t="str">
        <f aca="false">IF(Таблица310[[#This Row],[Площадь уборки, га]]=Таблица310[[#This Row],[Площадь уборки до корр]],"нет","да")</f>
        <v>да</v>
      </c>
      <c r="AN550" s="230" t="n">
        <f aca="false">Таблица310[[#This Row],[Площадь уборки до корр]]-Таблица310[[#This Row],[Площадь уборки, га]]</f>
        <v>0.473810858922843</v>
      </c>
      <c r="AQ550" s="0" t="s">
        <v>1138</v>
      </c>
      <c r="AR550" s="0" t="s">
        <v>1103</v>
      </c>
      <c r="AS550" s="0" t="n">
        <v>1.90122121748858</v>
      </c>
      <c r="AT550" s="0" t="s">
        <v>279</v>
      </c>
      <c r="XFD550" s="198"/>
    </row>
    <row r="551" customFormat="false" ht="28.35" hidden="false" customHeight="false" outlineLevel="0" collapsed="false">
      <c r="A551" s="198"/>
      <c r="B551" s="224"/>
      <c r="C551" s="198" t="n">
        <v>54</v>
      </c>
      <c r="D551" s="223" t="s">
        <v>1139</v>
      </c>
      <c r="E551" s="248" t="n">
        <v>45842</v>
      </c>
      <c r="F551" s="226" t="n">
        <v>28410</v>
      </c>
      <c r="G551" s="223" t="n">
        <v>13790</v>
      </c>
      <c r="H551" s="198" t="n">
        <v>14620</v>
      </c>
      <c r="I551" s="198" t="n">
        <v>12411</v>
      </c>
      <c r="J551" s="198" t="s">
        <v>994</v>
      </c>
      <c r="K551" s="189" t="s">
        <v>904</v>
      </c>
      <c r="L551" s="198" t="s">
        <v>1103</v>
      </c>
      <c r="M551" s="198" t="s">
        <v>363</v>
      </c>
      <c r="N551" s="198"/>
      <c r="O551" s="198"/>
      <c r="P551" s="198"/>
      <c r="Q551" s="198"/>
      <c r="R551" s="198" t="s">
        <v>364</v>
      </c>
      <c r="S551" s="230"/>
      <c r="T551" s="198" t="s">
        <v>1103</v>
      </c>
      <c r="U551" s="198" t="str">
        <f aca="false">Таблица310[[#This Row],[Регистратор.Номенклатура]]</f>
        <v>Тристар</v>
      </c>
      <c r="V551" s="230" t="n">
        <f aca="false">11.7*Таблица310[[#This Row],[Регистратор.Вес нетто]]/112950</f>
        <v>1.42844621513944</v>
      </c>
      <c r="W551" s="198" t="s">
        <v>279</v>
      </c>
      <c r="X551" s="198" t="s">
        <v>315</v>
      </c>
      <c r="Y551" s="198" t="n">
        <v>12</v>
      </c>
      <c r="Z551" s="200" t="n">
        <v>45842</v>
      </c>
      <c r="AA551" s="198"/>
      <c r="AB551" s="198" t="s">
        <v>1127</v>
      </c>
      <c r="AC551" s="198" t="s">
        <v>302</v>
      </c>
      <c r="AD551" s="198" t="s">
        <v>417</v>
      </c>
      <c r="AE551" s="198" t="s">
        <v>1139</v>
      </c>
      <c r="AF551" s="200" t="n">
        <v>45842</v>
      </c>
      <c r="AG551" s="198" t="n">
        <v>104</v>
      </c>
      <c r="AH551" s="198" t="n">
        <f aca="false">VLOOKUP(Таблица310[[#This Row],[№ акта]],'Степень зрелости 2025'!$H$13:$I$583,2,FALSE())</f>
        <v>54</v>
      </c>
      <c r="AI551" s="198" t="str">
        <f aca="false">VLOOKUP(Таблица310[[#This Row],[№ акта]],$AQ$1:$AT$594,2,FALSE())</f>
        <v>4.2</v>
      </c>
      <c r="AJ551" s="198" t="str">
        <f aca="false">Таблица310[[#This Row],[Регистратор.Номенклатура]]</f>
        <v>Тристар</v>
      </c>
      <c r="AK551" s="198" t="str">
        <f aca="false">VLOOKUP(Таблица310[[#This Row],[№ акта]],$AQ$1:$AT$594,4,FALSE())</f>
        <v>Колос (полив)</v>
      </c>
      <c r="AL551" s="230" t="n">
        <f aca="false">VLOOKUP(Таблица310[[#This Row],[№ акта]],$AQ$1:$AT$594,3,FALSE())</f>
        <v>1.90260091358255</v>
      </c>
      <c r="AM551" s="198" t="str">
        <f aca="false">IF(Таблица310[[#This Row],[Площадь уборки, га]]=Таблица310[[#This Row],[Площадь уборки до корр]],"нет","да")</f>
        <v>да</v>
      </c>
      <c r="AN551" s="230" t="n">
        <f aca="false">Таблица310[[#This Row],[Площадь уборки до корр]]-Таблица310[[#This Row],[Площадь уборки, га]]</f>
        <v>0.474154698443107</v>
      </c>
      <c r="AQ551" s="0" t="s">
        <v>1139</v>
      </c>
      <c r="AR551" s="0" t="s">
        <v>1103</v>
      </c>
      <c r="AS551" s="0" t="n">
        <v>1.90260091358255</v>
      </c>
      <c r="AT551" s="0" t="s">
        <v>279</v>
      </c>
      <c r="XFD551" s="198"/>
    </row>
    <row r="552" customFormat="false" ht="19.4" hidden="false" customHeight="false" outlineLevel="0" collapsed="false">
      <c r="A552" s="198"/>
      <c r="B552" s="224"/>
      <c r="C552" s="198" t="n">
        <v>55</v>
      </c>
      <c r="D552" s="223" t="s">
        <v>1140</v>
      </c>
      <c r="E552" s="248" t="n">
        <v>45842</v>
      </c>
      <c r="F552" s="226" t="n">
        <v>29090</v>
      </c>
      <c r="G552" s="223" t="n">
        <v>14180</v>
      </c>
      <c r="H552" s="198" t="n">
        <v>14910</v>
      </c>
      <c r="I552" s="198" t="n">
        <v>12053</v>
      </c>
      <c r="J552" s="198" t="s">
        <v>994</v>
      </c>
      <c r="K552" s="189" t="s">
        <v>904</v>
      </c>
      <c r="L552" s="198" t="s">
        <v>1103</v>
      </c>
      <c r="M552" s="198" t="s">
        <v>361</v>
      </c>
      <c r="N552" s="198"/>
      <c r="O552" s="198"/>
      <c r="P552" s="198"/>
      <c r="Q552" s="198"/>
      <c r="R552" s="198" t="s">
        <v>362</v>
      </c>
      <c r="S552" s="230"/>
      <c r="T552" s="198" t="s">
        <v>1103</v>
      </c>
      <c r="U552" s="198" t="str">
        <f aca="false">Таблица310[[#This Row],[Регистратор.Номенклатура]]</f>
        <v>Тристар</v>
      </c>
      <c r="V552" s="230" t="n">
        <f aca="false">11.7*Таблица310[[#This Row],[Регистратор.Вес нетто]]/112950</f>
        <v>1.46884462151394</v>
      </c>
      <c r="W552" s="198" t="s">
        <v>279</v>
      </c>
      <c r="X552" s="198" t="s">
        <v>315</v>
      </c>
      <c r="Y552" s="198" t="n">
        <v>12</v>
      </c>
      <c r="Z552" s="200" t="n">
        <v>45842</v>
      </c>
      <c r="AA552" s="198"/>
      <c r="AB552" s="198" t="s">
        <v>1127</v>
      </c>
      <c r="AC552" s="198" t="s">
        <v>302</v>
      </c>
      <c r="AD552" s="198" t="s">
        <v>417</v>
      </c>
      <c r="AE552" s="198" t="s">
        <v>1140</v>
      </c>
      <c r="AF552" s="200" t="n">
        <v>45842</v>
      </c>
      <c r="AG552" s="198" t="n">
        <v>105</v>
      </c>
      <c r="AH552" s="198" t="n">
        <f aca="false">VLOOKUP(Таблица310[[#This Row],[№ акта]],'Степень зрелости 2025'!$H$13:$I$583,2,FALSE())</f>
        <v>55</v>
      </c>
      <c r="AI552" s="198" t="str">
        <f aca="false">VLOOKUP(Таблица310[[#This Row],[№ акта]],$AQ$1:$AT$594,2,FALSE())</f>
        <v>4.2</v>
      </c>
      <c r="AJ552" s="198" t="str">
        <f aca="false">Таблица310[[#This Row],[Регистратор.Номенклатура]]</f>
        <v>Тристар</v>
      </c>
      <c r="AK552" s="198" t="str">
        <f aca="false">VLOOKUP(Таблица310[[#This Row],[№ акта]],$AQ$1:$AT$594,4,FALSE())</f>
        <v>Колос (полив)</v>
      </c>
      <c r="AL552" s="230" t="n">
        <f aca="false">VLOOKUP(Таблица310[[#This Row],[№ акта]],$AQ$1:$AT$594,3,FALSE())</f>
        <v>1.95640906124732</v>
      </c>
      <c r="AM552" s="198" t="str">
        <f aca="false">IF(Таблица310[[#This Row],[Площадь уборки, га]]=Таблица310[[#This Row],[Площадь уборки до корр]],"нет","да")</f>
        <v>да</v>
      </c>
      <c r="AN552" s="230" t="n">
        <f aca="false">Таблица310[[#This Row],[Площадь уборки до корр]]-Таблица310[[#This Row],[Площадь уборки, га]]</f>
        <v>0.487564439733376</v>
      </c>
      <c r="AQ552" s="0" t="s">
        <v>1140</v>
      </c>
      <c r="AR552" s="0" t="s">
        <v>1103</v>
      </c>
      <c r="AS552" s="0" t="n">
        <v>1.95640906124732</v>
      </c>
      <c r="AT552" s="0" t="s">
        <v>279</v>
      </c>
      <c r="XFD552" s="198"/>
    </row>
    <row r="553" customFormat="false" ht="19.4" hidden="false" customHeight="false" outlineLevel="0" collapsed="false">
      <c r="A553" s="198"/>
      <c r="B553" s="224"/>
      <c r="C553" s="198" t="n">
        <v>79</v>
      </c>
      <c r="D553" s="223" t="s">
        <v>1141</v>
      </c>
      <c r="E553" s="248" t="n">
        <v>45842</v>
      </c>
      <c r="F553" s="226" t="n">
        <v>28430</v>
      </c>
      <c r="G553" s="223" t="n">
        <v>13560</v>
      </c>
      <c r="H553" s="198" t="n">
        <v>14870</v>
      </c>
      <c r="I553" s="198" t="n">
        <v>12678.6</v>
      </c>
      <c r="J553" s="198" t="s">
        <v>994</v>
      </c>
      <c r="K553" s="189" t="s">
        <v>904</v>
      </c>
      <c r="L553" s="198" t="s">
        <v>1103</v>
      </c>
      <c r="M553" s="198" t="s">
        <v>382</v>
      </c>
      <c r="N553" s="198"/>
      <c r="O553" s="198"/>
      <c r="P553" s="198"/>
      <c r="Q553" s="198"/>
      <c r="R553" s="198" t="s">
        <v>383</v>
      </c>
      <c r="S553" s="230"/>
      <c r="T553" s="198" t="s">
        <v>1103</v>
      </c>
      <c r="U553" s="198" t="str">
        <f aca="false">Таблица310[[#This Row],[Регистратор.Номенклатура]]</f>
        <v>Тристар</v>
      </c>
      <c r="V553" s="230" t="n">
        <f aca="false">11.7*Таблица310[[#This Row],[Регистратор.Вес нетто]]/112950</f>
        <v>1.40462151394422</v>
      </c>
      <c r="W553" s="198" t="s">
        <v>279</v>
      </c>
      <c r="X553" s="198" t="s">
        <v>315</v>
      </c>
      <c r="Y553" s="198" t="n">
        <v>12</v>
      </c>
      <c r="Z553" s="200" t="n">
        <v>45842</v>
      </c>
      <c r="AA553" s="198"/>
      <c r="AB553" s="198" t="s">
        <v>1127</v>
      </c>
      <c r="AC553" s="198" t="s">
        <v>305</v>
      </c>
      <c r="AD553" s="198" t="s">
        <v>886</v>
      </c>
      <c r="AE553" s="198" t="s">
        <v>1141</v>
      </c>
      <c r="AF553" s="200" t="n">
        <v>45842</v>
      </c>
      <c r="AG553" s="198" t="n">
        <v>106</v>
      </c>
      <c r="AH553" s="198" t="n">
        <f aca="false">VLOOKUP(Таблица310[[#This Row],[№ акта]],'Степень зрелости 2025'!$H$13:$I$583,2,FALSE())</f>
        <v>79</v>
      </c>
      <c r="AI553" s="198" t="str">
        <f aca="false">VLOOKUP(Таблица310[[#This Row],[№ акта]],$AQ$1:$AT$594,2,FALSE())</f>
        <v>4.2</v>
      </c>
      <c r="AJ553" s="198" t="str">
        <f aca="false">Таблица310[[#This Row],[Регистратор.Номенклатура]]</f>
        <v>Тристар</v>
      </c>
      <c r="AK553" s="198" t="str">
        <f aca="false">VLOOKUP(Таблица310[[#This Row],[№ акта]],$AQ$1:$AT$594,4,FALSE())</f>
        <v>Колос (полив)</v>
      </c>
      <c r="AL553" s="230" t="n">
        <f aca="false">VLOOKUP(Таблица310[[#This Row],[№ акта]],$AQ$1:$AT$594,3,FALSE())</f>
        <v>1.87086790342127</v>
      </c>
      <c r="AM553" s="198" t="str">
        <f aca="false">IF(Таблица310[[#This Row],[Площадь уборки, га]]=Таблица310[[#This Row],[Площадь уборки до корр]],"нет","да")</f>
        <v>да</v>
      </c>
      <c r="AN553" s="230" t="n">
        <f aca="false">Таблица310[[#This Row],[Площадь уборки до корр]]-Таблица310[[#This Row],[Площадь уборки, га]]</f>
        <v>0.46624638947705</v>
      </c>
      <c r="AQ553" s="0" t="s">
        <v>1141</v>
      </c>
      <c r="AR553" s="0" t="s">
        <v>1103</v>
      </c>
      <c r="AS553" s="0" t="n">
        <v>1.87086790342127</v>
      </c>
      <c r="AT553" s="0" t="s">
        <v>279</v>
      </c>
      <c r="XFD553" s="198"/>
    </row>
    <row r="554" customFormat="false" ht="19.4" hidden="false" customHeight="false" outlineLevel="0" collapsed="false">
      <c r="A554" s="198"/>
      <c r="B554" s="224"/>
      <c r="C554" s="198" t="n">
        <v>73</v>
      </c>
      <c r="D554" s="223" t="s">
        <v>1142</v>
      </c>
      <c r="E554" s="248" t="n">
        <v>45842</v>
      </c>
      <c r="F554" s="226" t="n">
        <v>26200</v>
      </c>
      <c r="G554" s="223" t="n">
        <v>10410</v>
      </c>
      <c r="H554" s="198" t="n">
        <v>15790</v>
      </c>
      <c r="I554" s="198" t="n">
        <v>9369</v>
      </c>
      <c r="J554" s="198" t="s">
        <v>994</v>
      </c>
      <c r="K554" s="189" t="s">
        <v>904</v>
      </c>
      <c r="L554" s="198" t="s">
        <v>1103</v>
      </c>
      <c r="M554" s="198" t="s">
        <v>365</v>
      </c>
      <c r="N554" s="198"/>
      <c r="O554" s="198"/>
      <c r="P554" s="198"/>
      <c r="Q554" s="198"/>
      <c r="R554" s="198" t="s">
        <v>373</v>
      </c>
      <c r="S554" s="230"/>
      <c r="T554" s="198" t="s">
        <v>1103</v>
      </c>
      <c r="U554" s="198" t="str">
        <f aca="false">Таблица310[[#This Row],[Регистратор.Номенклатура]]</f>
        <v>Тристар</v>
      </c>
      <c r="V554" s="230" t="n">
        <f aca="false">11.7*Таблица310[[#This Row],[Регистратор.Вес нетто]]/112950</f>
        <v>1.07832669322709</v>
      </c>
      <c r="W554" s="198" t="s">
        <v>279</v>
      </c>
      <c r="X554" s="198" t="s">
        <v>315</v>
      </c>
      <c r="Y554" s="198" t="n">
        <v>12</v>
      </c>
      <c r="Z554" s="200" t="n">
        <v>45842</v>
      </c>
      <c r="AA554" s="198"/>
      <c r="AB554" s="198" t="s">
        <v>1127</v>
      </c>
      <c r="AC554" s="198" t="s">
        <v>305</v>
      </c>
      <c r="AD554" s="198" t="s">
        <v>886</v>
      </c>
      <c r="AE554" s="198" t="s">
        <v>1142</v>
      </c>
      <c r="AF554" s="200" t="n">
        <v>45842</v>
      </c>
      <c r="AG554" s="198" t="n">
        <v>107</v>
      </c>
      <c r="AH554" s="198" t="n">
        <f aca="false">VLOOKUP(Таблица310[[#This Row],[№ акта]],'Степень зрелости 2025'!$H$13:$I$583,2,FALSE())</f>
        <v>73</v>
      </c>
      <c r="AI554" s="198" t="str">
        <f aca="false">VLOOKUP(Таблица310[[#This Row],[№ акта]],$AQ$1:$AT$594,2,FALSE())</f>
        <v>4.2</v>
      </c>
      <c r="AJ554" s="198" t="str">
        <f aca="false">Таблица310[[#This Row],[Регистратор.Номенклатура]]</f>
        <v>Тристар</v>
      </c>
      <c r="AK554" s="198" t="str">
        <f aca="false">VLOOKUP(Таблица310[[#This Row],[№ акта]],$AQ$1:$AT$594,4,FALSE())</f>
        <v>Колос (полив)</v>
      </c>
      <c r="AL554" s="230" t="n">
        <f aca="false">VLOOKUP(Таблица310[[#This Row],[№ акта]],$AQ$1:$AT$594,3,FALSE())</f>
        <v>1.4362636338212</v>
      </c>
      <c r="AM554" s="198" t="str">
        <f aca="false">IF(Таблица310[[#This Row],[Площадь уборки, га]]=Таблица310[[#This Row],[Площадь уборки до корр]],"нет","да")</f>
        <v>да</v>
      </c>
      <c r="AN554" s="230" t="n">
        <f aca="false">Таблица310[[#This Row],[Площадь уборки до корр]]-Таблица310[[#This Row],[Площадь уборки, га]]</f>
        <v>0.357936940594108</v>
      </c>
      <c r="AQ554" s="0" t="s">
        <v>1142</v>
      </c>
      <c r="AR554" s="0" t="s">
        <v>1103</v>
      </c>
      <c r="AS554" s="0" t="n">
        <v>1.4362636338212</v>
      </c>
      <c r="AT554" s="0" t="s">
        <v>279</v>
      </c>
      <c r="XFD554" s="198"/>
    </row>
    <row r="555" customFormat="false" ht="28.35" hidden="false" customHeight="false" outlineLevel="0" collapsed="false">
      <c r="A555" s="198"/>
      <c r="B555" s="224"/>
      <c r="C555" s="198" t="n">
        <v>65</v>
      </c>
      <c r="D555" s="223" t="s">
        <v>1143</v>
      </c>
      <c r="E555" s="248" t="n">
        <v>45843</v>
      </c>
      <c r="F555" s="226" t="n">
        <v>28780</v>
      </c>
      <c r="G555" s="223" t="n">
        <v>13260</v>
      </c>
      <c r="H555" s="198" t="n">
        <v>15520</v>
      </c>
      <c r="I555" s="198" t="n">
        <v>10873.2</v>
      </c>
      <c r="J555" s="198" t="s">
        <v>994</v>
      </c>
      <c r="K555" s="189" t="s">
        <v>904</v>
      </c>
      <c r="L555" s="198" t="s">
        <v>1144</v>
      </c>
      <c r="M555" s="198" t="s">
        <v>472</v>
      </c>
      <c r="N555" s="198"/>
      <c r="O555" s="198"/>
      <c r="P555" s="198"/>
      <c r="Q555" s="198"/>
      <c r="R555" s="198" t="s">
        <v>476</v>
      </c>
      <c r="S555" s="230"/>
      <c r="T555" s="198" t="s">
        <v>1144</v>
      </c>
      <c r="U555" s="198" t="str">
        <f aca="false">Таблица310[[#This Row],[Регистратор.Номенклатура]]</f>
        <v>Тристар</v>
      </c>
      <c r="V555" s="230" t="n">
        <f aca="false">10*Таблица310[[#This Row],[Регистратор.Вес нетто]]/26690</f>
        <v>4.96815286624204</v>
      </c>
      <c r="W555" s="198" t="s">
        <v>279</v>
      </c>
      <c r="X555" s="198" t="s">
        <v>315</v>
      </c>
      <c r="Y555" s="198" t="n">
        <v>12</v>
      </c>
      <c r="Z555" s="200" t="n">
        <v>45842</v>
      </c>
      <c r="AA555" s="198"/>
      <c r="AB555" s="198"/>
      <c r="AC555" s="198" t="s">
        <v>304</v>
      </c>
      <c r="AD555" s="198" t="s">
        <v>746</v>
      </c>
      <c r="AE555" s="198" t="s">
        <v>1143</v>
      </c>
      <c r="AF555" s="200" t="n">
        <v>45843</v>
      </c>
      <c r="AG555" s="198" t="n">
        <v>108</v>
      </c>
      <c r="AH555" s="198" t="n">
        <f aca="false">VLOOKUP(Таблица310[[#This Row],[№ акта]],'Степень зрелости 2025'!$H$13:$I$583,2,FALSE())</f>
        <v>65</v>
      </c>
      <c r="AI555" s="198" t="str">
        <f aca="false">VLOOKUP(Таблица310[[#This Row],[№ акта]],$AQ$1:$AT$594,2,FALSE())</f>
        <v>2.3</v>
      </c>
      <c r="AJ555" s="198" t="str">
        <f aca="false">Таблица310[[#This Row],[Регистратор.Номенклатура]]</f>
        <v>Тристар</v>
      </c>
      <c r="AK555" s="198" t="str">
        <f aca="false">VLOOKUP(Таблица310[[#This Row],[№ акта]],$AQ$1:$AT$594,4,FALSE())</f>
        <v>Колос (полив)</v>
      </c>
      <c r="AL555" s="230" t="n">
        <f aca="false">VLOOKUP(Таблица310[[#This Row],[№ акта]],$AQ$1:$AT$594,3,FALSE())</f>
        <v>4.96815286624204</v>
      </c>
      <c r="AM555" s="198" t="str">
        <f aca="false">IF(Таблица310[[#This Row],[Площадь уборки, га]]=Таблица310[[#This Row],[Площадь уборки до корр]],"нет","да")</f>
        <v>нет</v>
      </c>
      <c r="AN555" s="230" t="n">
        <f aca="false">Таблица310[[#This Row],[Площадь уборки до корр]]-Таблица310[[#This Row],[Площадь уборки, га]]</f>
        <v>0</v>
      </c>
      <c r="AQ555" s="0" t="s">
        <v>1143</v>
      </c>
      <c r="AR555" s="0" t="s">
        <v>1144</v>
      </c>
      <c r="AS555" s="0" t="n">
        <v>4.96815286624204</v>
      </c>
      <c r="AT555" s="0" t="s">
        <v>279</v>
      </c>
      <c r="XFD555" s="198"/>
    </row>
    <row r="556" customFormat="false" ht="28.35" hidden="false" customHeight="false" outlineLevel="0" collapsed="false">
      <c r="A556" s="198"/>
      <c r="B556" s="224"/>
      <c r="C556" s="198" t="n">
        <v>53</v>
      </c>
      <c r="D556" s="223" t="s">
        <v>1145</v>
      </c>
      <c r="E556" s="248" t="n">
        <v>45843</v>
      </c>
      <c r="F556" s="226" t="n">
        <v>28230</v>
      </c>
      <c r="G556" s="223" t="n">
        <v>13430</v>
      </c>
      <c r="H556" s="198" t="n">
        <v>14800</v>
      </c>
      <c r="I556" s="198" t="n">
        <v>11549.8</v>
      </c>
      <c r="J556" s="198" t="s">
        <v>994</v>
      </c>
      <c r="K556" s="189" t="s">
        <v>904</v>
      </c>
      <c r="L556" s="198" t="s">
        <v>1144</v>
      </c>
      <c r="M556" s="198" t="s">
        <v>553</v>
      </c>
      <c r="N556" s="198"/>
      <c r="O556" s="198"/>
      <c r="P556" s="198"/>
      <c r="Q556" s="198"/>
      <c r="R556" s="198" t="s">
        <v>557</v>
      </c>
      <c r="S556" s="230"/>
      <c r="T556" s="198" t="s">
        <v>1144</v>
      </c>
      <c r="U556" s="198" t="str">
        <f aca="false">Таблица310[[#This Row],[Регистратор.Номенклатура]]</f>
        <v>Тристар</v>
      </c>
      <c r="V556" s="230" t="n">
        <f aca="false">10*Таблица310[[#This Row],[Регистратор.Вес нетто]]/26690</f>
        <v>5.03184713375796</v>
      </c>
      <c r="W556" s="198" t="s">
        <v>279</v>
      </c>
      <c r="X556" s="198" t="s">
        <v>315</v>
      </c>
      <c r="Y556" s="198" t="n">
        <v>12</v>
      </c>
      <c r="Z556" s="200" t="n">
        <v>45842</v>
      </c>
      <c r="AA556" s="198"/>
      <c r="AB556" s="198"/>
      <c r="AC556" s="198" t="s">
        <v>302</v>
      </c>
      <c r="AD556" s="198" t="s">
        <v>417</v>
      </c>
      <c r="AE556" s="198" t="s">
        <v>1145</v>
      </c>
      <c r="AF556" s="200" t="n">
        <v>45843</v>
      </c>
      <c r="AG556" s="198" t="n">
        <v>109</v>
      </c>
      <c r="AH556" s="198" t="n">
        <f aca="false">VLOOKUP(Таблица310[[#This Row],[№ акта]],'Степень зрелости 2025'!$H$13:$I$583,2,FALSE())</f>
        <v>53</v>
      </c>
      <c r="AI556" s="198" t="str">
        <f aca="false">VLOOKUP(Таблица310[[#This Row],[№ акта]],$AQ$1:$AT$594,2,FALSE())</f>
        <v>2.3</v>
      </c>
      <c r="AJ556" s="198" t="str">
        <f aca="false">Таблица310[[#This Row],[Регистратор.Номенклатура]]</f>
        <v>Тристар</v>
      </c>
      <c r="AK556" s="198" t="str">
        <f aca="false">VLOOKUP(Таблица310[[#This Row],[№ акта]],$AQ$1:$AT$594,4,FALSE())</f>
        <v>Колос (полив)</v>
      </c>
      <c r="AL556" s="230" t="n">
        <f aca="false">VLOOKUP(Таблица310[[#This Row],[№ акта]],$AQ$1:$AT$594,3,FALSE())</f>
        <v>5.03184713375796</v>
      </c>
      <c r="AM556" s="198" t="str">
        <f aca="false">IF(Таблица310[[#This Row],[Площадь уборки, га]]=Таблица310[[#This Row],[Площадь уборки до корр]],"нет","да")</f>
        <v>нет</v>
      </c>
      <c r="AN556" s="230" t="n">
        <f aca="false">Таблица310[[#This Row],[Площадь уборки до корр]]-Таблица310[[#This Row],[Площадь уборки, га]]</f>
        <v>0</v>
      </c>
      <c r="AQ556" s="0" t="s">
        <v>1145</v>
      </c>
      <c r="AR556" s="0" t="s">
        <v>1144</v>
      </c>
      <c r="AS556" s="0" t="n">
        <v>5.03184713375796</v>
      </c>
      <c r="AT556" s="0" t="s">
        <v>279</v>
      </c>
      <c r="XFD556" s="198"/>
    </row>
    <row r="557" customFormat="false" ht="19.4" hidden="false" customHeight="false" outlineLevel="0" collapsed="false">
      <c r="A557" s="198"/>
      <c r="B557" s="224"/>
      <c r="C557" s="198" t="n">
        <v>59</v>
      </c>
      <c r="D557" s="223" t="s">
        <v>1146</v>
      </c>
      <c r="E557" s="248" t="n">
        <v>45843</v>
      </c>
      <c r="F557" s="226" t="n">
        <v>29290</v>
      </c>
      <c r="G557" s="223" t="n">
        <v>13800</v>
      </c>
      <c r="H557" s="198" t="n">
        <v>15490</v>
      </c>
      <c r="I557" s="198" t="n">
        <v>12144</v>
      </c>
      <c r="J557" s="198" t="s">
        <v>994</v>
      </c>
      <c r="K557" s="189" t="s">
        <v>904</v>
      </c>
      <c r="L557" s="198" t="s">
        <v>1144</v>
      </c>
      <c r="M557" s="198" t="s">
        <v>445</v>
      </c>
      <c r="N557" s="198"/>
      <c r="O557" s="198"/>
      <c r="P557" s="198"/>
      <c r="Q557" s="198"/>
      <c r="R557" s="198" t="s">
        <v>449</v>
      </c>
      <c r="S557" s="230"/>
      <c r="T557" s="198" t="s">
        <v>1144</v>
      </c>
      <c r="U557" s="198" t="str">
        <f aca="false">Таблица310[[#This Row],[Регистратор.Номенклатура]]</f>
        <v>Тристар</v>
      </c>
      <c r="V557" s="230" t="n">
        <f aca="false">20*Таблица310[[#This Row],[Регистратор.Вес нетто]]/44700</f>
        <v>6.1744966442953</v>
      </c>
      <c r="W557" s="198" t="s">
        <v>279</v>
      </c>
      <c r="X557" s="198" t="s">
        <v>315</v>
      </c>
      <c r="Y557" s="198" t="n">
        <v>13</v>
      </c>
      <c r="Z557" s="200" t="n">
        <v>45843</v>
      </c>
      <c r="AA557" s="198"/>
      <c r="AB557" s="198"/>
      <c r="AC557" s="198" t="s">
        <v>302</v>
      </c>
      <c r="AD557" s="198" t="s">
        <v>417</v>
      </c>
      <c r="AE557" s="198" t="s">
        <v>1146</v>
      </c>
      <c r="AF557" s="200" t="n">
        <v>45843</v>
      </c>
      <c r="AG557" s="198" t="n">
        <v>110</v>
      </c>
      <c r="AH557" s="198" t="n">
        <f aca="false">VLOOKUP(Таблица310[[#This Row],[№ акта]],'Степень зрелости 2025'!$H$13:$I$583,2,FALSE())</f>
        <v>59</v>
      </c>
      <c r="AI557" s="198" t="str">
        <f aca="false">VLOOKUP(Таблица310[[#This Row],[№ акта]],$AQ$1:$AT$594,2,FALSE())</f>
        <v>2.3</v>
      </c>
      <c r="AJ557" s="198" t="str">
        <f aca="false">Таблица310[[#This Row],[Регистратор.Номенклатура]]</f>
        <v>Тристар</v>
      </c>
      <c r="AK557" s="198" t="str">
        <f aca="false">VLOOKUP(Таблица310[[#This Row],[№ акта]],$AQ$1:$AT$594,4,FALSE())</f>
        <v>Колос (полив)</v>
      </c>
      <c r="AL557" s="230" t="n">
        <f aca="false">VLOOKUP(Таблица310[[#This Row],[№ акта]],$AQ$1:$AT$594,3,FALSE())</f>
        <v>6.1744966442953</v>
      </c>
      <c r="AM557" s="198" t="str">
        <f aca="false">IF(Таблица310[[#This Row],[Площадь уборки, га]]=Таблица310[[#This Row],[Площадь уборки до корр]],"нет","да")</f>
        <v>нет</v>
      </c>
      <c r="AN557" s="230" t="n">
        <f aca="false">Таблица310[[#This Row],[Площадь уборки до корр]]-Таблица310[[#This Row],[Площадь уборки, га]]</f>
        <v>0</v>
      </c>
      <c r="AQ557" s="0" t="s">
        <v>1146</v>
      </c>
      <c r="AR557" s="0" t="s">
        <v>1144</v>
      </c>
      <c r="AS557" s="0" t="n">
        <v>6.1744966442953</v>
      </c>
      <c r="AT557" s="0" t="s">
        <v>279</v>
      </c>
      <c r="XFD557" s="198"/>
    </row>
    <row r="558" customFormat="false" ht="28.35" hidden="false" customHeight="false" outlineLevel="0" collapsed="false">
      <c r="A558" s="198"/>
      <c r="B558" s="224"/>
      <c r="C558" s="198" t="n">
        <v>54</v>
      </c>
      <c r="D558" s="223" t="s">
        <v>1147</v>
      </c>
      <c r="E558" s="248" t="n">
        <v>45843</v>
      </c>
      <c r="F558" s="226" t="n">
        <v>28420</v>
      </c>
      <c r="G558" s="223" t="n">
        <v>13570</v>
      </c>
      <c r="H558" s="198" t="n">
        <v>14850</v>
      </c>
      <c r="I558" s="198" t="n">
        <v>11263.1</v>
      </c>
      <c r="J558" s="198" t="s">
        <v>994</v>
      </c>
      <c r="K558" s="189" t="s">
        <v>904</v>
      </c>
      <c r="L558" s="198" t="s">
        <v>1144</v>
      </c>
      <c r="M558" s="198" t="s">
        <v>1086</v>
      </c>
      <c r="N558" s="198"/>
      <c r="O558" s="198"/>
      <c r="P558" s="198"/>
      <c r="Q558" s="198"/>
      <c r="R558" s="198" t="s">
        <v>1087</v>
      </c>
      <c r="S558" s="230"/>
      <c r="T558" s="198" t="s">
        <v>1144</v>
      </c>
      <c r="U558" s="198" t="str">
        <f aca="false">Таблица310[[#This Row],[Регистратор.Номенклатура]]</f>
        <v>Тристар</v>
      </c>
      <c r="V558" s="230" t="n">
        <f aca="false">20*Таблица310[[#This Row],[Регистратор.Вес нетто]]/44700</f>
        <v>6.07158836689038</v>
      </c>
      <c r="W558" s="198" t="s">
        <v>279</v>
      </c>
      <c r="X558" s="198" t="s">
        <v>315</v>
      </c>
      <c r="Y558" s="198" t="n">
        <v>13</v>
      </c>
      <c r="Z558" s="200" t="n">
        <v>45843</v>
      </c>
      <c r="AA558" s="198"/>
      <c r="AB558" s="198"/>
      <c r="AC558" s="198" t="s">
        <v>302</v>
      </c>
      <c r="AD558" s="198" t="s">
        <v>417</v>
      </c>
      <c r="AE558" s="198" t="s">
        <v>1147</v>
      </c>
      <c r="AF558" s="200" t="n">
        <v>45843</v>
      </c>
      <c r="AG558" s="198" t="n">
        <v>111</v>
      </c>
      <c r="AH558" s="198" t="n">
        <f aca="false">VLOOKUP(Таблица310[[#This Row],[№ акта]],'Степень зрелости 2025'!$H$13:$I$583,2,FALSE())</f>
        <v>54</v>
      </c>
      <c r="AI558" s="198" t="str">
        <f aca="false">VLOOKUP(Таблица310[[#This Row],[№ акта]],$AQ$1:$AT$594,2,FALSE())</f>
        <v>2.3</v>
      </c>
      <c r="AJ558" s="198" t="str">
        <f aca="false">Таблица310[[#This Row],[Регистратор.Номенклатура]]</f>
        <v>Тристар</v>
      </c>
      <c r="AK558" s="198" t="str">
        <f aca="false">VLOOKUP(Таблица310[[#This Row],[№ акта]],$AQ$1:$AT$594,4,FALSE())</f>
        <v>Колос (полив)</v>
      </c>
      <c r="AL558" s="230" t="n">
        <f aca="false">VLOOKUP(Таблица310[[#This Row],[№ акта]],$AQ$1:$AT$594,3,FALSE())</f>
        <v>6.07158836689038</v>
      </c>
      <c r="AM558" s="198" t="str">
        <f aca="false">IF(Таблица310[[#This Row],[Площадь уборки, га]]=Таблица310[[#This Row],[Площадь уборки до корр]],"нет","да")</f>
        <v>нет</v>
      </c>
      <c r="AN558" s="230" t="n">
        <f aca="false">Таблица310[[#This Row],[Площадь уборки до корр]]-Таблица310[[#This Row],[Площадь уборки, га]]</f>
        <v>0</v>
      </c>
      <c r="AQ558" s="0" t="s">
        <v>1147</v>
      </c>
      <c r="AR558" s="0" t="s">
        <v>1144</v>
      </c>
      <c r="AS558" s="0" t="n">
        <v>6.07158836689038</v>
      </c>
      <c r="AT558" s="0" t="s">
        <v>279</v>
      </c>
      <c r="XFD558" s="198"/>
    </row>
    <row r="559" customFormat="false" ht="19.4" hidden="false" customHeight="false" outlineLevel="0" collapsed="false">
      <c r="A559" s="198"/>
      <c r="B559" s="224"/>
      <c r="C559" s="198" t="n">
        <v>60</v>
      </c>
      <c r="D559" s="223" t="s">
        <v>1148</v>
      </c>
      <c r="E559" s="248" t="n">
        <v>45843</v>
      </c>
      <c r="F559" s="226" t="n">
        <v>32110</v>
      </c>
      <c r="G559" s="223" t="n">
        <v>17330</v>
      </c>
      <c r="H559" s="198" t="n">
        <v>14780</v>
      </c>
      <c r="I559" s="198" t="n">
        <v>15337</v>
      </c>
      <c r="J559" s="198" t="s">
        <v>994</v>
      </c>
      <c r="K559" s="189" t="s">
        <v>904</v>
      </c>
      <c r="L559" s="198" t="s">
        <v>1144</v>
      </c>
      <c r="M559" s="198" t="s">
        <v>547</v>
      </c>
      <c r="N559" s="198"/>
      <c r="O559" s="198"/>
      <c r="P559" s="198"/>
      <c r="Q559" s="198"/>
      <c r="R559" s="198" t="s">
        <v>551</v>
      </c>
      <c r="S559" s="230"/>
      <c r="T559" s="198" t="s">
        <v>1144</v>
      </c>
      <c r="U559" s="198" t="str">
        <f aca="false">Таблица310[[#This Row],[Регистратор.Номенклатура]]</f>
        <v>Тристар</v>
      </c>
      <c r="V559" s="230" t="n">
        <f aca="false">20*Таблица310[[#This Row],[Регистратор.Вес нетто]]/44700</f>
        <v>7.75391498881432</v>
      </c>
      <c r="W559" s="198" t="s">
        <v>279</v>
      </c>
      <c r="X559" s="198" t="s">
        <v>315</v>
      </c>
      <c r="Y559" s="198" t="n">
        <v>13</v>
      </c>
      <c r="Z559" s="200" t="n">
        <v>45843</v>
      </c>
      <c r="AA559" s="198"/>
      <c r="AB559" s="198"/>
      <c r="AC559" s="198" t="s">
        <v>302</v>
      </c>
      <c r="AD559" s="198" t="s">
        <v>417</v>
      </c>
      <c r="AE559" s="198" t="s">
        <v>1148</v>
      </c>
      <c r="AF559" s="200" t="n">
        <v>45843</v>
      </c>
      <c r="AG559" s="198" t="n">
        <v>112</v>
      </c>
      <c r="AH559" s="198" t="n">
        <f aca="false">VLOOKUP(Таблица310[[#This Row],[№ акта]],'Степень зрелости 2025'!$H$13:$I$583,2,FALSE())</f>
        <v>60</v>
      </c>
      <c r="AI559" s="198" t="str">
        <f aca="false">VLOOKUP(Таблица310[[#This Row],[№ акта]],$AQ$1:$AT$594,2,FALSE())</f>
        <v>2.3</v>
      </c>
      <c r="AJ559" s="198" t="str">
        <f aca="false">Таблица310[[#This Row],[Регистратор.Номенклатура]]</f>
        <v>Тристар</v>
      </c>
      <c r="AK559" s="198" t="str">
        <f aca="false">VLOOKUP(Таблица310[[#This Row],[№ акта]],$AQ$1:$AT$594,4,FALSE())</f>
        <v>Колос (полив)</v>
      </c>
      <c r="AL559" s="230" t="n">
        <f aca="false">VLOOKUP(Таблица310[[#This Row],[№ акта]],$AQ$1:$AT$594,3,FALSE())</f>
        <v>7.75391498881432</v>
      </c>
      <c r="AM559" s="198" t="str">
        <f aca="false">IF(Таблица310[[#This Row],[Площадь уборки, га]]=Таблица310[[#This Row],[Площадь уборки до корр]],"нет","да")</f>
        <v>нет</v>
      </c>
      <c r="AN559" s="230" t="n">
        <f aca="false">Таблица310[[#This Row],[Площадь уборки до корр]]-Таблица310[[#This Row],[Площадь уборки, га]]</f>
        <v>0</v>
      </c>
      <c r="AQ559" s="0" t="s">
        <v>1148</v>
      </c>
      <c r="AR559" s="0" t="s">
        <v>1144</v>
      </c>
      <c r="AS559" s="0" t="n">
        <v>7.75391498881432</v>
      </c>
      <c r="AT559" s="0" t="s">
        <v>279</v>
      </c>
      <c r="XFD559" s="198"/>
    </row>
    <row r="560" customFormat="false" ht="19.4" hidden="false" customHeight="false" outlineLevel="0" collapsed="false">
      <c r="A560" s="198"/>
      <c r="B560" s="224"/>
      <c r="C560" s="198" t="n">
        <v>68</v>
      </c>
      <c r="D560" s="223" t="s">
        <v>1149</v>
      </c>
      <c r="E560" s="248" t="n">
        <v>45843</v>
      </c>
      <c r="F560" s="226" t="n">
        <v>28250</v>
      </c>
      <c r="G560" s="223" t="n">
        <v>13290</v>
      </c>
      <c r="H560" s="198" t="n">
        <v>14960</v>
      </c>
      <c r="I560" s="198" t="n">
        <v>12293.2</v>
      </c>
      <c r="J560" s="198" t="s">
        <v>994</v>
      </c>
      <c r="K560" s="189" t="s">
        <v>1058</v>
      </c>
      <c r="L560" s="198" t="s">
        <v>995</v>
      </c>
      <c r="M560" s="198" t="s">
        <v>451</v>
      </c>
      <c r="N560" s="198"/>
      <c r="O560" s="198"/>
      <c r="P560" s="198"/>
      <c r="Q560" s="198"/>
      <c r="R560" s="198" t="s">
        <v>455</v>
      </c>
      <c r="S560" s="230"/>
      <c r="T560" s="198" t="s">
        <v>995</v>
      </c>
      <c r="U560" s="198" t="str">
        <f aca="false">Таблица310[[#This Row],[Регистратор.Номенклатура]]</f>
        <v>Исток</v>
      </c>
      <c r="V560" s="230" t="n">
        <f aca="false">20*Таблица310[[#This Row],[Регистратор.Вес нетто]]/118470</f>
        <v>2.24360597619651</v>
      </c>
      <c r="W560" s="198" t="s">
        <v>279</v>
      </c>
      <c r="X560" s="198" t="s">
        <v>315</v>
      </c>
      <c r="Y560" s="198" t="n">
        <v>13</v>
      </c>
      <c r="Z560" s="200" t="n">
        <v>45843</v>
      </c>
      <c r="AA560" s="198"/>
      <c r="AB560" s="198"/>
      <c r="AC560" s="198" t="s">
        <v>305</v>
      </c>
      <c r="AD560" s="198" t="s">
        <v>746</v>
      </c>
      <c r="AE560" s="198" t="s">
        <v>1149</v>
      </c>
      <c r="AF560" s="200" t="n">
        <v>45843</v>
      </c>
      <c r="AG560" s="198" t="n">
        <v>113</v>
      </c>
      <c r="AH560" s="198" t="n">
        <f aca="false">VLOOKUP(Таблица310[[#This Row],[№ акта]],'Степень зрелости 2025'!$H$13:$I$583,2,FALSE())</f>
        <v>68</v>
      </c>
      <c r="AI560" s="198" t="str">
        <f aca="false">VLOOKUP(Таблица310[[#This Row],[№ акта]],$AQ$1:$AT$594,2,FALSE())</f>
        <v>4.1</v>
      </c>
      <c r="AJ560" s="198" t="str">
        <f aca="false">Таблица310[[#This Row],[Регистратор.Номенклатура]]</f>
        <v>Исток</v>
      </c>
      <c r="AK560" s="198" t="str">
        <f aca="false">VLOOKUP(Таблица310[[#This Row],[№ акта]],$AQ$1:$AT$594,4,FALSE())</f>
        <v>Колос (полив)</v>
      </c>
      <c r="AL560" s="230" t="n">
        <f aca="false">VLOOKUP(Таблица310[[#This Row],[№ акта]],$AQ$1:$AT$594,3,FALSE())</f>
        <v>2.24360597619651</v>
      </c>
      <c r="AM560" s="198" t="str">
        <f aca="false">IF(Таблица310[[#This Row],[Площадь уборки, га]]=Таблица310[[#This Row],[Площадь уборки до корр]],"нет","да")</f>
        <v>нет</v>
      </c>
      <c r="AN560" s="230" t="n">
        <f aca="false">Таблица310[[#This Row],[Площадь уборки до корр]]-Таблица310[[#This Row],[Площадь уборки, га]]</f>
        <v>0</v>
      </c>
      <c r="AQ560" s="0" t="s">
        <v>1149</v>
      </c>
      <c r="AR560" s="0" t="s">
        <v>995</v>
      </c>
      <c r="AS560" s="0" t="n">
        <v>2.24360597619651</v>
      </c>
      <c r="AT560" s="0" t="s">
        <v>279</v>
      </c>
      <c r="XFD560" s="198"/>
    </row>
    <row r="561" customFormat="false" ht="19.4" hidden="false" customHeight="false" outlineLevel="0" collapsed="false">
      <c r="A561" s="198"/>
      <c r="B561" s="224"/>
      <c r="C561" s="198" t="n">
        <v>72</v>
      </c>
      <c r="D561" s="223" t="s">
        <v>1150</v>
      </c>
      <c r="E561" s="248" t="n">
        <v>45844</v>
      </c>
      <c r="F561" s="226" t="n">
        <v>37540</v>
      </c>
      <c r="G561" s="223" t="n">
        <v>13170</v>
      </c>
      <c r="H561" s="198" t="n">
        <v>24370</v>
      </c>
      <c r="I561" s="198" t="n">
        <v>12445.6</v>
      </c>
      <c r="J561" s="198" t="s">
        <v>994</v>
      </c>
      <c r="K561" s="189" t="s">
        <v>1058</v>
      </c>
      <c r="L561" s="198" t="s">
        <v>995</v>
      </c>
      <c r="M561" s="198" t="s">
        <v>1092</v>
      </c>
      <c r="N561" s="198"/>
      <c r="O561" s="198"/>
      <c r="P561" s="198"/>
      <c r="Q561" s="198"/>
      <c r="R561" s="198" t="s">
        <v>1093</v>
      </c>
      <c r="S561" s="230"/>
      <c r="T561" s="198" t="s">
        <v>995</v>
      </c>
      <c r="U561" s="198" t="str">
        <f aca="false">Таблица310[[#This Row],[Регистратор.Номенклатура]]</f>
        <v>Исток</v>
      </c>
      <c r="V561" s="230" t="n">
        <f aca="false">20*Таблица310[[#This Row],[Регистратор.Вес нетто]]/118470</f>
        <v>2.22334768295771</v>
      </c>
      <c r="W561" s="198" t="s">
        <v>279</v>
      </c>
      <c r="X561" s="198" t="s">
        <v>315</v>
      </c>
      <c r="Y561" s="198" t="n">
        <v>13</v>
      </c>
      <c r="Z561" s="200" t="n">
        <v>45843</v>
      </c>
      <c r="AA561" s="198"/>
      <c r="AB561" s="198"/>
      <c r="AC561" s="198" t="s">
        <v>305</v>
      </c>
      <c r="AD561" s="198" t="s">
        <v>886</v>
      </c>
      <c r="AE561" s="198" t="s">
        <v>1150</v>
      </c>
      <c r="AF561" s="200" t="n">
        <v>45844</v>
      </c>
      <c r="AG561" s="198" t="n">
        <v>114</v>
      </c>
      <c r="AH561" s="198" t="n">
        <f aca="false">VLOOKUP(Таблица310[[#This Row],[№ акта]],'Степень зрелости 2025'!$H$13:$I$583,2,FALSE())</f>
        <v>72</v>
      </c>
      <c r="AI561" s="198" t="str">
        <f aca="false">VLOOKUP(Таблица310[[#This Row],[№ акта]],$AQ$1:$AT$594,2,FALSE())</f>
        <v>4.1</v>
      </c>
      <c r="AJ561" s="198" t="str">
        <f aca="false">Таблица310[[#This Row],[Регистратор.Номенклатура]]</f>
        <v>Исток</v>
      </c>
      <c r="AK561" s="198" t="str">
        <f aca="false">VLOOKUP(Таблица310[[#This Row],[№ акта]],$AQ$1:$AT$594,4,FALSE())</f>
        <v>Колос (полив)</v>
      </c>
      <c r="AL561" s="230" t="n">
        <f aca="false">VLOOKUP(Таблица310[[#This Row],[№ акта]],$AQ$1:$AT$594,3,FALSE())</f>
        <v>2.22334768295771</v>
      </c>
      <c r="AM561" s="198" t="str">
        <f aca="false">IF(Таблица310[[#This Row],[Площадь уборки, га]]=Таблица310[[#This Row],[Площадь уборки до корр]],"нет","да")</f>
        <v>нет</v>
      </c>
      <c r="AN561" s="230" t="n">
        <f aca="false">Таблица310[[#This Row],[Площадь уборки до корр]]-Таблица310[[#This Row],[Площадь уборки, га]]</f>
        <v>0</v>
      </c>
      <c r="AQ561" s="0" t="s">
        <v>1150</v>
      </c>
      <c r="AR561" s="0" t="s">
        <v>995</v>
      </c>
      <c r="AS561" s="0" t="n">
        <v>2.22334768295771</v>
      </c>
      <c r="AT561" s="0" t="s">
        <v>279</v>
      </c>
      <c r="XFD561" s="198"/>
    </row>
    <row r="562" customFormat="false" ht="19.4" hidden="false" customHeight="false" outlineLevel="0" collapsed="false">
      <c r="A562" s="198"/>
      <c r="B562" s="224"/>
      <c r="C562" s="198" t="n">
        <v>71</v>
      </c>
      <c r="D562" s="223" t="s">
        <v>1151</v>
      </c>
      <c r="E562" s="248" t="n">
        <v>45844</v>
      </c>
      <c r="F562" s="226" t="n">
        <v>27570</v>
      </c>
      <c r="G562" s="223" t="n">
        <v>13120</v>
      </c>
      <c r="H562" s="198" t="n">
        <v>14450</v>
      </c>
      <c r="I562" s="198" t="n">
        <v>12136</v>
      </c>
      <c r="J562" s="198" t="s">
        <v>994</v>
      </c>
      <c r="K562" s="189" t="s">
        <v>1058</v>
      </c>
      <c r="L562" s="198" t="s">
        <v>995</v>
      </c>
      <c r="M562" s="198" t="s">
        <v>384</v>
      </c>
      <c r="N562" s="198"/>
      <c r="O562" s="198"/>
      <c r="P562" s="198"/>
      <c r="Q562" s="198"/>
      <c r="R562" s="198" t="s">
        <v>385</v>
      </c>
      <c r="S562" s="230"/>
      <c r="T562" s="198" t="s">
        <v>995</v>
      </c>
      <c r="U562" s="198" t="str">
        <f aca="false">Таблица310[[#This Row],[Регистратор.Номенклатура]]</f>
        <v>Исток</v>
      </c>
      <c r="V562" s="230" t="n">
        <f aca="false">20*Таблица310[[#This Row],[Регистратор.Вес нетто]]/118470</f>
        <v>2.21490672744155</v>
      </c>
      <c r="W562" s="198" t="s">
        <v>279</v>
      </c>
      <c r="X562" s="198" t="s">
        <v>315</v>
      </c>
      <c r="Y562" s="198" t="n">
        <v>13</v>
      </c>
      <c r="Z562" s="200" t="n">
        <v>45843</v>
      </c>
      <c r="AA562" s="198"/>
      <c r="AB562" s="198"/>
      <c r="AC562" s="198" t="s">
        <v>305</v>
      </c>
      <c r="AD562" s="198" t="s">
        <v>886</v>
      </c>
      <c r="AE562" s="198" t="s">
        <v>1151</v>
      </c>
      <c r="AF562" s="200" t="n">
        <v>45844</v>
      </c>
      <c r="AG562" s="198" t="n">
        <v>115</v>
      </c>
      <c r="AH562" s="198" t="n">
        <f aca="false">VLOOKUP(Таблица310[[#This Row],[№ акта]],'Степень зрелости 2025'!$H$13:$I$583,2,FALSE())</f>
        <v>71</v>
      </c>
      <c r="AI562" s="198" t="str">
        <f aca="false">VLOOKUP(Таблица310[[#This Row],[№ акта]],$AQ$1:$AT$594,2,FALSE())</f>
        <v>4.1</v>
      </c>
      <c r="AJ562" s="198" t="str">
        <f aca="false">Таблица310[[#This Row],[Регистратор.Номенклатура]]</f>
        <v>Исток</v>
      </c>
      <c r="AK562" s="198" t="str">
        <f aca="false">VLOOKUP(Таблица310[[#This Row],[№ акта]],$AQ$1:$AT$594,4,FALSE())</f>
        <v>Колос (полив)</v>
      </c>
      <c r="AL562" s="230" t="n">
        <f aca="false">VLOOKUP(Таблица310[[#This Row],[№ акта]],$AQ$1:$AT$594,3,FALSE())</f>
        <v>2.21490672744155</v>
      </c>
      <c r="AM562" s="198" t="str">
        <f aca="false">IF(Таблица310[[#This Row],[Площадь уборки, га]]=Таблица310[[#This Row],[Площадь уборки до корр]],"нет","да")</f>
        <v>нет</v>
      </c>
      <c r="AN562" s="230" t="n">
        <f aca="false">Таблица310[[#This Row],[Площадь уборки до корр]]-Таблица310[[#This Row],[Площадь уборки, га]]</f>
        <v>0</v>
      </c>
      <c r="AQ562" s="0" t="s">
        <v>1151</v>
      </c>
      <c r="AR562" s="0" t="s">
        <v>995</v>
      </c>
      <c r="AS562" s="0" t="n">
        <v>2.21490672744155</v>
      </c>
      <c r="AT562" s="0" t="s">
        <v>279</v>
      </c>
      <c r="XFD562" s="198"/>
    </row>
    <row r="563" customFormat="false" ht="19.4" hidden="false" customHeight="false" outlineLevel="0" collapsed="false">
      <c r="A563" s="198"/>
      <c r="B563" s="224"/>
      <c r="C563" s="198" t="n">
        <v>68</v>
      </c>
      <c r="D563" s="223" t="s">
        <v>1152</v>
      </c>
      <c r="E563" s="248" t="n">
        <v>45844</v>
      </c>
      <c r="F563" s="226" t="n">
        <v>27020</v>
      </c>
      <c r="G563" s="223" t="n">
        <v>13210</v>
      </c>
      <c r="H563" s="198" t="n">
        <v>13810</v>
      </c>
      <c r="I563" s="198" t="n">
        <v>12087.1</v>
      </c>
      <c r="J563" s="198" t="s">
        <v>994</v>
      </c>
      <c r="K563" s="189" t="s">
        <v>1058</v>
      </c>
      <c r="L563" s="198" t="s">
        <v>995</v>
      </c>
      <c r="M563" s="198" t="s">
        <v>359</v>
      </c>
      <c r="N563" s="198"/>
      <c r="O563" s="198"/>
      <c r="P563" s="198"/>
      <c r="Q563" s="198"/>
      <c r="R563" s="198" t="s">
        <v>426</v>
      </c>
      <c r="S563" s="230"/>
      <c r="T563" s="198" t="s">
        <v>995</v>
      </c>
      <c r="U563" s="198" t="str">
        <f aca="false">Таблица310[[#This Row],[Регистратор.Номенклатура]]</f>
        <v>Исток</v>
      </c>
      <c r="V563" s="230" t="n">
        <f aca="false">20*Таблица310[[#This Row],[Регистратор.Вес нетто]]/118470</f>
        <v>2.23010044737064</v>
      </c>
      <c r="W563" s="198" t="s">
        <v>279</v>
      </c>
      <c r="X563" s="198" t="s">
        <v>315</v>
      </c>
      <c r="Y563" s="198" t="n">
        <v>13</v>
      </c>
      <c r="Z563" s="200" t="n">
        <v>45843</v>
      </c>
      <c r="AA563" s="198"/>
      <c r="AB563" s="198"/>
      <c r="AC563" s="198" t="s">
        <v>305</v>
      </c>
      <c r="AD563" s="198" t="s">
        <v>746</v>
      </c>
      <c r="AE563" s="198" t="s">
        <v>1152</v>
      </c>
      <c r="AF563" s="200" t="n">
        <v>45844</v>
      </c>
      <c r="AG563" s="198" t="n">
        <v>116</v>
      </c>
      <c r="AH563" s="198" t="n">
        <f aca="false">VLOOKUP(Таблица310[[#This Row],[№ акта]],'Степень зрелости 2025'!$H$13:$I$583,2,FALSE())</f>
        <v>68</v>
      </c>
      <c r="AI563" s="198" t="str">
        <f aca="false">VLOOKUP(Таблица310[[#This Row],[№ акта]],$AQ$1:$AT$594,2,FALSE())</f>
        <v>4.1</v>
      </c>
      <c r="AJ563" s="198" t="str">
        <f aca="false">Таблица310[[#This Row],[Регистратор.Номенклатура]]</f>
        <v>Исток</v>
      </c>
      <c r="AK563" s="198" t="str">
        <f aca="false">VLOOKUP(Таблица310[[#This Row],[№ акта]],$AQ$1:$AT$594,4,FALSE())</f>
        <v>Колос (полив)</v>
      </c>
      <c r="AL563" s="230" t="n">
        <f aca="false">VLOOKUP(Таблица310[[#This Row],[№ акта]],$AQ$1:$AT$594,3,FALSE())</f>
        <v>2.23010044737064</v>
      </c>
      <c r="AM563" s="198" t="str">
        <f aca="false">IF(Таблица310[[#This Row],[Площадь уборки, га]]=Таблица310[[#This Row],[Площадь уборки до корр]],"нет","да")</f>
        <v>нет</v>
      </c>
      <c r="AN563" s="230" t="n">
        <f aca="false">Таблица310[[#This Row],[Площадь уборки до корр]]-Таблица310[[#This Row],[Площадь уборки, га]]</f>
        <v>0</v>
      </c>
      <c r="AQ563" s="0" t="s">
        <v>1152</v>
      </c>
      <c r="AR563" s="0" t="s">
        <v>995</v>
      </c>
      <c r="AS563" s="0" t="n">
        <v>2.23010044737064</v>
      </c>
      <c r="AT563" s="0" t="s">
        <v>279</v>
      </c>
      <c r="XFD563" s="198"/>
    </row>
    <row r="564" customFormat="false" ht="19.4" hidden="false" customHeight="false" outlineLevel="0" collapsed="false">
      <c r="A564" s="198"/>
      <c r="B564" s="224"/>
      <c r="C564" s="198" t="n">
        <v>68</v>
      </c>
      <c r="D564" s="223" t="s">
        <v>1153</v>
      </c>
      <c r="E564" s="248" t="n">
        <v>45844</v>
      </c>
      <c r="F564" s="226" t="n">
        <v>28630</v>
      </c>
      <c r="G564" s="223" t="n">
        <v>13160</v>
      </c>
      <c r="H564" s="198" t="n">
        <v>15470</v>
      </c>
      <c r="I564" s="198" t="n">
        <v>12173</v>
      </c>
      <c r="J564" s="198" t="s">
        <v>994</v>
      </c>
      <c r="K564" s="189" t="s">
        <v>1058</v>
      </c>
      <c r="L564" s="198" t="s">
        <v>995</v>
      </c>
      <c r="M564" s="198" t="s">
        <v>1095</v>
      </c>
      <c r="N564" s="198"/>
      <c r="O564" s="198"/>
      <c r="P564" s="198"/>
      <c r="Q564" s="198"/>
      <c r="R564" s="198" t="s">
        <v>1096</v>
      </c>
      <c r="S564" s="230"/>
      <c r="T564" s="198" t="s">
        <v>995</v>
      </c>
      <c r="U564" s="198" t="str">
        <f aca="false">Таблица310[[#This Row],[Регистратор.Номенклатура]]</f>
        <v>Исток</v>
      </c>
      <c r="V564" s="230" t="n">
        <f aca="false">20*Таблица310[[#This Row],[Регистратор.Вес нетто]]/118470</f>
        <v>2.22165949185448</v>
      </c>
      <c r="W564" s="198" t="s">
        <v>279</v>
      </c>
      <c r="X564" s="198" t="s">
        <v>315</v>
      </c>
      <c r="Y564" s="198" t="n">
        <v>13</v>
      </c>
      <c r="Z564" s="200" t="n">
        <v>45843</v>
      </c>
      <c r="AA564" s="198"/>
      <c r="AB564" s="198"/>
      <c r="AC564" s="198" t="s">
        <v>305</v>
      </c>
      <c r="AD564" s="198" t="s">
        <v>746</v>
      </c>
      <c r="AE564" s="198" t="s">
        <v>1153</v>
      </c>
      <c r="AF564" s="200" t="n">
        <v>45844</v>
      </c>
      <c r="AG564" s="198" t="n">
        <v>117</v>
      </c>
      <c r="AH564" s="198" t="n">
        <f aca="false">VLOOKUP(Таблица310[[#This Row],[№ акта]],'Степень зрелости 2025'!$H$13:$I$583,2,FALSE())</f>
        <v>68</v>
      </c>
      <c r="AI564" s="198" t="str">
        <f aca="false">VLOOKUP(Таблица310[[#This Row],[№ акта]],$AQ$1:$AT$594,2,FALSE())</f>
        <v>4.1</v>
      </c>
      <c r="AJ564" s="198" t="str">
        <f aca="false">Таблица310[[#This Row],[Регистратор.Номенклатура]]</f>
        <v>Исток</v>
      </c>
      <c r="AK564" s="198" t="str">
        <f aca="false">VLOOKUP(Таблица310[[#This Row],[№ акта]],$AQ$1:$AT$594,4,FALSE())</f>
        <v>Колос (полив)</v>
      </c>
      <c r="AL564" s="230" t="n">
        <f aca="false">VLOOKUP(Таблица310[[#This Row],[№ акта]],$AQ$1:$AT$594,3,FALSE())</f>
        <v>2.22165949185448</v>
      </c>
      <c r="AM564" s="198" t="str">
        <f aca="false">IF(Таблица310[[#This Row],[Площадь уборки, га]]=Таблица310[[#This Row],[Площадь уборки до корр]],"нет","да")</f>
        <v>нет</v>
      </c>
      <c r="AN564" s="230" t="n">
        <f aca="false">Таблица310[[#This Row],[Площадь уборки до корр]]-Таблица310[[#This Row],[Площадь уборки, га]]</f>
        <v>0</v>
      </c>
      <c r="AQ564" s="0" t="s">
        <v>1153</v>
      </c>
      <c r="AR564" s="0" t="s">
        <v>995</v>
      </c>
      <c r="AS564" s="0" t="n">
        <v>2.22165949185448</v>
      </c>
      <c r="AT564" s="0" t="s">
        <v>279</v>
      </c>
      <c r="XFD564" s="198"/>
    </row>
    <row r="565" customFormat="false" ht="19.4" hidden="false" customHeight="false" outlineLevel="0" collapsed="false">
      <c r="A565" s="198"/>
      <c r="B565" s="224"/>
      <c r="C565" s="198" t="n">
        <v>62</v>
      </c>
      <c r="D565" s="223" t="s">
        <v>1154</v>
      </c>
      <c r="E565" s="248" t="n">
        <v>45844</v>
      </c>
      <c r="F565" s="226" t="n">
        <v>28720</v>
      </c>
      <c r="G565" s="223" t="n">
        <v>12960</v>
      </c>
      <c r="H565" s="198" t="n">
        <v>15760</v>
      </c>
      <c r="I565" s="198" t="n">
        <v>11858.4</v>
      </c>
      <c r="J565" s="198" t="s">
        <v>994</v>
      </c>
      <c r="K565" s="189" t="s">
        <v>1058</v>
      </c>
      <c r="L565" s="198" t="s">
        <v>995</v>
      </c>
      <c r="M565" s="198" t="s">
        <v>1113</v>
      </c>
      <c r="N565" s="198"/>
      <c r="O565" s="198"/>
      <c r="P565" s="198"/>
      <c r="Q565" s="198"/>
      <c r="R565" s="198" t="s">
        <v>1114</v>
      </c>
      <c r="S565" s="230"/>
      <c r="T565" s="198" t="s">
        <v>995</v>
      </c>
      <c r="U565" s="198" t="str">
        <f aca="false">Таблица310[[#This Row],[Регистратор.Номенклатура]]</f>
        <v>Исток</v>
      </c>
      <c r="V565" s="230" t="n">
        <f aca="false">20*Таблица310[[#This Row],[Регистратор.Вес нетто]]/118470</f>
        <v>2.18789566978982</v>
      </c>
      <c r="W565" s="198" t="s">
        <v>279</v>
      </c>
      <c r="X565" s="198" t="s">
        <v>315</v>
      </c>
      <c r="Y565" s="198" t="n">
        <v>13</v>
      </c>
      <c r="Z565" s="200" t="n">
        <v>45843</v>
      </c>
      <c r="AA565" s="198"/>
      <c r="AB565" s="198"/>
      <c r="AC565" s="198" t="s">
        <v>302</v>
      </c>
      <c r="AD565" s="198" t="s">
        <v>417</v>
      </c>
      <c r="AE565" s="198" t="s">
        <v>1154</v>
      </c>
      <c r="AF565" s="200" t="n">
        <v>45844</v>
      </c>
      <c r="AG565" s="198" t="n">
        <v>118</v>
      </c>
      <c r="AH565" s="198" t="n">
        <f aca="false">VLOOKUP(Таблица310[[#This Row],[№ акта]],'Степень зрелости 2025'!$H$13:$I$583,2,FALSE())</f>
        <v>62</v>
      </c>
      <c r="AI565" s="198" t="str">
        <f aca="false">VLOOKUP(Таблица310[[#This Row],[№ акта]],$AQ$1:$AT$594,2,FALSE())</f>
        <v>4.1</v>
      </c>
      <c r="AJ565" s="198" t="str">
        <f aca="false">Таблица310[[#This Row],[Регистратор.Номенклатура]]</f>
        <v>Исток</v>
      </c>
      <c r="AK565" s="198" t="str">
        <f aca="false">VLOOKUP(Таблица310[[#This Row],[№ акта]],$AQ$1:$AT$594,4,FALSE())</f>
        <v>Колос (полив)</v>
      </c>
      <c r="AL565" s="230" t="n">
        <f aca="false">VLOOKUP(Таблица310[[#This Row],[№ акта]],$AQ$1:$AT$594,3,FALSE())</f>
        <v>2.18789566978982</v>
      </c>
      <c r="AM565" s="198" t="str">
        <f aca="false">IF(Таблица310[[#This Row],[Площадь уборки, га]]=Таблица310[[#This Row],[Площадь уборки до корр]],"нет","да")</f>
        <v>нет</v>
      </c>
      <c r="AN565" s="230" t="n">
        <f aca="false">Таблица310[[#This Row],[Площадь уборки до корр]]-Таблица310[[#This Row],[Площадь уборки, га]]</f>
        <v>0</v>
      </c>
      <c r="AQ565" s="0" t="s">
        <v>1154</v>
      </c>
      <c r="AR565" s="0" t="s">
        <v>995</v>
      </c>
      <c r="AS565" s="0" t="n">
        <v>2.18789566978982</v>
      </c>
      <c r="AT565" s="0" t="s">
        <v>279</v>
      </c>
      <c r="XFD565" s="198"/>
    </row>
    <row r="566" customFormat="false" ht="28.35" hidden="false" customHeight="false" outlineLevel="0" collapsed="false">
      <c r="A566" s="198"/>
      <c r="B566" s="224"/>
      <c r="C566" s="198" t="n">
        <v>51</v>
      </c>
      <c r="D566" s="223" t="s">
        <v>1155</v>
      </c>
      <c r="E566" s="248" t="n">
        <v>45844</v>
      </c>
      <c r="F566" s="226" t="n">
        <v>27710</v>
      </c>
      <c r="G566" s="223" t="n">
        <v>13190</v>
      </c>
      <c r="H566" s="198" t="n">
        <v>14520</v>
      </c>
      <c r="I566" s="198" t="n">
        <v>11541.2</v>
      </c>
      <c r="J566" s="198" t="s">
        <v>994</v>
      </c>
      <c r="K566" s="189" t="s">
        <v>1058</v>
      </c>
      <c r="L566" s="198" t="s">
        <v>995</v>
      </c>
      <c r="M566" s="198" t="s">
        <v>363</v>
      </c>
      <c r="N566" s="198"/>
      <c r="O566" s="198"/>
      <c r="P566" s="198"/>
      <c r="Q566" s="198"/>
      <c r="R566" s="198" t="s">
        <v>364</v>
      </c>
      <c r="S566" s="230"/>
      <c r="T566" s="198" t="s">
        <v>995</v>
      </c>
      <c r="U566" s="198" t="str">
        <f aca="false">Таблица310[[#This Row],[Регистратор.Номенклатура]]</f>
        <v>Исток</v>
      </c>
      <c r="V566" s="230" t="n">
        <f aca="false">20*Таблица310[[#This Row],[Регистратор.Вес нетто]]/118470</f>
        <v>2.22672406516418</v>
      </c>
      <c r="W566" s="198" t="s">
        <v>279</v>
      </c>
      <c r="X566" s="198" t="s">
        <v>315</v>
      </c>
      <c r="Y566" s="198" t="n">
        <v>13</v>
      </c>
      <c r="Z566" s="200" t="n">
        <v>45843</v>
      </c>
      <c r="AA566" s="198"/>
      <c r="AB566" s="198"/>
      <c r="AC566" s="198" t="s">
        <v>53</v>
      </c>
      <c r="AD566" s="198" t="s">
        <v>417</v>
      </c>
      <c r="AE566" s="198" t="s">
        <v>1155</v>
      </c>
      <c r="AF566" s="200" t="n">
        <v>45844</v>
      </c>
      <c r="AG566" s="198" t="n">
        <v>119</v>
      </c>
      <c r="AH566" s="198" t="n">
        <f aca="false">VLOOKUP(Таблица310[[#This Row],[№ акта]],'Степень зрелости 2025'!$H$13:$I$583,2,FALSE())</f>
        <v>51</v>
      </c>
      <c r="AI566" s="198" t="str">
        <f aca="false">VLOOKUP(Таблица310[[#This Row],[№ акта]],$AQ$1:$AT$594,2,FALSE())</f>
        <v>4.1</v>
      </c>
      <c r="AJ566" s="198" t="str">
        <f aca="false">Таблица310[[#This Row],[Регистратор.Номенклатура]]</f>
        <v>Исток</v>
      </c>
      <c r="AK566" s="198" t="str">
        <f aca="false">VLOOKUP(Таблица310[[#This Row],[№ акта]],$AQ$1:$AT$594,4,FALSE())</f>
        <v>Колос (полив)</v>
      </c>
      <c r="AL566" s="230" t="n">
        <f aca="false">VLOOKUP(Таблица310[[#This Row],[№ акта]],$AQ$1:$AT$594,3,FALSE())</f>
        <v>2.22672406516418</v>
      </c>
      <c r="AM566" s="198" t="str">
        <f aca="false">IF(Таблица310[[#This Row],[Площадь уборки, га]]=Таблица310[[#This Row],[Площадь уборки до корр]],"нет","да")</f>
        <v>нет</v>
      </c>
      <c r="AN566" s="230" t="n">
        <f aca="false">Таблица310[[#This Row],[Площадь уборки до корр]]-Таблица310[[#This Row],[Площадь уборки, га]]</f>
        <v>0</v>
      </c>
      <c r="AQ566" s="0" t="s">
        <v>1155</v>
      </c>
      <c r="AR566" s="0" t="s">
        <v>995</v>
      </c>
      <c r="AS566" s="0" t="n">
        <v>2.22672406516418</v>
      </c>
      <c r="AT566" s="0" t="s">
        <v>279</v>
      </c>
      <c r="XFD566" s="198"/>
    </row>
    <row r="567" customFormat="false" ht="28.35" hidden="false" customHeight="false" outlineLevel="0" collapsed="false">
      <c r="A567" s="198"/>
      <c r="B567" s="224"/>
      <c r="C567" s="198" t="n">
        <v>51</v>
      </c>
      <c r="D567" s="223" t="s">
        <v>1156</v>
      </c>
      <c r="E567" s="248" t="n">
        <v>45844</v>
      </c>
      <c r="F567" s="226" t="n">
        <v>28080</v>
      </c>
      <c r="G567" s="223" t="n">
        <v>13100</v>
      </c>
      <c r="H567" s="198" t="n">
        <v>14980</v>
      </c>
      <c r="I567" s="198" t="n">
        <v>11986.5</v>
      </c>
      <c r="J567" s="198" t="s">
        <v>994</v>
      </c>
      <c r="K567" s="189" t="s">
        <v>1058</v>
      </c>
      <c r="L567" s="198" t="s">
        <v>995</v>
      </c>
      <c r="M567" s="198" t="s">
        <v>553</v>
      </c>
      <c r="N567" s="198"/>
      <c r="O567" s="198"/>
      <c r="P567" s="198"/>
      <c r="Q567" s="198"/>
      <c r="R567" s="198" t="s">
        <v>557</v>
      </c>
      <c r="S567" s="230"/>
      <c r="T567" s="198" t="s">
        <v>995</v>
      </c>
      <c r="U567" s="198" t="str">
        <f aca="false">Таблица310[[#This Row],[Регистратор.Номенклатура]]</f>
        <v>Исток</v>
      </c>
      <c r="V567" s="230" t="n">
        <f aca="false">20*Таблица310[[#This Row],[Регистратор.Вес нетто]]/118470</f>
        <v>2.21153034523508</v>
      </c>
      <c r="W567" s="198" t="s">
        <v>279</v>
      </c>
      <c r="X567" s="198" t="s">
        <v>315</v>
      </c>
      <c r="Y567" s="198" t="n">
        <v>13</v>
      </c>
      <c r="Z567" s="200" t="n">
        <v>45843</v>
      </c>
      <c r="AA567" s="198"/>
      <c r="AB567" s="198"/>
      <c r="AC567" s="198" t="s">
        <v>53</v>
      </c>
      <c r="AD567" s="198" t="s">
        <v>417</v>
      </c>
      <c r="AE567" s="198" t="s">
        <v>1156</v>
      </c>
      <c r="AF567" s="200" t="n">
        <v>45844</v>
      </c>
      <c r="AG567" s="198" t="n">
        <v>120</v>
      </c>
      <c r="AH567" s="198" t="n">
        <f aca="false">VLOOKUP(Таблица310[[#This Row],[№ акта]],'Степень зрелости 2025'!$H$13:$I$583,2,FALSE())</f>
        <v>51</v>
      </c>
      <c r="AI567" s="198" t="str">
        <f aca="false">VLOOKUP(Таблица310[[#This Row],[№ акта]],$AQ$1:$AT$594,2,FALSE())</f>
        <v>4.1</v>
      </c>
      <c r="AJ567" s="198" t="str">
        <f aca="false">Таблица310[[#This Row],[Регистратор.Номенклатура]]</f>
        <v>Исток</v>
      </c>
      <c r="AK567" s="198" t="str">
        <f aca="false">VLOOKUP(Таблица310[[#This Row],[№ акта]],$AQ$1:$AT$594,4,FALSE())</f>
        <v>Колос (полив)</v>
      </c>
      <c r="AL567" s="230" t="n">
        <f aca="false">VLOOKUP(Таблица310[[#This Row],[№ акта]],$AQ$1:$AT$594,3,FALSE())</f>
        <v>2.21153034523508</v>
      </c>
      <c r="AM567" s="198" t="str">
        <f aca="false">IF(Таблица310[[#This Row],[Площадь уборки, га]]=Таблица310[[#This Row],[Площадь уборки до корр]],"нет","да")</f>
        <v>нет</v>
      </c>
      <c r="AN567" s="230" t="n">
        <f aca="false">Таблица310[[#This Row],[Площадь уборки до корр]]-Таблица310[[#This Row],[Площадь уборки, га]]</f>
        <v>0</v>
      </c>
      <c r="AQ567" s="0" t="s">
        <v>1156</v>
      </c>
      <c r="AR567" s="0" t="s">
        <v>995</v>
      </c>
      <c r="AS567" s="0" t="n">
        <v>2.21153034523508</v>
      </c>
      <c r="AT567" s="0" t="s">
        <v>279</v>
      </c>
      <c r="XFD567" s="198"/>
    </row>
    <row r="568" customFormat="false" ht="19.4" hidden="false" customHeight="false" outlineLevel="0" collapsed="false">
      <c r="A568" s="198"/>
      <c r="B568" s="224"/>
      <c r="C568" s="198" t="n">
        <v>51</v>
      </c>
      <c r="D568" s="223" t="s">
        <v>1157</v>
      </c>
      <c r="E568" s="248" t="n">
        <v>45844</v>
      </c>
      <c r="F568" s="226" t="n">
        <v>29000</v>
      </c>
      <c r="G568" s="223" t="n">
        <v>13270</v>
      </c>
      <c r="H568" s="198" t="n">
        <v>15730</v>
      </c>
      <c r="I568" s="198" t="n">
        <v>11611.2</v>
      </c>
      <c r="J568" s="198" t="s">
        <v>994</v>
      </c>
      <c r="K568" s="189" t="s">
        <v>1058</v>
      </c>
      <c r="L568" s="198" t="s">
        <v>995</v>
      </c>
      <c r="M568" s="198" t="s">
        <v>445</v>
      </c>
      <c r="N568" s="198"/>
      <c r="O568" s="198"/>
      <c r="P568" s="198"/>
      <c r="Q568" s="198"/>
      <c r="R568" s="198" t="s">
        <v>449</v>
      </c>
      <c r="S568" s="230"/>
      <c r="T568" s="198" t="s">
        <v>995</v>
      </c>
      <c r="U568" s="198" t="str">
        <f aca="false">Таблица310[[#This Row],[Регистратор.Номенклатура]]</f>
        <v>Исток</v>
      </c>
      <c r="V568" s="230" t="n">
        <f aca="false">20*Таблица310[[#This Row],[Регистратор.Вес нетто]]/118470</f>
        <v>2.24022959399004</v>
      </c>
      <c r="W568" s="198" t="s">
        <v>279</v>
      </c>
      <c r="X568" s="198" t="s">
        <v>315</v>
      </c>
      <c r="Y568" s="198" t="n">
        <v>13</v>
      </c>
      <c r="Z568" s="200" t="n">
        <v>45843</v>
      </c>
      <c r="AA568" s="198"/>
      <c r="AB568" s="198"/>
      <c r="AC568" s="198" t="s">
        <v>53</v>
      </c>
      <c r="AD568" s="198" t="s">
        <v>417</v>
      </c>
      <c r="AE568" s="198" t="s">
        <v>1157</v>
      </c>
      <c r="AF568" s="200" t="n">
        <v>45844</v>
      </c>
      <c r="AG568" s="198" t="n">
        <v>121</v>
      </c>
      <c r="AH568" s="198" t="n">
        <f aca="false">VLOOKUP(Таблица310[[#This Row],[№ акта]],'Степень зрелости 2025'!$H$13:$I$583,2,FALSE())</f>
        <v>51</v>
      </c>
      <c r="AI568" s="198" t="str">
        <f aca="false">VLOOKUP(Таблица310[[#This Row],[№ акта]],$AQ$1:$AT$594,2,FALSE())</f>
        <v>4.1</v>
      </c>
      <c r="AJ568" s="198" t="str">
        <f aca="false">Таблица310[[#This Row],[Регистратор.Номенклатура]]</f>
        <v>Исток</v>
      </c>
      <c r="AK568" s="198" t="str">
        <f aca="false">VLOOKUP(Таблица310[[#This Row],[№ акта]],$AQ$1:$AT$594,4,FALSE())</f>
        <v>Колос (полив)</v>
      </c>
      <c r="AL568" s="230" t="n">
        <f aca="false">VLOOKUP(Таблица310[[#This Row],[№ акта]],$AQ$1:$AT$594,3,FALSE())</f>
        <v>2.24022959399004</v>
      </c>
      <c r="AM568" s="198" t="str">
        <f aca="false">IF(Таблица310[[#This Row],[Площадь уборки, га]]=Таблица310[[#This Row],[Площадь уборки до корр]],"нет","да")</f>
        <v>нет</v>
      </c>
      <c r="AN568" s="230" t="n">
        <f aca="false">Таблица310[[#This Row],[Площадь уборки до корр]]-Таблица310[[#This Row],[Площадь уборки, га]]</f>
        <v>0</v>
      </c>
      <c r="AQ568" s="0" t="s">
        <v>1157</v>
      </c>
      <c r="AR568" s="0" t="s">
        <v>995</v>
      </c>
      <c r="AS568" s="0" t="n">
        <v>2.24022959399004</v>
      </c>
      <c r="AT568" s="0" t="s">
        <v>279</v>
      </c>
      <c r="XFD568" s="198"/>
    </row>
    <row r="569" customFormat="false" ht="28.35" hidden="false" customHeight="false" outlineLevel="0" collapsed="false">
      <c r="A569" s="198"/>
      <c r="B569" s="224"/>
      <c r="C569" s="198" t="n">
        <v>51</v>
      </c>
      <c r="D569" s="223" t="s">
        <v>1158</v>
      </c>
      <c r="E569" s="248" t="n">
        <v>45844</v>
      </c>
      <c r="F569" s="226" t="n">
        <v>28530</v>
      </c>
      <c r="G569" s="223" t="n">
        <v>13510</v>
      </c>
      <c r="H569" s="198" t="n">
        <v>15020</v>
      </c>
      <c r="I569" s="198" t="n">
        <v>12226.5</v>
      </c>
      <c r="J569" s="198" t="s">
        <v>994</v>
      </c>
      <c r="K569" s="189" t="s">
        <v>1058</v>
      </c>
      <c r="L569" s="198" t="s">
        <v>995</v>
      </c>
      <c r="M569" s="198" t="s">
        <v>1086</v>
      </c>
      <c r="N569" s="198"/>
      <c r="O569" s="198"/>
      <c r="P569" s="198"/>
      <c r="Q569" s="198"/>
      <c r="R569" s="198" t="s">
        <v>1087</v>
      </c>
      <c r="S569" s="230"/>
      <c r="T569" s="198" t="s">
        <v>995</v>
      </c>
      <c r="U569" s="198" t="str">
        <f aca="false">Таблица310[[#This Row],[Регистратор.Номенклатура]]</f>
        <v>Исток</v>
      </c>
      <c r="V569" s="230" t="n">
        <f aca="false">16*Таблица310[[#This Row],[Регистратор.Вес нетто]]/120940</f>
        <v>1.78733256160079</v>
      </c>
      <c r="W569" s="198" t="s">
        <v>279</v>
      </c>
      <c r="X569" s="198" t="s">
        <v>315</v>
      </c>
      <c r="Y569" s="198" t="n">
        <v>14</v>
      </c>
      <c r="Z569" s="200" t="n">
        <v>45844</v>
      </c>
      <c r="AA569" s="198"/>
      <c r="AB569" s="198"/>
      <c r="AC569" s="198" t="s">
        <v>53</v>
      </c>
      <c r="AD569" s="198" t="s">
        <v>417</v>
      </c>
      <c r="AE569" s="198" t="s">
        <v>1158</v>
      </c>
      <c r="AF569" s="200" t="n">
        <v>45844</v>
      </c>
      <c r="AG569" s="198" t="n">
        <v>122</v>
      </c>
      <c r="AH569" s="198" t="n">
        <f aca="false">VLOOKUP(Таблица310[[#This Row],[№ акта]],'Степень зрелости 2025'!$H$13:$I$583,2,FALSE())</f>
        <v>51</v>
      </c>
      <c r="AI569" s="198" t="str">
        <f aca="false">VLOOKUP(Таблица310[[#This Row],[№ акта]],$AQ$1:$AT$594,2,FALSE())</f>
        <v>4.1</v>
      </c>
      <c r="AJ569" s="198" t="str">
        <f aca="false">Таблица310[[#This Row],[Регистратор.Номенклатура]]</f>
        <v>Исток</v>
      </c>
      <c r="AK569" s="198" t="str">
        <f aca="false">VLOOKUP(Таблица310[[#This Row],[№ акта]],$AQ$1:$AT$594,4,FALSE())</f>
        <v>Колос (полив)</v>
      </c>
      <c r="AL569" s="230" t="n">
        <f aca="false">VLOOKUP(Таблица310[[#This Row],[№ акта]],$AQ$1:$AT$594,3,FALSE())</f>
        <v>1.78733256160079</v>
      </c>
      <c r="AM569" s="198" t="str">
        <f aca="false">IF(Таблица310[[#This Row],[Площадь уборки, га]]=Таблица310[[#This Row],[Площадь уборки до корр]],"нет","да")</f>
        <v>нет</v>
      </c>
      <c r="AN569" s="230" t="n">
        <f aca="false">Таблица310[[#This Row],[Площадь уборки до корр]]-Таблица310[[#This Row],[Площадь уборки, га]]</f>
        <v>0</v>
      </c>
      <c r="AQ569" s="0" t="s">
        <v>1158</v>
      </c>
      <c r="AR569" s="0" t="s">
        <v>995</v>
      </c>
      <c r="AS569" s="0" t="n">
        <v>1.78733256160079</v>
      </c>
      <c r="AT569" s="0" t="s">
        <v>279</v>
      </c>
      <c r="XFD569" s="198"/>
    </row>
    <row r="570" customFormat="false" ht="19.4" hidden="false" customHeight="false" outlineLevel="0" collapsed="false">
      <c r="A570" s="198"/>
      <c r="B570" s="224"/>
      <c r="C570" s="198" t="n">
        <v>51</v>
      </c>
      <c r="D570" s="223" t="s">
        <v>1159</v>
      </c>
      <c r="E570" s="248" t="n">
        <v>45844</v>
      </c>
      <c r="F570" s="226" t="n">
        <v>28120</v>
      </c>
      <c r="G570" s="223" t="n">
        <v>13440</v>
      </c>
      <c r="H570" s="198" t="n">
        <v>14680</v>
      </c>
      <c r="I570" s="198" t="n">
        <v>12163.2</v>
      </c>
      <c r="J570" s="198" t="s">
        <v>994</v>
      </c>
      <c r="K570" s="189" t="s">
        <v>1058</v>
      </c>
      <c r="L570" s="198" t="s">
        <v>995</v>
      </c>
      <c r="M570" s="198" t="s">
        <v>547</v>
      </c>
      <c r="N570" s="198"/>
      <c r="O570" s="198"/>
      <c r="P570" s="198"/>
      <c r="Q570" s="198"/>
      <c r="R570" s="198" t="s">
        <v>551</v>
      </c>
      <c r="S570" s="230"/>
      <c r="T570" s="198" t="s">
        <v>995</v>
      </c>
      <c r="U570" s="198" t="str">
        <f aca="false">Таблица310[[#This Row],[Регистратор.Номенклатура]]</f>
        <v>Исток</v>
      </c>
      <c r="V570" s="230" t="n">
        <f aca="false">16*Таблица310[[#This Row],[Регистратор.Вес нетто]]/120940</f>
        <v>1.77807177112618</v>
      </c>
      <c r="W570" s="198" t="s">
        <v>279</v>
      </c>
      <c r="X570" s="198" t="s">
        <v>315</v>
      </c>
      <c r="Y570" s="198" t="n">
        <v>14</v>
      </c>
      <c r="Z570" s="200" t="n">
        <v>45844</v>
      </c>
      <c r="AA570" s="198"/>
      <c r="AB570" s="198"/>
      <c r="AC570" s="198" t="s">
        <v>53</v>
      </c>
      <c r="AD570" s="198" t="s">
        <v>417</v>
      </c>
      <c r="AE570" s="198" t="s">
        <v>1159</v>
      </c>
      <c r="AF570" s="200" t="n">
        <v>45844</v>
      </c>
      <c r="AG570" s="198" t="n">
        <v>123</v>
      </c>
      <c r="AH570" s="198" t="n">
        <f aca="false">VLOOKUP(Таблица310[[#This Row],[№ акта]],'Степень зрелости 2025'!$H$13:$I$583,2,FALSE())</f>
        <v>51</v>
      </c>
      <c r="AI570" s="198" t="str">
        <f aca="false">VLOOKUP(Таблица310[[#This Row],[№ акта]],$AQ$1:$AT$594,2,FALSE())</f>
        <v>4.1</v>
      </c>
      <c r="AJ570" s="198" t="str">
        <f aca="false">Таблица310[[#This Row],[Регистратор.Номенклатура]]</f>
        <v>Исток</v>
      </c>
      <c r="AK570" s="198" t="str">
        <f aca="false">VLOOKUP(Таблица310[[#This Row],[№ акта]],$AQ$1:$AT$594,4,FALSE())</f>
        <v>Колос (полив)</v>
      </c>
      <c r="AL570" s="230" t="n">
        <f aca="false">VLOOKUP(Таблица310[[#This Row],[№ акта]],$AQ$1:$AT$594,3,FALSE())</f>
        <v>1.77807177112618</v>
      </c>
      <c r="AM570" s="198" t="str">
        <f aca="false">IF(Таблица310[[#This Row],[Площадь уборки, га]]=Таблица310[[#This Row],[Площадь уборки до корр]],"нет","да")</f>
        <v>нет</v>
      </c>
      <c r="AN570" s="230" t="n">
        <f aca="false">Таблица310[[#This Row],[Площадь уборки до корр]]-Таблица310[[#This Row],[Площадь уборки, га]]</f>
        <v>0</v>
      </c>
      <c r="AQ570" s="0" t="s">
        <v>1159</v>
      </c>
      <c r="AR570" s="0" t="s">
        <v>995</v>
      </c>
      <c r="AS570" s="0" t="n">
        <v>1.77807177112618</v>
      </c>
      <c r="AT570" s="0" t="s">
        <v>279</v>
      </c>
      <c r="XFD570" s="198"/>
    </row>
    <row r="571" customFormat="false" ht="19.4" hidden="false" customHeight="false" outlineLevel="0" collapsed="false">
      <c r="A571" s="198"/>
      <c r="B571" s="224"/>
      <c r="C571" s="198" t="n">
        <v>56</v>
      </c>
      <c r="D571" s="223" t="s">
        <v>1160</v>
      </c>
      <c r="E571" s="248" t="n">
        <v>45844</v>
      </c>
      <c r="F571" s="226" t="n">
        <v>28360</v>
      </c>
      <c r="G571" s="223" t="n">
        <v>13500</v>
      </c>
      <c r="H571" s="198" t="n">
        <v>14860</v>
      </c>
      <c r="I571" s="198" t="n">
        <v>12082.5</v>
      </c>
      <c r="J571" s="198" t="s">
        <v>994</v>
      </c>
      <c r="K571" s="189" t="s">
        <v>1058</v>
      </c>
      <c r="L571" s="198" t="s">
        <v>995</v>
      </c>
      <c r="M571" s="198" t="s">
        <v>451</v>
      </c>
      <c r="N571" s="198"/>
      <c r="O571" s="198"/>
      <c r="P571" s="198"/>
      <c r="Q571" s="198"/>
      <c r="R571" s="198" t="s">
        <v>455</v>
      </c>
      <c r="S571" s="230"/>
      <c r="T571" s="198" t="s">
        <v>995</v>
      </c>
      <c r="U571" s="198" t="str">
        <f aca="false">Таблица310[[#This Row],[Регистратор.Номенклатура]]</f>
        <v>Исток</v>
      </c>
      <c r="V571" s="230" t="n">
        <f aca="false">16*Таблица310[[#This Row],[Регистратор.Вес нетто]]/120940</f>
        <v>1.78600959153299</v>
      </c>
      <c r="W571" s="198" t="s">
        <v>279</v>
      </c>
      <c r="X571" s="198" t="s">
        <v>315</v>
      </c>
      <c r="Y571" s="198" t="n">
        <v>14</v>
      </c>
      <c r="Z571" s="200" t="n">
        <v>45844</v>
      </c>
      <c r="AA571" s="198"/>
      <c r="AB571" s="198"/>
      <c r="AC571" s="198" t="s">
        <v>302</v>
      </c>
      <c r="AD571" s="198" t="s">
        <v>417</v>
      </c>
      <c r="AE571" s="198" t="s">
        <v>1160</v>
      </c>
      <c r="AF571" s="200" t="n">
        <v>45844</v>
      </c>
      <c r="AG571" s="198" t="n">
        <v>124</v>
      </c>
      <c r="AH571" s="198" t="n">
        <f aca="false">VLOOKUP(Таблица310[[#This Row],[№ акта]],'Степень зрелости 2025'!$H$13:$I$583,2,FALSE())</f>
        <v>56</v>
      </c>
      <c r="AI571" s="198" t="str">
        <f aca="false">VLOOKUP(Таблица310[[#This Row],[№ акта]],$AQ$1:$AT$594,2,FALSE())</f>
        <v>4.1</v>
      </c>
      <c r="AJ571" s="198" t="str">
        <f aca="false">Таблица310[[#This Row],[Регистратор.Номенклатура]]</f>
        <v>Исток</v>
      </c>
      <c r="AK571" s="198" t="str">
        <f aca="false">VLOOKUP(Таблица310[[#This Row],[№ акта]],$AQ$1:$AT$594,4,FALSE())</f>
        <v>Колос (полив)</v>
      </c>
      <c r="AL571" s="230" t="n">
        <f aca="false">VLOOKUP(Таблица310[[#This Row],[№ акта]],$AQ$1:$AT$594,3,FALSE())</f>
        <v>1.78600959153299</v>
      </c>
      <c r="AM571" s="198" t="str">
        <f aca="false">IF(Таблица310[[#This Row],[Площадь уборки, га]]=Таблица310[[#This Row],[Площадь уборки до корр]],"нет","да")</f>
        <v>нет</v>
      </c>
      <c r="AN571" s="230" t="n">
        <f aca="false">Таблица310[[#This Row],[Площадь уборки до корр]]-Таблица310[[#This Row],[Площадь уборки, га]]</f>
        <v>0</v>
      </c>
      <c r="AQ571" s="0" t="s">
        <v>1160</v>
      </c>
      <c r="AR571" s="0" t="s">
        <v>995</v>
      </c>
      <c r="AS571" s="0" t="n">
        <v>1.78600959153299</v>
      </c>
      <c r="AT571" s="0" t="s">
        <v>279</v>
      </c>
      <c r="XFD571" s="198"/>
    </row>
    <row r="572" customFormat="false" ht="19.4" hidden="false" customHeight="false" outlineLevel="0" collapsed="false">
      <c r="A572" s="198"/>
      <c r="B572" s="224"/>
      <c r="C572" s="198" t="n">
        <v>56</v>
      </c>
      <c r="D572" s="223" t="s">
        <v>1161</v>
      </c>
      <c r="E572" s="248" t="n">
        <v>45844</v>
      </c>
      <c r="F572" s="226" t="n">
        <v>37730</v>
      </c>
      <c r="G572" s="223" t="n">
        <v>13490</v>
      </c>
      <c r="H572" s="198" t="n">
        <v>24240</v>
      </c>
      <c r="I572" s="198" t="n">
        <v>12343.3</v>
      </c>
      <c r="J572" s="198" t="s">
        <v>994</v>
      </c>
      <c r="K572" s="189" t="s">
        <v>1058</v>
      </c>
      <c r="L572" s="198" t="s">
        <v>995</v>
      </c>
      <c r="M572" s="198" t="s">
        <v>1092</v>
      </c>
      <c r="N572" s="198"/>
      <c r="O572" s="198"/>
      <c r="P572" s="198"/>
      <c r="Q572" s="198"/>
      <c r="R572" s="198" t="s">
        <v>1093</v>
      </c>
      <c r="S572" s="230"/>
      <c r="T572" s="198" t="s">
        <v>995</v>
      </c>
      <c r="U572" s="198" t="str">
        <f aca="false">Таблица310[[#This Row],[Регистратор.Номенклатура]]</f>
        <v>Исток</v>
      </c>
      <c r="V572" s="230" t="n">
        <f aca="false">16*Таблица310[[#This Row],[Регистратор.Вес нетто]]/120940</f>
        <v>1.78468662146519</v>
      </c>
      <c r="W572" s="198" t="s">
        <v>279</v>
      </c>
      <c r="X572" s="198" t="s">
        <v>315</v>
      </c>
      <c r="Y572" s="198" t="n">
        <v>14</v>
      </c>
      <c r="Z572" s="200" t="n">
        <v>45844</v>
      </c>
      <c r="AA572" s="198"/>
      <c r="AB572" s="198"/>
      <c r="AC572" s="198" t="s">
        <v>302</v>
      </c>
      <c r="AD572" s="198" t="s">
        <v>417</v>
      </c>
      <c r="AE572" s="198" t="s">
        <v>1161</v>
      </c>
      <c r="AF572" s="200" t="n">
        <v>45844</v>
      </c>
      <c r="AG572" s="198" t="n">
        <v>125</v>
      </c>
      <c r="AH572" s="198" t="n">
        <f aca="false">VLOOKUP(Таблица310[[#This Row],[№ акта]],'Степень зрелости 2025'!$H$13:$I$583,2,FALSE())</f>
        <v>56</v>
      </c>
      <c r="AI572" s="198" t="str">
        <f aca="false">VLOOKUP(Таблица310[[#This Row],[№ акта]],$AQ$1:$AT$594,2,FALSE())</f>
        <v>4.1</v>
      </c>
      <c r="AJ572" s="198" t="str">
        <f aca="false">Таблица310[[#This Row],[Регистратор.Номенклатура]]</f>
        <v>Исток</v>
      </c>
      <c r="AK572" s="198" t="str">
        <f aca="false">VLOOKUP(Таблица310[[#This Row],[№ акта]],$AQ$1:$AT$594,4,FALSE())</f>
        <v>Колос (полив)</v>
      </c>
      <c r="AL572" s="230" t="n">
        <f aca="false">VLOOKUP(Таблица310[[#This Row],[№ акта]],$AQ$1:$AT$594,3,FALSE())</f>
        <v>1.78468662146519</v>
      </c>
      <c r="AM572" s="198" t="str">
        <f aca="false">IF(Таблица310[[#This Row],[Площадь уборки, га]]=Таблица310[[#This Row],[Площадь уборки до корр]],"нет","да")</f>
        <v>нет</v>
      </c>
      <c r="AN572" s="230" t="n">
        <f aca="false">Таблица310[[#This Row],[Площадь уборки до корр]]-Таблица310[[#This Row],[Площадь уборки, га]]</f>
        <v>0</v>
      </c>
      <c r="AQ572" s="0" t="s">
        <v>1161</v>
      </c>
      <c r="AR572" s="0" t="s">
        <v>995</v>
      </c>
      <c r="AS572" s="0" t="n">
        <v>1.78468662146519</v>
      </c>
      <c r="AT572" s="0" t="s">
        <v>279</v>
      </c>
      <c r="XFD572" s="198"/>
    </row>
    <row r="573" customFormat="false" ht="19.4" hidden="false" customHeight="false" outlineLevel="0" collapsed="false">
      <c r="A573" s="198"/>
      <c r="B573" s="224"/>
      <c r="C573" s="198" t="n">
        <v>54</v>
      </c>
      <c r="D573" s="223" t="s">
        <v>1162</v>
      </c>
      <c r="E573" s="248" t="n">
        <v>45844</v>
      </c>
      <c r="F573" s="226" t="n">
        <v>29180</v>
      </c>
      <c r="G573" s="223" t="n">
        <v>13460</v>
      </c>
      <c r="H573" s="198" t="n">
        <v>15720</v>
      </c>
      <c r="I573" s="198" t="n">
        <v>11912.1</v>
      </c>
      <c r="J573" s="198" t="s">
        <v>994</v>
      </c>
      <c r="K573" s="189" t="s">
        <v>1058</v>
      </c>
      <c r="L573" s="198" t="s">
        <v>995</v>
      </c>
      <c r="M573" s="198" t="s">
        <v>1095</v>
      </c>
      <c r="N573" s="198"/>
      <c r="O573" s="198"/>
      <c r="P573" s="198"/>
      <c r="Q573" s="198"/>
      <c r="R573" s="198" t="s">
        <v>1096</v>
      </c>
      <c r="S573" s="230"/>
      <c r="T573" s="198" t="s">
        <v>995</v>
      </c>
      <c r="U573" s="198" t="str">
        <f aca="false">Таблица310[[#This Row],[Регистратор.Номенклатура]]</f>
        <v>Исток</v>
      </c>
      <c r="V573" s="230" t="n">
        <f aca="false">16*Таблица310[[#This Row],[Регистратор.Вес нетто]]/120940</f>
        <v>1.78071771126178</v>
      </c>
      <c r="W573" s="198" t="s">
        <v>279</v>
      </c>
      <c r="X573" s="198" t="s">
        <v>315</v>
      </c>
      <c r="Y573" s="198" t="n">
        <v>14</v>
      </c>
      <c r="Z573" s="200" t="n">
        <v>45844</v>
      </c>
      <c r="AA573" s="198"/>
      <c r="AB573" s="198"/>
      <c r="AC573" s="198" t="s">
        <v>302</v>
      </c>
      <c r="AD573" s="198" t="s">
        <v>417</v>
      </c>
      <c r="AE573" s="198" t="s">
        <v>1162</v>
      </c>
      <c r="AF573" s="200" t="n">
        <v>45844</v>
      </c>
      <c r="AG573" s="198" t="n">
        <v>126</v>
      </c>
      <c r="AH573" s="198" t="n">
        <f aca="false">VLOOKUP(Таблица310[[#This Row],[№ акта]],'Степень зрелости 2025'!$H$13:$I$583,2,FALSE())</f>
        <v>54</v>
      </c>
      <c r="AI573" s="198" t="str">
        <f aca="false">VLOOKUP(Таблица310[[#This Row],[№ акта]],$AQ$1:$AT$594,2,FALSE())</f>
        <v>4.1</v>
      </c>
      <c r="AJ573" s="198" t="str">
        <f aca="false">Таблица310[[#This Row],[Регистратор.Номенклатура]]</f>
        <v>Исток</v>
      </c>
      <c r="AK573" s="198" t="str">
        <f aca="false">VLOOKUP(Таблица310[[#This Row],[№ акта]],$AQ$1:$AT$594,4,FALSE())</f>
        <v>Колос (полив)</v>
      </c>
      <c r="AL573" s="230" t="n">
        <f aca="false">VLOOKUP(Таблица310[[#This Row],[№ акта]],$AQ$1:$AT$594,3,FALSE())</f>
        <v>1.78071771126178</v>
      </c>
      <c r="AM573" s="198" t="str">
        <f aca="false">IF(Таблица310[[#This Row],[Площадь уборки, га]]=Таблица310[[#This Row],[Площадь уборки до корр]],"нет","да")</f>
        <v>нет</v>
      </c>
      <c r="AN573" s="230" t="n">
        <f aca="false">Таблица310[[#This Row],[Площадь уборки до корр]]-Таблица310[[#This Row],[Площадь уборки, га]]</f>
        <v>0</v>
      </c>
      <c r="AQ573" s="0" t="s">
        <v>1162</v>
      </c>
      <c r="AR573" s="0" t="s">
        <v>995</v>
      </c>
      <c r="AS573" s="0" t="n">
        <v>1.78071771126178</v>
      </c>
      <c r="AT573" s="0" t="s">
        <v>279</v>
      </c>
      <c r="XFD573" s="198"/>
    </row>
    <row r="574" customFormat="false" ht="19.4" hidden="false" customHeight="false" outlineLevel="0" collapsed="false">
      <c r="A574" s="198"/>
      <c r="B574" s="224"/>
      <c r="C574" s="198" t="n">
        <v>50</v>
      </c>
      <c r="D574" s="223" t="s">
        <v>1163</v>
      </c>
      <c r="E574" s="248" t="n">
        <v>45844</v>
      </c>
      <c r="F574" s="226" t="n">
        <v>29370</v>
      </c>
      <c r="G574" s="223" t="n">
        <v>13670</v>
      </c>
      <c r="H574" s="198" t="n">
        <v>15700</v>
      </c>
      <c r="I574" s="198" t="n">
        <v>11961.2</v>
      </c>
      <c r="J574" s="198" t="s">
        <v>994</v>
      </c>
      <c r="K574" s="189" t="s">
        <v>1058</v>
      </c>
      <c r="L574" s="198" t="s">
        <v>995</v>
      </c>
      <c r="M574" s="198" t="s">
        <v>365</v>
      </c>
      <c r="N574" s="198"/>
      <c r="O574" s="198"/>
      <c r="P574" s="198"/>
      <c r="Q574" s="198"/>
      <c r="R574" s="198" t="s">
        <v>373</v>
      </c>
      <c r="S574" s="230"/>
      <c r="T574" s="198" t="s">
        <v>995</v>
      </c>
      <c r="U574" s="198" t="str">
        <f aca="false">Таблица310[[#This Row],[Регистратор.Номенклатура]]</f>
        <v>Исток</v>
      </c>
      <c r="V574" s="230" t="n">
        <f aca="false">16*Таблица310[[#This Row],[Регистратор.Вес нетто]]/120940</f>
        <v>1.80850008268563</v>
      </c>
      <c r="W574" s="198" t="s">
        <v>279</v>
      </c>
      <c r="X574" s="198" t="s">
        <v>315</v>
      </c>
      <c r="Y574" s="198" t="n">
        <v>14</v>
      </c>
      <c r="Z574" s="200" t="n">
        <v>45844</v>
      </c>
      <c r="AA574" s="198"/>
      <c r="AB574" s="198"/>
      <c r="AC574" s="198" t="s">
        <v>53</v>
      </c>
      <c r="AD574" s="198" t="s">
        <v>417</v>
      </c>
      <c r="AE574" s="198" t="s">
        <v>1163</v>
      </c>
      <c r="AF574" s="200" t="n">
        <v>45844</v>
      </c>
      <c r="AG574" s="198" t="n">
        <v>127</v>
      </c>
      <c r="AH574" s="198" t="n">
        <f aca="false">VLOOKUP(Таблица310[[#This Row],[№ акта]],'Степень зрелости 2025'!$H$13:$I$583,2,FALSE())</f>
        <v>50</v>
      </c>
      <c r="AI574" s="198" t="str">
        <f aca="false">VLOOKUP(Таблица310[[#This Row],[№ акта]],$AQ$1:$AT$594,2,FALSE())</f>
        <v>4.1</v>
      </c>
      <c r="AJ574" s="198" t="str">
        <f aca="false">Таблица310[[#This Row],[Регистратор.Номенклатура]]</f>
        <v>Исток</v>
      </c>
      <c r="AK574" s="198" t="str">
        <f aca="false">VLOOKUP(Таблица310[[#This Row],[№ акта]],$AQ$1:$AT$594,4,FALSE())</f>
        <v>Колос (полив)</v>
      </c>
      <c r="AL574" s="230" t="n">
        <f aca="false">VLOOKUP(Таблица310[[#This Row],[№ акта]],$AQ$1:$AT$594,3,FALSE())</f>
        <v>1.80850008268563</v>
      </c>
      <c r="AM574" s="198" t="str">
        <f aca="false">IF(Таблица310[[#This Row],[Площадь уборки, га]]=Таблица310[[#This Row],[Площадь уборки до корр]],"нет","да")</f>
        <v>нет</v>
      </c>
      <c r="AN574" s="230" t="n">
        <f aca="false">Таблица310[[#This Row],[Площадь уборки до корр]]-Таблица310[[#This Row],[Площадь уборки, га]]</f>
        <v>0</v>
      </c>
      <c r="AQ574" s="0" t="s">
        <v>1163</v>
      </c>
      <c r="AR574" s="0" t="s">
        <v>995</v>
      </c>
      <c r="AS574" s="0" t="n">
        <v>1.80850008268563</v>
      </c>
      <c r="AT574" s="0" t="s">
        <v>279</v>
      </c>
      <c r="XFD574" s="198"/>
    </row>
    <row r="575" customFormat="false" ht="19.4" hidden="false" customHeight="false" outlineLevel="0" collapsed="false">
      <c r="A575" s="198"/>
      <c r="B575" s="224"/>
      <c r="C575" s="198" t="n">
        <v>51</v>
      </c>
      <c r="D575" s="223" t="s">
        <v>1164</v>
      </c>
      <c r="E575" s="248" t="n">
        <v>45844</v>
      </c>
      <c r="F575" s="226" t="n">
        <v>29300</v>
      </c>
      <c r="G575" s="223" t="n">
        <v>13660</v>
      </c>
      <c r="H575" s="198" t="n">
        <v>15640</v>
      </c>
      <c r="I575" s="198" t="n">
        <v>11611</v>
      </c>
      <c r="J575" s="198" t="s">
        <v>994</v>
      </c>
      <c r="K575" s="189" t="s">
        <v>1058</v>
      </c>
      <c r="L575" s="198" t="s">
        <v>995</v>
      </c>
      <c r="M575" s="198" t="s">
        <v>1113</v>
      </c>
      <c r="N575" s="198"/>
      <c r="O575" s="198"/>
      <c r="P575" s="198"/>
      <c r="Q575" s="198"/>
      <c r="R575" s="198" t="s">
        <v>1114</v>
      </c>
      <c r="S575" s="230"/>
      <c r="T575" s="198" t="s">
        <v>995</v>
      </c>
      <c r="U575" s="198" t="str">
        <f aca="false">Таблица310[[#This Row],[Регистратор.Номенклатура]]</f>
        <v>Исток</v>
      </c>
      <c r="V575" s="230" t="n">
        <f aca="false">16*Таблица310[[#This Row],[Регистратор.Вес нетто]]/120940</f>
        <v>1.80717711261783</v>
      </c>
      <c r="W575" s="198" t="s">
        <v>279</v>
      </c>
      <c r="X575" s="198" t="s">
        <v>315</v>
      </c>
      <c r="Y575" s="198" t="n">
        <v>14</v>
      </c>
      <c r="Z575" s="200" t="n">
        <v>45844</v>
      </c>
      <c r="AA575" s="198"/>
      <c r="AB575" s="198"/>
      <c r="AC575" s="198" t="s">
        <v>53</v>
      </c>
      <c r="AD575" s="198" t="s">
        <v>417</v>
      </c>
      <c r="AE575" s="198" t="s">
        <v>1164</v>
      </c>
      <c r="AF575" s="200" t="n">
        <v>45844</v>
      </c>
      <c r="AG575" s="198" t="n">
        <v>128</v>
      </c>
      <c r="AH575" s="198" t="n">
        <f aca="false">VLOOKUP(Таблица310[[#This Row],[№ акта]],'Степень зрелости 2025'!$H$13:$I$583,2,FALSE())</f>
        <v>51</v>
      </c>
      <c r="AI575" s="198" t="str">
        <f aca="false">VLOOKUP(Таблица310[[#This Row],[№ акта]],$AQ$1:$AT$594,2,FALSE())</f>
        <v>4.1</v>
      </c>
      <c r="AJ575" s="198" t="str">
        <f aca="false">Таблица310[[#This Row],[Регистратор.Номенклатура]]</f>
        <v>Исток</v>
      </c>
      <c r="AK575" s="198" t="str">
        <f aca="false">VLOOKUP(Таблица310[[#This Row],[№ акта]],$AQ$1:$AT$594,4,FALSE())</f>
        <v>Колос (полив)</v>
      </c>
      <c r="AL575" s="230" t="n">
        <f aca="false">VLOOKUP(Таблица310[[#This Row],[№ акта]],$AQ$1:$AT$594,3,FALSE())</f>
        <v>1.80717711261783</v>
      </c>
      <c r="AM575" s="198" t="str">
        <f aca="false">IF(Таблица310[[#This Row],[Площадь уборки, га]]=Таблица310[[#This Row],[Площадь уборки до корр]],"нет","да")</f>
        <v>нет</v>
      </c>
      <c r="AN575" s="230" t="n">
        <f aca="false">Таблица310[[#This Row],[Площадь уборки до корр]]-Таблица310[[#This Row],[Площадь уборки, га]]</f>
        <v>0</v>
      </c>
      <c r="AQ575" s="0" t="s">
        <v>1164</v>
      </c>
      <c r="AR575" s="0" t="s">
        <v>995</v>
      </c>
      <c r="AS575" s="0" t="n">
        <v>1.80717711261783</v>
      </c>
      <c r="AT575" s="0" t="s">
        <v>279</v>
      </c>
      <c r="XFD575" s="198"/>
    </row>
    <row r="576" customFormat="false" ht="19.4" hidden="false" customHeight="false" outlineLevel="0" collapsed="false">
      <c r="A576" s="198"/>
      <c r="B576" s="224"/>
      <c r="C576" s="198" t="n">
        <v>55</v>
      </c>
      <c r="D576" s="223" t="s">
        <v>1165</v>
      </c>
      <c r="E576" s="248" t="n">
        <v>45844</v>
      </c>
      <c r="F576" s="226" t="n">
        <v>39780</v>
      </c>
      <c r="G576" s="223" t="n">
        <v>15700</v>
      </c>
      <c r="H576" s="198" t="n">
        <v>24080</v>
      </c>
      <c r="I576" s="198" t="n">
        <v>14051.5</v>
      </c>
      <c r="J576" s="198" t="s">
        <v>994</v>
      </c>
      <c r="K576" s="189" t="s">
        <v>1058</v>
      </c>
      <c r="L576" s="198" t="s">
        <v>995</v>
      </c>
      <c r="M576" s="198" t="s">
        <v>439</v>
      </c>
      <c r="N576" s="198"/>
      <c r="O576" s="198"/>
      <c r="P576" s="198"/>
      <c r="Q576" s="198"/>
      <c r="R576" s="198" t="s">
        <v>443</v>
      </c>
      <c r="S576" s="230"/>
      <c r="T576" s="198" t="s">
        <v>995</v>
      </c>
      <c r="U576" s="198" t="str">
        <f aca="false">Таблица310[[#This Row],[Регистратор.Номенклатура]]</f>
        <v>Исток</v>
      </c>
      <c r="V576" s="230" t="n">
        <f aca="false">16*Таблица310[[#This Row],[Регистратор.Вес нетто]]/120940</f>
        <v>2.07706300644948</v>
      </c>
      <c r="W576" s="198" t="s">
        <v>279</v>
      </c>
      <c r="X576" s="198" t="s">
        <v>315</v>
      </c>
      <c r="Y576" s="198" t="n">
        <v>14</v>
      </c>
      <c r="Z576" s="200" t="n">
        <v>45844</v>
      </c>
      <c r="AA576" s="198"/>
      <c r="AB576" s="198"/>
      <c r="AC576" s="198" t="s">
        <v>302</v>
      </c>
      <c r="AD576" s="198" t="s">
        <v>417</v>
      </c>
      <c r="AE576" s="198" t="s">
        <v>1165</v>
      </c>
      <c r="AF576" s="200" t="n">
        <v>45844</v>
      </c>
      <c r="AG576" s="198" t="n">
        <v>129</v>
      </c>
      <c r="AH576" s="198" t="n">
        <f aca="false">VLOOKUP(Таблица310[[#This Row],[№ акта]],'Степень зрелости 2025'!$H$13:$I$583,2,FALSE())</f>
        <v>55</v>
      </c>
      <c r="AI576" s="198" t="str">
        <f aca="false">VLOOKUP(Таблица310[[#This Row],[№ акта]],$AQ$1:$AT$594,2,FALSE())</f>
        <v>4.1</v>
      </c>
      <c r="AJ576" s="198" t="str">
        <f aca="false">Таблица310[[#This Row],[Регистратор.Номенклатура]]</f>
        <v>Исток</v>
      </c>
      <c r="AK576" s="198" t="str">
        <f aca="false">VLOOKUP(Таблица310[[#This Row],[№ акта]],$AQ$1:$AT$594,4,FALSE())</f>
        <v>Колос (полив)</v>
      </c>
      <c r="AL576" s="230" t="n">
        <f aca="false">VLOOKUP(Таблица310[[#This Row],[№ акта]],$AQ$1:$AT$594,3,FALSE())</f>
        <v>2.07706300644948</v>
      </c>
      <c r="AM576" s="198" t="str">
        <f aca="false">IF(Таблица310[[#This Row],[Площадь уборки, га]]=Таблица310[[#This Row],[Площадь уборки до корр]],"нет","да")</f>
        <v>нет</v>
      </c>
      <c r="AN576" s="230" t="n">
        <f aca="false">Таблица310[[#This Row],[Площадь уборки до корр]]-Таблица310[[#This Row],[Площадь уборки, га]]</f>
        <v>0</v>
      </c>
      <c r="AQ576" s="0" t="s">
        <v>1165</v>
      </c>
      <c r="AR576" s="0" t="s">
        <v>995</v>
      </c>
      <c r="AS576" s="0" t="n">
        <v>2.07706300644948</v>
      </c>
      <c r="AT576" s="0" t="s">
        <v>279</v>
      </c>
      <c r="XFD576" s="198"/>
    </row>
    <row r="577" customFormat="false" ht="28.35" hidden="false" customHeight="false" outlineLevel="0" collapsed="false">
      <c r="A577" s="198"/>
      <c r="B577" s="224"/>
      <c r="C577" s="198" t="n">
        <v>55</v>
      </c>
      <c r="D577" s="223" t="s">
        <v>1166</v>
      </c>
      <c r="E577" s="248" t="n">
        <v>45844</v>
      </c>
      <c r="F577" s="226" t="n">
        <v>25390</v>
      </c>
      <c r="G577" s="223" t="n">
        <v>10510</v>
      </c>
      <c r="H577" s="198" t="n">
        <v>14880</v>
      </c>
      <c r="I577" s="198" t="n">
        <v>9248.8</v>
      </c>
      <c r="J577" s="198" t="s">
        <v>994</v>
      </c>
      <c r="K577" s="189" t="s">
        <v>1058</v>
      </c>
      <c r="L577" s="198" t="s">
        <v>995</v>
      </c>
      <c r="M577" s="198" t="s">
        <v>553</v>
      </c>
      <c r="N577" s="198"/>
      <c r="O577" s="198"/>
      <c r="P577" s="198"/>
      <c r="Q577" s="198"/>
      <c r="R577" s="198" t="s">
        <v>557</v>
      </c>
      <c r="S577" s="230"/>
      <c r="T577" s="198" t="s">
        <v>995</v>
      </c>
      <c r="U577" s="198" t="str">
        <f aca="false">Таблица310[[#This Row],[Регистратор.Номенклатура]]</f>
        <v>Исток</v>
      </c>
      <c r="V577" s="230" t="n">
        <f aca="false">16*Таблица310[[#This Row],[Регистратор.Вес нетто]]/120940</f>
        <v>1.39044154126013</v>
      </c>
      <c r="W577" s="198" t="s">
        <v>279</v>
      </c>
      <c r="X577" s="198" t="s">
        <v>315</v>
      </c>
      <c r="Y577" s="198" t="n">
        <v>14</v>
      </c>
      <c r="Z577" s="200" t="n">
        <v>45844</v>
      </c>
      <c r="AA577" s="198"/>
      <c r="AB577" s="198"/>
      <c r="AC577" s="198" t="s">
        <v>302</v>
      </c>
      <c r="AD577" s="198" t="s">
        <v>417</v>
      </c>
      <c r="AE577" s="198" t="s">
        <v>1166</v>
      </c>
      <c r="AF577" s="200" t="n">
        <v>45844</v>
      </c>
      <c r="AG577" s="198" t="n">
        <v>130</v>
      </c>
      <c r="AH577" s="198" t="n">
        <f aca="false">VLOOKUP(Таблица310[[#This Row],[№ акта]],'Степень зрелости 2025'!$H$13:$I$583,2,FALSE())</f>
        <v>55</v>
      </c>
      <c r="AI577" s="198" t="str">
        <f aca="false">VLOOKUP(Таблица310[[#This Row],[№ акта]],$AQ$1:$AT$594,2,FALSE())</f>
        <v>4.1</v>
      </c>
      <c r="AJ577" s="198" t="str">
        <f aca="false">Таблица310[[#This Row],[Регистратор.Номенклатура]]</f>
        <v>Исток</v>
      </c>
      <c r="AK577" s="198" t="str">
        <f aca="false">VLOOKUP(Таблица310[[#This Row],[№ акта]],$AQ$1:$AT$594,4,FALSE())</f>
        <v>Колос (полив)</v>
      </c>
      <c r="AL577" s="230" t="n">
        <f aca="false">VLOOKUP(Таблица310[[#This Row],[№ акта]],$AQ$1:$AT$594,3,FALSE())</f>
        <v>1.39044154126013</v>
      </c>
      <c r="AM577" s="198" t="str">
        <f aca="false">IF(Таблица310[[#This Row],[Площадь уборки, га]]=Таблица310[[#This Row],[Площадь уборки до корр]],"нет","да")</f>
        <v>нет</v>
      </c>
      <c r="AN577" s="230" t="n">
        <f aca="false">Таблица310[[#This Row],[Площадь уборки до корр]]-Таблица310[[#This Row],[Площадь уборки, га]]</f>
        <v>0</v>
      </c>
      <c r="AQ577" s="0" t="s">
        <v>1166</v>
      </c>
      <c r="AR577" s="0" t="s">
        <v>995</v>
      </c>
      <c r="AS577" s="0" t="n">
        <v>1.39044154126013</v>
      </c>
      <c r="AT577" s="0" t="s">
        <v>279</v>
      </c>
      <c r="XFD577" s="198"/>
    </row>
    <row r="578" s="255" customFormat="true" ht="19.4" hidden="false" customHeight="false" outlineLevel="0" collapsed="false">
      <c r="A578" s="198"/>
      <c r="B578" s="224"/>
      <c r="C578" s="249" t="n">
        <v>66</v>
      </c>
      <c r="D578" s="250" t="s">
        <v>1167</v>
      </c>
      <c r="E578" s="251" t="n">
        <v>45846</v>
      </c>
      <c r="F578" s="226" t="n">
        <v>29340</v>
      </c>
      <c r="G578" s="250" t="n">
        <v>13730</v>
      </c>
      <c r="H578" s="198" t="n">
        <v>15610</v>
      </c>
      <c r="I578" s="249" t="n">
        <v>12768.9</v>
      </c>
      <c r="J578" s="249" t="s">
        <v>994</v>
      </c>
      <c r="K578" s="252" t="s">
        <v>904</v>
      </c>
      <c r="L578" s="249" t="s">
        <v>1144</v>
      </c>
      <c r="M578" s="249" t="s">
        <v>445</v>
      </c>
      <c r="N578" s="198"/>
      <c r="O578" s="198"/>
      <c r="P578" s="198"/>
      <c r="Q578" s="198"/>
      <c r="R578" s="249" t="s">
        <v>449</v>
      </c>
      <c r="S578" s="230"/>
      <c r="T578" s="249" t="s">
        <v>1103</v>
      </c>
      <c r="U578" s="198" t="str">
        <f aca="false">Таблица310[[#This Row],[Регистратор.Номенклатура]]</f>
        <v>Тристар</v>
      </c>
      <c r="V578" s="253" t="n">
        <f aca="false">4.2*Таблица310[[#This Row],[Регистратор.Вес нетто]]/40510</f>
        <v>1.42350037027894</v>
      </c>
      <c r="W578" s="249" t="s">
        <v>279</v>
      </c>
      <c r="X578" s="249" t="s">
        <v>315</v>
      </c>
      <c r="Y578" s="249" t="n">
        <v>15</v>
      </c>
      <c r="Z578" s="254" t="n">
        <v>45846</v>
      </c>
      <c r="AA578" s="249"/>
      <c r="AB578" s="249" t="s">
        <v>1168</v>
      </c>
      <c r="AC578" s="249" t="s">
        <v>304</v>
      </c>
      <c r="AD578" s="249" t="s">
        <v>746</v>
      </c>
      <c r="AE578" s="249" t="s">
        <v>1167</v>
      </c>
      <c r="AF578" s="254" t="n">
        <v>45846</v>
      </c>
      <c r="AG578" s="249" t="n">
        <v>131</v>
      </c>
      <c r="AH578" s="249" t="n">
        <f aca="false">VLOOKUP(Таблица310[[#This Row],[№ акта]],'Степень зрелости 2025'!$H$13:$I$583,2,FALSE())</f>
        <v>66</v>
      </c>
      <c r="AI578" s="249" t="str">
        <f aca="false">VLOOKUP(Таблица310[[#This Row],[№ акта]],$AQ$1:$AT$594,2,FALSE())</f>
        <v>2.3</v>
      </c>
      <c r="AJ578" s="249" t="str">
        <f aca="false">Таблица310[[#This Row],[Регистратор.Номенклатура]]</f>
        <v>Тристар</v>
      </c>
      <c r="AK578" s="249" t="str">
        <f aca="false">VLOOKUP(Таблица310[[#This Row],[№ акта]],$AQ$1:$AT$594,4,FALSE())</f>
        <v>Колос (полив)</v>
      </c>
      <c r="AL578" s="253" t="n">
        <f aca="false">VLOOKUP(Таблица310[[#This Row],[№ акта]],$AQ$1:$AT$594,3,FALSE())</f>
        <v>3.44412391822401</v>
      </c>
      <c r="AM578" s="249" t="str">
        <f aca="false">IF(Таблица310[[#This Row],[Площадь уборки, га]]=Таблица310[[#This Row],[Площадь уборки до корр]],"нет","да")</f>
        <v>да</v>
      </c>
      <c r="AN578" s="253" t="n">
        <f aca="false">Таблица310[[#This Row],[Площадь уборки до корр]]-Таблица310[[#This Row],[Площадь уборки, га]]</f>
        <v>2.02062354794506</v>
      </c>
      <c r="AQ578" s="255" t="s">
        <v>1167</v>
      </c>
      <c r="AR578" s="255" t="s">
        <v>1144</v>
      </c>
      <c r="AS578" s="255" t="n">
        <v>3.44412391822401</v>
      </c>
      <c r="AT578" s="255" t="s">
        <v>279</v>
      </c>
      <c r="XFD578" s="249"/>
    </row>
    <row r="579" s="255" customFormat="true" ht="28.35" hidden="false" customHeight="false" outlineLevel="0" collapsed="false">
      <c r="A579" s="198"/>
      <c r="B579" s="224"/>
      <c r="C579" s="249" t="n">
        <v>61</v>
      </c>
      <c r="D579" s="250" t="s">
        <v>1169</v>
      </c>
      <c r="E579" s="251" t="n">
        <v>45846</v>
      </c>
      <c r="F579" s="226" t="n">
        <v>28240</v>
      </c>
      <c r="G579" s="250" t="n">
        <v>13330</v>
      </c>
      <c r="H579" s="198" t="n">
        <v>14910</v>
      </c>
      <c r="I579" s="249" t="n">
        <v>11663.7</v>
      </c>
      <c r="J579" s="249" t="s">
        <v>994</v>
      </c>
      <c r="K579" s="252" t="s">
        <v>904</v>
      </c>
      <c r="L579" s="249" t="s">
        <v>1144</v>
      </c>
      <c r="M579" s="249" t="s">
        <v>1086</v>
      </c>
      <c r="N579" s="198"/>
      <c r="O579" s="198"/>
      <c r="P579" s="198"/>
      <c r="Q579" s="198"/>
      <c r="R579" s="249" t="s">
        <v>1087</v>
      </c>
      <c r="S579" s="230"/>
      <c r="T579" s="249" t="s">
        <v>1103</v>
      </c>
      <c r="U579" s="198" t="str">
        <f aca="false">Таблица310[[#This Row],[Регистратор.Номенклатура]]</f>
        <v>Тристар</v>
      </c>
      <c r="V579" s="253" t="n">
        <f aca="false">4.2*Таблица310[[#This Row],[Регистратор.Вес нетто]]/40510</f>
        <v>1.38202912861022</v>
      </c>
      <c r="W579" s="249" t="s">
        <v>279</v>
      </c>
      <c r="X579" s="249" t="s">
        <v>315</v>
      </c>
      <c r="Y579" s="249" t="n">
        <v>15</v>
      </c>
      <c r="Z579" s="254" t="n">
        <v>45846</v>
      </c>
      <c r="AA579" s="249"/>
      <c r="AB579" s="249" t="s">
        <v>1168</v>
      </c>
      <c r="AC579" s="249" t="s">
        <v>302</v>
      </c>
      <c r="AD579" s="249" t="s">
        <v>417</v>
      </c>
      <c r="AE579" s="249" t="s">
        <v>1169</v>
      </c>
      <c r="AF579" s="254" t="n">
        <v>45846</v>
      </c>
      <c r="AG579" s="249" t="n">
        <v>132</v>
      </c>
      <c r="AH579" s="249" t="n">
        <f aca="false">VLOOKUP(Таблица310[[#This Row],[№ акта]],'Степень зрелости 2025'!$H$13:$I$583,2,FALSE())</f>
        <v>61</v>
      </c>
      <c r="AI579" s="249" t="str">
        <f aca="false">VLOOKUP(Таблица310[[#This Row],[№ акта]],$AQ$1:$AT$594,2,FALSE())</f>
        <v>2.3</v>
      </c>
      <c r="AJ579" s="249" t="str">
        <f aca="false">Таблица310[[#This Row],[Регистратор.Номенклатура]]</f>
        <v>Тристар</v>
      </c>
      <c r="AK579" s="249" t="str">
        <f aca="false">VLOOKUP(Таблица310[[#This Row],[№ акта]],$AQ$1:$AT$594,4,FALSE())</f>
        <v>Колос (полив)</v>
      </c>
      <c r="AL579" s="253" t="n">
        <f aca="false">VLOOKUP(Таблица310[[#This Row],[№ акта]],$AQ$1:$AT$594,3,FALSE())</f>
        <v>3.34378527530415</v>
      </c>
      <c r="AM579" s="249" t="str">
        <f aca="false">IF(Таблица310[[#This Row],[Площадь уборки, га]]=Таблица310[[#This Row],[Площадь уборки до корр]],"нет","да")</f>
        <v>да</v>
      </c>
      <c r="AN579" s="253" t="n">
        <f aca="false">Таблица310[[#This Row],[Площадь уборки до корр]]-Таблица310[[#This Row],[Площадь уборки, га]]</f>
        <v>1.96175614669393</v>
      </c>
      <c r="AQ579" s="255" t="s">
        <v>1169</v>
      </c>
      <c r="AR579" s="255" t="s">
        <v>1144</v>
      </c>
      <c r="AS579" s="255" t="n">
        <v>3.34378527530415</v>
      </c>
      <c r="AT579" s="255" t="s">
        <v>279</v>
      </c>
      <c r="XFD579" s="249"/>
    </row>
    <row r="580" s="255" customFormat="true" ht="19.4" hidden="false" customHeight="false" outlineLevel="0" collapsed="false">
      <c r="A580" s="198"/>
      <c r="B580" s="224"/>
      <c r="C580" s="249" t="n">
        <v>62</v>
      </c>
      <c r="D580" s="250" t="s">
        <v>1170</v>
      </c>
      <c r="E580" s="251" t="n">
        <v>45846</v>
      </c>
      <c r="F580" s="226" t="n">
        <v>28220</v>
      </c>
      <c r="G580" s="250" t="n">
        <v>13450</v>
      </c>
      <c r="H580" s="198" t="n">
        <v>14770</v>
      </c>
      <c r="I580" s="249" t="n">
        <v>12172.2</v>
      </c>
      <c r="J580" s="249" t="s">
        <v>994</v>
      </c>
      <c r="K580" s="252" t="s">
        <v>904</v>
      </c>
      <c r="L580" s="249" t="s">
        <v>1144</v>
      </c>
      <c r="M580" s="249" t="s">
        <v>547</v>
      </c>
      <c r="N580" s="198"/>
      <c r="O580" s="198"/>
      <c r="P580" s="198"/>
      <c r="Q580" s="198"/>
      <c r="R580" s="249" t="s">
        <v>551</v>
      </c>
      <c r="S580" s="230"/>
      <c r="T580" s="249" t="s">
        <v>1103</v>
      </c>
      <c r="U580" s="198" t="str">
        <f aca="false">Таблица310[[#This Row],[Регистратор.Номенклатура]]</f>
        <v>Тристар</v>
      </c>
      <c r="V580" s="253" t="n">
        <f aca="false">4.2*Таблица310[[#This Row],[Регистратор.Вес нетто]]/40510</f>
        <v>1.39447050111084</v>
      </c>
      <c r="W580" s="249" t="s">
        <v>279</v>
      </c>
      <c r="X580" s="249" t="s">
        <v>315</v>
      </c>
      <c r="Y580" s="249" t="n">
        <v>15</v>
      </c>
      <c r="Z580" s="254" t="n">
        <v>45846</v>
      </c>
      <c r="AA580" s="249"/>
      <c r="AB580" s="249" t="s">
        <v>1168</v>
      </c>
      <c r="AC580" s="249" t="s">
        <v>302</v>
      </c>
      <c r="AD580" s="249" t="s">
        <v>417</v>
      </c>
      <c r="AE580" s="249" t="s">
        <v>1170</v>
      </c>
      <c r="AF580" s="254" t="n">
        <v>45846</v>
      </c>
      <c r="AG580" s="249" t="n">
        <v>133</v>
      </c>
      <c r="AH580" s="249" t="n">
        <f aca="false">VLOOKUP(Таблица310[[#This Row],[№ акта]],'Степень зрелости 2025'!$H$13:$I$583,2,FALSE())</f>
        <v>62</v>
      </c>
      <c r="AI580" s="249" t="str">
        <f aca="false">VLOOKUP(Таблица310[[#This Row],[№ акта]],$AQ$1:$AT$594,2,FALSE())</f>
        <v>2.3</v>
      </c>
      <c r="AJ580" s="249" t="str">
        <f aca="false">Таблица310[[#This Row],[Регистратор.Номенклатура]]</f>
        <v>Тристар</v>
      </c>
      <c r="AK580" s="249" t="str">
        <f aca="false">VLOOKUP(Таблица310[[#This Row],[№ акта]],$AQ$1:$AT$594,4,FALSE())</f>
        <v>Колос (полив)</v>
      </c>
      <c r="AL580" s="253" t="n">
        <f aca="false">VLOOKUP(Таблица310[[#This Row],[№ акта]],$AQ$1:$AT$594,3,FALSE())</f>
        <v>3.37388686818011</v>
      </c>
      <c r="AM580" s="249" t="str">
        <f aca="false">IF(Таблица310[[#This Row],[Площадь уборки, га]]=Таблица310[[#This Row],[Площадь уборки до корр]],"нет","да")</f>
        <v>да</v>
      </c>
      <c r="AN580" s="253" t="n">
        <f aca="false">Таблица310[[#This Row],[Площадь уборки до корр]]-Таблица310[[#This Row],[Площадь уборки, га]]</f>
        <v>1.97941636706927</v>
      </c>
      <c r="AQ580" s="255" t="s">
        <v>1170</v>
      </c>
      <c r="AR580" s="255" t="s">
        <v>1144</v>
      </c>
      <c r="AS580" s="255" t="n">
        <v>3.37388686818011</v>
      </c>
      <c r="AT580" s="255" t="s">
        <v>279</v>
      </c>
      <c r="XFD580" s="249"/>
    </row>
    <row r="581" customFormat="false" ht="19.4" hidden="false" customHeight="false" outlineLevel="0" collapsed="false">
      <c r="A581" s="198"/>
      <c r="B581" s="224"/>
      <c r="C581" s="198" t="n">
        <v>62</v>
      </c>
      <c r="D581" s="223" t="s">
        <v>1171</v>
      </c>
      <c r="E581" s="248" t="n">
        <v>45847</v>
      </c>
      <c r="F581" s="226" t="n">
        <v>27930</v>
      </c>
      <c r="G581" s="223" t="n">
        <v>12930</v>
      </c>
      <c r="H581" s="198" t="n">
        <v>15000</v>
      </c>
      <c r="I581" s="198" t="n">
        <v>10925.8</v>
      </c>
      <c r="J581" s="198" t="s">
        <v>994</v>
      </c>
      <c r="K581" s="189" t="s">
        <v>904</v>
      </c>
      <c r="L581" s="198" t="s">
        <v>1144</v>
      </c>
      <c r="M581" s="198" t="s">
        <v>451</v>
      </c>
      <c r="N581" s="198"/>
      <c r="O581" s="198"/>
      <c r="P581" s="198"/>
      <c r="Q581" s="198"/>
      <c r="R581" s="198" t="s">
        <v>455</v>
      </c>
      <c r="S581" s="230"/>
      <c r="T581" s="198" t="s">
        <v>1144</v>
      </c>
      <c r="U581" s="198" t="str">
        <f aca="false">Таблица310[[#This Row],[Регистратор.Номенклатура]]</f>
        <v>Тристар</v>
      </c>
      <c r="V581" s="230" t="n">
        <f aca="false">60.3*Таблица310[[#This Row],[Регистратор.Вес нетто]]/143240</f>
        <v>5.44316531695057</v>
      </c>
      <c r="W581" s="198" t="s">
        <v>279</v>
      </c>
      <c r="X581" s="198" t="s">
        <v>315</v>
      </c>
      <c r="Y581" s="198" t="n">
        <v>15</v>
      </c>
      <c r="Z581" s="200" t="n">
        <v>45846</v>
      </c>
      <c r="AA581" s="198"/>
      <c r="AB581" s="198"/>
      <c r="AC581" s="198" t="s">
        <v>302</v>
      </c>
      <c r="AD581" s="198" t="s">
        <v>417</v>
      </c>
      <c r="AE581" s="198" t="s">
        <v>1171</v>
      </c>
      <c r="AF581" s="200" t="n">
        <v>45847</v>
      </c>
      <c r="AG581" s="198" t="n">
        <v>134</v>
      </c>
      <c r="AH581" s="198" t="n">
        <f aca="false">VLOOKUP(Таблица310[[#This Row],[№ акта]],'Степень зрелости 2025'!$H$13:$I$583,2,FALSE())</f>
        <v>62</v>
      </c>
      <c r="AI581" s="198" t="str">
        <f aca="false">VLOOKUP(Таблица310[[#This Row],[№ акта]],$AQ$1:$AT$594,2,FALSE())</f>
        <v>2.3</v>
      </c>
      <c r="AJ581" s="198" t="str">
        <f aca="false">Таблица310[[#This Row],[Регистратор.Номенклатура]]</f>
        <v>Тристар</v>
      </c>
      <c r="AK581" s="198" t="str">
        <f aca="false">VLOOKUP(Таблица310[[#This Row],[№ акта]],$AQ$1:$AT$594,4,FALSE())</f>
        <v>Колос (полив)</v>
      </c>
      <c r="AL581" s="230" t="n">
        <f aca="false">VLOOKUP(Таблица310[[#This Row],[№ акта]],$AQ$1:$AT$594,3,FALSE())</f>
        <v>3.2434466323843</v>
      </c>
      <c r="AM581" s="198" t="str">
        <f aca="false">IF(Таблица310[[#This Row],[Площадь уборки, га]]=Таблица310[[#This Row],[Площадь уборки до корр]],"нет","да")</f>
        <v>да</v>
      </c>
      <c r="AN581" s="230" t="n">
        <f aca="false">Таблица310[[#This Row],[Площадь уборки до корр]]-Таблица310[[#This Row],[Площадь уборки, га]]</f>
        <v>-2.19971868456628</v>
      </c>
      <c r="AQ581" s="0" t="s">
        <v>1171</v>
      </c>
      <c r="AR581" s="0" t="s">
        <v>1144</v>
      </c>
      <c r="AS581" s="0" t="n">
        <v>3.2434466323843</v>
      </c>
      <c r="AT581" s="0" t="s">
        <v>279</v>
      </c>
      <c r="XFD581" s="198"/>
    </row>
    <row r="582" customFormat="false" ht="19.4" hidden="false" customHeight="false" outlineLevel="0" collapsed="false">
      <c r="A582" s="198"/>
      <c r="B582" s="224"/>
      <c r="C582" s="198" t="n">
        <v>67</v>
      </c>
      <c r="D582" s="223" t="s">
        <v>1172</v>
      </c>
      <c r="E582" s="248" t="n">
        <v>45847</v>
      </c>
      <c r="F582" s="226" t="n">
        <v>37350</v>
      </c>
      <c r="G582" s="223" t="n">
        <v>13160</v>
      </c>
      <c r="H582" s="198" t="n">
        <v>24190</v>
      </c>
      <c r="I582" s="198" t="n">
        <v>11251.8</v>
      </c>
      <c r="J582" s="198" t="s">
        <v>994</v>
      </c>
      <c r="K582" s="189" t="s">
        <v>904</v>
      </c>
      <c r="L582" s="198" t="s">
        <v>1144</v>
      </c>
      <c r="M582" s="198" t="s">
        <v>1092</v>
      </c>
      <c r="N582" s="198"/>
      <c r="O582" s="198"/>
      <c r="P582" s="198"/>
      <c r="Q582" s="198"/>
      <c r="R582" s="198" t="s">
        <v>1093</v>
      </c>
      <c r="S582" s="230"/>
      <c r="T582" s="198" t="s">
        <v>1144</v>
      </c>
      <c r="U582" s="198" t="str">
        <f aca="false">Таблица310[[#This Row],[Регистратор.Номенклатура]]</f>
        <v>Тристар</v>
      </c>
      <c r="V582" s="230" t="n">
        <f aca="false">60.3*Таблица310[[#This Row],[Регистратор.Вес нетто]]/143240</f>
        <v>5.53998882993577</v>
      </c>
      <c r="W582" s="198" t="s">
        <v>279</v>
      </c>
      <c r="X582" s="198" t="s">
        <v>315</v>
      </c>
      <c r="Y582" s="198" t="n">
        <v>15</v>
      </c>
      <c r="Z582" s="200" t="n">
        <v>45846</v>
      </c>
      <c r="AA582" s="198"/>
      <c r="AB582" s="198"/>
      <c r="AC582" s="198" t="s">
        <v>305</v>
      </c>
      <c r="AD582" s="198" t="s">
        <v>746</v>
      </c>
      <c r="AE582" s="198" t="s">
        <v>1172</v>
      </c>
      <c r="AF582" s="200" t="n">
        <v>45847</v>
      </c>
      <c r="AG582" s="198" t="n">
        <v>135</v>
      </c>
      <c r="AH582" s="198" t="n">
        <f aca="false">VLOOKUP(Таблица310[[#This Row],[№ акта]],'Степень зрелости 2025'!$H$13:$I$583,2,FALSE())</f>
        <v>67</v>
      </c>
      <c r="AI582" s="198" t="str">
        <f aca="false">VLOOKUP(Таблица310[[#This Row],[№ акта]],$AQ$1:$AT$594,2,FALSE())</f>
        <v>2.3</v>
      </c>
      <c r="AJ582" s="198" t="str">
        <f aca="false">Таблица310[[#This Row],[Регистратор.Номенклатура]]</f>
        <v>Тристар</v>
      </c>
      <c r="AK582" s="198" t="str">
        <f aca="false">VLOOKUP(Таблица310[[#This Row],[№ акта]],$AQ$1:$AT$594,4,FALSE())</f>
        <v>Колос (полив)</v>
      </c>
      <c r="AL582" s="230" t="n">
        <f aca="false">VLOOKUP(Таблица310[[#This Row],[№ акта]],$AQ$1:$AT$594,3,FALSE())</f>
        <v>3.30114135206321</v>
      </c>
      <c r="AM582" s="198" t="str">
        <f aca="false">IF(Таблица310[[#This Row],[Площадь уборки, га]]=Таблица310[[#This Row],[Площадь уборки до корр]],"нет","да")</f>
        <v>да</v>
      </c>
      <c r="AN582" s="230" t="n">
        <f aca="false">Таблица310[[#This Row],[Площадь уборки до корр]]-Таблица310[[#This Row],[Площадь уборки, га]]</f>
        <v>-2.23884747787256</v>
      </c>
      <c r="AQ582" s="0" t="s">
        <v>1172</v>
      </c>
      <c r="AR582" s="0" t="s">
        <v>1144</v>
      </c>
      <c r="AS582" s="0" t="n">
        <v>3.30114135206321</v>
      </c>
      <c r="AT582" s="0" t="s">
        <v>279</v>
      </c>
      <c r="XFD582" s="198"/>
    </row>
    <row r="583" customFormat="false" ht="19.4" hidden="false" customHeight="false" outlineLevel="0" collapsed="false">
      <c r="A583" s="198"/>
      <c r="B583" s="224"/>
      <c r="C583" s="198" t="n">
        <v>66</v>
      </c>
      <c r="D583" s="223" t="s">
        <v>1173</v>
      </c>
      <c r="E583" s="248" t="n">
        <v>45847</v>
      </c>
      <c r="F583" s="226" t="n">
        <v>26940</v>
      </c>
      <c r="G583" s="223" t="n">
        <v>13130</v>
      </c>
      <c r="H583" s="198" t="n">
        <v>13810</v>
      </c>
      <c r="I583" s="198" t="n">
        <v>11094.8</v>
      </c>
      <c r="J583" s="198" t="s">
        <v>994</v>
      </c>
      <c r="K583" s="189" t="s">
        <v>904</v>
      </c>
      <c r="L583" s="198" t="s">
        <v>1144</v>
      </c>
      <c r="M583" s="198" t="s">
        <v>359</v>
      </c>
      <c r="N583" s="198"/>
      <c r="O583" s="198"/>
      <c r="P583" s="198"/>
      <c r="Q583" s="198"/>
      <c r="R583" s="198" t="s">
        <v>426</v>
      </c>
      <c r="S583" s="230"/>
      <c r="T583" s="198" t="s">
        <v>1144</v>
      </c>
      <c r="U583" s="198" t="str">
        <f aca="false">Таблица310[[#This Row],[Регистратор.Номенклатура]]</f>
        <v>Тристар</v>
      </c>
      <c r="V583" s="230" t="n">
        <f aca="false">60.3*Таблица310[[#This Row],[Регистратор.Вес нетто]]/143240</f>
        <v>5.52735967606814</v>
      </c>
      <c r="W583" s="198" t="s">
        <v>279</v>
      </c>
      <c r="X583" s="198" t="s">
        <v>315</v>
      </c>
      <c r="Y583" s="198" t="n">
        <v>15</v>
      </c>
      <c r="Z583" s="200" t="n">
        <v>45846</v>
      </c>
      <c r="AA583" s="198"/>
      <c r="AB583" s="198"/>
      <c r="AC583" s="198" t="s">
        <v>304</v>
      </c>
      <c r="AD583" s="198" t="s">
        <v>746</v>
      </c>
      <c r="AE583" s="198" t="s">
        <v>1173</v>
      </c>
      <c r="AF583" s="200" t="n">
        <v>45847</v>
      </c>
      <c r="AG583" s="198" t="n">
        <v>137</v>
      </c>
      <c r="AH583" s="198" t="n">
        <f aca="false">VLOOKUP(Таблица310[[#This Row],[№ акта]],'Степень зрелости 2025'!$H$13:$I$583,2,FALSE())</f>
        <v>66</v>
      </c>
      <c r="AI583" s="198" t="str">
        <f aca="false">VLOOKUP(Таблица310[[#This Row],[№ акта]],$AQ$1:$AT$594,2,FALSE())</f>
        <v>2.3</v>
      </c>
      <c r="AJ583" s="198" t="str">
        <f aca="false">Таблица310[[#This Row],[Регистратор.Номенклатура]]</f>
        <v>Тристар</v>
      </c>
      <c r="AK583" s="198" t="str">
        <f aca="false">VLOOKUP(Таблица310[[#This Row],[№ акта]],$AQ$1:$AT$594,4,FALSE())</f>
        <v>Колос (полив)</v>
      </c>
      <c r="AL583" s="230" t="n">
        <f aca="false">VLOOKUP(Таблица310[[#This Row],[№ акта]],$AQ$1:$AT$594,3,FALSE())</f>
        <v>3.29361595384422</v>
      </c>
      <c r="AM583" s="198" t="str">
        <f aca="false">IF(Таблица310[[#This Row],[Площадь уборки, га]]=Таблица310[[#This Row],[Площадь уборки до корр]],"нет","да")</f>
        <v>да</v>
      </c>
      <c r="AN583" s="230" t="n">
        <f aca="false">Таблица310[[#This Row],[Площадь уборки до корр]]-Таблица310[[#This Row],[Площадь уборки, га]]</f>
        <v>-2.23374372222391</v>
      </c>
      <c r="AQ583" s="0" t="s">
        <v>1173</v>
      </c>
      <c r="AR583" s="0" t="s">
        <v>1144</v>
      </c>
      <c r="AS583" s="0" t="n">
        <v>3.29361595384422</v>
      </c>
      <c r="AT583" s="0" t="s">
        <v>279</v>
      </c>
      <c r="XFD583" s="198"/>
    </row>
    <row r="584" customFormat="false" ht="28.35" hidden="false" customHeight="false" outlineLevel="0" collapsed="false">
      <c r="A584" s="198"/>
      <c r="B584" s="224"/>
      <c r="C584" s="198" t="n">
        <v>68</v>
      </c>
      <c r="D584" s="223" t="s">
        <v>1174</v>
      </c>
      <c r="E584" s="248" t="n">
        <v>45847</v>
      </c>
      <c r="F584" s="226" t="n">
        <v>27500</v>
      </c>
      <c r="G584" s="223" t="n">
        <v>12940</v>
      </c>
      <c r="H584" s="198" t="n">
        <v>14560</v>
      </c>
      <c r="I584" s="198" t="n">
        <v>11581.3</v>
      </c>
      <c r="J584" s="198" t="s">
        <v>994</v>
      </c>
      <c r="K584" s="189" t="s">
        <v>1175</v>
      </c>
      <c r="L584" s="198" t="s">
        <v>1144</v>
      </c>
      <c r="M584" s="198" t="s">
        <v>363</v>
      </c>
      <c r="N584" s="198"/>
      <c r="O584" s="198"/>
      <c r="P584" s="198"/>
      <c r="Q584" s="198"/>
      <c r="R584" s="198" t="s">
        <v>364</v>
      </c>
      <c r="S584" s="230"/>
      <c r="T584" s="198" t="s">
        <v>1144</v>
      </c>
      <c r="U584" s="198" t="str">
        <f aca="false">Таблица310[[#This Row],[Регистратор.Номенклатура]]</f>
        <v>Бутана</v>
      </c>
      <c r="V584" s="230" t="n">
        <f aca="false">60.3*Таблица310[[#This Row],[Регистратор.Вес нетто]]/143240</f>
        <v>5.44737503490645</v>
      </c>
      <c r="W584" s="198" t="s">
        <v>279</v>
      </c>
      <c r="X584" s="198" t="s">
        <v>315</v>
      </c>
      <c r="Y584" s="198" t="n">
        <v>15</v>
      </c>
      <c r="Z584" s="200" t="n">
        <v>45846</v>
      </c>
      <c r="AA584" s="198"/>
      <c r="AB584" s="198"/>
      <c r="AC584" s="198" t="s">
        <v>305</v>
      </c>
      <c r="AD584" s="198" t="s">
        <v>746</v>
      </c>
      <c r="AE584" s="198" t="s">
        <v>1174</v>
      </c>
      <c r="AF584" s="200" t="n">
        <v>45847</v>
      </c>
      <c r="AG584" s="198" t="n">
        <v>136</v>
      </c>
      <c r="AH584" s="198" t="n">
        <f aca="false">VLOOKUP(Таблица310[[#This Row],[№ акта]],'Степень зрелости 2025'!$H$13:$I$583,2,FALSE())</f>
        <v>68</v>
      </c>
      <c r="AI584" s="198" t="str">
        <f aca="false">VLOOKUP(Таблица310[[#This Row],[№ акта]],$AQ$1:$AT$594,2,FALSE())</f>
        <v>2.3</v>
      </c>
      <c r="AJ584" s="198" t="str">
        <f aca="false">Таблица310[[#This Row],[Регистратор.Номенклатура]]</f>
        <v>Бутана</v>
      </c>
      <c r="AK584" s="198" t="str">
        <f aca="false">VLOOKUP(Таблица310[[#This Row],[№ акта]],$AQ$1:$AT$594,4,FALSE())</f>
        <v>Колос (полив)</v>
      </c>
      <c r="AL584" s="230" t="n">
        <f aca="false">VLOOKUP(Таблица310[[#This Row],[№ акта]],$AQ$1:$AT$594,3,FALSE())</f>
        <v>4.96641719439647</v>
      </c>
      <c r="AM584" s="198" t="str">
        <f aca="false">IF(Таблица310[[#This Row],[Площадь уборки, га]]=Таблица310[[#This Row],[Площадь уборки до корр]],"нет","да")</f>
        <v>да</v>
      </c>
      <c r="AN584" s="230" t="n">
        <f aca="false">Таблица310[[#This Row],[Площадь уборки до корр]]-Таблица310[[#This Row],[Площадь уборки, га]]</f>
        <v>-0.480957840509982</v>
      </c>
      <c r="AQ584" s="0" t="s">
        <v>1174</v>
      </c>
      <c r="AR584" s="0" t="s">
        <v>1144</v>
      </c>
      <c r="AS584" s="0" t="n">
        <v>4.96641719439647</v>
      </c>
      <c r="AT584" s="0" t="s">
        <v>279</v>
      </c>
      <c r="XFD584" s="198"/>
    </row>
    <row r="585" customFormat="false" ht="19.4" hidden="false" customHeight="false" outlineLevel="0" collapsed="false">
      <c r="A585" s="198"/>
      <c r="B585" s="224"/>
      <c r="C585" s="198" t="n">
        <v>69</v>
      </c>
      <c r="D585" s="223" t="s">
        <v>1176</v>
      </c>
      <c r="E585" s="248" t="n">
        <v>45847</v>
      </c>
      <c r="F585" s="226" t="n">
        <v>28780</v>
      </c>
      <c r="G585" s="223" t="n">
        <v>13050</v>
      </c>
      <c r="H585" s="198" t="n">
        <v>15730</v>
      </c>
      <c r="I585" s="198" t="n">
        <v>12071.2</v>
      </c>
      <c r="J585" s="198" t="s">
        <v>994</v>
      </c>
      <c r="K585" s="189" t="s">
        <v>1175</v>
      </c>
      <c r="L585" s="198" t="s">
        <v>1144</v>
      </c>
      <c r="M585" s="198" t="s">
        <v>365</v>
      </c>
      <c r="N585" s="198"/>
      <c r="O585" s="198"/>
      <c r="P585" s="198"/>
      <c r="Q585" s="198"/>
      <c r="R585" s="198" t="s">
        <v>373</v>
      </c>
      <c r="S585" s="230"/>
      <c r="T585" s="198" t="s">
        <v>1144</v>
      </c>
      <c r="U585" s="198" t="str">
        <f aca="false">Таблица310[[#This Row],[Регистратор.Номенклатура]]</f>
        <v>Бутана</v>
      </c>
      <c r="V585" s="230" t="n">
        <f aca="false">60.3*Таблица310[[#This Row],[Регистратор.Вес нетто]]/143240</f>
        <v>5.49368193242111</v>
      </c>
      <c r="W585" s="198" t="s">
        <v>279</v>
      </c>
      <c r="X585" s="198" t="s">
        <v>315</v>
      </c>
      <c r="Y585" s="198" t="n">
        <v>15</v>
      </c>
      <c r="Z585" s="200" t="n">
        <v>45846</v>
      </c>
      <c r="AA585" s="198"/>
      <c r="AB585" s="198"/>
      <c r="AC585" s="198" t="s">
        <v>305</v>
      </c>
      <c r="AD585" s="198" t="s">
        <v>746</v>
      </c>
      <c r="AE585" s="198" t="s">
        <v>1176</v>
      </c>
      <c r="AF585" s="200" t="n">
        <v>45847</v>
      </c>
      <c r="AG585" s="198" t="n">
        <v>138</v>
      </c>
      <c r="AH585" s="198" t="n">
        <f aca="false">VLOOKUP(Таблица310[[#This Row],[№ акта]],'Степень зрелости 2025'!$H$13:$I$583,2,FALSE())</f>
        <v>69</v>
      </c>
      <c r="AI585" s="198" t="str">
        <f aca="false">VLOOKUP(Таблица310[[#This Row],[№ акта]],$AQ$1:$AT$594,2,FALSE())</f>
        <v>2.3</v>
      </c>
      <c r="AJ585" s="198" t="str">
        <f aca="false">Таблица310[[#This Row],[Регистратор.Номенклатура]]</f>
        <v>Бутана</v>
      </c>
      <c r="AK585" s="198" t="str">
        <f aca="false">VLOOKUP(Таблица310[[#This Row],[№ акта]],$AQ$1:$AT$594,4,FALSE())</f>
        <v>Колос (полив)</v>
      </c>
      <c r="AL585" s="230" t="n">
        <f aca="false">VLOOKUP(Таблица310[[#This Row],[№ акта]],$AQ$1:$AT$594,3,FALSE())</f>
        <v>5.00863557858377</v>
      </c>
      <c r="AM585" s="198" t="str">
        <f aca="false">IF(Таблица310[[#This Row],[Площадь уборки, га]]=Таблица310[[#This Row],[Площадь уборки до корр]],"нет","да")</f>
        <v>да</v>
      </c>
      <c r="AN585" s="230" t="n">
        <f aca="false">Таблица310[[#This Row],[Площадь уборки до корр]]-Таблица310[[#This Row],[Площадь уборки, га]]</f>
        <v>-0.485046353837347</v>
      </c>
      <c r="AQ585" s="0" t="s">
        <v>1176</v>
      </c>
      <c r="AR585" s="0" t="s">
        <v>1144</v>
      </c>
      <c r="AS585" s="0" t="n">
        <v>5.00863557858377</v>
      </c>
      <c r="AT585" s="0" t="s">
        <v>279</v>
      </c>
      <c r="XFD585" s="198"/>
    </row>
    <row r="586" customFormat="false" ht="19.4" hidden="false" customHeight="false" outlineLevel="0" collapsed="false">
      <c r="A586" s="198"/>
      <c r="B586" s="224"/>
      <c r="C586" s="198" t="n">
        <v>78</v>
      </c>
      <c r="D586" s="223" t="s">
        <v>1177</v>
      </c>
      <c r="E586" s="248" t="n">
        <v>45847</v>
      </c>
      <c r="F586" s="226" t="n">
        <v>27400</v>
      </c>
      <c r="G586" s="223" t="n">
        <v>12980</v>
      </c>
      <c r="H586" s="198" t="n">
        <v>14420</v>
      </c>
      <c r="I586" s="198" t="n">
        <v>11357.5</v>
      </c>
      <c r="J586" s="198" t="s">
        <v>994</v>
      </c>
      <c r="K586" s="189" t="s">
        <v>1175</v>
      </c>
      <c r="L586" s="198" t="s">
        <v>1144</v>
      </c>
      <c r="M586" s="198" t="s">
        <v>384</v>
      </c>
      <c r="N586" s="198"/>
      <c r="O586" s="198"/>
      <c r="P586" s="198"/>
      <c r="Q586" s="198"/>
      <c r="R586" s="198" t="s">
        <v>385</v>
      </c>
      <c r="S586" s="230"/>
      <c r="T586" s="198" t="s">
        <v>1144</v>
      </c>
      <c r="U586" s="198" t="str">
        <f aca="false">Таблица310[[#This Row],[Регистратор.Номенклатура]]</f>
        <v>Бутана</v>
      </c>
      <c r="V586" s="230" t="n">
        <f aca="false">60.3*Таблица310[[#This Row],[Регистратор.Вес нетто]]/143240</f>
        <v>5.46421390672996</v>
      </c>
      <c r="W586" s="198" t="s">
        <v>279</v>
      </c>
      <c r="X586" s="198" t="s">
        <v>315</v>
      </c>
      <c r="Y586" s="198" t="n">
        <v>15</v>
      </c>
      <c r="Z586" s="200" t="n">
        <v>45846</v>
      </c>
      <c r="AA586" s="198"/>
      <c r="AB586" s="198"/>
      <c r="AC586" s="198" t="s">
        <v>305</v>
      </c>
      <c r="AD586" s="198" t="s">
        <v>886</v>
      </c>
      <c r="AE586" s="198" t="s">
        <v>1177</v>
      </c>
      <c r="AF586" s="200" t="n">
        <v>45847</v>
      </c>
      <c r="AG586" s="198" t="n">
        <v>139</v>
      </c>
      <c r="AH586" s="198" t="n">
        <f aca="false">VLOOKUP(Таблица310[[#This Row],[№ акта]],'Степень зрелости 2025'!$H$13:$I$583,2,FALSE())</f>
        <v>78</v>
      </c>
      <c r="AI586" s="198" t="str">
        <f aca="false">VLOOKUP(Таблица310[[#This Row],[№ акта]],$AQ$1:$AT$594,2,FALSE())</f>
        <v>2.3</v>
      </c>
      <c r="AJ586" s="198" t="str">
        <f aca="false">Таблица310[[#This Row],[Регистратор.Номенклатура]]</f>
        <v>Бутана</v>
      </c>
      <c r="AK586" s="198" t="str">
        <f aca="false">VLOOKUP(Таблица310[[#This Row],[№ акта]],$AQ$1:$AT$594,4,FALSE())</f>
        <v>Колос (полив)</v>
      </c>
      <c r="AL586" s="230" t="n">
        <f aca="false">VLOOKUP(Таблица310[[#This Row],[№ акта]],$AQ$1:$AT$594,3,FALSE())</f>
        <v>4.98176933410094</v>
      </c>
      <c r="AM586" s="198" t="str">
        <f aca="false">IF(Таблица310[[#This Row],[Площадь уборки, га]]=Таблица310[[#This Row],[Площадь уборки до корр]],"нет","да")</f>
        <v>да</v>
      </c>
      <c r="AN586" s="230" t="n">
        <f aca="false">Таблица310[[#This Row],[Площадь уборки до корр]]-Таблица310[[#This Row],[Площадь уборки, га]]</f>
        <v>-0.482444572629023</v>
      </c>
      <c r="AQ586" s="0" t="s">
        <v>1177</v>
      </c>
      <c r="AR586" s="0" t="s">
        <v>1144</v>
      </c>
      <c r="AS586" s="0" t="n">
        <v>4.98176933410094</v>
      </c>
      <c r="AT586" s="0" t="s">
        <v>279</v>
      </c>
      <c r="XFD586" s="198"/>
    </row>
    <row r="587" customFormat="false" ht="19.4" hidden="false" customHeight="false" outlineLevel="0" collapsed="false">
      <c r="A587" s="198"/>
      <c r="B587" s="224"/>
      <c r="C587" s="198" t="n">
        <v>72</v>
      </c>
      <c r="D587" s="223" t="s">
        <v>1178</v>
      </c>
      <c r="E587" s="248" t="n">
        <v>45847</v>
      </c>
      <c r="F587" s="226" t="n">
        <v>28010</v>
      </c>
      <c r="G587" s="223" t="n">
        <v>13140</v>
      </c>
      <c r="H587" s="198" t="n">
        <v>14870</v>
      </c>
      <c r="I587" s="198" t="n">
        <v>12023.1</v>
      </c>
      <c r="J587" s="198" t="s">
        <v>994</v>
      </c>
      <c r="K587" s="189" t="s">
        <v>1175</v>
      </c>
      <c r="L587" s="198" t="s">
        <v>1144</v>
      </c>
      <c r="M587" s="198" t="s">
        <v>382</v>
      </c>
      <c r="N587" s="198"/>
      <c r="O587" s="198"/>
      <c r="P587" s="198"/>
      <c r="Q587" s="198"/>
      <c r="R587" s="198" t="s">
        <v>383</v>
      </c>
      <c r="S587" s="230"/>
      <c r="T587" s="198" t="s">
        <v>1144</v>
      </c>
      <c r="U587" s="198" t="str">
        <f aca="false">Таблица310[[#This Row],[Регистратор.Номенклатура]]</f>
        <v>Бутана</v>
      </c>
      <c r="V587" s="230" t="n">
        <f aca="false">60.3*Таблица310[[#This Row],[Регистратор.Вес нетто]]/143240</f>
        <v>5.53156939402402</v>
      </c>
      <c r="W587" s="198" t="s">
        <v>279</v>
      </c>
      <c r="X587" s="198" t="s">
        <v>315</v>
      </c>
      <c r="Y587" s="198" t="n">
        <v>15</v>
      </c>
      <c r="Z587" s="200" t="n">
        <v>45846</v>
      </c>
      <c r="AA587" s="198"/>
      <c r="AB587" s="198"/>
      <c r="AC587" s="198" t="s">
        <v>305</v>
      </c>
      <c r="AD587" s="198" t="s">
        <v>746</v>
      </c>
      <c r="AE587" s="198" t="s">
        <v>1178</v>
      </c>
      <c r="AF587" s="200" t="n">
        <v>45847</v>
      </c>
      <c r="AG587" s="198" t="n">
        <v>140</v>
      </c>
      <c r="AH587" s="198" t="n">
        <f aca="false">VLOOKUP(Таблица310[[#This Row],[№ акта]],'Степень зрелости 2025'!$H$13:$I$583,2,FALSE())</f>
        <v>72</v>
      </c>
      <c r="AI587" s="198" t="str">
        <f aca="false">VLOOKUP(Таблица310[[#This Row],[№ акта]],$AQ$1:$AT$594,2,FALSE())</f>
        <v>2.3</v>
      </c>
      <c r="AJ587" s="198" t="str">
        <f aca="false">Таблица310[[#This Row],[Регистратор.Номенклатура]]</f>
        <v>Бутана</v>
      </c>
      <c r="AK587" s="198" t="str">
        <f aca="false">VLOOKUP(Таблица310[[#This Row],[№ акта]],$AQ$1:$AT$594,4,FALSE())</f>
        <v>Колос (полив)</v>
      </c>
      <c r="AL587" s="230" t="n">
        <f aca="false">VLOOKUP(Таблица310[[#This Row],[№ акта]],$AQ$1:$AT$594,3,FALSE())</f>
        <v>5.04317789291883</v>
      </c>
      <c r="AM587" s="198" t="str">
        <f aca="false">IF(Таблица310[[#This Row],[Площадь уборки, га]]=Таблица310[[#This Row],[Площадь уборки до корр]],"нет","да")</f>
        <v>да</v>
      </c>
      <c r="AN587" s="230" t="n">
        <f aca="false">Таблица310[[#This Row],[Площадь уборки до корр]]-Таблица310[[#This Row],[Площадь уборки, га]]</f>
        <v>-0.48839150110519</v>
      </c>
      <c r="AQ587" s="0" t="s">
        <v>1178</v>
      </c>
      <c r="AR587" s="0" t="s">
        <v>1144</v>
      </c>
      <c r="AS587" s="0" t="n">
        <v>5.04317789291883</v>
      </c>
      <c r="AT587" s="0" t="s">
        <v>279</v>
      </c>
      <c r="XFD587" s="198"/>
    </row>
    <row r="588" customFormat="false" ht="19.4" hidden="false" customHeight="false" outlineLevel="0" collapsed="false">
      <c r="A588" s="198"/>
      <c r="B588" s="224"/>
      <c r="C588" s="198" t="n">
        <v>74</v>
      </c>
      <c r="D588" s="223" t="s">
        <v>1179</v>
      </c>
      <c r="E588" s="248" t="n">
        <v>45847</v>
      </c>
      <c r="F588" s="226" t="n">
        <v>29040</v>
      </c>
      <c r="G588" s="223" t="n">
        <v>13530</v>
      </c>
      <c r="H588" s="198" t="n">
        <v>15510</v>
      </c>
      <c r="I588" s="198" t="n">
        <v>12515.2</v>
      </c>
      <c r="J588" s="198" t="s">
        <v>994</v>
      </c>
      <c r="K588" s="189" t="s">
        <v>1175</v>
      </c>
      <c r="L588" s="198" t="s">
        <v>1144</v>
      </c>
      <c r="M588" s="198" t="s">
        <v>445</v>
      </c>
      <c r="N588" s="198"/>
      <c r="O588" s="198"/>
      <c r="P588" s="198"/>
      <c r="Q588" s="198"/>
      <c r="R588" s="198" t="s">
        <v>449</v>
      </c>
      <c r="S588" s="230"/>
      <c r="T588" s="198" t="s">
        <v>1144</v>
      </c>
      <c r="U588" s="198" t="str">
        <f aca="false">Таблица310[[#This Row],[Регистратор.Номенклатура]]</f>
        <v>Бутана</v>
      </c>
      <c r="V588" s="230" t="n">
        <f aca="false">60.3*Таблица310[[#This Row],[Регистратор.Вес нетто]]/143240</f>
        <v>5.69574839430327</v>
      </c>
      <c r="W588" s="198" t="s">
        <v>279</v>
      </c>
      <c r="X588" s="198" t="s">
        <v>315</v>
      </c>
      <c r="Y588" s="198" t="n">
        <v>16</v>
      </c>
      <c r="Z588" s="200" t="n">
        <v>45847</v>
      </c>
      <c r="AA588" s="198"/>
      <c r="AB588" s="198"/>
      <c r="AC588" s="198" t="s">
        <v>305</v>
      </c>
      <c r="AD588" s="198" t="s">
        <v>886</v>
      </c>
      <c r="AE588" s="198" t="s">
        <v>1179</v>
      </c>
      <c r="AF588" s="200" t="n">
        <v>45847</v>
      </c>
      <c r="AG588" s="198" t="n">
        <v>140</v>
      </c>
      <c r="AH588" s="198" t="n">
        <f aca="false">VLOOKUP(Таблица310[[#This Row],[№ акта]],'Степень зрелости 2025'!$H$13:$I$583,2,FALSE())</f>
        <v>74</v>
      </c>
      <c r="AI588" s="198" t="str">
        <f aca="false">VLOOKUP(Таблица310[[#This Row],[№ акта]],$AQ$1:$AT$594,2,FALSE())</f>
        <v>2.3</v>
      </c>
      <c r="AJ588" s="198" t="str">
        <f aca="false">Таблица310[[#This Row],[Регистратор.Номенклатура]]</f>
        <v>Бутана</v>
      </c>
      <c r="AK588" s="198" t="str">
        <f aca="false">VLOOKUP(Таблица310[[#This Row],[№ акта]],$AQ$1:$AT$594,4,FALSE())</f>
        <v>Колос (полив)</v>
      </c>
      <c r="AL588" s="230" t="n">
        <f aca="false">VLOOKUP(Таблица310[[#This Row],[№ акта]],$AQ$1:$AT$594,3,FALSE())</f>
        <v>5.30172413793104</v>
      </c>
      <c r="AM588" s="198" t="str">
        <f aca="false">IF(Таблица310[[#This Row],[Площадь уборки, га]]=Таблица310[[#This Row],[Площадь уборки до корр]],"нет","да")</f>
        <v>да</v>
      </c>
      <c r="AN588" s="230" t="n">
        <f aca="false">Таблица310[[#This Row],[Площадь уборки до корр]]-Таблица310[[#This Row],[Площадь уборки, га]]</f>
        <v>-0.394024256372233</v>
      </c>
      <c r="AQ588" s="0" t="s">
        <v>1179</v>
      </c>
      <c r="AR588" s="0" t="s">
        <v>1144</v>
      </c>
      <c r="AS588" s="0" t="n">
        <v>5.30172413793104</v>
      </c>
      <c r="AT588" s="0" t="s">
        <v>279</v>
      </c>
      <c r="XFD588" s="198"/>
    </row>
    <row r="589" customFormat="false" ht="19.4" hidden="false" customHeight="false" outlineLevel="0" collapsed="false">
      <c r="A589" s="198"/>
      <c r="B589" s="224"/>
      <c r="C589" s="198" t="n">
        <v>76</v>
      </c>
      <c r="D589" s="223" t="s">
        <v>1180</v>
      </c>
      <c r="E589" s="248" t="n">
        <v>45847</v>
      </c>
      <c r="F589" s="226" t="n">
        <v>37250</v>
      </c>
      <c r="G589" s="223" t="n">
        <v>13190</v>
      </c>
      <c r="H589" s="198" t="n">
        <v>24060</v>
      </c>
      <c r="I589" s="198" t="n">
        <v>12200.7</v>
      </c>
      <c r="J589" s="198" t="s">
        <v>994</v>
      </c>
      <c r="K589" s="189" t="s">
        <v>1175</v>
      </c>
      <c r="L589" s="198" t="s">
        <v>1144</v>
      </c>
      <c r="M589" s="198" t="s">
        <v>439</v>
      </c>
      <c r="N589" s="198"/>
      <c r="O589" s="198"/>
      <c r="P589" s="198"/>
      <c r="Q589" s="198"/>
      <c r="R589" s="198" t="s">
        <v>443</v>
      </c>
      <c r="S589" s="230"/>
      <c r="T589" s="198" t="s">
        <v>1144</v>
      </c>
      <c r="U589" s="198" t="str">
        <f aca="false">Таблица310[[#This Row],[Регистратор.Номенклатура]]</f>
        <v>Бутана</v>
      </c>
      <c r="V589" s="230" t="n">
        <f aca="false">60.3*Таблица310[[#This Row],[Регистратор.Вес нетто]]/143240</f>
        <v>5.55261798380341</v>
      </c>
      <c r="W589" s="198" t="s">
        <v>279</v>
      </c>
      <c r="X589" s="198" t="s">
        <v>315</v>
      </c>
      <c r="Y589" s="198" t="n">
        <v>16</v>
      </c>
      <c r="Z589" s="200" t="n">
        <v>45847</v>
      </c>
      <c r="AA589" s="198"/>
      <c r="AB589" s="198"/>
      <c r="AC589" s="198" t="s">
        <v>305</v>
      </c>
      <c r="AD589" s="198" t="s">
        <v>886</v>
      </c>
      <c r="AE589" s="198" t="s">
        <v>1180</v>
      </c>
      <c r="AF589" s="200" t="n">
        <v>45847</v>
      </c>
      <c r="AG589" s="198" t="n">
        <v>143</v>
      </c>
      <c r="AH589" s="198" t="n">
        <f aca="false">VLOOKUP(Таблица310[[#This Row],[№ акта]],'Степень зрелости 2025'!$H$13:$I$583,2,FALSE())</f>
        <v>76</v>
      </c>
      <c r="AI589" s="198" t="str">
        <f aca="false">VLOOKUP(Таблица310[[#This Row],[№ акта]],$AQ$1:$AT$594,2,FALSE())</f>
        <v>2.3</v>
      </c>
      <c r="AJ589" s="198" t="str">
        <f aca="false">Таблица310[[#This Row],[Регистратор.Номенклатура]]</f>
        <v>Бутана</v>
      </c>
      <c r="AK589" s="198" t="str">
        <f aca="false">VLOOKUP(Таблица310[[#This Row],[№ акта]],$AQ$1:$AT$594,4,FALSE())</f>
        <v>Колос (полив)</v>
      </c>
      <c r="AL589" s="230" t="n">
        <f aca="false">VLOOKUP(Таблица310[[#This Row],[№ акта]],$AQ$1:$AT$594,3,FALSE())</f>
        <v>5.16849529780564</v>
      </c>
      <c r="AM589" s="198" t="str">
        <f aca="false">IF(Таблица310[[#This Row],[Площадь уборки, га]]=Таблица310[[#This Row],[Площадь уборки до корр]],"нет","да")</f>
        <v>да</v>
      </c>
      <c r="AN589" s="230" t="n">
        <f aca="false">Таблица310[[#This Row],[Площадь уборки до корр]]-Таблица310[[#This Row],[Площадь уборки, га]]</f>
        <v>-0.384122685997764</v>
      </c>
      <c r="AQ589" s="0" t="s">
        <v>1180</v>
      </c>
      <c r="AR589" s="0" t="s">
        <v>1144</v>
      </c>
      <c r="AS589" s="0" t="n">
        <v>5.16849529780564</v>
      </c>
      <c r="AT589" s="0" t="s">
        <v>279</v>
      </c>
      <c r="XFD589" s="198"/>
    </row>
    <row r="590" customFormat="false" ht="19.4" hidden="false" customHeight="false" outlineLevel="0" collapsed="false">
      <c r="A590" s="198"/>
      <c r="B590" s="224"/>
      <c r="C590" s="198" t="n">
        <v>75</v>
      </c>
      <c r="D590" s="223" t="s">
        <v>1181</v>
      </c>
      <c r="E590" s="248" t="n">
        <v>45847</v>
      </c>
      <c r="F590" s="226" t="n">
        <v>27910</v>
      </c>
      <c r="G590" s="223" t="n">
        <v>12890</v>
      </c>
      <c r="H590" s="198" t="n">
        <v>15020</v>
      </c>
      <c r="I590" s="198" t="n">
        <v>11665.4</v>
      </c>
      <c r="J590" s="198" t="s">
        <v>994</v>
      </c>
      <c r="K590" s="189" t="s">
        <v>1175</v>
      </c>
      <c r="L590" s="198" t="s">
        <v>1144</v>
      </c>
      <c r="M590" s="198" t="s">
        <v>361</v>
      </c>
      <c r="N590" s="198"/>
      <c r="O590" s="198"/>
      <c r="P590" s="198"/>
      <c r="Q590" s="198"/>
      <c r="R590" s="198" t="s">
        <v>362</v>
      </c>
      <c r="S590" s="230"/>
      <c r="T590" s="198" t="s">
        <v>1144</v>
      </c>
      <c r="U590" s="198" t="str">
        <f aca="false">Таблица310[[#This Row],[Регистратор.Номенклатура]]</f>
        <v>Бутана</v>
      </c>
      <c r="V590" s="230" t="n">
        <f aca="false">60.3*Таблица310[[#This Row],[Регистратор.Вес нетто]]/143240</f>
        <v>5.42632644512706</v>
      </c>
      <c r="W590" s="198" t="s">
        <v>279</v>
      </c>
      <c r="X590" s="198" t="s">
        <v>315</v>
      </c>
      <c r="Y590" s="198" t="n">
        <v>16</v>
      </c>
      <c r="Z590" s="200" t="n">
        <v>45847</v>
      </c>
      <c r="AA590" s="198"/>
      <c r="AB590" s="198"/>
      <c r="AC590" s="198" t="s">
        <v>305</v>
      </c>
      <c r="AD590" s="198" t="s">
        <v>886</v>
      </c>
      <c r="AE590" s="198" t="s">
        <v>1181</v>
      </c>
      <c r="AF590" s="200" t="n">
        <v>45847</v>
      </c>
      <c r="AG590" s="198" t="n">
        <v>144</v>
      </c>
      <c r="AH590" s="198" t="n">
        <f aca="false">VLOOKUP(Таблица310[[#This Row],[№ акта]],'Степень зрелости 2025'!$H$13:$I$583,2,FALSE())</f>
        <v>75</v>
      </c>
      <c r="AI590" s="198" t="str">
        <f aca="false">VLOOKUP(Таблица310[[#This Row],[№ акта]],$AQ$1:$AT$594,2,FALSE())</f>
        <v>2.3</v>
      </c>
      <c r="AJ590" s="198" t="str">
        <f aca="false">Таблица310[[#This Row],[Регистратор.Номенклатура]]</f>
        <v>Бутана</v>
      </c>
      <c r="AK590" s="198" t="str">
        <f aca="false">VLOOKUP(Таблица310[[#This Row],[№ акта]],$AQ$1:$AT$594,4,FALSE())</f>
        <v>Колос (полив)</v>
      </c>
      <c r="AL590" s="230" t="n">
        <f aca="false">VLOOKUP(Таблица310[[#This Row],[№ акта]],$AQ$1:$AT$594,3,FALSE())</f>
        <v>5.05094043887147</v>
      </c>
      <c r="AM590" s="198" t="str">
        <f aca="false">IF(Таблица310[[#This Row],[Площадь уборки, га]]=Таблица310[[#This Row],[Площадь уборки до корр]],"нет","да")</f>
        <v>да</v>
      </c>
      <c r="AN590" s="230" t="n">
        <f aca="false">Таблица310[[#This Row],[Площадь уборки до корр]]-Таблица310[[#This Row],[Площадь уборки, га]]</f>
        <v>-0.375386006255586</v>
      </c>
      <c r="AQ590" s="0" t="s">
        <v>1181</v>
      </c>
      <c r="AR590" s="0" t="s">
        <v>1144</v>
      </c>
      <c r="AS590" s="0" t="n">
        <v>5.05094043887147</v>
      </c>
      <c r="AT590" s="0" t="s">
        <v>279</v>
      </c>
      <c r="XFD590" s="198"/>
    </row>
    <row r="591" customFormat="false" ht="28.35" hidden="false" customHeight="false" outlineLevel="0" collapsed="false">
      <c r="A591" s="198"/>
      <c r="B591" s="224"/>
      <c r="C591" s="198" t="n">
        <v>64</v>
      </c>
      <c r="D591" s="223" t="s">
        <v>1182</v>
      </c>
      <c r="E591" s="248" t="n">
        <v>45847</v>
      </c>
      <c r="F591" s="226" t="n">
        <v>27130</v>
      </c>
      <c r="G591" s="223" t="n">
        <v>12300</v>
      </c>
      <c r="H591" s="198" t="n">
        <v>14830</v>
      </c>
      <c r="I591" s="198" t="n">
        <v>9163.5</v>
      </c>
      <c r="J591" s="198" t="s">
        <v>994</v>
      </c>
      <c r="K591" s="189" t="s">
        <v>1175</v>
      </c>
      <c r="L591" s="198" t="s">
        <v>1144</v>
      </c>
      <c r="M591" s="198" t="s">
        <v>1086</v>
      </c>
      <c r="N591" s="198"/>
      <c r="O591" s="198"/>
      <c r="P591" s="198"/>
      <c r="Q591" s="198"/>
      <c r="R591" s="198" t="s">
        <v>1087</v>
      </c>
      <c r="S591" s="230"/>
      <c r="T591" s="198" t="s">
        <v>1144</v>
      </c>
      <c r="U591" s="198" t="str">
        <f aca="false">Таблица310[[#This Row],[Регистратор.Номенклатура]]</f>
        <v>Бутана</v>
      </c>
      <c r="V591" s="230" t="n">
        <f aca="false">60.3*Таблица310[[#This Row],[Регистратор.Вес нетто]]/143240</f>
        <v>5.17795308573024</v>
      </c>
      <c r="W591" s="198" t="s">
        <v>279</v>
      </c>
      <c r="X591" s="198" t="s">
        <v>315</v>
      </c>
      <c r="Y591" s="198" t="n">
        <v>16</v>
      </c>
      <c r="Z591" s="200" t="n">
        <v>45847</v>
      </c>
      <c r="AA591" s="198"/>
      <c r="AB591" s="198"/>
      <c r="AC591" s="198" t="s">
        <v>304</v>
      </c>
      <c r="AD591" s="198" t="s">
        <v>746</v>
      </c>
      <c r="AE591" s="198" t="s">
        <v>1182</v>
      </c>
      <c r="AF591" s="200" t="n">
        <v>45847</v>
      </c>
      <c r="AG591" s="198" t="n">
        <v>141</v>
      </c>
      <c r="AH591" s="198" t="n">
        <f aca="false">VLOOKUP(Таблица310[[#This Row],[№ акта]],'Степень зрелости 2025'!$H$13:$I$583,2,FALSE())</f>
        <v>64</v>
      </c>
      <c r="AI591" s="198" t="str">
        <f aca="false">VLOOKUP(Таблица310[[#This Row],[№ акта]],$AQ$1:$AT$594,2,FALSE())</f>
        <v>2.3</v>
      </c>
      <c r="AJ591" s="198" t="str">
        <f aca="false">Таблица310[[#This Row],[Регистратор.Номенклатура]]</f>
        <v>Бутана</v>
      </c>
      <c r="AK591" s="198" t="str">
        <f aca="false">VLOOKUP(Таблица310[[#This Row],[№ акта]],$AQ$1:$AT$594,4,FALSE())</f>
        <v>Колос (полив)</v>
      </c>
      <c r="AL591" s="230" t="n">
        <f aca="false">VLOOKUP(Таблица310[[#This Row],[№ акта]],$AQ$1:$AT$594,3,FALSE())</f>
        <v>4.81974921630094</v>
      </c>
      <c r="AM591" s="198" t="str">
        <f aca="false">IF(Таблица310[[#This Row],[Площадь уборки, га]]=Таблица310[[#This Row],[Площадь уборки до корр]],"нет","да")</f>
        <v>да</v>
      </c>
      <c r="AN591" s="230" t="n">
        <f aca="false">Таблица310[[#This Row],[Площадь уборки до корр]]-Таблица310[[#This Row],[Площадь уборки, га]]</f>
        <v>-0.358203869429302</v>
      </c>
      <c r="AQ591" s="0" t="s">
        <v>1182</v>
      </c>
      <c r="AR591" s="0" t="s">
        <v>1144</v>
      </c>
      <c r="AS591" s="0" t="n">
        <v>4.81974921630094</v>
      </c>
      <c r="AT591" s="0" t="s">
        <v>279</v>
      </c>
      <c r="XFD591" s="198"/>
    </row>
    <row r="592" customFormat="false" ht="19.4" hidden="false" customHeight="false" outlineLevel="0" collapsed="false">
      <c r="A592" s="198"/>
      <c r="B592" s="224"/>
      <c r="C592" s="198" t="n">
        <v>68</v>
      </c>
      <c r="D592" s="223" t="s">
        <v>1183</v>
      </c>
      <c r="E592" s="248" t="n">
        <v>45848</v>
      </c>
      <c r="F592" s="226" t="n">
        <v>26390</v>
      </c>
      <c r="G592" s="223" t="n">
        <v>11890</v>
      </c>
      <c r="H592" s="198" t="n">
        <v>14500</v>
      </c>
      <c r="I592" s="198" t="n">
        <v>10522.6</v>
      </c>
      <c r="J592" s="198" t="s">
        <v>994</v>
      </c>
      <c r="K592" s="189" t="s">
        <v>1175</v>
      </c>
      <c r="L592" s="198" t="s">
        <v>1144</v>
      </c>
      <c r="M592" s="198" t="s">
        <v>547</v>
      </c>
      <c r="N592" s="198"/>
      <c r="O592" s="198"/>
      <c r="P592" s="198"/>
      <c r="Q592" s="198"/>
      <c r="R592" s="198" t="s">
        <v>551</v>
      </c>
      <c r="S592" s="230"/>
      <c r="T592" s="198" t="s">
        <v>1144</v>
      </c>
      <c r="U592" s="198" t="str">
        <f aca="false">Таблица310[[#This Row],[Регистратор.Номенклатура]]</f>
        <v>Бутана</v>
      </c>
      <c r="V592" s="230" t="n">
        <f aca="false">25*Таблица310[[#This Row],[Регистратор.Вес нетто]]/63800</f>
        <v>4.65909090909091</v>
      </c>
      <c r="W592" s="198" t="s">
        <v>279</v>
      </c>
      <c r="X592" s="198" t="s">
        <v>315</v>
      </c>
      <c r="Y592" s="198" t="n">
        <v>16</v>
      </c>
      <c r="Z592" s="200" t="n">
        <v>45847</v>
      </c>
      <c r="AA592" s="198"/>
      <c r="AB592" s="198"/>
      <c r="AC592" s="198" t="s">
        <v>305</v>
      </c>
      <c r="AD592" s="198" t="s">
        <v>746</v>
      </c>
      <c r="AE592" s="198" t="s">
        <v>1183</v>
      </c>
      <c r="AF592" s="200" t="n">
        <v>45848</v>
      </c>
      <c r="AG592" s="198" t="n">
        <v>147</v>
      </c>
      <c r="AH592" s="198" t="n">
        <f aca="false">VLOOKUP(Таблица310[[#This Row],[№ акта]],'Степень зрелости 2025'!$H$13:$I$583,2,FALSE())</f>
        <v>68</v>
      </c>
      <c r="AI592" s="198" t="str">
        <f aca="false">VLOOKUP(Таблица310[[#This Row],[№ акта]],$AQ$1:$AT$594,2,FALSE())</f>
        <v>2.3</v>
      </c>
      <c r="AJ592" s="198" t="str">
        <f aca="false">Таблица310[[#This Row],[Регистратор.Номенклатура]]</f>
        <v>Бутана</v>
      </c>
      <c r="AK592" s="198" t="str">
        <f aca="false">VLOOKUP(Таблица310[[#This Row],[№ акта]],$AQ$1:$AT$594,4,FALSE())</f>
        <v>Колос (полив)</v>
      </c>
      <c r="AL592" s="230" t="n">
        <f aca="false">VLOOKUP(Таблица310[[#This Row],[№ акта]],$AQ$1:$AT$594,3,FALSE())</f>
        <v>4.65909090909091</v>
      </c>
      <c r="AM592" s="198" t="str">
        <f aca="false">IF(Таблица310[[#This Row],[Площадь уборки, га]]=Таблица310[[#This Row],[Площадь уборки до корр]],"нет","да")</f>
        <v>нет</v>
      </c>
      <c r="AN592" s="230" t="n">
        <f aca="false">Таблица310[[#This Row],[Площадь уборки до корр]]-Таблица310[[#This Row],[Площадь уборки, га]]</f>
        <v>0</v>
      </c>
      <c r="AQ592" s="0" t="s">
        <v>1183</v>
      </c>
      <c r="AR592" s="0" t="s">
        <v>1144</v>
      </c>
      <c r="AS592" s="0" t="n">
        <v>4.65909090909091</v>
      </c>
      <c r="AT592" s="0" t="s">
        <v>279</v>
      </c>
      <c r="XFD592" s="198"/>
    </row>
    <row r="593" customFormat="false" ht="19.4" hidden="false" customHeight="false" outlineLevel="0" collapsed="false">
      <c r="A593" s="198"/>
      <c r="B593" s="224"/>
      <c r="C593" s="198" t="n">
        <v>77</v>
      </c>
      <c r="D593" s="223" t="s">
        <v>1184</v>
      </c>
      <c r="E593" s="248" t="n">
        <v>45848</v>
      </c>
      <c r="F593" s="226" t="n">
        <v>26950</v>
      </c>
      <c r="G593" s="223" t="n">
        <v>12060</v>
      </c>
      <c r="H593" s="198" t="n">
        <v>14890</v>
      </c>
      <c r="I593" s="198" t="n">
        <v>10070.1</v>
      </c>
      <c r="J593" s="198" t="s">
        <v>994</v>
      </c>
      <c r="K593" s="189" t="s">
        <v>1175</v>
      </c>
      <c r="L593" s="198" t="s">
        <v>1144</v>
      </c>
      <c r="M593" s="198" t="s">
        <v>451</v>
      </c>
      <c r="N593" s="198"/>
      <c r="O593" s="198"/>
      <c r="P593" s="198"/>
      <c r="Q593" s="198"/>
      <c r="R593" s="198" t="s">
        <v>455</v>
      </c>
      <c r="S593" s="230"/>
      <c r="T593" s="198" t="s">
        <v>1144</v>
      </c>
      <c r="U593" s="198" t="str">
        <f aca="false">Таблица310[[#This Row],[Регистратор.Номенклатура]]</f>
        <v>Бутана</v>
      </c>
      <c r="V593" s="230" t="n">
        <f aca="false">9.7*Таблица310[[#This Row],[Регистратор.Вес нетто]]/26580</f>
        <v>4.40112866817156</v>
      </c>
      <c r="W593" s="198" t="s">
        <v>279</v>
      </c>
      <c r="X593" s="198" t="s">
        <v>315</v>
      </c>
      <c r="Y593" s="198" t="n">
        <v>17</v>
      </c>
      <c r="Z593" s="200" t="n">
        <v>45848</v>
      </c>
      <c r="AA593" s="198"/>
      <c r="AB593" s="198"/>
      <c r="AC593" s="198" t="s">
        <v>305</v>
      </c>
      <c r="AD593" s="198" t="s">
        <v>886</v>
      </c>
      <c r="AE593" s="198" t="s">
        <v>1184</v>
      </c>
      <c r="AF593" s="200" t="n">
        <v>45848</v>
      </c>
      <c r="AG593" s="198" t="n">
        <v>145</v>
      </c>
      <c r="AH593" s="198" t="n">
        <f aca="false">VLOOKUP(Таблица310[[#This Row],[№ акта]],'Степень зрелости 2025'!$H$13:$I$583,2,FALSE())</f>
        <v>77</v>
      </c>
      <c r="AI593" s="198" t="str">
        <f aca="false">VLOOKUP(Таблица310[[#This Row],[№ акта]],$AQ$1:$AT$594,2,FALSE())</f>
        <v>2.3</v>
      </c>
      <c r="AJ593" s="198" t="str">
        <f aca="false">Таблица310[[#This Row],[Регистратор.Номенклатура]]</f>
        <v>Бутана</v>
      </c>
      <c r="AK593" s="198" t="str">
        <f aca="false">VLOOKUP(Таблица310[[#This Row],[№ акта]],$AQ$1:$AT$594,4,FALSE())</f>
        <v>Колос (полив)</v>
      </c>
      <c r="AL593" s="230" t="n">
        <f aca="false">VLOOKUP(Таблица310[[#This Row],[№ акта]],$AQ$1:$AT$594,3,FALSE())</f>
        <v>4.40112866817156</v>
      </c>
      <c r="AM593" s="198" t="str">
        <f aca="false">IF(Таблица310[[#This Row],[Площадь уборки, га]]=Таблица310[[#This Row],[Площадь уборки до корр]],"нет","да")</f>
        <v>нет</v>
      </c>
      <c r="AN593" s="230" t="n">
        <f aca="false">Таблица310[[#This Row],[Площадь уборки до корр]]-Таблица310[[#This Row],[Площадь уборки, га]]</f>
        <v>0</v>
      </c>
      <c r="AQ593" s="0" t="s">
        <v>1184</v>
      </c>
      <c r="AR593" s="0" t="s">
        <v>1144</v>
      </c>
      <c r="AS593" s="0" t="n">
        <v>4.40112866817156</v>
      </c>
      <c r="AT593" s="0" t="s">
        <v>279</v>
      </c>
      <c r="XFD593" s="198"/>
    </row>
    <row r="594" customFormat="false" ht="19.4" hidden="false" customHeight="false" outlineLevel="0" collapsed="false">
      <c r="A594" s="198"/>
      <c r="B594" s="224"/>
      <c r="C594" s="198" t="n">
        <v>64</v>
      </c>
      <c r="D594" s="223" t="s">
        <v>1185</v>
      </c>
      <c r="E594" s="248" t="n">
        <v>45848</v>
      </c>
      <c r="F594" s="226" t="n">
        <v>38830</v>
      </c>
      <c r="G594" s="223" t="n">
        <v>14520</v>
      </c>
      <c r="H594" s="198" t="n">
        <v>24310</v>
      </c>
      <c r="I594" s="198" t="n">
        <v>10744.8</v>
      </c>
      <c r="J594" s="198" t="s">
        <v>994</v>
      </c>
      <c r="K594" s="189" t="s">
        <v>1175</v>
      </c>
      <c r="L594" s="198" t="s">
        <v>1144</v>
      </c>
      <c r="M594" s="198" t="s">
        <v>1092</v>
      </c>
      <c r="N594" s="198"/>
      <c r="O594" s="198"/>
      <c r="P594" s="198"/>
      <c r="Q594" s="198"/>
      <c r="R594" s="198" t="s">
        <v>1093</v>
      </c>
      <c r="S594" s="230"/>
      <c r="T594" s="198" t="s">
        <v>1144</v>
      </c>
      <c r="U594" s="198" t="str">
        <f aca="false">Таблица310[[#This Row],[Регистратор.Номенклатура]]</f>
        <v>Бутана</v>
      </c>
      <c r="V594" s="230" t="n">
        <f aca="false">9.7*Таблица310[[#This Row],[Регистратор.Вес нетто]]/26580</f>
        <v>5.29887133182844</v>
      </c>
      <c r="W594" s="198" t="s">
        <v>279</v>
      </c>
      <c r="X594" s="198" t="s">
        <v>315</v>
      </c>
      <c r="Y594" s="198" t="n">
        <v>17</v>
      </c>
      <c r="Z594" s="200" t="n">
        <v>45848</v>
      </c>
      <c r="AA594" s="198"/>
      <c r="AB594" s="198"/>
      <c r="AC594" s="198" t="s">
        <v>304</v>
      </c>
      <c r="AD594" s="198" t="s">
        <v>746</v>
      </c>
      <c r="AE594" s="198" t="s">
        <v>1185</v>
      </c>
      <c r="AF594" s="200" t="n">
        <v>45848</v>
      </c>
      <c r="AG594" s="198" t="n">
        <v>146</v>
      </c>
      <c r="AH594" s="198" t="n">
        <f aca="false">VLOOKUP(Таблица310[[#This Row],[№ акта]],'Степень зрелости 2025'!$H$13:$I$583,2,FALSE())</f>
        <v>64</v>
      </c>
      <c r="AI594" s="198" t="str">
        <f aca="false">VLOOKUP(Таблица310[[#This Row],[№ акта]],$AQ$1:$AT$594,2,FALSE())</f>
        <v>2.3</v>
      </c>
      <c r="AJ594" s="198" t="str">
        <f aca="false">Таблица310[[#This Row],[Регистратор.Номенклатура]]</f>
        <v>Бутана</v>
      </c>
      <c r="AK594" s="198" t="str">
        <f aca="false">VLOOKUP(Таблица310[[#This Row],[№ акта]],$AQ$1:$AT$594,4,FALSE())</f>
        <v>Колос (полив)</v>
      </c>
      <c r="AL594" s="230" t="n">
        <f aca="false">VLOOKUP(Таблица310[[#This Row],[№ акта]],$AQ$1:$AT$594,3,FALSE())</f>
        <v>5.29887133182844</v>
      </c>
      <c r="AM594" s="198" t="str">
        <f aca="false">IF(Таблица310[[#This Row],[Площадь уборки, га]]=Таблица310[[#This Row],[Площадь уборки до корр]],"нет","да")</f>
        <v>нет</v>
      </c>
      <c r="AN594" s="230" t="n">
        <f aca="false">Таблица310[[#This Row],[Площадь уборки до корр]]-Таблица310[[#This Row],[Площадь уборки, га]]</f>
        <v>0</v>
      </c>
      <c r="AQ594" s="0" t="s">
        <v>1185</v>
      </c>
      <c r="AR594" s="0" t="s">
        <v>1144</v>
      </c>
      <c r="AS594" s="0" t="n">
        <v>5.29887133182844</v>
      </c>
      <c r="AT594" s="0" t="s">
        <v>279</v>
      </c>
      <c r="XFD594" s="198"/>
    </row>
    <row r="595" customFormat="false" ht="15" hidden="false" customHeight="false" outlineLevel="0" collapsed="false">
      <c r="A595" s="198"/>
      <c r="B595" s="223" t="n">
        <f aca="false">SUBTOTAL(109,Таблица310[Количество])</f>
        <v>1230023.74</v>
      </c>
      <c r="C595" s="236" t="n">
        <f aca="false">SUBTOTAL(101,Таблица310[Значение
финометра])</f>
        <v>57.2547008547009</v>
      </c>
      <c r="D595" s="224"/>
      <c r="E595" s="225"/>
      <c r="F595" s="223" t="n">
        <f aca="false">SUBTOTAL(109,Таблица310[Регистратор.Вес брутто])</f>
        <v>16147495</v>
      </c>
      <c r="G595" s="223" t="n">
        <f aca="false">SUBTOTAL(109,Таблица310[Регистратор.Вес нетто])</f>
        <v>7098140</v>
      </c>
      <c r="H595" s="223" t="n">
        <f aca="false">SUBTOTAL(109,Таблица310[Регистратор.Вес тары])</f>
        <v>9056905</v>
      </c>
      <c r="I595" s="223" t="n">
        <f aca="false">SUBTOTAL(109,Таблица310[Регистратор.Вес чистый])</f>
        <v>6087068.5</v>
      </c>
      <c r="J595" s="198"/>
      <c r="K595" s="198"/>
      <c r="L595" s="198"/>
      <c r="M595" s="198"/>
      <c r="N595" s="198"/>
      <c r="O595" s="198"/>
      <c r="P595" s="198"/>
      <c r="Q595" s="198"/>
      <c r="R595" s="198"/>
      <c r="S595" s="198"/>
      <c r="T595" s="198"/>
      <c r="U595" s="198"/>
      <c r="V595" s="230" t="n">
        <f aca="false">SUBTOTAL(109,Таблица310[Площадь уборки, га])</f>
        <v>1483.86008597358</v>
      </c>
      <c r="W595" s="198"/>
      <c r="Y595" s="198"/>
      <c r="Z595" s="198"/>
      <c r="AA595" s="230" t="n">
        <f aca="false">SUBTOTAL(109,Таблица310[Продажа])</f>
        <v>612690</v>
      </c>
      <c r="AB595" s="198"/>
      <c r="AC595" s="198"/>
      <c r="AD595" s="198"/>
      <c r="AE595" s="198"/>
      <c r="AF595" s="198"/>
      <c r="AG595" s="198"/>
      <c r="AH595" s="198"/>
      <c r="AI595" s="198"/>
      <c r="AJ595" s="198"/>
      <c r="AK595" s="198"/>
      <c r="AL595" s="230" t="n">
        <f aca="false">SUBTOTAL(109,Таблица310[Площадь уборки до корр])</f>
        <v>1477.34863237292</v>
      </c>
      <c r="AM595" s="198"/>
      <c r="AN595" s="230" t="n">
        <f aca="false">SUBTOTAL(109,Таблица310[Разница по площади])</f>
        <v>-6.51145360066038</v>
      </c>
    </row>
  </sheetData>
  <dataValidations count="4">
    <dataValidation allowBlank="false" errorStyle="stop" operator="between" showDropDown="false" showErrorMessage="true" showInputMessage="true" sqref="X1:X594" type="none">
      <formula1>0</formula1>
      <formula2>0</formula2>
    </dataValidation>
    <dataValidation allowBlank="false" errorStyle="stop" operator="between" showDropDown="false" showErrorMessage="true" showInputMessage="true" sqref="W1:W594" type="list">
      <formula1>'Данные 2025'!$D$4:$D$11</formula1>
      <formula2>0</formula2>
    </dataValidation>
    <dataValidation allowBlank="true" errorStyle="stop" operator="between" showDropDown="false" showErrorMessage="true" showInputMessage="true" sqref="AC74:AC110 AC112:AC163 AC165:AC167 AC169:AC578 AC582:AC588 AC590:AC594" type="list">
      <formula1>'Данные 2025'!$D$27:$D$32</formula1>
      <formula2>0</formula2>
    </dataValidation>
    <dataValidation allowBlank="true" errorStyle="stop" operator="between" showDropDown="false" showErrorMessage="true" showInputMessage="true" sqref="AC2:AC73" type="list">
      <formula1>'Данные 2025'!$D$27:$D$31</formula1>
      <formula2>0</formula2>
    </dataValidation>
  </dataValidation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CM20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E25" activeCellId="0" sqref="AE25"/>
    </sheetView>
  </sheetViews>
  <sheetFormatPr defaultColWidth="8.859375" defaultRowHeight="12.75" customHeight="true" zeroHeight="false" outlineLevelRow="1" outlineLevelCol="3"/>
  <cols>
    <col collapsed="false" customWidth="true" hidden="false" outlineLevel="0" max="1" min="1" style="256" width="18.14"/>
    <col collapsed="false" customWidth="true" hidden="true" outlineLevel="1" max="8" min="2" style="256" width="8.42"/>
    <col collapsed="false" customWidth="true" hidden="false" outlineLevel="0" max="9" min="9" style="256" width="1.57"/>
    <col collapsed="false" customWidth="true" hidden="true" outlineLevel="1" max="12" min="10" style="256" width="8.42"/>
    <col collapsed="false" customWidth="true" hidden="false" outlineLevel="0" max="16" min="13" style="256" width="8.42"/>
    <col collapsed="false" customWidth="true" hidden="false" outlineLevel="0" max="17" min="17" style="256" width="1.71"/>
    <col collapsed="false" customWidth="true" hidden="true" outlineLevel="1" max="20" min="18" style="256" width="8.42"/>
    <col collapsed="false" customWidth="true" hidden="false" outlineLevel="0" max="24" min="21" style="256" width="8.42"/>
    <col collapsed="false" customWidth="true" hidden="false" outlineLevel="0" max="25" min="25" style="256" width="1.71"/>
    <col collapsed="false" customWidth="true" hidden="true" outlineLevel="1" max="28" min="26" style="256" width="8.42"/>
    <col collapsed="false" customWidth="true" hidden="false" outlineLevel="0" max="32" min="29" style="256" width="8.42"/>
    <col collapsed="false" customWidth="true" hidden="false" outlineLevel="0" max="33" min="33" style="256" width="2.29"/>
    <col collapsed="false" customWidth="true" hidden="true" outlineLevel="1" max="36" min="34" style="256" width="8.42"/>
    <col collapsed="false" customWidth="true" hidden="false" outlineLevel="0" max="40" min="37" style="256" width="8.42"/>
    <col collapsed="false" customWidth="true" hidden="true" outlineLevel="1" max="41" min="41" style="256" width="8.42"/>
    <col collapsed="false" customWidth="true" hidden="true" outlineLevel="2" max="42" min="42" style="256" width="8.42"/>
    <col collapsed="false" customWidth="true" hidden="true" outlineLevel="3" max="49" min="43" style="256" width="8.42"/>
    <col collapsed="true" customWidth="false" hidden="true" outlineLevel="2" max="50" min="50" style="256" width="8.86"/>
    <col collapsed="false" customWidth="true" hidden="true" outlineLevel="3" max="55" min="51" style="256" width="9"/>
    <col collapsed="true" customWidth="false" hidden="true" outlineLevel="2" max="56" min="56" style="256" width="8.86"/>
    <col collapsed="false" customWidth="true" hidden="true" outlineLevel="3" max="63" min="57" style="256" width="9"/>
    <col collapsed="true" customWidth="true" hidden="true" outlineLevel="2" max="64" min="64" style="256" width="5.86"/>
    <col collapsed="false" customWidth="true" hidden="true" outlineLevel="3" max="69" min="65" style="256" width="9"/>
    <col collapsed="true" customWidth="true" hidden="true" outlineLevel="2" max="70" min="70" style="256" width="1.71"/>
    <col collapsed="false" customWidth="true" hidden="true" outlineLevel="3" max="75" min="71" style="256" width="9"/>
    <col collapsed="false" customWidth="true" hidden="true" outlineLevel="3" max="76" min="76" style="256" width="9.29"/>
    <col collapsed="false" customWidth="true" hidden="true" outlineLevel="3" max="77" min="77" style="256" width="9"/>
    <col collapsed="true" customWidth="false" hidden="true" outlineLevel="2" max="78" min="78" style="256" width="8.86"/>
    <col collapsed="false" customWidth="true" hidden="true" outlineLevel="2" max="81" min="79" style="257" width="11.53"/>
    <col collapsed="true" customWidth="true" hidden="true" outlineLevel="1" max="82" min="82" style="257" width="11.53"/>
    <col collapsed="false" customWidth="true" hidden="true" outlineLevel="1" max="83" min="83" style="257" width="14.42"/>
    <col collapsed="false" customWidth="true" hidden="true" outlineLevel="1" max="84" min="84" style="257" width="13.42"/>
    <col collapsed="false" customWidth="true" hidden="true" outlineLevel="1" max="85" min="85" style="257" width="11.53"/>
    <col collapsed="false" customWidth="true" hidden="true" outlineLevel="2" max="88" min="86" style="257" width="11.53"/>
    <col collapsed="true" customWidth="true" hidden="true" outlineLevel="1" max="89" min="89" style="257" width="11.53"/>
    <col collapsed="false" customWidth="true" hidden="true" outlineLevel="1" max="90" min="90" style="257" width="11.43"/>
    <col collapsed="false" customWidth="true" hidden="true" outlineLevel="1" max="91" min="91" style="257" width="12.86"/>
    <col collapsed="false" customWidth="true" hidden="true" outlineLevel="1" max="92" min="92" style="256" width="11.53"/>
    <col collapsed="false" customWidth="false" hidden="false" outlineLevel="0" max="16384" min="93" style="256" width="8.86"/>
  </cols>
  <sheetData>
    <row r="1" customFormat="false" ht="12.75" hidden="false" customHeight="false" outlineLevel="0" collapsed="false">
      <c r="A1" s="258" t="s">
        <v>1186</v>
      </c>
      <c r="B1" s="259"/>
      <c r="C1" s="259"/>
      <c r="D1" s="259"/>
      <c r="E1" s="259"/>
      <c r="F1" s="259"/>
      <c r="G1" s="260"/>
      <c r="H1" s="260"/>
      <c r="I1" s="260"/>
      <c r="J1" s="259"/>
      <c r="K1" s="259"/>
      <c r="L1" s="259"/>
      <c r="M1" s="259"/>
      <c r="N1" s="259"/>
      <c r="O1" s="260"/>
      <c r="P1" s="261"/>
      <c r="Q1" s="260"/>
      <c r="R1" s="259"/>
      <c r="S1" s="259"/>
      <c r="T1" s="259"/>
      <c r="U1" s="259"/>
      <c r="V1" s="261"/>
      <c r="W1" s="260"/>
      <c r="X1" s="261"/>
      <c r="Y1" s="260"/>
      <c r="Z1" s="259"/>
      <c r="AA1" s="259"/>
      <c r="AB1" s="259"/>
      <c r="AC1" s="259"/>
      <c r="AD1" s="261"/>
      <c r="AE1" s="260"/>
      <c r="AF1" s="261"/>
      <c r="AG1" s="260"/>
      <c r="AH1" s="259"/>
      <c r="AI1" s="259"/>
      <c r="AJ1" s="259"/>
      <c r="AK1" s="259"/>
      <c r="AL1" s="259"/>
      <c r="AM1" s="259"/>
      <c r="AN1" s="262"/>
      <c r="AO1" s="262"/>
      <c r="AP1" s="260"/>
      <c r="AQ1" s="259"/>
      <c r="AR1" s="259"/>
      <c r="AS1" s="259"/>
      <c r="AT1" s="259"/>
      <c r="AU1" s="259"/>
      <c r="AV1" s="259"/>
      <c r="AW1" s="262"/>
      <c r="AX1" s="260"/>
      <c r="AY1" s="263"/>
      <c r="AZ1" s="264"/>
      <c r="BA1" s="265"/>
      <c r="BB1" s="265"/>
      <c r="BC1" s="260"/>
      <c r="BD1" s="260"/>
      <c r="BE1" s="259"/>
      <c r="BF1" s="259"/>
      <c r="BG1" s="259"/>
      <c r="BH1" s="259"/>
      <c r="BI1" s="259"/>
      <c r="BJ1" s="259"/>
      <c r="BK1" s="262"/>
      <c r="BL1" s="260"/>
      <c r="BM1" s="266"/>
      <c r="BN1" s="267"/>
      <c r="BO1" s="259"/>
      <c r="BP1" s="259"/>
      <c r="BQ1" s="260"/>
      <c r="BR1" s="260"/>
      <c r="BS1" s="259"/>
      <c r="BT1" s="259"/>
      <c r="BU1" s="259"/>
      <c r="BV1" s="259"/>
      <c r="BW1" s="259"/>
      <c r="BX1" s="259"/>
      <c r="BY1" s="262"/>
      <c r="BZ1" s="260"/>
      <c r="CA1" s="268"/>
      <c r="CB1" s="268"/>
      <c r="CC1" s="268"/>
      <c r="CD1" s="268"/>
      <c r="CE1" s="268"/>
      <c r="CF1" s="269" t="n">
        <v>45694</v>
      </c>
      <c r="CG1" s="270"/>
      <c r="CH1" s="268"/>
      <c r="CI1" s="268"/>
      <c r="CJ1" s="268"/>
      <c r="CK1" s="268"/>
      <c r="CL1" s="268"/>
      <c r="CM1" s="269" t="n">
        <v>45694</v>
      </c>
    </row>
    <row r="2" customFormat="false" ht="12.75" hidden="false" customHeight="false" outlineLevel="0" collapsed="false">
      <c r="A2" s="271"/>
      <c r="B2" s="272" t="s">
        <v>1187</v>
      </c>
      <c r="C2" s="273"/>
      <c r="D2" s="273"/>
      <c r="E2" s="273"/>
      <c r="F2" s="273"/>
      <c r="G2" s="273"/>
      <c r="H2" s="273"/>
      <c r="I2" s="260"/>
      <c r="J2" s="274" t="s">
        <v>33</v>
      </c>
      <c r="K2" s="273"/>
      <c r="L2" s="273"/>
      <c r="M2" s="273" t="str">
        <f aca="false">J2</f>
        <v>Площадь уборки, га</v>
      </c>
      <c r="N2" s="273"/>
      <c r="O2" s="273"/>
      <c r="P2" s="275"/>
      <c r="Q2" s="260"/>
      <c r="R2" s="274" t="s">
        <v>1188</v>
      </c>
      <c r="S2" s="273"/>
      <c r="T2" s="273"/>
      <c r="U2" s="273" t="str">
        <f aca="false">R2</f>
        <v>Вал сбор, тонн</v>
      </c>
      <c r="V2" s="275"/>
      <c r="W2" s="273"/>
      <c r="X2" s="275"/>
      <c r="Y2" s="260"/>
      <c r="Z2" s="274" t="s">
        <v>1189</v>
      </c>
      <c r="AA2" s="273"/>
      <c r="AB2" s="273"/>
      <c r="AC2" s="273" t="str">
        <f aca="false">Z2</f>
        <v>Зач.вес</v>
      </c>
      <c r="AD2" s="275"/>
      <c r="AE2" s="273"/>
      <c r="AF2" s="275"/>
      <c r="AG2" s="260"/>
      <c r="AH2" s="274" t="s">
        <v>1190</v>
      </c>
      <c r="AI2" s="273"/>
      <c r="AJ2" s="273"/>
      <c r="AK2" s="273" t="str">
        <f aca="false">AH2</f>
        <v>урожайность физ.вес., т/га</v>
      </c>
      <c r="AL2" s="273"/>
      <c r="AM2" s="273"/>
      <c r="AN2" s="275"/>
      <c r="AO2" s="276"/>
      <c r="AP2" s="260"/>
      <c r="AQ2" s="274" t="s">
        <v>1191</v>
      </c>
      <c r="AR2" s="273"/>
      <c r="AS2" s="273"/>
      <c r="AT2" s="273"/>
      <c r="AU2" s="273"/>
      <c r="AV2" s="273"/>
      <c r="AW2" s="275"/>
      <c r="AX2" s="260"/>
      <c r="AY2" s="273" t="s">
        <v>1192</v>
      </c>
      <c r="AZ2" s="277"/>
      <c r="BA2" s="277"/>
      <c r="BB2" s="277"/>
      <c r="BC2" s="277" t="s">
        <v>1192</v>
      </c>
      <c r="BD2" s="260"/>
      <c r="BE2" s="274" t="s">
        <v>1193</v>
      </c>
      <c r="BF2" s="273"/>
      <c r="BG2" s="273"/>
      <c r="BH2" s="273"/>
      <c r="BI2" s="273"/>
      <c r="BJ2" s="273"/>
      <c r="BK2" s="275"/>
      <c r="BL2" s="260"/>
      <c r="BM2" s="273" t="s">
        <v>1192</v>
      </c>
      <c r="BN2" s="273"/>
      <c r="BO2" s="273"/>
      <c r="BP2" s="273"/>
      <c r="BQ2" s="273" t="s">
        <v>1192</v>
      </c>
      <c r="BR2" s="260"/>
      <c r="BS2" s="274" t="s">
        <v>1194</v>
      </c>
      <c r="BT2" s="273"/>
      <c r="BU2" s="273"/>
      <c r="BV2" s="273"/>
      <c r="BW2" s="273"/>
      <c r="BX2" s="273"/>
      <c r="BY2" s="275"/>
      <c r="BZ2" s="278"/>
      <c r="CA2" s="279" t="s">
        <v>1195</v>
      </c>
      <c r="CB2" s="280"/>
      <c r="CC2" s="280"/>
      <c r="CD2" s="280" t="str">
        <f aca="false">CA2</f>
        <v>Сроки сева</v>
      </c>
      <c r="CE2" s="280"/>
      <c r="CF2" s="280"/>
      <c r="CG2" s="281"/>
      <c r="CH2" s="279" t="s">
        <v>1196</v>
      </c>
      <c r="CI2" s="280"/>
      <c r="CJ2" s="280"/>
      <c r="CK2" s="280" t="str">
        <f aca="false">CH2</f>
        <v>Сроки уборки</v>
      </c>
      <c r="CL2" s="280"/>
      <c r="CM2" s="280"/>
    </row>
    <row r="3" s="289" customFormat="true" ht="14.9" hidden="false" customHeight="false" outlineLevel="0" collapsed="false">
      <c r="A3" s="271"/>
      <c r="B3" s="282" t="s">
        <v>1197</v>
      </c>
      <c r="C3" s="282" t="s">
        <v>1198</v>
      </c>
      <c r="D3" s="282" t="s">
        <v>1199</v>
      </c>
      <c r="E3" s="282" t="s">
        <v>1200</v>
      </c>
      <c r="F3" s="282" t="s">
        <v>1201</v>
      </c>
      <c r="G3" s="283" t="s">
        <v>1202</v>
      </c>
      <c r="H3" s="282" t="s">
        <v>1203</v>
      </c>
      <c r="I3" s="284"/>
      <c r="J3" s="282" t="s">
        <v>1197</v>
      </c>
      <c r="K3" s="282" t="s">
        <v>1198</v>
      </c>
      <c r="L3" s="282" t="s">
        <v>1199</v>
      </c>
      <c r="M3" s="282" t="s">
        <v>1200</v>
      </c>
      <c r="N3" s="282" t="s">
        <v>1201</v>
      </c>
      <c r="O3" s="283" t="s">
        <v>1202</v>
      </c>
      <c r="P3" s="285" t="s">
        <v>1204</v>
      </c>
      <c r="Q3" s="284"/>
      <c r="R3" s="282" t="s">
        <v>1197</v>
      </c>
      <c r="S3" s="282" t="s">
        <v>1198</v>
      </c>
      <c r="T3" s="282" t="s">
        <v>1199</v>
      </c>
      <c r="U3" s="282" t="s">
        <v>1200</v>
      </c>
      <c r="V3" s="282" t="s">
        <v>1201</v>
      </c>
      <c r="W3" s="283" t="s">
        <v>1202</v>
      </c>
      <c r="X3" s="285" t="s">
        <v>1204</v>
      </c>
      <c r="Y3" s="284"/>
      <c r="Z3" s="282" t="s">
        <v>1197</v>
      </c>
      <c r="AA3" s="282" t="s">
        <v>1198</v>
      </c>
      <c r="AB3" s="282" t="s">
        <v>1199</v>
      </c>
      <c r="AC3" s="282" t="s">
        <v>1200</v>
      </c>
      <c r="AD3" s="282" t="s">
        <v>1201</v>
      </c>
      <c r="AE3" s="283" t="s">
        <v>1202</v>
      </c>
      <c r="AF3" s="285" t="s">
        <v>1204</v>
      </c>
      <c r="AG3" s="284"/>
      <c r="AH3" s="282" t="s">
        <v>1197</v>
      </c>
      <c r="AI3" s="282" t="s">
        <v>1198</v>
      </c>
      <c r="AJ3" s="282" t="s">
        <v>1199</v>
      </c>
      <c r="AK3" s="282" t="s">
        <v>1200</v>
      </c>
      <c r="AL3" s="282" t="s">
        <v>1201</v>
      </c>
      <c r="AM3" s="283" t="s">
        <v>1202</v>
      </c>
      <c r="AN3" s="285" t="s">
        <v>1204</v>
      </c>
      <c r="AO3" s="286"/>
      <c r="AP3" s="284"/>
      <c r="AQ3" s="282" t="s">
        <v>1197</v>
      </c>
      <c r="AR3" s="282" t="s">
        <v>1198</v>
      </c>
      <c r="AS3" s="282" t="s">
        <v>1199</v>
      </c>
      <c r="AT3" s="282" t="s">
        <v>1200</v>
      </c>
      <c r="AU3" s="282" t="s">
        <v>1201</v>
      </c>
      <c r="AV3" s="283" t="s">
        <v>1202</v>
      </c>
      <c r="AW3" s="285" t="s">
        <v>1204</v>
      </c>
      <c r="AX3" s="284"/>
      <c r="AY3" s="287" t="s">
        <v>1205</v>
      </c>
      <c r="AZ3" s="287" t="s">
        <v>1206</v>
      </c>
      <c r="BA3" s="287" t="s">
        <v>1207</v>
      </c>
      <c r="BB3" s="287" t="s">
        <v>1208</v>
      </c>
      <c r="BC3" s="287" t="s">
        <v>1209</v>
      </c>
      <c r="BD3" s="284"/>
      <c r="BE3" s="282" t="s">
        <v>1197</v>
      </c>
      <c r="BF3" s="282" t="s">
        <v>1198</v>
      </c>
      <c r="BG3" s="282" t="s">
        <v>1199</v>
      </c>
      <c r="BH3" s="282" t="s">
        <v>1200</v>
      </c>
      <c r="BI3" s="282" t="s">
        <v>1201</v>
      </c>
      <c r="BJ3" s="283" t="s">
        <v>1202</v>
      </c>
      <c r="BK3" s="285" t="s">
        <v>1204</v>
      </c>
      <c r="BL3" s="284"/>
      <c r="BM3" s="287" t="s">
        <v>1205</v>
      </c>
      <c r="BN3" s="287" t="s">
        <v>1206</v>
      </c>
      <c r="BO3" s="287" t="s">
        <v>1207</v>
      </c>
      <c r="BP3" s="287" t="s">
        <v>1208</v>
      </c>
      <c r="BQ3" s="287" t="s">
        <v>1209</v>
      </c>
      <c r="BR3" s="284"/>
      <c r="BS3" s="282" t="s">
        <v>1197</v>
      </c>
      <c r="BT3" s="282" t="s">
        <v>1198</v>
      </c>
      <c r="BU3" s="282" t="s">
        <v>1199</v>
      </c>
      <c r="BV3" s="282" t="s">
        <v>1200</v>
      </c>
      <c r="BW3" s="282" t="s">
        <v>1201</v>
      </c>
      <c r="BX3" s="283" t="s">
        <v>1202</v>
      </c>
      <c r="BY3" s="285" t="s">
        <v>1204</v>
      </c>
      <c r="BZ3" s="288"/>
      <c r="CA3" s="282" t="s">
        <v>1197</v>
      </c>
      <c r="CB3" s="282" t="s">
        <v>1198</v>
      </c>
      <c r="CC3" s="282" t="s">
        <v>1199</v>
      </c>
      <c r="CD3" s="282" t="s">
        <v>1200</v>
      </c>
      <c r="CE3" s="282" t="s">
        <v>1201</v>
      </c>
      <c r="CF3" s="282" t="s">
        <v>1202</v>
      </c>
      <c r="CG3" s="288"/>
      <c r="CH3" s="282" t="s">
        <v>1197</v>
      </c>
      <c r="CI3" s="282" t="s">
        <v>1198</v>
      </c>
      <c r="CJ3" s="282" t="s">
        <v>1199</v>
      </c>
      <c r="CK3" s="282" t="s">
        <v>1200</v>
      </c>
      <c r="CL3" s="282" t="s">
        <v>1201</v>
      </c>
      <c r="CM3" s="282" t="s">
        <v>1202</v>
      </c>
    </row>
    <row r="4" customFormat="false" ht="12.75" hidden="false" customHeight="true" outlineLevel="0" collapsed="false">
      <c r="A4" s="290" t="s">
        <v>1210</v>
      </c>
      <c r="B4" s="291" t="n">
        <v>170897.36932</v>
      </c>
      <c r="C4" s="291" t="n">
        <v>147072.60286</v>
      </c>
      <c r="D4" s="291" t="n">
        <v>156692.286099035</v>
      </c>
      <c r="E4" s="291" t="n">
        <v>81263.4077322322</v>
      </c>
      <c r="F4" s="291" t="n">
        <v>104147.69854</v>
      </c>
      <c r="G4" s="292" t="n">
        <v>74879.1390172699</v>
      </c>
      <c r="H4" s="291" t="n">
        <v>0</v>
      </c>
      <c r="J4" s="293" t="n">
        <v>1942</v>
      </c>
      <c r="K4" s="293" t="n">
        <v>1075</v>
      </c>
      <c r="L4" s="293" t="n">
        <v>1463</v>
      </c>
      <c r="M4" s="293" t="n">
        <v>501</v>
      </c>
      <c r="N4" s="293" t="n">
        <v>613</v>
      </c>
      <c r="O4" s="294" t="n">
        <v>589</v>
      </c>
      <c r="P4" s="295" t="n">
        <f aca="false">P5+P6+P7</f>
        <v>461</v>
      </c>
      <c r="R4" s="291" t="n">
        <v>8872.59</v>
      </c>
      <c r="S4" s="291" t="n">
        <v>5554.8</v>
      </c>
      <c r="T4" s="291" t="n">
        <v>4171.84</v>
      </c>
      <c r="U4" s="291" t="n">
        <v>2629.21</v>
      </c>
      <c r="V4" s="293" t="n">
        <v>1640.77</v>
      </c>
      <c r="W4" s="294" t="n">
        <v>1945.5</v>
      </c>
      <c r="X4" s="295" t="n">
        <f aca="false">X5+X6+X7</f>
        <v>1364.7</v>
      </c>
      <c r="Z4" s="291" t="n">
        <v>8034</v>
      </c>
      <c r="AA4" s="291" t="n">
        <v>4839.123</v>
      </c>
      <c r="AB4" s="291" t="n">
        <v>3763.316</v>
      </c>
      <c r="AC4" s="291" t="n">
        <v>2294.7581</v>
      </c>
      <c r="AD4" s="293" t="n">
        <v>1295.1645</v>
      </c>
      <c r="AE4" s="294" t="n">
        <v>1789.86</v>
      </c>
      <c r="AF4" s="295" t="n">
        <f aca="false">AF5+AF6+AF7</f>
        <v>1141.5115</v>
      </c>
      <c r="AH4" s="296" t="n">
        <f aca="false">IFERROR(R4/J4,)</f>
        <v>4.56878990731205</v>
      </c>
      <c r="AI4" s="296" t="n">
        <f aca="false">IFERROR(S4/K4,)</f>
        <v>5.16725581395349</v>
      </c>
      <c r="AJ4" s="296" t="n">
        <f aca="false">IFERROR(T4/L4,)</f>
        <v>2.85156527682843</v>
      </c>
      <c r="AK4" s="296" t="n">
        <f aca="false">IFERROR(U4/M4,)</f>
        <v>5.24792415169661</v>
      </c>
      <c r="AL4" s="296" t="n">
        <f aca="false">IFERROR(V4/N4,)</f>
        <v>2.67662316476346</v>
      </c>
      <c r="AM4" s="297" t="n">
        <f aca="false">IFERROR(W4/O4,)</f>
        <v>3.30305602716469</v>
      </c>
      <c r="AN4" s="298" t="n">
        <f aca="false">IFERROR(X4/P4,)</f>
        <v>2.96030368763558</v>
      </c>
      <c r="AO4" s="299"/>
      <c r="AQ4" s="291" t="n">
        <f aca="false">IFERROR(B4/J4,)</f>
        <v>88.000705108136</v>
      </c>
      <c r="AR4" s="291" t="n">
        <f aca="false">IFERROR(C4/K4,)</f>
        <v>136.811723590698</v>
      </c>
      <c r="AS4" s="291" t="n">
        <f aca="false">IFERROR(D4/L4,)</f>
        <v>107.103408133312</v>
      </c>
      <c r="AT4" s="291" t="n">
        <f aca="false">IFERROR(E4/M4,)</f>
        <v>162.202410643178</v>
      </c>
      <c r="AU4" s="291" t="n">
        <f aca="false">IFERROR(F4/N4,)</f>
        <v>169.8983662969</v>
      </c>
      <c r="AV4" s="300" t="n">
        <f aca="false">IFERROR(G4/O4,)</f>
        <v>127.129268280594</v>
      </c>
      <c r="AW4" s="301" t="n">
        <f aca="false">IFERROR(I4/P4,)</f>
        <v>0</v>
      </c>
      <c r="AY4" s="302" t="n">
        <f aca="false">IFERROR(#REF!/AT4-1,)</f>
        <v>0</v>
      </c>
      <c r="AZ4" s="302" t="n">
        <f aca="false">IFERROR(#REF!/AS4-1,)</f>
        <v>0</v>
      </c>
      <c r="BA4" s="302" t="n">
        <f aca="false">IFERROR(#REF!/AR4-1,)</f>
        <v>0</v>
      </c>
      <c r="BB4" s="302" t="n">
        <f aca="false">IFERROR(AV4/AU4-1,)</f>
        <v>-0.251733427157073</v>
      </c>
      <c r="BC4" s="302" t="n">
        <f aca="false">IFERROR(AU4/#REF!-1,)</f>
        <v>0</v>
      </c>
      <c r="BE4" s="296" t="n">
        <f aca="false">IFERROR(B4/R4,)</f>
        <v>19.261271998368</v>
      </c>
      <c r="BF4" s="296" t="n">
        <f aca="false">IFERROR(C4/S4,)</f>
        <v>26.4766693418305</v>
      </c>
      <c r="BG4" s="296" t="n">
        <f aca="false">IFERROR(D4/T4,)</f>
        <v>37.5595147702298</v>
      </c>
      <c r="BH4" s="296" t="n">
        <f aca="false">IFERROR(E4/U4,)</f>
        <v>30.9079182462535</v>
      </c>
      <c r="BI4" s="296" t="n">
        <f aca="false">IFERROR(F4/V4,)</f>
        <v>63.4748919958312</v>
      </c>
      <c r="BJ4" s="297" t="n">
        <f aca="false">IFERROR(G4/W4,)</f>
        <v>38.4883778037882</v>
      </c>
      <c r="BK4" s="298" t="n">
        <f aca="false">IFERROR(I4/X4,)</f>
        <v>0</v>
      </c>
      <c r="BM4" s="302" t="n">
        <f aca="false">IFERROR(#REF!/BH4-1,)</f>
        <v>0</v>
      </c>
      <c r="BN4" s="302" t="n">
        <f aca="false">IFERROR(#REF!/BG4-1,)</f>
        <v>0</v>
      </c>
      <c r="BO4" s="302" t="n">
        <f aca="false">IFERROR(#REF!/BF4-1,)</f>
        <v>0</v>
      </c>
      <c r="BP4" s="302" t="n">
        <f aca="false">IFERROR(BJ4/BI4-1,)</f>
        <v>-0.39364405998019</v>
      </c>
      <c r="BQ4" s="302" t="n">
        <f aca="false">IFERROR(BI4/#REF!-1,)</f>
        <v>0</v>
      </c>
      <c r="BS4" s="296" t="n">
        <f aca="false">IFERROR(B4/Z4,)</f>
        <v>21.271766158825</v>
      </c>
      <c r="BT4" s="296" t="n">
        <f aca="false">IFERROR(C4/AA4,)</f>
        <v>30.392408471535</v>
      </c>
      <c r="BU4" s="296" t="n">
        <f aca="false">IFERROR(D4/AB4,)</f>
        <v>41.6367602664871</v>
      </c>
      <c r="BV4" s="296" t="n">
        <f aca="false">IFERROR(E4/AC4,)</f>
        <v>35.4126248567255</v>
      </c>
      <c r="BW4" s="296" t="n">
        <f aca="false">IFERROR(F4/AD4,)</f>
        <v>80.4127186469363</v>
      </c>
      <c r="BX4" s="303" t="n">
        <f aca="false">IFERROR(G4/AE4,)</f>
        <v>41.8351932649871</v>
      </c>
      <c r="BY4" s="304" t="n">
        <f aca="false">IFERROR(H4/AF4,)</f>
        <v>0</v>
      </c>
      <c r="CA4" s="305" t="s">
        <v>1211</v>
      </c>
      <c r="CB4" s="305" t="s">
        <v>1212</v>
      </c>
      <c r="CC4" s="305" t="s">
        <v>1213</v>
      </c>
      <c r="CD4" s="305" t="s">
        <v>1214</v>
      </c>
      <c r="CE4" s="306" t="s">
        <v>1215</v>
      </c>
      <c r="CF4" s="305" t="s">
        <v>1216</v>
      </c>
      <c r="CH4" s="305" t="s">
        <v>1217</v>
      </c>
      <c r="CI4" s="305" t="s">
        <v>1218</v>
      </c>
      <c r="CJ4" s="305" t="s">
        <v>1219</v>
      </c>
      <c r="CK4" s="305" t="s">
        <v>1220</v>
      </c>
      <c r="CL4" s="306" t="s">
        <v>1221</v>
      </c>
      <c r="CM4" s="305" t="s">
        <v>1222</v>
      </c>
    </row>
    <row r="5" s="315" customFormat="true" ht="12.75" hidden="true" customHeight="true" outlineLevel="1" collapsed="false">
      <c r="A5" s="307" t="s">
        <v>1223</v>
      </c>
      <c r="B5" s="308"/>
      <c r="C5" s="308"/>
      <c r="D5" s="308"/>
      <c r="E5" s="308"/>
      <c r="F5" s="308"/>
      <c r="G5" s="309"/>
      <c r="H5" s="308"/>
      <c r="I5" s="256"/>
      <c r="J5" s="308" t="n">
        <v>467</v>
      </c>
      <c r="K5" s="308" t="n">
        <v>595</v>
      </c>
      <c r="L5" s="308" t="n">
        <v>455</v>
      </c>
      <c r="M5" s="308" t="n">
        <v>344</v>
      </c>
      <c r="N5" s="308"/>
      <c r="O5" s="294"/>
      <c r="P5" s="295"/>
      <c r="Q5" s="256"/>
      <c r="R5" s="308" t="n">
        <v>2250</v>
      </c>
      <c r="S5" s="308" t="n">
        <v>1891.31</v>
      </c>
      <c r="T5" s="308" t="n">
        <v>1413.86</v>
      </c>
      <c r="U5" s="308" t="n">
        <v>895.55</v>
      </c>
      <c r="V5" s="308"/>
      <c r="W5" s="294"/>
      <c r="X5" s="295"/>
      <c r="Y5" s="256"/>
      <c r="Z5" s="308" t="n">
        <v>1713.73</v>
      </c>
      <c r="AA5" s="308" t="n">
        <v>1639.731</v>
      </c>
      <c r="AB5" s="308" t="n">
        <v>1239.3861</v>
      </c>
      <c r="AC5" s="308" t="n">
        <v>779.1285</v>
      </c>
      <c r="AD5" s="308"/>
      <c r="AE5" s="294"/>
      <c r="AF5" s="295"/>
      <c r="AG5" s="256"/>
      <c r="AH5" s="310" t="n">
        <f aca="false">+R5/J5</f>
        <v>4.81798715203426</v>
      </c>
      <c r="AI5" s="310" t="n">
        <f aca="false">+S5/K5</f>
        <v>3.17867226890756</v>
      </c>
      <c r="AJ5" s="310" t="n">
        <f aca="false">+T5/L5</f>
        <v>3.10738461538462</v>
      </c>
      <c r="AK5" s="310" t="n">
        <f aca="false">+U5/M5</f>
        <v>2.60334302325581</v>
      </c>
      <c r="AL5" s="310" t="n">
        <f aca="false">IFERROR(V5/N5,)</f>
        <v>0</v>
      </c>
      <c r="AM5" s="311" t="n">
        <f aca="false">IFERROR(W5/O5,)</f>
        <v>0</v>
      </c>
      <c r="AN5" s="312" t="n">
        <f aca="false">IFERROR(X5/P5,)</f>
        <v>0</v>
      </c>
      <c r="AO5" s="299"/>
      <c r="AP5" s="256"/>
      <c r="AQ5" s="310"/>
      <c r="AR5" s="308"/>
      <c r="AS5" s="308"/>
      <c r="AT5" s="308"/>
      <c r="AU5" s="308" t="n">
        <f aca="false">IFERROR(F5/N5,)</f>
        <v>0</v>
      </c>
      <c r="AV5" s="294" t="n">
        <f aca="false">IFERROR(G5/O5,)</f>
        <v>0</v>
      </c>
      <c r="AW5" s="295" t="n">
        <f aca="false">IFERROR(I5/P5,)</f>
        <v>0</v>
      </c>
      <c r="AX5" s="256"/>
      <c r="AY5" s="313" t="n">
        <f aca="false">IFERROR(#REF!/AT5-1,)</f>
        <v>0</v>
      </c>
      <c r="AZ5" s="313" t="n">
        <f aca="false">IFERROR(#REF!/AS5-1,)</f>
        <v>0</v>
      </c>
      <c r="BA5" s="313" t="n">
        <f aca="false">IFERROR(#REF!/AR5-1,)</f>
        <v>0</v>
      </c>
      <c r="BB5" s="313" t="n">
        <f aca="false">IFERROR(AU5/#REF!-1,)</f>
        <v>0</v>
      </c>
      <c r="BC5" s="313" t="n">
        <f aca="false">IFERROR(AV5/AU5-1,)</f>
        <v>0</v>
      </c>
      <c r="BD5" s="256"/>
      <c r="BE5" s="310"/>
      <c r="BF5" s="310"/>
      <c r="BG5" s="310"/>
      <c r="BH5" s="310"/>
      <c r="BI5" s="310" t="n">
        <f aca="false">IFERROR(F5/V5,)</f>
        <v>0</v>
      </c>
      <c r="BJ5" s="311" t="n">
        <f aca="false">IFERROR(G5/W5,)</f>
        <v>0</v>
      </c>
      <c r="BK5" s="312" t="n">
        <f aca="false">IFERROR(I5/X5,)</f>
        <v>0</v>
      </c>
      <c r="BL5" s="256"/>
      <c r="BM5" s="313" t="n">
        <f aca="false">IFERROR(#REF!/BH5-1,)</f>
        <v>0</v>
      </c>
      <c r="BN5" s="313" t="n">
        <f aca="false">IFERROR(#REF!/BG5-1,)</f>
        <v>0</v>
      </c>
      <c r="BO5" s="313" t="n">
        <f aca="false">IFERROR(#REF!/BF5-1,)</f>
        <v>0</v>
      </c>
      <c r="BP5" s="313" t="n">
        <f aca="false">IFERROR(BI5/#REF!-1,)</f>
        <v>0</v>
      </c>
      <c r="BQ5" s="313" t="n">
        <f aca="false">IFERROR(BH5/#REF!-1,)</f>
        <v>0</v>
      </c>
      <c r="BR5" s="256"/>
      <c r="BS5" s="310"/>
      <c r="BT5" s="310"/>
      <c r="BU5" s="310"/>
      <c r="BV5" s="310"/>
      <c r="BW5" s="310" t="n">
        <f aca="false">IFERROR(F5/AD5,)</f>
        <v>0</v>
      </c>
      <c r="BX5" s="314" t="n">
        <f aca="false">IFERROR(G5/AE5,)</f>
        <v>0</v>
      </c>
      <c r="BY5" s="304" t="n">
        <f aca="false">IFERROR(H5/AF5,)</f>
        <v>0</v>
      </c>
      <c r="CA5" s="305"/>
      <c r="CB5" s="305"/>
      <c r="CC5" s="305"/>
      <c r="CD5" s="305"/>
      <c r="CE5" s="306"/>
      <c r="CF5" s="305"/>
      <c r="CG5" s="316"/>
      <c r="CH5" s="305"/>
      <c r="CI5" s="305"/>
      <c r="CJ5" s="305"/>
      <c r="CK5" s="305" t="s">
        <v>1224</v>
      </c>
      <c r="CL5" s="306"/>
      <c r="CM5" s="305" t="s">
        <v>1225</v>
      </c>
    </row>
    <row r="6" s="315" customFormat="true" ht="12.75" hidden="true" customHeight="true" outlineLevel="1" collapsed="false">
      <c r="A6" s="307" t="s">
        <v>1226</v>
      </c>
      <c r="B6" s="308"/>
      <c r="C6" s="308"/>
      <c r="D6" s="308"/>
      <c r="E6" s="308"/>
      <c r="F6" s="308"/>
      <c r="G6" s="309"/>
      <c r="H6" s="308"/>
      <c r="I6" s="256"/>
      <c r="J6" s="308" t="n">
        <v>1475</v>
      </c>
      <c r="K6" s="308" t="n">
        <v>866</v>
      </c>
      <c r="L6" s="308" t="n">
        <v>1199</v>
      </c>
      <c r="M6" s="308" t="n">
        <v>364</v>
      </c>
      <c r="N6" s="308" t="n">
        <v>613</v>
      </c>
      <c r="O6" s="294" t="n">
        <f aca="false">O4-O7</f>
        <v>549</v>
      </c>
      <c r="P6" s="295" t="n">
        <v>183.4</v>
      </c>
      <c r="Q6" s="256"/>
      <c r="R6" s="308" t="n">
        <v>6622.59</v>
      </c>
      <c r="S6" s="308" t="n">
        <v>3663.49</v>
      </c>
      <c r="T6" s="308" t="n">
        <v>2757.98</v>
      </c>
      <c r="U6" s="308" t="n">
        <v>1733.66</v>
      </c>
      <c r="V6" s="308" t="n">
        <v>1640.77</v>
      </c>
      <c r="W6" s="294" t="n">
        <v>899</v>
      </c>
      <c r="X6" s="295" t="n">
        <v>769.25</v>
      </c>
      <c r="Y6" s="256"/>
      <c r="Z6" s="308" t="n">
        <v>6320.268</v>
      </c>
      <c r="AA6" s="308" t="n">
        <v>3199.291</v>
      </c>
      <c r="AB6" s="308" t="n">
        <v>2523.9299</v>
      </c>
      <c r="AC6" s="308" t="n">
        <v>1515.6296</v>
      </c>
      <c r="AD6" s="308" t="n">
        <v>1295.1645</v>
      </c>
      <c r="AE6" s="294" t="n">
        <v>827.08</v>
      </c>
      <c r="AF6" s="295" t="n">
        <v>660.0879</v>
      </c>
      <c r="AG6" s="256"/>
      <c r="AH6" s="310" t="n">
        <f aca="false">+R6/J6</f>
        <v>4.48989152542373</v>
      </c>
      <c r="AI6" s="310" t="n">
        <f aca="false">+S6/K6</f>
        <v>4.23035796766744</v>
      </c>
      <c r="AJ6" s="310" t="n">
        <f aca="false">+T6/L6</f>
        <v>2.30023352793995</v>
      </c>
      <c r="AK6" s="310" t="n">
        <f aca="false">+U6/M6</f>
        <v>4.7628021978022</v>
      </c>
      <c r="AL6" s="310" t="n">
        <f aca="false">IFERROR(V6/N6,)</f>
        <v>2.67662316476346</v>
      </c>
      <c r="AM6" s="311" t="n">
        <f aca="false">IFERROR(W6/#REF!,)</f>
        <v>0</v>
      </c>
      <c r="AN6" s="312" t="n">
        <f aca="false">IFERROR(X6/#REF!,)</f>
        <v>0</v>
      </c>
      <c r="AO6" s="299"/>
      <c r="AP6" s="256"/>
      <c r="AQ6" s="310"/>
      <c r="AR6" s="308"/>
      <c r="AS6" s="308"/>
      <c r="AT6" s="308"/>
      <c r="AU6" s="308" t="n">
        <f aca="false">IFERROR(F6/N6,)</f>
        <v>0</v>
      </c>
      <c r="AV6" s="294" t="n">
        <f aca="false">IFERROR(G6/#REF!,)</f>
        <v>0</v>
      </c>
      <c r="AW6" s="295" t="n">
        <f aca="false">IFERROR(I6/#REF!,)</f>
        <v>0</v>
      </c>
      <c r="AX6" s="256"/>
      <c r="AY6" s="313" t="n">
        <f aca="false">IFERROR(#REF!/AT6-1,)</f>
        <v>0</v>
      </c>
      <c r="AZ6" s="313" t="n">
        <f aca="false">IFERROR(#REF!/AS6-1,)</f>
        <v>0</v>
      </c>
      <c r="BA6" s="313" t="n">
        <f aca="false">IFERROR(#REF!/AR6-1,)</f>
        <v>0</v>
      </c>
      <c r="BB6" s="313" t="n">
        <f aca="false">IFERROR(AU6/#REF!-1,)</f>
        <v>0</v>
      </c>
      <c r="BC6" s="313" t="n">
        <f aca="false">IFERROR(AV6/AU6-1,)</f>
        <v>0</v>
      </c>
      <c r="BD6" s="256"/>
      <c r="BE6" s="310"/>
      <c r="BF6" s="310"/>
      <c r="BG6" s="310"/>
      <c r="BH6" s="310"/>
      <c r="BI6" s="310" t="n">
        <f aca="false">IFERROR(F6/V6,)</f>
        <v>0</v>
      </c>
      <c r="BJ6" s="311" t="n">
        <f aca="false">IFERROR(G6/W6,)</f>
        <v>0</v>
      </c>
      <c r="BK6" s="312" t="n">
        <f aca="false">IFERROR(I6/X6,)</f>
        <v>0</v>
      </c>
      <c r="BL6" s="256"/>
      <c r="BM6" s="313" t="n">
        <f aca="false">IFERROR(#REF!/BH6-1,)</f>
        <v>0</v>
      </c>
      <c r="BN6" s="313" t="n">
        <f aca="false">IFERROR(#REF!/BG6-1,)</f>
        <v>0</v>
      </c>
      <c r="BO6" s="313" t="n">
        <f aca="false">IFERROR(#REF!/BF6-1,)</f>
        <v>0</v>
      </c>
      <c r="BP6" s="313" t="n">
        <f aca="false">IFERROR(BI6/#REF!-1,)</f>
        <v>0</v>
      </c>
      <c r="BQ6" s="313" t="n">
        <f aca="false">IFERROR(BH6/#REF!-1,)</f>
        <v>0</v>
      </c>
      <c r="BR6" s="256"/>
      <c r="BS6" s="310"/>
      <c r="BT6" s="310"/>
      <c r="BU6" s="310"/>
      <c r="BV6" s="310"/>
      <c r="BW6" s="310" t="n">
        <f aca="false">IFERROR(F6/AD6,)</f>
        <v>0</v>
      </c>
      <c r="BX6" s="314" t="n">
        <f aca="false">IFERROR(G6/AE6,)</f>
        <v>0</v>
      </c>
      <c r="BY6" s="304" t="n">
        <f aca="false">IFERROR(H6/AF6,)</f>
        <v>0</v>
      </c>
      <c r="CA6" s="305"/>
      <c r="CB6" s="305"/>
      <c r="CC6" s="305"/>
      <c r="CD6" s="305"/>
      <c r="CE6" s="306" t="s">
        <v>1215</v>
      </c>
      <c r="CF6" s="305" t="s">
        <v>1227</v>
      </c>
      <c r="CG6" s="316"/>
      <c r="CH6" s="305"/>
      <c r="CI6" s="305"/>
      <c r="CJ6" s="305"/>
      <c r="CK6" s="305" t="s">
        <v>1228</v>
      </c>
      <c r="CL6" s="306" t="s">
        <v>1221</v>
      </c>
      <c r="CM6" s="305" t="s">
        <v>1229</v>
      </c>
    </row>
    <row r="7" s="315" customFormat="true" ht="12.75" hidden="true" customHeight="true" outlineLevel="1" collapsed="false">
      <c r="A7" s="307" t="s">
        <v>1230</v>
      </c>
      <c r="B7" s="308"/>
      <c r="C7" s="308"/>
      <c r="D7" s="308"/>
      <c r="E7" s="308"/>
      <c r="F7" s="308"/>
      <c r="G7" s="309"/>
      <c r="H7" s="308"/>
      <c r="I7" s="256"/>
      <c r="J7" s="308"/>
      <c r="K7" s="308"/>
      <c r="L7" s="308"/>
      <c r="M7" s="308"/>
      <c r="N7" s="308"/>
      <c r="O7" s="294" t="n">
        <v>40</v>
      </c>
      <c r="P7" s="295" t="n">
        <v>277.6</v>
      </c>
      <c r="Q7" s="256"/>
      <c r="R7" s="308"/>
      <c r="S7" s="308"/>
      <c r="T7" s="308"/>
      <c r="U7" s="308"/>
      <c r="V7" s="308"/>
      <c r="W7" s="294" t="n">
        <f aca="false">W4-W6</f>
        <v>1046.5</v>
      </c>
      <c r="X7" s="295" t="n">
        <v>595.45</v>
      </c>
      <c r="Y7" s="256"/>
      <c r="Z7" s="308"/>
      <c r="AA7" s="308"/>
      <c r="AB7" s="308"/>
      <c r="AC7" s="308"/>
      <c r="AD7" s="308"/>
      <c r="AE7" s="294" t="n">
        <f aca="false">AE4-AE6</f>
        <v>962.78</v>
      </c>
      <c r="AF7" s="295" t="n">
        <v>481.4236</v>
      </c>
      <c r="AG7" s="256"/>
      <c r="AH7" s="310"/>
      <c r="AI7" s="310"/>
      <c r="AJ7" s="310"/>
      <c r="AK7" s="310"/>
      <c r="AL7" s="310"/>
      <c r="AM7" s="311"/>
      <c r="AN7" s="312"/>
      <c r="AO7" s="299"/>
      <c r="AP7" s="256"/>
      <c r="AQ7" s="310"/>
      <c r="AR7" s="308"/>
      <c r="AS7" s="308"/>
      <c r="AT7" s="308"/>
      <c r="AU7" s="308"/>
      <c r="AV7" s="294"/>
      <c r="AW7" s="295"/>
      <c r="AX7" s="256"/>
      <c r="AY7" s="313"/>
      <c r="AZ7" s="313"/>
      <c r="BA7" s="313"/>
      <c r="BB7" s="313"/>
      <c r="BC7" s="313"/>
      <c r="BD7" s="256"/>
      <c r="BE7" s="310"/>
      <c r="BF7" s="310"/>
      <c r="BG7" s="310"/>
      <c r="BH7" s="310"/>
      <c r="BI7" s="310"/>
      <c r="BJ7" s="311"/>
      <c r="BK7" s="312"/>
      <c r="BL7" s="256"/>
      <c r="BM7" s="313"/>
      <c r="BN7" s="313"/>
      <c r="BO7" s="313"/>
      <c r="BP7" s="313"/>
      <c r="BQ7" s="313"/>
      <c r="BR7" s="256"/>
      <c r="BS7" s="310"/>
      <c r="BT7" s="310"/>
      <c r="BU7" s="310"/>
      <c r="BV7" s="310"/>
      <c r="BW7" s="310"/>
      <c r="BX7" s="314"/>
      <c r="BY7" s="304"/>
      <c r="CA7" s="305"/>
      <c r="CB7" s="305"/>
      <c r="CC7" s="305"/>
      <c r="CD7" s="305"/>
      <c r="CE7" s="306"/>
      <c r="CF7" s="305" t="s">
        <v>1231</v>
      </c>
      <c r="CG7" s="316"/>
      <c r="CH7" s="305"/>
      <c r="CI7" s="305"/>
      <c r="CJ7" s="305"/>
      <c r="CK7" s="305"/>
      <c r="CL7" s="306"/>
      <c r="CM7" s="305"/>
    </row>
    <row r="8" customFormat="false" ht="12.75" hidden="false" customHeight="true" outlineLevel="0" collapsed="false">
      <c r="A8" s="317" t="s">
        <v>1232</v>
      </c>
      <c r="B8" s="293" t="n">
        <v>48412.8412</v>
      </c>
      <c r="C8" s="293" t="n">
        <v>76389.98769</v>
      </c>
      <c r="D8" s="293" t="n">
        <v>52200.64133</v>
      </c>
      <c r="E8" s="293" t="n">
        <v>90839.8687051135</v>
      </c>
      <c r="F8" s="293" t="n">
        <v>81773.01718</v>
      </c>
      <c r="G8" s="309" t="n">
        <v>70151.4304246446</v>
      </c>
      <c r="H8" s="293" t="n">
        <v>0</v>
      </c>
      <c r="J8" s="293" t="n">
        <v>418</v>
      </c>
      <c r="K8" s="293" t="n">
        <v>613.2</v>
      </c>
      <c r="L8" s="293" t="n">
        <v>406.9</v>
      </c>
      <c r="M8" s="293" t="n">
        <v>522</v>
      </c>
      <c r="N8" s="293" t="n">
        <v>595.2</v>
      </c>
      <c r="O8" s="294" t="n">
        <f aca="false">O9+O10</f>
        <v>379.6</v>
      </c>
      <c r="P8" s="295" t="n">
        <f aca="false">P9+P10</f>
        <v>379.6</v>
      </c>
      <c r="R8" s="293" t="n">
        <v>2032</v>
      </c>
      <c r="S8" s="293" t="n">
        <v>3185</v>
      </c>
      <c r="T8" s="293" t="n">
        <v>1574.4</v>
      </c>
      <c r="U8" s="293" t="n">
        <v>2490.73</v>
      </c>
      <c r="V8" s="293" t="n">
        <v>1737.4800000002</v>
      </c>
      <c r="W8" s="294" t="n">
        <f aca="false">W9+W10</f>
        <v>1784.12</v>
      </c>
      <c r="X8" s="295" t="n">
        <f aca="false">X9+X10</f>
        <v>1992.2</v>
      </c>
      <c r="Z8" s="293" t="n">
        <v>1797</v>
      </c>
      <c r="AA8" s="293" t="n">
        <v>2945.22742</v>
      </c>
      <c r="AB8" s="293" t="n">
        <v>1450.7581</v>
      </c>
      <c r="AC8" s="293" t="n">
        <v>2273.0799</v>
      </c>
      <c r="AD8" s="293" t="n">
        <v>1336.6046</v>
      </c>
      <c r="AE8" s="294" t="n">
        <v>1659.2316</v>
      </c>
      <c r="AF8" s="295" t="n">
        <f aca="false">AF10+AF9</f>
        <v>1707.2042</v>
      </c>
      <c r="AH8" s="318" t="n">
        <f aca="false">IFERROR(R8/J8,)</f>
        <v>4.86124401913876</v>
      </c>
      <c r="AI8" s="318" t="n">
        <f aca="false">IFERROR(S8/K8,)</f>
        <v>5.19406392694064</v>
      </c>
      <c r="AJ8" s="318" t="n">
        <f aca="false">IFERROR(T8/L8,)</f>
        <v>3.86925534529368</v>
      </c>
      <c r="AK8" s="318" t="n">
        <f aca="false">IFERROR(U8/M8,)</f>
        <v>4.77151340996169</v>
      </c>
      <c r="AL8" s="318" t="n">
        <f aca="false">IFERROR(V8/N8,)</f>
        <v>2.91915322580679</v>
      </c>
      <c r="AM8" s="311" t="n">
        <f aca="false">IFERROR(W8/O8,)</f>
        <v>4.7</v>
      </c>
      <c r="AN8" s="312" t="n">
        <f aca="false">IFERROR(X8/P8,)</f>
        <v>5.24815595363541</v>
      </c>
      <c r="AO8" s="299"/>
      <c r="AQ8" s="293" t="n">
        <f aca="false">IFERROR(B8/J8,)</f>
        <v>115.820194258373</v>
      </c>
      <c r="AR8" s="293" t="n">
        <f aca="false">IFERROR(C8/K8,)</f>
        <v>124.575974706458</v>
      </c>
      <c r="AS8" s="293" t="n">
        <f aca="false">IFERROR(D8/L8,)</f>
        <v>128.288624551487</v>
      </c>
      <c r="AT8" s="293" t="n">
        <f aca="false">IFERROR(E8/M8,)</f>
        <v>174.022736982976</v>
      </c>
      <c r="AU8" s="293" t="n">
        <f aca="false">IFERROR(F8/N8,)</f>
        <v>137.387461659946</v>
      </c>
      <c r="AV8" s="294" t="n">
        <f aca="false">IFERROR(G8/O8,)</f>
        <v>184.803557493795</v>
      </c>
      <c r="AW8" s="295" t="n">
        <f aca="false">IFERROR(I8/P8,)</f>
        <v>0</v>
      </c>
      <c r="AY8" s="313" t="n">
        <f aca="false">IFERROR(#REF!/AT8-1,)</f>
        <v>0</v>
      </c>
      <c r="AZ8" s="313" t="n">
        <f aca="false">IFERROR(#REF!/AS8-1,)</f>
        <v>0</v>
      </c>
      <c r="BA8" s="313" t="n">
        <f aca="false">IFERROR(#REF!/AR8-1,)</f>
        <v>0</v>
      </c>
      <c r="BB8" s="313" t="n">
        <f aca="false">IFERROR(AV8/AU8-1,)</f>
        <v>0.345126806048798</v>
      </c>
      <c r="BC8" s="313" t="n">
        <f aca="false">IFERROR(AU8/#REF!-1,)</f>
        <v>0</v>
      </c>
      <c r="BE8" s="318" t="n">
        <f aca="false">IFERROR(B8/R8,)</f>
        <v>23.8252171259843</v>
      </c>
      <c r="BF8" s="318" t="n">
        <f aca="false">IFERROR(C8/S8,)</f>
        <v>23.9842975478807</v>
      </c>
      <c r="BG8" s="318" t="n">
        <f aca="false">IFERROR(D8/T8,)</f>
        <v>33.1558951537094</v>
      </c>
      <c r="BH8" s="318" t="n">
        <f aca="false">IFERROR(E8/U8,)</f>
        <v>36.4711826272272</v>
      </c>
      <c r="BI8" s="318" t="n">
        <f aca="false">IFERROR(F8/V8,)</f>
        <v>47.0641487556637</v>
      </c>
      <c r="BJ8" s="311" t="n">
        <f aca="false">IFERROR(G8/W8,)</f>
        <v>39.3199058497436</v>
      </c>
      <c r="BK8" s="312" t="n">
        <f aca="false">IFERROR(I8/X8,)</f>
        <v>0</v>
      </c>
      <c r="BM8" s="313" t="n">
        <f aca="false">IFERROR(#REF!/BH8-1,)</f>
        <v>0</v>
      </c>
      <c r="BN8" s="313" t="n">
        <f aca="false">IFERROR(#REF!/BG8-1,)</f>
        <v>0</v>
      </c>
      <c r="BO8" s="313" t="n">
        <f aca="false">IFERROR(#REF!/BF8-1,)</f>
        <v>0</v>
      </c>
      <c r="BP8" s="313" t="n">
        <f aca="false">IFERROR(BJ8/BI8-1,)</f>
        <v>-0.1645465414901</v>
      </c>
      <c r="BQ8" s="313" t="n">
        <f aca="false">IFERROR(BI8/#REF!-1,)</f>
        <v>0</v>
      </c>
      <c r="BS8" s="318" t="n">
        <f aca="false">IFERROR(B8/Z8,)</f>
        <v>26.9409244296049</v>
      </c>
      <c r="BT8" s="318" t="n">
        <f aca="false">IFERROR(C8/AA8,)</f>
        <v>25.9368723689256</v>
      </c>
      <c r="BU8" s="318" t="n">
        <f aca="false">IFERROR(D8/AB8,)</f>
        <v>35.9816301077347</v>
      </c>
      <c r="BV8" s="318" t="n">
        <f aca="false">IFERROR(E8/AC8,)</f>
        <v>39.9633416780085</v>
      </c>
      <c r="BW8" s="318" t="n">
        <f aca="false">IFERROR(F8/AD8,)</f>
        <v>61.1796616441392</v>
      </c>
      <c r="BX8" s="314" t="n">
        <f aca="false">IFERROR(G8/AE8,)</f>
        <v>42.2794686556383</v>
      </c>
      <c r="BY8" s="304" t="n">
        <f aca="false">IFERROR(H8/AF8,)</f>
        <v>0</v>
      </c>
      <c r="CA8" s="305"/>
      <c r="CB8" s="305"/>
      <c r="CC8" s="305"/>
      <c r="CD8" s="305" t="s">
        <v>1233</v>
      </c>
      <c r="CE8" s="306" t="s">
        <v>1234</v>
      </c>
      <c r="CF8" s="305" t="str">
        <f aca="false">CF9</f>
        <v>13.04 - 22.04</v>
      </c>
      <c r="CH8" s="305" t="s">
        <v>1235</v>
      </c>
      <c r="CI8" s="305" t="s">
        <v>1236</v>
      </c>
      <c r="CJ8" s="305" t="s">
        <v>1237</v>
      </c>
      <c r="CK8" s="305" t="s">
        <v>1238</v>
      </c>
      <c r="CL8" s="306" t="s">
        <v>1239</v>
      </c>
      <c r="CM8" s="305" t="str">
        <f aca="false">CM9</f>
        <v>17.06 - 25.06</v>
      </c>
    </row>
    <row r="9" s="315" customFormat="true" ht="12.75" hidden="true" customHeight="true" outlineLevel="1" collapsed="false">
      <c r="A9" s="307" t="s">
        <v>1240</v>
      </c>
      <c r="B9" s="308"/>
      <c r="C9" s="308"/>
      <c r="D9" s="308"/>
      <c r="E9" s="308"/>
      <c r="F9" s="308"/>
      <c r="G9" s="309"/>
      <c r="H9" s="308"/>
      <c r="I9" s="256"/>
      <c r="J9" s="308" t="n">
        <v>418</v>
      </c>
      <c r="K9" s="308" t="n">
        <v>668</v>
      </c>
      <c r="L9" s="308" t="n">
        <v>407</v>
      </c>
      <c r="M9" s="308" t="n">
        <v>726.6</v>
      </c>
      <c r="N9" s="308" t="n">
        <v>447.3</v>
      </c>
      <c r="O9" s="294"/>
      <c r="P9" s="295"/>
      <c r="Q9" s="256"/>
      <c r="R9" s="308" t="n">
        <v>2032</v>
      </c>
      <c r="S9" s="308" t="n">
        <v>3185</v>
      </c>
      <c r="T9" s="308" t="n">
        <v>1574.4</v>
      </c>
      <c r="U9" s="308" t="n">
        <v>2490.73</v>
      </c>
      <c r="V9" s="308" t="n">
        <v>1305.73723790338</v>
      </c>
      <c r="W9" s="294"/>
      <c r="X9" s="295"/>
      <c r="Y9" s="256"/>
      <c r="Z9" s="308" t="n">
        <v>1797</v>
      </c>
      <c r="AA9" s="308" t="n">
        <v>2945.22742</v>
      </c>
      <c r="AB9" s="308" t="n">
        <v>1450.7581</v>
      </c>
      <c r="AC9" s="308" t="n">
        <v>2273.0799</v>
      </c>
      <c r="AD9" s="308" t="n">
        <v>1004.47452550403</v>
      </c>
      <c r="AE9" s="294"/>
      <c r="AF9" s="295"/>
      <c r="AG9" s="256"/>
      <c r="AH9" s="310"/>
      <c r="AI9" s="310"/>
      <c r="AJ9" s="310"/>
      <c r="AK9" s="310"/>
      <c r="AL9" s="310" t="n">
        <f aca="false">IFERROR(V9/N9,)</f>
        <v>2.91915322580679</v>
      </c>
      <c r="AM9" s="311" t="n">
        <f aca="false">IFERROR(W9/O9,)</f>
        <v>0</v>
      </c>
      <c r="AN9" s="312" t="n">
        <f aca="false">IFERROR(X9/P9,)</f>
        <v>0</v>
      </c>
      <c r="AO9" s="299"/>
      <c r="AP9" s="256"/>
      <c r="AQ9" s="308"/>
      <c r="AR9" s="308"/>
      <c r="AS9" s="308"/>
      <c r="AT9" s="308"/>
      <c r="AU9" s="308" t="n">
        <f aca="false">IFERROR(F9/N9,)</f>
        <v>0</v>
      </c>
      <c r="AV9" s="294" t="n">
        <f aca="false">IFERROR(G9/O9,)</f>
        <v>0</v>
      </c>
      <c r="AW9" s="295" t="n">
        <f aca="false">IFERROR(I9/P9,)</f>
        <v>0</v>
      </c>
      <c r="AX9" s="256"/>
      <c r="AY9" s="313" t="n">
        <f aca="false">IFERROR(#REF!/AT9-1,)</f>
        <v>0</v>
      </c>
      <c r="AZ9" s="313" t="n">
        <f aca="false">IFERROR(#REF!/AS9-1,)</f>
        <v>0</v>
      </c>
      <c r="BA9" s="313" t="n">
        <f aca="false">IFERROR(#REF!/AR9-1,)</f>
        <v>0</v>
      </c>
      <c r="BB9" s="313" t="n">
        <f aca="false">IFERROR(AV9/AU9-1,)</f>
        <v>0</v>
      </c>
      <c r="BC9" s="313" t="n">
        <f aca="false">IFERROR(AU9/#REF!-1,)</f>
        <v>0</v>
      </c>
      <c r="BD9" s="256"/>
      <c r="BE9" s="310"/>
      <c r="BF9" s="310"/>
      <c r="BG9" s="310"/>
      <c r="BH9" s="310"/>
      <c r="BI9" s="310" t="n">
        <f aca="false">IFERROR(F9/V9,)</f>
        <v>0</v>
      </c>
      <c r="BJ9" s="311" t="n">
        <f aca="false">IFERROR(G9/W9,)</f>
        <v>0</v>
      </c>
      <c r="BK9" s="312" t="n">
        <f aca="false">IFERROR(I9/X9,)</f>
        <v>0</v>
      </c>
      <c r="BL9" s="256"/>
      <c r="BM9" s="313" t="n">
        <f aca="false">IFERROR(#REF!/BH9-1,)</f>
        <v>0</v>
      </c>
      <c r="BN9" s="313" t="n">
        <f aca="false">IFERROR(#REF!/BG9-1,)</f>
        <v>0</v>
      </c>
      <c r="BO9" s="313" t="n">
        <f aca="false">IFERROR(#REF!/BF9-1,)</f>
        <v>0</v>
      </c>
      <c r="BP9" s="313" t="n">
        <f aca="false">IFERROR(BJ9/BI9-1,)</f>
        <v>0</v>
      </c>
      <c r="BQ9" s="313" t="n">
        <f aca="false">IFERROR(BI9/#REF!-1,)</f>
        <v>0</v>
      </c>
      <c r="BR9" s="256"/>
      <c r="BS9" s="310"/>
      <c r="BT9" s="310"/>
      <c r="BU9" s="310"/>
      <c r="BV9" s="310"/>
      <c r="BW9" s="310" t="n">
        <f aca="false">IFERROR(F9/AD9,)</f>
        <v>0</v>
      </c>
      <c r="BX9" s="314" t="n">
        <f aca="false">IFERROR(G9/AE9,)</f>
        <v>0</v>
      </c>
      <c r="BY9" s="304" t="n">
        <f aca="false">IFERROR(H9/AF9,)</f>
        <v>0</v>
      </c>
      <c r="CA9" s="305"/>
      <c r="CB9" s="305"/>
      <c r="CC9" s="305"/>
      <c r="CD9" s="305"/>
      <c r="CE9" s="306" t="s">
        <v>1241</v>
      </c>
      <c r="CF9" s="305" t="s">
        <v>1242</v>
      </c>
      <c r="CG9" s="316"/>
      <c r="CH9" s="305" t="s">
        <v>1235</v>
      </c>
      <c r="CI9" s="305" t="s">
        <v>1236</v>
      </c>
      <c r="CJ9" s="305" t="s">
        <v>1237</v>
      </c>
      <c r="CK9" s="305" t="s">
        <v>1238</v>
      </c>
      <c r="CL9" s="306" t="s">
        <v>1243</v>
      </c>
      <c r="CM9" s="305" t="s">
        <v>1244</v>
      </c>
    </row>
    <row r="10" s="315" customFormat="true" ht="12.75" hidden="true" customHeight="true" outlineLevel="1" collapsed="false">
      <c r="A10" s="307" t="s">
        <v>1245</v>
      </c>
      <c r="B10" s="308"/>
      <c r="C10" s="308"/>
      <c r="D10" s="308"/>
      <c r="E10" s="308"/>
      <c r="F10" s="308"/>
      <c r="G10" s="309"/>
      <c r="H10" s="308"/>
      <c r="I10" s="256"/>
      <c r="J10" s="308"/>
      <c r="K10" s="308"/>
      <c r="L10" s="308"/>
      <c r="M10" s="308"/>
      <c r="N10" s="308" t="n">
        <v>201.5</v>
      </c>
      <c r="O10" s="294" t="n">
        <v>379.6</v>
      </c>
      <c r="P10" s="295" t="n">
        <v>379.6</v>
      </c>
      <c r="Q10" s="256"/>
      <c r="R10" s="308"/>
      <c r="S10" s="308"/>
      <c r="T10" s="308"/>
      <c r="U10" s="308"/>
      <c r="V10" s="308" t="n">
        <v>431.742762096824</v>
      </c>
      <c r="W10" s="294" t="n">
        <v>1784.12</v>
      </c>
      <c r="X10" s="295" t="n">
        <v>1992.2</v>
      </c>
      <c r="Y10" s="256"/>
      <c r="Z10" s="308"/>
      <c r="AA10" s="308"/>
      <c r="AB10" s="308"/>
      <c r="AC10" s="308"/>
      <c r="AD10" s="308" t="n">
        <v>332.130074495968</v>
      </c>
      <c r="AE10" s="294" t="n">
        <v>1659.2316</v>
      </c>
      <c r="AF10" s="295" t="n">
        <v>1707.2042</v>
      </c>
      <c r="AG10" s="256"/>
      <c r="AH10" s="310"/>
      <c r="AI10" s="310"/>
      <c r="AJ10" s="310"/>
      <c r="AK10" s="310"/>
      <c r="AL10" s="310" t="n">
        <f aca="false">IFERROR(V10/N10,)</f>
        <v>2.1426439806294</v>
      </c>
      <c r="AM10" s="311" t="n">
        <f aca="false">IFERROR(W10/O10,)</f>
        <v>4.7</v>
      </c>
      <c r="AN10" s="312" t="n">
        <f aca="false">IFERROR(X10/P10,)</f>
        <v>5.24815595363541</v>
      </c>
      <c r="AO10" s="299"/>
      <c r="AP10" s="256"/>
      <c r="AQ10" s="308"/>
      <c r="AR10" s="308"/>
      <c r="AS10" s="308"/>
      <c r="AT10" s="308"/>
      <c r="AU10" s="308" t="n">
        <f aca="false">IFERROR(F10/N10,)</f>
        <v>0</v>
      </c>
      <c r="AV10" s="294" t="n">
        <f aca="false">IFERROR(G10/O10,)</f>
        <v>0</v>
      </c>
      <c r="AW10" s="295" t="n">
        <f aca="false">IFERROR(I10/P10,)</f>
        <v>0</v>
      </c>
      <c r="AX10" s="256"/>
      <c r="AY10" s="313" t="n">
        <f aca="false">IFERROR(#REF!/AT10-1,)</f>
        <v>0</v>
      </c>
      <c r="AZ10" s="313" t="n">
        <f aca="false">IFERROR(#REF!/AS10-1,)</f>
        <v>0</v>
      </c>
      <c r="BA10" s="313" t="n">
        <f aca="false">IFERROR(#REF!/AR10-1,)</f>
        <v>0</v>
      </c>
      <c r="BB10" s="313" t="n">
        <f aca="false">IFERROR(AV10/AU10-1,)</f>
        <v>0</v>
      </c>
      <c r="BC10" s="313" t="n">
        <f aca="false">IFERROR(AU10/#REF!-1,)</f>
        <v>0</v>
      </c>
      <c r="BD10" s="256"/>
      <c r="BE10" s="310"/>
      <c r="BF10" s="310"/>
      <c r="BG10" s="310"/>
      <c r="BH10" s="310"/>
      <c r="BI10" s="310" t="n">
        <f aca="false">IFERROR(F10/V10,)</f>
        <v>0</v>
      </c>
      <c r="BJ10" s="311" t="n">
        <f aca="false">IFERROR(G10/W10,)</f>
        <v>0</v>
      </c>
      <c r="BK10" s="312" t="n">
        <f aca="false">IFERROR(I10/X10,)</f>
        <v>0</v>
      </c>
      <c r="BL10" s="256"/>
      <c r="BM10" s="313" t="n">
        <f aca="false">IFERROR(#REF!/BH10-1,)</f>
        <v>0</v>
      </c>
      <c r="BN10" s="313" t="n">
        <f aca="false">IFERROR(#REF!/BG10-1,)</f>
        <v>0</v>
      </c>
      <c r="BO10" s="313" t="n">
        <f aca="false">IFERROR(#REF!/BF10-1,)</f>
        <v>0</v>
      </c>
      <c r="BP10" s="313" t="n">
        <f aca="false">IFERROR(BJ10/BI10-1,)</f>
        <v>0</v>
      </c>
      <c r="BQ10" s="313" t="n">
        <f aca="false">IFERROR(BI10/#REF!-1,)</f>
        <v>0</v>
      </c>
      <c r="BR10" s="256"/>
      <c r="BS10" s="310"/>
      <c r="BT10" s="310"/>
      <c r="BU10" s="310"/>
      <c r="BV10" s="310"/>
      <c r="BW10" s="310" t="n">
        <f aca="false">IFERROR(F10/AD10,)</f>
        <v>0</v>
      </c>
      <c r="BX10" s="314" t="n">
        <f aca="false">IFERROR(G10/AE10,)</f>
        <v>0</v>
      </c>
      <c r="BY10" s="304" t="n">
        <f aca="false">IFERROR(H10/AF10,)</f>
        <v>0</v>
      </c>
      <c r="CA10" s="305"/>
      <c r="CB10" s="305"/>
      <c r="CC10" s="305"/>
      <c r="CD10" s="305"/>
      <c r="CE10" s="306" t="s">
        <v>1246</v>
      </c>
      <c r="CF10" s="305"/>
      <c r="CG10" s="316"/>
      <c r="CH10" s="305"/>
      <c r="CI10" s="305"/>
      <c r="CJ10" s="305"/>
      <c r="CK10" s="305"/>
      <c r="CL10" s="306" t="s">
        <v>1247</v>
      </c>
      <c r="CM10" s="305"/>
    </row>
    <row r="11" customFormat="false" ht="12.75" hidden="false" customHeight="true" outlineLevel="0" collapsed="false">
      <c r="A11" s="317" t="s">
        <v>1248</v>
      </c>
      <c r="B11" s="293" t="n">
        <v>0</v>
      </c>
      <c r="C11" s="293" t="n">
        <v>0</v>
      </c>
      <c r="D11" s="293" t="n">
        <v>0</v>
      </c>
      <c r="E11" s="293" t="n">
        <v>1998.57205228665</v>
      </c>
      <c r="F11" s="293" t="n">
        <v>0</v>
      </c>
      <c r="G11" s="309" t="n">
        <v>0</v>
      </c>
      <c r="H11" s="293" t="n">
        <v>0</v>
      </c>
      <c r="J11" s="293" t="n">
        <v>0</v>
      </c>
      <c r="K11" s="293" t="n">
        <v>0</v>
      </c>
      <c r="L11" s="293" t="n">
        <v>0</v>
      </c>
      <c r="M11" s="293" t="n">
        <v>17</v>
      </c>
      <c r="N11" s="293" t="n">
        <v>0</v>
      </c>
      <c r="O11" s="294" t="n">
        <v>0</v>
      </c>
      <c r="P11" s="295" t="n">
        <v>0</v>
      </c>
      <c r="R11" s="293" t="n">
        <v>0</v>
      </c>
      <c r="S11" s="293" t="n">
        <v>0</v>
      </c>
      <c r="T11" s="293" t="n">
        <v>0</v>
      </c>
      <c r="U11" s="293" t="n">
        <v>51.14</v>
      </c>
      <c r="V11" s="293" t="n">
        <v>0</v>
      </c>
      <c r="W11" s="294" t="n">
        <v>0</v>
      </c>
      <c r="X11" s="295" t="n">
        <v>0</v>
      </c>
      <c r="Z11" s="293" t="n">
        <v>0</v>
      </c>
      <c r="AA11" s="293" t="n">
        <v>0</v>
      </c>
      <c r="AB11" s="293" t="n">
        <v>0</v>
      </c>
      <c r="AC11" s="293" t="n">
        <v>51.14</v>
      </c>
      <c r="AD11" s="293" t="n">
        <v>0</v>
      </c>
      <c r="AE11" s="294" t="n">
        <v>0</v>
      </c>
      <c r="AF11" s="295" t="n">
        <v>0</v>
      </c>
      <c r="AH11" s="318" t="n">
        <f aca="false">IFERROR(R11/J11,)</f>
        <v>0</v>
      </c>
      <c r="AI11" s="318" t="n">
        <f aca="false">IFERROR(S11/K11,)</f>
        <v>0</v>
      </c>
      <c r="AJ11" s="318" t="n">
        <f aca="false">IFERROR(T11/L11,)</f>
        <v>0</v>
      </c>
      <c r="AK11" s="318" t="n">
        <f aca="false">IFERROR(U11/M11,)</f>
        <v>3.00823529411765</v>
      </c>
      <c r="AL11" s="318" t="n">
        <f aca="false">IFERROR(V11/N11,)</f>
        <v>0</v>
      </c>
      <c r="AM11" s="311" t="n">
        <f aca="false">IFERROR(W11/O11,)</f>
        <v>0</v>
      </c>
      <c r="AN11" s="312" t="n">
        <f aca="false">IFERROR(X11/P11,)</f>
        <v>0</v>
      </c>
      <c r="AO11" s="299"/>
      <c r="AQ11" s="293" t="n">
        <f aca="false">IFERROR(B11/J11,)</f>
        <v>0</v>
      </c>
      <c r="AR11" s="293" t="n">
        <f aca="false">IFERROR(C11/K11,)</f>
        <v>0</v>
      </c>
      <c r="AS11" s="293" t="n">
        <f aca="false">IFERROR(D11/L11,)</f>
        <v>0</v>
      </c>
      <c r="AT11" s="293" t="n">
        <f aca="false">IFERROR(E11/M11,)</f>
        <v>117.563061899214</v>
      </c>
      <c r="AU11" s="293" t="n">
        <f aca="false">IFERROR(F11/N11,)</f>
        <v>0</v>
      </c>
      <c r="AV11" s="294" t="n">
        <f aca="false">IFERROR(G11/O11,)</f>
        <v>0</v>
      </c>
      <c r="AW11" s="295" t="n">
        <f aca="false">IFERROR(I11/P11,)</f>
        <v>0</v>
      </c>
      <c r="AY11" s="313" t="n">
        <f aca="false">IFERROR(#REF!/AT11-1,)</f>
        <v>0</v>
      </c>
      <c r="AZ11" s="313" t="n">
        <f aca="false">IFERROR(#REF!/AS11-1,)</f>
        <v>0</v>
      </c>
      <c r="BA11" s="313" t="n">
        <f aca="false">IFERROR(#REF!/AR11-1,)</f>
        <v>0</v>
      </c>
      <c r="BB11" s="313" t="n">
        <f aca="false">IFERROR(AV11/AU11-1,)</f>
        <v>0</v>
      </c>
      <c r="BC11" s="313" t="n">
        <f aca="false">IFERROR(AU11/#REF!-1,)</f>
        <v>0</v>
      </c>
      <c r="BE11" s="318" t="n">
        <f aca="false">IFERROR(B11/R11,)</f>
        <v>0</v>
      </c>
      <c r="BF11" s="318" t="n">
        <f aca="false">IFERROR(C11/S11,)</f>
        <v>0</v>
      </c>
      <c r="BG11" s="318" t="n">
        <f aca="false">IFERROR(D11/T11,)</f>
        <v>0</v>
      </c>
      <c r="BH11" s="318" t="n">
        <f aca="false">IFERROR(E11/U11,)</f>
        <v>39.0804077490545</v>
      </c>
      <c r="BI11" s="318" t="n">
        <f aca="false">IFERROR(F11/V11,)</f>
        <v>0</v>
      </c>
      <c r="BJ11" s="311" t="n">
        <f aca="false">IFERROR(G11/W11,)</f>
        <v>0</v>
      </c>
      <c r="BK11" s="312" t="n">
        <f aca="false">IFERROR(I11/X11,)</f>
        <v>0</v>
      </c>
      <c r="BM11" s="313" t="n">
        <f aca="false">IFERROR(#REF!/BH11-1,)</f>
        <v>0</v>
      </c>
      <c r="BN11" s="313" t="n">
        <f aca="false">IFERROR(#REF!/BG11-1,)</f>
        <v>0</v>
      </c>
      <c r="BO11" s="313" t="n">
        <f aca="false">IFERROR(#REF!/BF11-1,)</f>
        <v>0</v>
      </c>
      <c r="BP11" s="313" t="n">
        <f aca="false">IFERROR(BJ11/BI11-1,)</f>
        <v>0</v>
      </c>
      <c r="BQ11" s="313" t="n">
        <f aca="false">IFERROR(BI11/#REF!-1,)</f>
        <v>0</v>
      </c>
      <c r="BS11" s="318" t="n">
        <f aca="false">IFERROR(B11/Z11,)</f>
        <v>0</v>
      </c>
      <c r="BT11" s="318" t="n">
        <f aca="false">IFERROR(C11/AA11,)</f>
        <v>0</v>
      </c>
      <c r="BU11" s="318" t="n">
        <f aca="false">IFERROR(D11/AB11,)</f>
        <v>0</v>
      </c>
      <c r="BV11" s="318" t="n">
        <f aca="false">IFERROR(E11/AC11,)</f>
        <v>39.0804077490545</v>
      </c>
      <c r="BW11" s="318" t="n">
        <f aca="false">IFERROR(F11/AD11,)</f>
        <v>0</v>
      </c>
      <c r="BX11" s="314" t="n">
        <f aca="false">IFERROR(G11/AE11,)</f>
        <v>0</v>
      </c>
      <c r="BY11" s="304" t="n">
        <f aca="false">IFERROR(H11/AF11,)</f>
        <v>0</v>
      </c>
      <c r="CA11" s="305"/>
      <c r="CB11" s="305"/>
      <c r="CC11" s="305"/>
      <c r="CD11" s="305"/>
      <c r="CE11" s="306" t="s">
        <v>1249</v>
      </c>
      <c r="CF11" s="305"/>
      <c r="CH11" s="305"/>
      <c r="CI11" s="305"/>
      <c r="CJ11" s="305"/>
      <c r="CK11" s="305" t="s">
        <v>1250</v>
      </c>
      <c r="CL11" s="306" t="s">
        <v>1249</v>
      </c>
      <c r="CM11" s="305"/>
    </row>
    <row r="12" customFormat="false" ht="12.75" hidden="false" customHeight="true" outlineLevel="0" collapsed="false">
      <c r="A12" s="317" t="s">
        <v>1251</v>
      </c>
      <c r="B12" s="293" t="n">
        <v>0</v>
      </c>
      <c r="C12" s="293" t="n">
        <v>0</v>
      </c>
      <c r="D12" s="293" t="n">
        <v>0</v>
      </c>
      <c r="E12" s="293" t="n">
        <v>0</v>
      </c>
      <c r="F12" s="293" t="n">
        <v>16715.02633</v>
      </c>
      <c r="G12" s="309" t="n">
        <v>0</v>
      </c>
      <c r="H12" s="293" t="n">
        <v>0</v>
      </c>
      <c r="J12" s="293" t="n">
        <v>0</v>
      </c>
      <c r="K12" s="293" t="n">
        <v>0</v>
      </c>
      <c r="L12" s="293" t="n">
        <v>0</v>
      </c>
      <c r="M12" s="293" t="n">
        <v>0</v>
      </c>
      <c r="N12" s="293" t="n">
        <v>90</v>
      </c>
      <c r="O12" s="294" t="n">
        <v>0</v>
      </c>
      <c r="P12" s="295" t="n">
        <v>0</v>
      </c>
      <c r="R12" s="293" t="n">
        <v>0</v>
      </c>
      <c r="S12" s="293" t="n">
        <v>0</v>
      </c>
      <c r="T12" s="293" t="n">
        <v>0</v>
      </c>
      <c r="U12" s="293" t="n">
        <v>0</v>
      </c>
      <c r="V12" s="293" t="n">
        <v>495.0400000001</v>
      </c>
      <c r="W12" s="294" t="n">
        <v>0</v>
      </c>
      <c r="X12" s="295" t="n">
        <v>0</v>
      </c>
      <c r="Z12" s="293" t="n">
        <v>0</v>
      </c>
      <c r="AA12" s="293" t="n">
        <v>0</v>
      </c>
      <c r="AB12" s="293" t="n">
        <v>0</v>
      </c>
      <c r="AC12" s="293" t="n">
        <v>0</v>
      </c>
      <c r="AD12" s="293" t="n">
        <v>381.4491</v>
      </c>
      <c r="AE12" s="294" t="n">
        <v>0</v>
      </c>
      <c r="AF12" s="295" t="n">
        <v>0</v>
      </c>
      <c r="AH12" s="318" t="n">
        <f aca="false">IFERROR(R12/J12,)</f>
        <v>0</v>
      </c>
      <c r="AI12" s="318" t="n">
        <f aca="false">IFERROR(S12/K12,)</f>
        <v>0</v>
      </c>
      <c r="AJ12" s="318" t="n">
        <f aca="false">IFERROR(T12/L12,)</f>
        <v>0</v>
      </c>
      <c r="AK12" s="318" t="n">
        <f aca="false">IFERROR(U12/M12,)</f>
        <v>0</v>
      </c>
      <c r="AL12" s="318" t="n">
        <f aca="false">IFERROR(V12/N12,)</f>
        <v>5.50044444444555</v>
      </c>
      <c r="AM12" s="311" t="n">
        <f aca="false">IFERROR(W12/O12,)</f>
        <v>0</v>
      </c>
      <c r="AN12" s="312" t="n">
        <f aca="false">IFERROR(X12/P12,)</f>
        <v>0</v>
      </c>
      <c r="AO12" s="299"/>
      <c r="AQ12" s="293" t="n">
        <f aca="false">IFERROR(B12/J12,)</f>
        <v>0</v>
      </c>
      <c r="AR12" s="293" t="n">
        <f aca="false">IFERROR(C12/K12,)</f>
        <v>0</v>
      </c>
      <c r="AS12" s="293" t="n">
        <f aca="false">IFERROR(D12/L12,)</f>
        <v>0</v>
      </c>
      <c r="AT12" s="293" t="n">
        <f aca="false">IFERROR(E12/M12,)</f>
        <v>0</v>
      </c>
      <c r="AU12" s="293" t="n">
        <f aca="false">IFERROR(F12/N12,)</f>
        <v>185.722514777778</v>
      </c>
      <c r="AV12" s="294" t="n">
        <f aca="false">IFERROR(G12/O12,)</f>
        <v>0</v>
      </c>
      <c r="AW12" s="295" t="n">
        <f aca="false">IFERROR(I12/P12,)</f>
        <v>0</v>
      </c>
      <c r="AY12" s="313" t="n">
        <f aca="false">IFERROR(#REF!/AT12-1,)</f>
        <v>0</v>
      </c>
      <c r="AZ12" s="313" t="n">
        <f aca="false">IFERROR(#REF!/AS12-1,)</f>
        <v>0</v>
      </c>
      <c r="BA12" s="313" t="n">
        <f aca="false">IFERROR(#REF!/AR12-1,)</f>
        <v>0</v>
      </c>
      <c r="BB12" s="313" t="n">
        <f aca="false">IFERROR(AV12/AU12-1,)</f>
        <v>-1</v>
      </c>
      <c r="BC12" s="313" t="n">
        <f aca="false">IFERROR(AU12/#REF!-1,)</f>
        <v>0</v>
      </c>
      <c r="BE12" s="318" t="n">
        <f aca="false">IFERROR(B12/R12,)</f>
        <v>0</v>
      </c>
      <c r="BF12" s="318" t="n">
        <f aca="false">IFERROR(C12/S12,)</f>
        <v>0</v>
      </c>
      <c r="BG12" s="318" t="n">
        <f aca="false">IFERROR(D12/T12,)</f>
        <v>0</v>
      </c>
      <c r="BH12" s="318" t="n">
        <f aca="false">IFERROR(E12/U12,)</f>
        <v>0</v>
      </c>
      <c r="BI12" s="318" t="n">
        <f aca="false">IFERROR(F12/V12,)</f>
        <v>33.7650014746215</v>
      </c>
      <c r="BJ12" s="311" t="n">
        <f aca="false">IFERROR(G12/W12,)</f>
        <v>0</v>
      </c>
      <c r="BK12" s="312" t="n">
        <f aca="false">IFERROR(I12/X12,)</f>
        <v>0</v>
      </c>
      <c r="BM12" s="313" t="n">
        <f aca="false">IFERROR(#REF!/BH12-1,)</f>
        <v>0</v>
      </c>
      <c r="BN12" s="313" t="n">
        <f aca="false">IFERROR(#REF!/BG12-1,)</f>
        <v>0</v>
      </c>
      <c r="BO12" s="313" t="n">
        <f aca="false">IFERROR(#REF!/BF12-1,)</f>
        <v>0</v>
      </c>
      <c r="BP12" s="313" t="n">
        <f aca="false">IFERROR(BJ12/BI12-1,)</f>
        <v>-1</v>
      </c>
      <c r="BQ12" s="313" t="n">
        <f aca="false">IFERROR(BI12/#REF!-1,)</f>
        <v>0</v>
      </c>
      <c r="BS12" s="318" t="n">
        <f aca="false">IFERROR(B12/Z12,)</f>
        <v>0</v>
      </c>
      <c r="BT12" s="318" t="n">
        <f aca="false">IFERROR(C12/AA12,)</f>
        <v>0</v>
      </c>
      <c r="BU12" s="318" t="n">
        <f aca="false">IFERROR(D12/AB12,)</f>
        <v>0</v>
      </c>
      <c r="BV12" s="318" t="n">
        <f aca="false">IFERROR(E12/AC12,)</f>
        <v>0</v>
      </c>
      <c r="BW12" s="318" t="n">
        <f aca="false">IFERROR(F12/AD12,)</f>
        <v>43.8198080163251</v>
      </c>
      <c r="BX12" s="314" t="n">
        <f aca="false">IFERROR(G12/AE12,)</f>
        <v>0</v>
      </c>
      <c r="BY12" s="304" t="n">
        <f aca="false">IFERROR(H12/AF12,)</f>
        <v>0</v>
      </c>
      <c r="CA12" s="305"/>
      <c r="CB12" s="305"/>
      <c r="CC12" s="305"/>
      <c r="CD12" s="305"/>
      <c r="CE12" s="306" t="s">
        <v>1252</v>
      </c>
      <c r="CF12" s="305"/>
      <c r="CH12" s="305"/>
      <c r="CI12" s="305"/>
      <c r="CJ12" s="305"/>
      <c r="CK12" s="305"/>
      <c r="CL12" s="306" t="s">
        <v>1253</v>
      </c>
      <c r="CM12" s="305"/>
    </row>
    <row r="13" customFormat="false" ht="12.75" hidden="false" customHeight="true" outlineLevel="0" collapsed="false">
      <c r="A13" s="317" t="s">
        <v>1254</v>
      </c>
      <c r="B13" s="293" t="n">
        <v>22384.109</v>
      </c>
      <c r="C13" s="293" t="n">
        <v>35121.08212</v>
      </c>
      <c r="D13" s="293" t="n">
        <v>25966.46178</v>
      </c>
      <c r="E13" s="293" t="n">
        <v>41730.6996665831</v>
      </c>
      <c r="F13" s="293" t="n">
        <v>31160.66608</v>
      </c>
      <c r="G13" s="309" t="n">
        <v>42614.5034102697</v>
      </c>
      <c r="H13" s="293" t="n">
        <v>0</v>
      </c>
      <c r="J13" s="293" t="n">
        <v>232</v>
      </c>
      <c r="K13" s="293" t="n">
        <v>317.7</v>
      </c>
      <c r="L13" s="293" t="n">
        <v>304.9</v>
      </c>
      <c r="M13" s="293" t="n">
        <v>200</v>
      </c>
      <c r="N13" s="293" t="n">
        <v>295.3</v>
      </c>
      <c r="O13" s="294" t="n">
        <v>257.2</v>
      </c>
      <c r="P13" s="295" t="n">
        <f aca="false">257.2-20</f>
        <v>237.2</v>
      </c>
      <c r="R13" s="293" t="n">
        <v>1200.38</v>
      </c>
      <c r="S13" s="293" t="n">
        <v>1422</v>
      </c>
      <c r="T13" s="293" t="n">
        <v>758.92</v>
      </c>
      <c r="U13" s="293" t="n">
        <v>1471.95</v>
      </c>
      <c r="V13" s="293" t="n">
        <v>498.63</v>
      </c>
      <c r="W13" s="294" t="n">
        <v>1157.4</v>
      </c>
      <c r="X13" s="295" t="n">
        <v>1320.13</v>
      </c>
      <c r="Z13" s="293" t="n">
        <v>1103</v>
      </c>
      <c r="AA13" s="293" t="n">
        <v>1118.4025</v>
      </c>
      <c r="AB13" s="293" t="n">
        <v>705.028</v>
      </c>
      <c r="AC13" s="293" t="n">
        <v>1285.552</v>
      </c>
      <c r="AD13" s="293" t="n">
        <v>306.7903</v>
      </c>
      <c r="AE13" s="294" t="n">
        <v>1076.382</v>
      </c>
      <c r="AF13" s="295" t="n">
        <v>1078.9859</v>
      </c>
      <c r="AH13" s="318" t="n">
        <f aca="false">IFERROR(R13/J13,)</f>
        <v>5.17405172413793</v>
      </c>
      <c r="AI13" s="318" t="n">
        <f aca="false">IFERROR(S13/K13,)</f>
        <v>4.47592067988669</v>
      </c>
      <c r="AJ13" s="318" t="n">
        <f aca="false">IFERROR(T13/L13,)</f>
        <v>2.48907838635618</v>
      </c>
      <c r="AK13" s="318" t="n">
        <f aca="false">IFERROR(U13/M13,)</f>
        <v>7.35975</v>
      </c>
      <c r="AL13" s="318" t="n">
        <f aca="false">IFERROR(V13/N13,)</f>
        <v>1.68855401286827</v>
      </c>
      <c r="AM13" s="311" t="n">
        <f aca="false">IFERROR(W13/O13,)</f>
        <v>4.5</v>
      </c>
      <c r="AN13" s="312" t="n">
        <f aca="false">IFERROR(X13/P13,)</f>
        <v>5.56547217537943</v>
      </c>
      <c r="AO13" s="299"/>
      <c r="AQ13" s="293" t="n">
        <f aca="false">IFERROR(B13/J13,)</f>
        <v>96.4832284482759</v>
      </c>
      <c r="AR13" s="293" t="n">
        <f aca="false">IFERROR(C13/K13,)</f>
        <v>110.54794497954</v>
      </c>
      <c r="AS13" s="293" t="n">
        <f aca="false">IFERROR(D13/L13,)</f>
        <v>85.1638628402755</v>
      </c>
      <c r="AT13" s="293" t="n">
        <f aca="false">IFERROR(E13/M13,)</f>
        <v>208.653498332915</v>
      </c>
      <c r="AU13" s="293" t="n">
        <f aca="false">IFERROR(F13/N13,)</f>
        <v>105.522065966813</v>
      </c>
      <c r="AV13" s="294" t="n">
        <f aca="false">IFERROR(G13/O13,)</f>
        <v>165.686249651126</v>
      </c>
      <c r="AW13" s="295" t="n">
        <f aca="false">IFERROR(I13/P13,)</f>
        <v>0</v>
      </c>
      <c r="AY13" s="313" t="n">
        <f aca="false">IFERROR(#REF!/AT13-1,)</f>
        <v>0</v>
      </c>
      <c r="AZ13" s="313" t="n">
        <f aca="false">IFERROR(#REF!/AS13-1,)</f>
        <v>0</v>
      </c>
      <c r="BA13" s="313" t="n">
        <f aca="false">IFERROR(#REF!/AR13-1,)</f>
        <v>0</v>
      </c>
      <c r="BB13" s="313" t="n">
        <f aca="false">IFERROR(AV13/AU13-1,)</f>
        <v>0.570157370717463</v>
      </c>
      <c r="BC13" s="313" t="n">
        <f aca="false">IFERROR(AU13/#REF!-1,)</f>
        <v>0</v>
      </c>
      <c r="BE13" s="318" t="n">
        <f aca="false">IFERROR(B13/R13,)</f>
        <v>18.6475191189457</v>
      </c>
      <c r="BF13" s="318" t="n">
        <f aca="false">IFERROR(C13/S13,)</f>
        <v>24.6983699859353</v>
      </c>
      <c r="BG13" s="318" t="n">
        <f aca="false">IFERROR(D13/T13,)</f>
        <v>34.2150184209139</v>
      </c>
      <c r="BH13" s="318" t="n">
        <f aca="false">IFERROR(E13/U13,)</f>
        <v>28.3506230962893</v>
      </c>
      <c r="BI13" s="318" t="n">
        <f aca="false">IFERROR(F13/V13,)</f>
        <v>62.4925617792752</v>
      </c>
      <c r="BJ13" s="311" t="n">
        <f aca="false">IFERROR(G13/W13,)</f>
        <v>36.8191665891392</v>
      </c>
      <c r="BK13" s="312" t="n">
        <f aca="false">IFERROR(I13/X13,)</f>
        <v>0</v>
      </c>
      <c r="BM13" s="313" t="n">
        <f aca="false">IFERROR(#REF!/BH13-1,)</f>
        <v>0</v>
      </c>
      <c r="BN13" s="313" t="n">
        <f aca="false">IFERROR(#REF!/BG13-1,)</f>
        <v>0</v>
      </c>
      <c r="BO13" s="313" t="n">
        <f aca="false">IFERROR(#REF!/BF13-1,)</f>
        <v>0</v>
      </c>
      <c r="BP13" s="313" t="n">
        <f aca="false">IFERROR(BJ13/BI13-1,)</f>
        <v>-0.410823215742297</v>
      </c>
      <c r="BQ13" s="313" t="n">
        <f aca="false">IFERROR(BI13/#REF!-1,)</f>
        <v>0</v>
      </c>
      <c r="BS13" s="318" t="n">
        <f aca="false">IFERROR(B13/Z13,)</f>
        <v>20.2938431550317</v>
      </c>
      <c r="BT13" s="318" t="n">
        <f aca="false">IFERROR(C13/AA13,)</f>
        <v>31.402900225992</v>
      </c>
      <c r="BU13" s="318" t="n">
        <f aca="false">IFERROR(D13/AB13,)</f>
        <v>36.8303979132744</v>
      </c>
      <c r="BV13" s="318" t="n">
        <f aca="false">IFERROR(E13/AC13,)</f>
        <v>32.4613081902428</v>
      </c>
      <c r="BW13" s="318" t="n">
        <f aca="false">IFERROR(F13/AD13,)</f>
        <v>101.569919518316</v>
      </c>
      <c r="BX13" s="314" t="n">
        <f aca="false">IFERROR(G13/AE13,)</f>
        <v>39.5905017087518</v>
      </c>
      <c r="BY13" s="304" t="n">
        <f aca="false">IFERROR(H13/AF13,)</f>
        <v>0</v>
      </c>
      <c r="CA13" s="305"/>
      <c r="CB13" s="305"/>
      <c r="CC13" s="305"/>
      <c r="CD13" s="305" t="s">
        <v>1255</v>
      </c>
      <c r="CE13" s="306" t="s">
        <v>1256</v>
      </c>
      <c r="CF13" s="305" t="s">
        <v>1257</v>
      </c>
      <c r="CH13" s="305" t="s">
        <v>1258</v>
      </c>
      <c r="CI13" s="305" t="s">
        <v>1259</v>
      </c>
      <c r="CJ13" s="305" t="s">
        <v>1260</v>
      </c>
      <c r="CK13" s="305" t="s">
        <v>1261</v>
      </c>
      <c r="CL13" s="306" t="s">
        <v>1262</v>
      </c>
      <c r="CM13" s="305" t="s">
        <v>1263</v>
      </c>
    </row>
    <row r="14" customFormat="false" ht="12.75" hidden="false" customHeight="true" outlineLevel="0" collapsed="false">
      <c r="A14" s="317" t="s">
        <v>1264</v>
      </c>
      <c r="B14" s="293" t="n">
        <v>0</v>
      </c>
      <c r="C14" s="293" t="n">
        <v>0</v>
      </c>
      <c r="D14" s="293" t="n">
        <v>0</v>
      </c>
      <c r="E14" s="293" t="n">
        <v>0</v>
      </c>
      <c r="F14" s="293" t="n">
        <v>0</v>
      </c>
      <c r="G14" s="309" t="n">
        <v>49576.2998285602</v>
      </c>
      <c r="H14" s="293" t="n">
        <v>0</v>
      </c>
      <c r="J14" s="293" t="n">
        <v>0</v>
      </c>
      <c r="K14" s="293" t="n">
        <v>0</v>
      </c>
      <c r="L14" s="293" t="n">
        <v>0</v>
      </c>
      <c r="M14" s="293" t="n">
        <v>0</v>
      </c>
      <c r="N14" s="293" t="n">
        <v>0</v>
      </c>
      <c r="O14" s="294" t="n">
        <v>300</v>
      </c>
      <c r="P14" s="295" t="n">
        <f aca="false">300-32</f>
        <v>268</v>
      </c>
      <c r="R14" s="293" t="n">
        <v>0</v>
      </c>
      <c r="S14" s="293" t="n">
        <v>0</v>
      </c>
      <c r="T14" s="293" t="n">
        <v>0</v>
      </c>
      <c r="U14" s="293" t="n">
        <v>0</v>
      </c>
      <c r="V14" s="293" t="n">
        <v>0</v>
      </c>
      <c r="W14" s="294" t="n">
        <v>1275</v>
      </c>
      <c r="X14" s="295" t="n">
        <v>1403.38</v>
      </c>
      <c r="Z14" s="293" t="n">
        <v>0</v>
      </c>
      <c r="AA14" s="293" t="n">
        <v>0</v>
      </c>
      <c r="AB14" s="293" t="n">
        <v>0</v>
      </c>
      <c r="AC14" s="293" t="n">
        <v>0</v>
      </c>
      <c r="AD14" s="293" t="n">
        <v>0</v>
      </c>
      <c r="AE14" s="294" t="n">
        <v>1185.75</v>
      </c>
      <c r="AF14" s="295" t="n">
        <v>1237.1444</v>
      </c>
      <c r="AH14" s="318" t="n">
        <f aca="false">IFERROR(R14/J14,)</f>
        <v>0</v>
      </c>
      <c r="AI14" s="318" t="n">
        <f aca="false">IFERROR(S14/K14,)</f>
        <v>0</v>
      </c>
      <c r="AJ14" s="318" t="n">
        <f aca="false">IFERROR(T14/L14,)</f>
        <v>0</v>
      </c>
      <c r="AK14" s="318" t="n">
        <f aca="false">IFERROR(U14/M14,)</f>
        <v>0</v>
      </c>
      <c r="AL14" s="318" t="n">
        <f aca="false">IFERROR(V14/N14,)</f>
        <v>0</v>
      </c>
      <c r="AM14" s="311" t="n">
        <f aca="false">IFERROR(W14/O14,)</f>
        <v>4.25</v>
      </c>
      <c r="AN14" s="312" t="n">
        <f aca="false">IFERROR(X14/P14,)</f>
        <v>5.23649253731343</v>
      </c>
      <c r="AO14" s="299"/>
      <c r="AQ14" s="293" t="n">
        <f aca="false">IFERROR(B14/J14,)</f>
        <v>0</v>
      </c>
      <c r="AR14" s="293" t="n">
        <f aca="false">IFERROR(C14/K14,)</f>
        <v>0</v>
      </c>
      <c r="AS14" s="293" t="n">
        <f aca="false">IFERROR(D14/L14,)</f>
        <v>0</v>
      </c>
      <c r="AT14" s="293" t="n">
        <f aca="false">IFERROR(E14/M14,)</f>
        <v>0</v>
      </c>
      <c r="AU14" s="293" t="n">
        <f aca="false">IFERROR(F14/N14,)</f>
        <v>0</v>
      </c>
      <c r="AV14" s="294" t="n">
        <f aca="false">IFERROR(G14/O14,)</f>
        <v>165.254332761867</v>
      </c>
      <c r="AW14" s="295" t="n">
        <f aca="false">IFERROR(I14/P14,)</f>
        <v>0</v>
      </c>
      <c r="AY14" s="313" t="n">
        <f aca="false">IFERROR(#REF!/AT14-1,)</f>
        <v>0</v>
      </c>
      <c r="AZ14" s="313" t="n">
        <f aca="false">IFERROR(#REF!/AS14-1,)</f>
        <v>0</v>
      </c>
      <c r="BA14" s="313" t="n">
        <f aca="false">IFERROR(#REF!/AR14-1,)</f>
        <v>0</v>
      </c>
      <c r="BB14" s="313" t="n">
        <f aca="false">IFERROR(AV14/AU14-1,)</f>
        <v>0</v>
      </c>
      <c r="BC14" s="313" t="n">
        <f aca="false">IFERROR(AU14/#REF!-1,)</f>
        <v>0</v>
      </c>
      <c r="BE14" s="318" t="n">
        <f aca="false">IFERROR(B14/R14,)</f>
        <v>0</v>
      </c>
      <c r="BF14" s="318" t="n">
        <f aca="false">IFERROR(C14/S14,)</f>
        <v>0</v>
      </c>
      <c r="BG14" s="318" t="n">
        <f aca="false">IFERROR(D14/T14,)</f>
        <v>0</v>
      </c>
      <c r="BH14" s="318" t="n">
        <f aca="false">IFERROR(E14/U14,)</f>
        <v>0</v>
      </c>
      <c r="BI14" s="318" t="n">
        <f aca="false">IFERROR(F14/V14,)</f>
        <v>0</v>
      </c>
      <c r="BJ14" s="311" t="n">
        <f aca="false">IFERROR(G14/W14,)</f>
        <v>38.883372414557</v>
      </c>
      <c r="BK14" s="312" t="n">
        <f aca="false">IFERROR(I14/X14,)</f>
        <v>0</v>
      </c>
      <c r="BM14" s="313" t="n">
        <f aca="false">IFERROR(#REF!/BH14-1,)</f>
        <v>0</v>
      </c>
      <c r="BN14" s="313" t="n">
        <f aca="false">IFERROR(#REF!/BG14-1,)</f>
        <v>0</v>
      </c>
      <c r="BO14" s="313" t="n">
        <f aca="false">IFERROR(#REF!/BF14-1,)</f>
        <v>0</v>
      </c>
      <c r="BP14" s="313" t="n">
        <f aca="false">IFERROR(BJ14/BI14-1,)</f>
        <v>0</v>
      </c>
      <c r="BQ14" s="313" t="n">
        <f aca="false">IFERROR(BI14/#REF!-1,)</f>
        <v>0</v>
      </c>
      <c r="BS14" s="318" t="n">
        <f aca="false">IFERROR(B14/Z14,)</f>
        <v>0</v>
      </c>
      <c r="BT14" s="318" t="n">
        <f aca="false">IFERROR(C14/AA14,)</f>
        <v>0</v>
      </c>
      <c r="BU14" s="318" t="n">
        <f aca="false">IFERROR(D14/AB14,)</f>
        <v>0</v>
      </c>
      <c r="BV14" s="318" t="n">
        <f aca="false">IFERROR(E14/AC14,)</f>
        <v>0</v>
      </c>
      <c r="BW14" s="318" t="n">
        <f aca="false">IFERROR(F14/AD14,)</f>
        <v>0</v>
      </c>
      <c r="BX14" s="314" t="n">
        <f aca="false">IFERROR(G14/AE14,)</f>
        <v>41.8100778651151</v>
      </c>
      <c r="BY14" s="304" t="n">
        <f aca="false">IFERROR(H14/AF14,)</f>
        <v>0</v>
      </c>
      <c r="CA14" s="305"/>
      <c r="CB14" s="305"/>
      <c r="CC14" s="305"/>
      <c r="CD14" s="305"/>
      <c r="CE14" s="306"/>
      <c r="CF14" s="305" t="s">
        <v>1265</v>
      </c>
      <c r="CH14" s="305"/>
      <c r="CI14" s="305"/>
      <c r="CJ14" s="305"/>
      <c r="CK14" s="305"/>
      <c r="CL14" s="306"/>
      <c r="CM14" s="305" t="s">
        <v>1266</v>
      </c>
    </row>
    <row r="15" customFormat="false" ht="12.75" hidden="false" customHeight="true" outlineLevel="0" collapsed="false">
      <c r="A15" s="319" t="s">
        <v>1267</v>
      </c>
      <c r="B15" s="320" t="n">
        <v>0</v>
      </c>
      <c r="C15" s="320" t="n">
        <v>0</v>
      </c>
      <c r="D15" s="320" t="n">
        <v>0</v>
      </c>
      <c r="E15" s="320" t="n">
        <v>0</v>
      </c>
      <c r="F15" s="320" t="n">
        <v>0</v>
      </c>
      <c r="G15" s="321" t="n">
        <v>23998.7554850905</v>
      </c>
      <c r="H15" s="320" t="n">
        <v>0</v>
      </c>
      <c r="J15" s="322" t="n">
        <v>0</v>
      </c>
      <c r="K15" s="322" t="n">
        <v>0</v>
      </c>
      <c r="L15" s="322" t="n">
        <v>0</v>
      </c>
      <c r="M15" s="322" t="n">
        <v>0</v>
      </c>
      <c r="N15" s="322" t="n">
        <v>0</v>
      </c>
      <c r="O15" s="323" t="n">
        <v>138</v>
      </c>
      <c r="P15" s="324" t="n">
        <v>138</v>
      </c>
      <c r="R15" s="320" t="n">
        <v>0</v>
      </c>
      <c r="S15" s="320" t="n">
        <v>0</v>
      </c>
      <c r="T15" s="320" t="n">
        <v>0</v>
      </c>
      <c r="U15" s="320" t="n">
        <v>0</v>
      </c>
      <c r="V15" s="322" t="n">
        <v>0</v>
      </c>
      <c r="W15" s="323" t="n">
        <v>586.5</v>
      </c>
      <c r="X15" s="324" t="n">
        <v>1017.73</v>
      </c>
      <c r="Z15" s="320" t="n">
        <v>0</v>
      </c>
      <c r="AA15" s="320" t="n">
        <v>0</v>
      </c>
      <c r="AB15" s="320" t="n">
        <v>0</v>
      </c>
      <c r="AC15" s="320" t="n">
        <v>0</v>
      </c>
      <c r="AD15" s="322" t="n">
        <v>0</v>
      </c>
      <c r="AE15" s="323" t="n">
        <v>545.445</v>
      </c>
      <c r="AF15" s="324" t="n">
        <v>922.2225</v>
      </c>
      <c r="AH15" s="325" t="n">
        <f aca="false">IFERROR(R15/J15,)</f>
        <v>0</v>
      </c>
      <c r="AI15" s="325" t="n">
        <f aca="false">IFERROR(S15/K15,)</f>
        <v>0</v>
      </c>
      <c r="AJ15" s="325" t="n">
        <f aca="false">IFERROR(T15/L15,)</f>
        <v>0</v>
      </c>
      <c r="AK15" s="325" t="n">
        <f aca="false">IFERROR(U15/M15,)</f>
        <v>0</v>
      </c>
      <c r="AL15" s="325" t="n">
        <f aca="false">IFERROR(V15/N15,)</f>
        <v>0</v>
      </c>
      <c r="AM15" s="326" t="n">
        <f aca="false">IFERROR(W15/O15,)</f>
        <v>4.25</v>
      </c>
      <c r="AN15" s="327" t="n">
        <f aca="false">IFERROR(X15/P15,)</f>
        <v>7.37485507246377</v>
      </c>
      <c r="AO15" s="299"/>
      <c r="AQ15" s="320" t="n">
        <f aca="false">IFERROR(B15/J15,)</f>
        <v>0</v>
      </c>
      <c r="AR15" s="320" t="n">
        <f aca="false">IFERROR(C15/K15,)</f>
        <v>0</v>
      </c>
      <c r="AS15" s="320" t="n">
        <f aca="false">IFERROR(D15/L15,)</f>
        <v>0</v>
      </c>
      <c r="AT15" s="320" t="n">
        <f aca="false">IFERROR(E15/M15,)</f>
        <v>0</v>
      </c>
      <c r="AU15" s="320" t="n">
        <f aca="false">IFERROR(F15/N15,)</f>
        <v>0</v>
      </c>
      <c r="AV15" s="328" t="n">
        <f aca="false">IFERROR(G15/O15,)</f>
        <v>173.904025254279</v>
      </c>
      <c r="AW15" s="329" t="n">
        <f aca="false">IFERROR(I15/P15,)</f>
        <v>0</v>
      </c>
      <c r="AY15" s="330" t="n">
        <f aca="false">IFERROR(#REF!/AT15-1,)</f>
        <v>0</v>
      </c>
      <c r="AZ15" s="330" t="n">
        <f aca="false">IFERROR(#REF!/AS15-1,)</f>
        <v>0</v>
      </c>
      <c r="BA15" s="330" t="n">
        <f aca="false">IFERROR(#REF!/AR15-1,)</f>
        <v>0</v>
      </c>
      <c r="BB15" s="330" t="n">
        <f aca="false">IFERROR(AV15/AU15-1,)</f>
        <v>0</v>
      </c>
      <c r="BC15" s="330" t="n">
        <f aca="false">IFERROR(AU15/#REF!-1,)</f>
        <v>0</v>
      </c>
      <c r="BE15" s="325" t="n">
        <f aca="false">IFERROR(B15/R15,)</f>
        <v>0</v>
      </c>
      <c r="BF15" s="325" t="n">
        <f aca="false">IFERROR(C15/S15,)</f>
        <v>0</v>
      </c>
      <c r="BG15" s="325" t="n">
        <f aca="false">IFERROR(D15/T15,)</f>
        <v>0</v>
      </c>
      <c r="BH15" s="325" t="n">
        <f aca="false">IFERROR(E15/U15,)</f>
        <v>0</v>
      </c>
      <c r="BI15" s="325" t="n">
        <f aca="false">IFERROR(F15/V15,)</f>
        <v>0</v>
      </c>
      <c r="BJ15" s="326" t="n">
        <f aca="false">IFERROR(G15/W15,)</f>
        <v>40.9185941774774</v>
      </c>
      <c r="BK15" s="327" t="n">
        <f aca="false">IFERROR(I15/X15,)</f>
        <v>0</v>
      </c>
      <c r="BM15" s="330" t="n">
        <f aca="false">IFERROR(#REF!/BH15-1,)</f>
        <v>0</v>
      </c>
      <c r="BN15" s="330" t="n">
        <f aca="false">IFERROR(#REF!/BG15-1,)</f>
        <v>0</v>
      </c>
      <c r="BO15" s="330" t="n">
        <f aca="false">IFERROR(#REF!/BF15-1,)</f>
        <v>0</v>
      </c>
      <c r="BP15" s="330" t="n">
        <f aca="false">IFERROR(BJ15/BI15-1,)</f>
        <v>0</v>
      </c>
      <c r="BQ15" s="330" t="n">
        <f aca="false">IFERROR(BI15/#REF!-1,)</f>
        <v>0</v>
      </c>
      <c r="BS15" s="325" t="n">
        <f aca="false">IFERROR(B15/Z15,)</f>
        <v>0</v>
      </c>
      <c r="BT15" s="325" t="n">
        <f aca="false">IFERROR(C15/AA15,)</f>
        <v>0</v>
      </c>
      <c r="BU15" s="325" t="n">
        <f aca="false">IFERROR(D15/AB15,)</f>
        <v>0</v>
      </c>
      <c r="BV15" s="325" t="n">
        <f aca="false">IFERROR(E15/AC15,)</f>
        <v>0</v>
      </c>
      <c r="BW15" s="325" t="n">
        <f aca="false">IFERROR(F15/AD15,)</f>
        <v>0</v>
      </c>
      <c r="BX15" s="326" t="n">
        <f aca="false">IFERROR(G15/AE15,)</f>
        <v>43.998488362879</v>
      </c>
      <c r="BY15" s="331" t="n">
        <f aca="false">IFERROR(H15/AF15,)</f>
        <v>0</v>
      </c>
      <c r="CA15" s="332"/>
      <c r="CB15" s="332"/>
      <c r="CC15" s="332"/>
      <c r="CD15" s="332"/>
      <c r="CE15" s="333"/>
      <c r="CF15" s="332" t="s">
        <v>1268</v>
      </c>
      <c r="CH15" s="332"/>
      <c r="CI15" s="332"/>
      <c r="CJ15" s="332"/>
      <c r="CK15" s="332"/>
      <c r="CL15" s="333"/>
      <c r="CM15" s="332" t="s">
        <v>1269</v>
      </c>
    </row>
    <row r="16" customFormat="false" ht="12.75" hidden="false" customHeight="true" outlineLevel="0" collapsed="false">
      <c r="A16" s="259"/>
      <c r="B16" s="259"/>
      <c r="C16" s="259"/>
      <c r="D16" s="259"/>
      <c r="E16" s="259"/>
      <c r="F16" s="259"/>
      <c r="G16" s="334"/>
      <c r="H16" s="259"/>
      <c r="I16" s="260"/>
      <c r="J16" s="259"/>
      <c r="K16" s="259"/>
      <c r="L16" s="259"/>
      <c r="M16" s="259"/>
      <c r="N16" s="259"/>
      <c r="O16" s="335"/>
      <c r="P16" s="261"/>
      <c r="Q16" s="260"/>
      <c r="R16" s="259"/>
      <c r="S16" s="259"/>
      <c r="T16" s="259"/>
      <c r="U16" s="259"/>
      <c r="V16" s="259"/>
      <c r="W16" s="335"/>
      <c r="X16" s="261"/>
      <c r="Y16" s="260"/>
      <c r="Z16" s="259"/>
      <c r="AA16" s="259"/>
      <c r="AB16" s="259"/>
      <c r="AC16" s="259"/>
      <c r="AD16" s="259"/>
      <c r="AE16" s="335"/>
      <c r="AF16" s="261"/>
      <c r="AG16" s="260"/>
      <c r="AH16" s="336"/>
      <c r="AI16" s="336"/>
      <c r="AJ16" s="336"/>
      <c r="AK16" s="336"/>
      <c r="AL16" s="336"/>
      <c r="AM16" s="336"/>
      <c r="AN16" s="337"/>
      <c r="AO16" s="338"/>
      <c r="AP16" s="260"/>
      <c r="AQ16" s="266"/>
      <c r="AR16" s="266"/>
      <c r="AS16" s="266"/>
      <c r="AT16" s="266"/>
      <c r="AU16" s="266"/>
      <c r="AV16" s="339"/>
      <c r="AW16" s="340"/>
      <c r="AX16" s="260"/>
      <c r="AY16" s="341"/>
      <c r="AZ16" s="341"/>
      <c r="BA16" s="341"/>
      <c r="BB16" s="341"/>
      <c r="BC16" s="341"/>
      <c r="BD16" s="260"/>
      <c r="BE16" s="259"/>
      <c r="BF16" s="259"/>
      <c r="BG16" s="259"/>
      <c r="BH16" s="259"/>
      <c r="BI16" s="259"/>
      <c r="BJ16" s="335"/>
      <c r="BK16" s="342"/>
      <c r="BL16" s="260"/>
      <c r="BM16" s="335"/>
      <c r="BN16" s="335"/>
      <c r="BO16" s="335"/>
      <c r="BP16" s="335"/>
      <c r="BQ16" s="335"/>
      <c r="BR16" s="260"/>
      <c r="BS16" s="259"/>
      <c r="BT16" s="259"/>
      <c r="BU16" s="259"/>
      <c r="BV16" s="259"/>
      <c r="BW16" s="259"/>
      <c r="BX16" s="259"/>
      <c r="BY16" s="343"/>
      <c r="BZ16" s="260"/>
      <c r="CA16" s="268"/>
      <c r="CB16" s="268"/>
      <c r="CC16" s="268"/>
      <c r="CD16" s="268"/>
      <c r="CE16" s="268"/>
      <c r="CF16" s="268"/>
      <c r="CG16" s="270"/>
      <c r="CH16" s="268"/>
      <c r="CI16" s="268"/>
      <c r="CJ16" s="268"/>
      <c r="CK16" s="268"/>
      <c r="CL16" s="268"/>
      <c r="CM16" s="268"/>
    </row>
    <row r="17" customFormat="false" ht="12.75" hidden="false" customHeight="true" outlineLevel="0" collapsed="false">
      <c r="A17" s="344" t="s">
        <v>1270</v>
      </c>
      <c r="B17" s="345" t="n">
        <f aca="false">B4+B8+B11+B12+B13+B14+B15</f>
        <v>241694.31952</v>
      </c>
      <c r="C17" s="345" t="n">
        <f aca="false">C4+C8+C11+C12+C13+C14+C15</f>
        <v>258583.67267</v>
      </c>
      <c r="D17" s="345" t="n">
        <f aca="false">D4+D8+D11+D12+D13+D14+D15</f>
        <v>234859.389209035</v>
      </c>
      <c r="E17" s="345" t="n">
        <f aca="false">E4+E8+E11+E12+E13+E14+E15</f>
        <v>215832.548156215</v>
      </c>
      <c r="F17" s="345" t="n">
        <f aca="false">F4+F8+F11+F12+F13+F14+F15</f>
        <v>233796.40813</v>
      </c>
      <c r="G17" s="346" t="n">
        <f aca="false">G4+G8+G11+G12+G13+G14+G15</f>
        <v>261220.128165835</v>
      </c>
      <c r="H17" s="345" t="n">
        <f aca="false">H4+H8+H11+H12+H13+H14+H15</f>
        <v>0</v>
      </c>
      <c r="I17" s="260"/>
      <c r="J17" s="345" t="n">
        <f aca="false">J4+J8+J11+J12+J13+J14+J15</f>
        <v>2592</v>
      </c>
      <c r="K17" s="345" t="n">
        <f aca="false">K4+K8+K11+K12+K13+K14+K15</f>
        <v>2005.9</v>
      </c>
      <c r="L17" s="345" t="n">
        <f aca="false">L4+L8+L11+L12+L13+L14+L15</f>
        <v>2174.8</v>
      </c>
      <c r="M17" s="345" t="n">
        <f aca="false">M4+M8+M11+M12+M13+M14+M15</f>
        <v>1240</v>
      </c>
      <c r="N17" s="345" t="n">
        <f aca="false">N4+N8+N11+N12+N13+N14+N15</f>
        <v>1593.5</v>
      </c>
      <c r="O17" s="347" t="n">
        <f aca="false">O4+O8+O11+O12+O13+O14+O15</f>
        <v>1663.8</v>
      </c>
      <c r="P17" s="348" t="n">
        <f aca="false">P4+P8+P11+P12+P13+P14+P15</f>
        <v>1483.8</v>
      </c>
      <c r="Q17" s="260"/>
      <c r="R17" s="345" t="n">
        <f aca="false">R4+R8+R11+R12+R13+R14+R15</f>
        <v>12104.97</v>
      </c>
      <c r="S17" s="345" t="n">
        <f aca="false">S4+S8+S11+S12+S13+S14+S15</f>
        <v>10161.8</v>
      </c>
      <c r="T17" s="345" t="n">
        <f aca="false">T4+T8+T11+T12+T13+T14+T15</f>
        <v>6505.16</v>
      </c>
      <c r="U17" s="345" t="n">
        <f aca="false">U4+U8+U11+U12+U13+U14+U15</f>
        <v>6643.03</v>
      </c>
      <c r="V17" s="345" t="n">
        <f aca="false">V4+V8+V11+V12+V13+V14+V15</f>
        <v>4371.9200000003</v>
      </c>
      <c r="W17" s="347" t="n">
        <f aca="false">W4+W8+W11+W12+W13+W14+W15</f>
        <v>6748.52</v>
      </c>
      <c r="X17" s="348" t="n">
        <f aca="false">X4+X8+X11+X12+X13+X14+X15</f>
        <v>7098.14</v>
      </c>
      <c r="Y17" s="260"/>
      <c r="Z17" s="345" t="n">
        <f aca="false">Z4+Z8+Z11+Z12+Z13+Z14+Z15</f>
        <v>10934</v>
      </c>
      <c r="AA17" s="345" t="n">
        <f aca="false">AA4+AA8+AA11+AA12+AA13+AA14+AA15</f>
        <v>8902.75292</v>
      </c>
      <c r="AB17" s="345" t="n">
        <f aca="false">AB4+AB8+AB11+AB12+AB13+AB14+AB15</f>
        <v>5919.1021</v>
      </c>
      <c r="AC17" s="345" t="n">
        <f aca="false">AC4+AC8+AC11+AC12+AC13+AC14+AC15</f>
        <v>5904.53</v>
      </c>
      <c r="AD17" s="345" t="n">
        <f aca="false">AD4+AD8+AD11+AD12+AD13+AD14+AD15</f>
        <v>3320.0085</v>
      </c>
      <c r="AE17" s="347" t="n">
        <f aca="false">AE4+AE8+AE11+AE12+AE13+AE14+AE15</f>
        <v>6256.6686</v>
      </c>
      <c r="AF17" s="348" t="n">
        <f aca="false">AF4+AF8+AF11+AF12+AF13+AF14+AF15</f>
        <v>6087.0685</v>
      </c>
      <c r="AG17" s="260"/>
      <c r="AH17" s="349" t="n">
        <f aca="false">IFERROR(R17/J17,)</f>
        <v>4.67012731481482</v>
      </c>
      <c r="AI17" s="349" t="n">
        <f aca="false">IFERROR(S17/K17,)</f>
        <v>5.06595543147714</v>
      </c>
      <c r="AJ17" s="349" t="n">
        <f aca="false">IFERROR(T17/L17,)</f>
        <v>2.99115320949053</v>
      </c>
      <c r="AK17" s="349" t="n">
        <f aca="false">IFERROR(U17/M17,)</f>
        <v>5.35728225806452</v>
      </c>
      <c r="AL17" s="349" t="n">
        <f aca="false">IFERROR(V17/N17,)</f>
        <v>2.74359585817402</v>
      </c>
      <c r="AM17" s="350" t="n">
        <f aca="false">IFERROR(W17/O17,)</f>
        <v>4.05608847217214</v>
      </c>
      <c r="AN17" s="351" t="n">
        <f aca="false">IFERROR(X17/P17,)</f>
        <v>4.78375791885699</v>
      </c>
      <c r="AO17" s="352"/>
      <c r="AP17" s="260"/>
      <c r="AQ17" s="353" t="n">
        <f aca="false">IFERROR(B17/J17,)</f>
        <v>93.2462652469136</v>
      </c>
      <c r="AR17" s="353" t="n">
        <f aca="false">IFERROR(C17/K17,)</f>
        <v>128.911547270552</v>
      </c>
      <c r="AS17" s="353" t="n">
        <f aca="false">IFERROR(D17/L17,)</f>
        <v>107.991258602646</v>
      </c>
      <c r="AT17" s="353" t="n">
        <f aca="false">IFERROR(E17/M17,)</f>
        <v>174.058506577593</v>
      </c>
      <c r="AU17" s="353" t="n">
        <f aca="false">IFERROR(F17/N17,)</f>
        <v>146.718800207091</v>
      </c>
      <c r="AV17" s="354" t="n">
        <f aca="false">IFERROR(G17/O17,)</f>
        <v>157.002120546842</v>
      </c>
      <c r="AW17" s="355" t="n">
        <f aca="false">IFERROR(I17/P17,)</f>
        <v>0</v>
      </c>
      <c r="AX17" s="260"/>
      <c r="AY17" s="302" t="n">
        <v>-0.0698932743023741</v>
      </c>
      <c r="AZ17" s="302" t="n">
        <v>0.49913048266609</v>
      </c>
      <c r="BA17" s="302" t="n">
        <v>0.255845508493761</v>
      </c>
      <c r="BB17" s="302" t="n">
        <v>0.504580649505987</v>
      </c>
      <c r="BC17" s="302" t="n">
        <v>-0.0937297386841675</v>
      </c>
      <c r="BD17" s="260"/>
      <c r="BE17" s="356" t="n">
        <f aca="false">IFERROR(B17/R17,)</f>
        <v>19.9665360195027</v>
      </c>
      <c r="BF17" s="356" t="n">
        <f aca="false">IFERROR(C17/S17,)</f>
        <v>25.4466406217402</v>
      </c>
      <c r="BG17" s="356" t="n">
        <f aca="false">IFERROR(D17/T17,)</f>
        <v>36.1035530577319</v>
      </c>
      <c r="BH17" s="356" t="n">
        <f aca="false">IFERROR(E17/U17,)</f>
        <v>32.4900757871356</v>
      </c>
      <c r="BI17" s="356" t="n">
        <f aca="false">IFERROR(F17/V17,)</f>
        <v>53.4768266871269</v>
      </c>
      <c r="BJ17" s="357" t="n">
        <f aca="false">IFERROR(G17/W17,)</f>
        <v>38.7077652827338</v>
      </c>
      <c r="BK17" s="358" t="n">
        <f aca="false">IFERROR(I17/X17,)</f>
        <v>0</v>
      </c>
      <c r="BL17" s="260"/>
      <c r="BM17" s="302" t="n">
        <v>0.051710378655496</v>
      </c>
      <c r="BN17" s="302" t="n">
        <v>-0.0535516032454241</v>
      </c>
      <c r="BO17" s="302" t="n">
        <v>0.342815753818639</v>
      </c>
      <c r="BP17" s="302" t="n">
        <v>-0.0945460013567743</v>
      </c>
      <c r="BQ17" s="302" t="n">
        <v>0.565015864142122</v>
      </c>
      <c r="BR17" s="260"/>
      <c r="BS17" s="356" t="n">
        <f aca="false">IFERROR(B17/Z17,)</f>
        <v>22.1048399048839</v>
      </c>
      <c r="BT17" s="356" t="n">
        <f aca="false">IFERROR(C17/AA17,)</f>
        <v>29.0453610241269</v>
      </c>
      <c r="BU17" s="356" t="n">
        <f aca="false">IFERROR(D17/AB17,)</f>
        <v>39.6782122087462</v>
      </c>
      <c r="BV17" s="356" t="n">
        <f aca="false">IFERROR(E17/AC17,)</f>
        <v>36.5537219992473</v>
      </c>
      <c r="BW17" s="356" t="n">
        <f aca="false">IFERROR(F17/AD17,)</f>
        <v>70.4204245651781</v>
      </c>
      <c r="BX17" s="357" t="n">
        <f aca="false">IFERROR(G17/AE17,)</f>
        <v>41.7506735398827</v>
      </c>
      <c r="BY17" s="358" t="n">
        <f aca="false">IFERROR(H17/AF17,)</f>
        <v>0</v>
      </c>
      <c r="BZ17" s="260"/>
      <c r="CA17" s="359"/>
      <c r="CB17" s="359"/>
      <c r="CC17" s="359"/>
      <c r="CD17" s="359" t="s">
        <v>1271</v>
      </c>
      <c r="CE17" s="360" t="s">
        <v>1272</v>
      </c>
      <c r="CF17" s="359" t="s">
        <v>1273</v>
      </c>
      <c r="CG17" s="270"/>
      <c r="CH17" s="359" t="s">
        <v>1274</v>
      </c>
      <c r="CI17" s="359" t="s">
        <v>1275</v>
      </c>
      <c r="CJ17" s="359" t="s">
        <v>1276</v>
      </c>
      <c r="CK17" s="359" t="s">
        <v>1277</v>
      </c>
      <c r="CL17" s="360" t="s">
        <v>1278</v>
      </c>
      <c r="CM17" s="359" t="s">
        <v>1279</v>
      </c>
    </row>
    <row r="18" customFormat="false" ht="12.75" hidden="false" customHeight="false" outlineLevel="0" collapsed="false">
      <c r="A18" s="260"/>
      <c r="B18" s="361"/>
      <c r="C18" s="361"/>
      <c r="D18" s="362"/>
      <c r="E18" s="260"/>
      <c r="F18" s="260"/>
      <c r="G18" s="260"/>
      <c r="H18" s="260"/>
      <c r="I18" s="260"/>
      <c r="J18" s="260"/>
      <c r="K18" s="260"/>
      <c r="L18" s="260"/>
      <c r="M18" s="260"/>
      <c r="N18" s="260"/>
      <c r="O18" s="260"/>
      <c r="P18" s="363"/>
      <c r="Q18" s="260"/>
      <c r="R18" s="260"/>
      <c r="S18" s="260"/>
      <c r="T18" s="260"/>
      <c r="U18" s="260"/>
      <c r="V18" s="363"/>
      <c r="W18" s="260"/>
      <c r="X18" s="363"/>
      <c r="Y18" s="260"/>
      <c r="Z18" s="260"/>
      <c r="AA18" s="260"/>
      <c r="AB18" s="260"/>
      <c r="AC18" s="260"/>
      <c r="AD18" s="363"/>
      <c r="AE18" s="260"/>
      <c r="AF18" s="363"/>
      <c r="AG18" s="260"/>
      <c r="AH18" s="260"/>
      <c r="AI18" s="260"/>
      <c r="AJ18" s="260"/>
      <c r="AK18" s="260"/>
      <c r="AL18" s="260"/>
      <c r="AM18" s="260"/>
      <c r="AN18" s="260"/>
      <c r="AO18" s="260"/>
      <c r="AP18" s="260"/>
      <c r="AQ18" s="260"/>
      <c r="AR18" s="260"/>
      <c r="AS18" s="260"/>
      <c r="AT18" s="260"/>
      <c r="AU18" s="260"/>
      <c r="AV18" s="260"/>
      <c r="AW18" s="260"/>
      <c r="AX18" s="260"/>
      <c r="AY18" s="260"/>
      <c r="AZ18" s="260"/>
      <c r="BA18" s="260"/>
      <c r="BB18" s="260"/>
      <c r="BC18" s="260"/>
      <c r="BD18" s="260"/>
      <c r="BE18" s="260"/>
      <c r="BF18" s="260"/>
      <c r="BG18" s="260"/>
      <c r="BH18" s="260"/>
      <c r="BI18" s="260"/>
      <c r="BJ18" s="260"/>
      <c r="BK18" s="260"/>
      <c r="BL18" s="260"/>
      <c r="BM18" s="260"/>
      <c r="BN18" s="260"/>
      <c r="BO18" s="260"/>
      <c r="BP18" s="260"/>
      <c r="BQ18" s="260"/>
      <c r="BR18" s="260"/>
      <c r="BS18" s="260"/>
      <c r="BT18" s="260"/>
      <c r="BU18" s="260"/>
      <c r="BV18" s="260"/>
      <c r="BW18" s="260"/>
      <c r="BX18" s="260"/>
      <c r="BY18" s="260"/>
      <c r="BZ18" s="260"/>
      <c r="CA18" s="270"/>
      <c r="CB18" s="270"/>
      <c r="CC18" s="270"/>
      <c r="CD18" s="270"/>
      <c r="CE18" s="270"/>
      <c r="CF18" s="270"/>
      <c r="CG18" s="270"/>
      <c r="CH18" s="270"/>
      <c r="CI18" s="270"/>
      <c r="CJ18" s="270"/>
      <c r="CK18" s="270"/>
      <c r="CL18" s="270"/>
      <c r="CM18" s="270"/>
    </row>
    <row r="19" customFormat="false" ht="12.75" hidden="false" customHeight="false" outlineLevel="0" collapsed="false">
      <c r="A19" s="260"/>
      <c r="B19" s="361"/>
      <c r="C19" s="361"/>
      <c r="D19" s="362"/>
      <c r="E19" s="260"/>
      <c r="F19" s="260"/>
      <c r="G19" s="260"/>
      <c r="H19" s="260"/>
      <c r="I19" s="260"/>
      <c r="J19" s="260"/>
      <c r="K19" s="260"/>
      <c r="L19" s="260"/>
      <c r="M19" s="260"/>
      <c r="N19" s="260"/>
      <c r="O19" s="260"/>
      <c r="P19" s="260"/>
      <c r="Q19" s="260"/>
      <c r="R19" s="260"/>
      <c r="S19" s="260"/>
      <c r="T19" s="260"/>
      <c r="U19" s="260"/>
      <c r="V19" s="260"/>
      <c r="W19" s="260"/>
      <c r="X19" s="260"/>
      <c r="Y19" s="260"/>
      <c r="Z19" s="260"/>
      <c r="AA19" s="260"/>
      <c r="AB19" s="260"/>
      <c r="AC19" s="260"/>
      <c r="AD19" s="260"/>
      <c r="AE19" s="260"/>
      <c r="AF19" s="260"/>
      <c r="AG19" s="260"/>
      <c r="AH19" s="260"/>
      <c r="AI19" s="260"/>
      <c r="AJ19" s="260"/>
      <c r="AK19" s="260"/>
      <c r="AL19" s="260"/>
      <c r="AM19" s="260"/>
      <c r="AN19" s="260"/>
      <c r="AO19" s="260"/>
      <c r="AP19" s="260"/>
      <c r="AQ19" s="260"/>
      <c r="AR19" s="260"/>
      <c r="AS19" s="260"/>
      <c r="AT19" s="260"/>
      <c r="AU19" s="260"/>
      <c r="AV19" s="260"/>
      <c r="AW19" s="260"/>
      <c r="AX19" s="260"/>
      <c r="AY19" s="260"/>
      <c r="AZ19" s="260"/>
      <c r="BA19" s="260"/>
      <c r="BB19" s="260"/>
      <c r="BC19" s="260"/>
      <c r="BD19" s="260"/>
      <c r="BE19" s="260"/>
      <c r="BF19" s="260"/>
      <c r="BG19" s="260"/>
      <c r="BH19" s="260"/>
      <c r="BI19" s="260"/>
      <c r="BJ19" s="260"/>
      <c r="BK19" s="260"/>
      <c r="BL19" s="260"/>
      <c r="BM19" s="260"/>
      <c r="BN19" s="260"/>
      <c r="BO19" s="260"/>
      <c r="BP19" s="260"/>
      <c r="BQ19" s="260"/>
      <c r="BR19" s="260"/>
      <c r="BS19" s="260"/>
      <c r="BT19" s="260"/>
      <c r="BU19" s="260"/>
      <c r="BV19" s="260"/>
      <c r="BW19" s="260"/>
      <c r="BX19" s="260"/>
      <c r="BY19" s="260"/>
      <c r="BZ19" s="260"/>
      <c r="CA19" s="270"/>
      <c r="CB19" s="270"/>
      <c r="CC19" s="270"/>
      <c r="CD19" s="270"/>
      <c r="CE19" s="270"/>
      <c r="CF19" s="270"/>
      <c r="CG19" s="270"/>
      <c r="CH19" s="270"/>
      <c r="CI19" s="270"/>
      <c r="CJ19" s="270"/>
      <c r="CK19" s="270"/>
      <c r="CL19" s="270"/>
      <c r="CM19" s="270"/>
    </row>
    <row r="20" customFormat="false" ht="12.75" hidden="false" customHeight="false" outlineLevel="0" collapsed="false">
      <c r="A20" s="260"/>
      <c r="B20" s="361"/>
      <c r="C20" s="361"/>
      <c r="D20" s="362"/>
      <c r="E20" s="260"/>
      <c r="F20" s="260"/>
      <c r="G20" s="260"/>
      <c r="H20" s="260"/>
      <c r="I20" s="260"/>
      <c r="J20" s="260"/>
      <c r="K20" s="260"/>
      <c r="L20" s="260"/>
      <c r="M20" s="260"/>
      <c r="N20" s="260"/>
      <c r="O20" s="260"/>
      <c r="P20" s="260"/>
      <c r="Q20" s="260"/>
      <c r="R20" s="260"/>
      <c r="S20" s="260"/>
      <c r="T20" s="260"/>
      <c r="U20" s="260"/>
      <c r="V20" s="260"/>
      <c r="W20" s="260"/>
      <c r="X20" s="260"/>
      <c r="Y20" s="260"/>
      <c r="Z20" s="260"/>
      <c r="AA20" s="260"/>
      <c r="AB20" s="260"/>
      <c r="AC20" s="260"/>
      <c r="AD20" s="260"/>
      <c r="AE20" s="260"/>
      <c r="AF20" s="260"/>
      <c r="AG20" s="260"/>
      <c r="AH20" s="260"/>
      <c r="AI20" s="260"/>
      <c r="AJ20" s="260"/>
      <c r="AK20" s="260"/>
      <c r="AL20" s="260"/>
      <c r="AM20" s="260"/>
      <c r="AN20" s="260"/>
      <c r="AO20" s="260"/>
      <c r="AP20" s="260"/>
      <c r="AQ20" s="260"/>
      <c r="AR20" s="260"/>
      <c r="AS20" s="260"/>
      <c r="AT20" s="260"/>
      <c r="AU20" s="260"/>
      <c r="AV20" s="260"/>
      <c r="AW20" s="260"/>
      <c r="AX20" s="260"/>
      <c r="AY20" s="260"/>
      <c r="AZ20" s="260"/>
      <c r="BA20" s="260"/>
      <c r="BB20" s="260"/>
      <c r="BC20" s="260"/>
      <c r="BD20" s="260"/>
      <c r="BE20" s="260"/>
      <c r="BF20" s="260"/>
      <c r="BG20" s="260"/>
      <c r="BH20" s="260"/>
      <c r="BI20" s="260"/>
      <c r="BJ20" s="260"/>
      <c r="BK20" s="260"/>
      <c r="BL20" s="260"/>
      <c r="BM20" s="260"/>
      <c r="BN20" s="260"/>
      <c r="BO20" s="260"/>
      <c r="BP20" s="260"/>
      <c r="BQ20" s="260"/>
      <c r="BR20" s="260"/>
      <c r="BS20" s="260"/>
      <c r="BT20" s="260"/>
      <c r="BU20" s="260"/>
      <c r="BV20" s="260"/>
      <c r="BW20" s="260"/>
      <c r="BX20" s="260"/>
      <c r="BY20" s="260"/>
      <c r="BZ20" s="260"/>
      <c r="CA20" s="270"/>
      <c r="CB20" s="270"/>
      <c r="CC20" s="270"/>
      <c r="CD20" s="270"/>
      <c r="CE20" s="270"/>
      <c r="CF20" s="270"/>
      <c r="CG20" s="270"/>
      <c r="CH20" s="270"/>
      <c r="CI20" s="270"/>
      <c r="CJ20" s="270"/>
      <c r="CK20" s="270"/>
      <c r="CL20" s="270"/>
      <c r="CM20" s="270"/>
    </row>
  </sheetData>
  <mergeCells count="1">
    <mergeCell ref="A2:A3"/>
  </mergeCells>
  <conditionalFormatting sqref="AY4:BC15 BM4:BQ15">
    <cfRule type="cellIs" priority="2" operator="equal" aboveAverage="0" equalAverage="0" bottom="0" percent="0" rank="0" text="" dxfId="21">
      <formula>-1</formula>
    </cfRule>
    <cfRule type="cellIs" priority="3" operator="lessThan" aboveAverage="0" equalAverage="0" bottom="0" percent="0" rank="0" text="" dxfId="22">
      <formula>-0.05</formula>
    </cfRule>
    <cfRule type="cellIs" priority="4" operator="equal" aboveAverage="0" equalAverage="0" bottom="0" percent="0" rank="0" text="" dxfId="23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J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K17" activeCellId="0" sqref="K17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1.29"/>
    <col collapsed="false" customWidth="true" hidden="false" outlineLevel="0" max="10" min="2" style="0" width="10.29"/>
    <col collapsed="false" customWidth="true" hidden="false" outlineLevel="0" max="11" min="11" style="0" width="24.42"/>
    <col collapsed="false" customWidth="true" hidden="false" outlineLevel="0" max="12" min="12" style="0" width="24.29"/>
    <col collapsed="false" customWidth="true" hidden="false" outlineLevel="0" max="13" min="13" style="0" width="33.71"/>
    <col collapsed="false" customWidth="true" hidden="false" outlineLevel="0" max="14" min="14" style="0" width="24.42"/>
    <col collapsed="false" customWidth="true" hidden="false" outlineLevel="0" max="15" min="15" style="0" width="24.29"/>
    <col collapsed="false" customWidth="true" hidden="false" outlineLevel="0" max="16" min="16" style="0" width="33.71"/>
    <col collapsed="false" customWidth="true" hidden="false" outlineLevel="0" max="17" min="17" style="0" width="24.42"/>
    <col collapsed="false" customWidth="true" hidden="false" outlineLevel="0" max="18" min="18" style="0" width="24.29"/>
    <col collapsed="false" customWidth="true" hidden="false" outlineLevel="0" max="19" min="19" style="0" width="33.71"/>
  </cols>
  <sheetData>
    <row r="1" s="24" customFormat="true" ht="15" hidden="false" customHeight="false" outlineLevel="0" collapsed="false">
      <c r="A1" s="24" t="s">
        <v>1280</v>
      </c>
    </row>
    <row r="2" customFormat="false" ht="15" hidden="true" customHeight="false" outlineLevel="0" collapsed="false">
      <c r="A2" s="166" t="s">
        <v>1281</v>
      </c>
      <c r="B2" s="167" t="s">
        <v>351</v>
      </c>
    </row>
    <row r="4" customFormat="false" ht="15" hidden="true" customHeight="false" outlineLevel="0" collapsed="false">
      <c r="A4" s="364" t="s">
        <v>351</v>
      </c>
      <c r="B4" s="29" t="s">
        <v>74</v>
      </c>
      <c r="C4" s="30"/>
      <c r="D4" s="30"/>
      <c r="E4" s="31"/>
    </row>
    <row r="5" customFormat="false" ht="15" hidden="false" customHeight="false" outlineLevel="0" collapsed="false">
      <c r="A5" s="33" t="s">
        <v>352</v>
      </c>
      <c r="B5" s="365" t="n">
        <v>2023</v>
      </c>
      <c r="C5" s="366" t="n">
        <v>2024</v>
      </c>
      <c r="D5" s="366" t="n">
        <v>2025</v>
      </c>
      <c r="E5" s="367" t="n">
        <v>2026</v>
      </c>
    </row>
    <row r="6" s="371" customFormat="true" ht="27" hidden="false" customHeight="true" outlineLevel="0" collapsed="false">
      <c r="A6" s="368" t="n">
        <v>138</v>
      </c>
      <c r="B6" s="133"/>
      <c r="C6" s="369"/>
      <c r="D6" s="134"/>
      <c r="E6" s="370"/>
      <c r="F6" s="0"/>
      <c r="G6" s="0"/>
      <c r="H6" s="0"/>
      <c r="I6" s="0"/>
      <c r="J6" s="0"/>
    </row>
    <row r="7" customFormat="false" ht="15" hidden="false" customHeight="false" outlineLevel="0" collapsed="false">
      <c r="A7" s="372" t="n">
        <v>139</v>
      </c>
      <c r="B7" s="137"/>
      <c r="C7" s="373"/>
      <c r="D7" s="138"/>
      <c r="E7" s="374"/>
    </row>
    <row r="8" customFormat="false" ht="15" hidden="false" customHeight="false" outlineLevel="0" collapsed="false">
      <c r="A8" s="372" t="n">
        <v>141</v>
      </c>
      <c r="B8" s="137"/>
      <c r="C8" s="373"/>
      <c r="D8" s="138"/>
      <c r="E8" s="374"/>
    </row>
    <row r="9" customFormat="false" ht="15" hidden="false" customHeight="false" outlineLevel="0" collapsed="false">
      <c r="A9" s="372" t="n">
        <v>142</v>
      </c>
      <c r="B9" s="137"/>
      <c r="C9" s="373"/>
      <c r="D9" s="138"/>
      <c r="E9" s="374"/>
    </row>
    <row r="10" customFormat="false" ht="15" hidden="false" customHeight="false" outlineLevel="0" collapsed="false">
      <c r="A10" s="372" t="n">
        <v>143</v>
      </c>
      <c r="B10" s="137"/>
      <c r="C10" s="373"/>
      <c r="D10" s="138"/>
      <c r="E10" s="374"/>
    </row>
    <row r="11" customFormat="false" ht="15" hidden="false" customHeight="false" outlineLevel="0" collapsed="false">
      <c r="A11" s="372" t="n">
        <v>144</v>
      </c>
      <c r="B11" s="137"/>
      <c r="C11" s="373"/>
      <c r="D11" s="138"/>
      <c r="E11" s="374"/>
    </row>
    <row r="12" customFormat="false" ht="15" hidden="false" customHeight="false" outlineLevel="0" collapsed="false">
      <c r="A12" s="372" t="n">
        <v>145</v>
      </c>
      <c r="B12" s="137"/>
      <c r="C12" s="373"/>
      <c r="D12" s="138"/>
      <c r="E12" s="374"/>
    </row>
    <row r="13" customFormat="false" ht="15" hidden="false" customHeight="false" outlineLevel="0" collapsed="false">
      <c r="A13" s="372" t="n">
        <v>146</v>
      </c>
      <c r="B13" s="137"/>
      <c r="C13" s="373"/>
      <c r="D13" s="138"/>
      <c r="E13" s="374"/>
    </row>
    <row r="14" customFormat="false" ht="15" hidden="false" customHeight="false" outlineLevel="0" collapsed="false">
      <c r="A14" s="372" t="n">
        <v>147</v>
      </c>
      <c r="B14" s="137"/>
      <c r="C14" s="373"/>
      <c r="D14" s="138"/>
      <c r="E14" s="374"/>
    </row>
    <row r="15" customFormat="false" ht="15" hidden="false" customHeight="false" outlineLevel="0" collapsed="false">
      <c r="A15" s="372" t="n">
        <v>148</v>
      </c>
      <c r="B15" s="137"/>
      <c r="C15" s="373"/>
      <c r="D15" s="138"/>
      <c r="E15" s="374"/>
    </row>
    <row r="16" customFormat="false" ht="15" hidden="false" customHeight="false" outlineLevel="0" collapsed="false">
      <c r="A16" s="372" t="n">
        <v>149</v>
      </c>
      <c r="B16" s="137"/>
      <c r="C16" s="373"/>
      <c r="D16" s="138"/>
      <c r="E16" s="374"/>
    </row>
    <row r="17" customFormat="false" ht="15" hidden="false" customHeight="false" outlineLevel="0" collapsed="false">
      <c r="A17" s="372" t="n">
        <v>150</v>
      </c>
      <c r="B17" s="137"/>
      <c r="C17" s="373"/>
      <c r="D17" s="138"/>
      <c r="E17" s="374"/>
    </row>
    <row r="18" customFormat="false" ht="15" hidden="false" customHeight="false" outlineLevel="0" collapsed="false">
      <c r="A18" s="372" t="n">
        <v>151</v>
      </c>
      <c r="B18" s="137"/>
      <c r="C18" s="373"/>
      <c r="D18" s="138"/>
      <c r="E18" s="374"/>
    </row>
    <row r="19" customFormat="false" ht="15" hidden="false" customHeight="false" outlineLevel="0" collapsed="false">
      <c r="A19" s="372" t="n">
        <v>152</v>
      </c>
      <c r="B19" s="137"/>
      <c r="C19" s="373"/>
      <c r="D19" s="138"/>
      <c r="E19" s="374"/>
    </row>
    <row r="20" customFormat="false" ht="15" hidden="false" customHeight="false" outlineLevel="0" collapsed="false">
      <c r="A20" s="372" t="n">
        <v>153</v>
      </c>
      <c r="B20" s="137"/>
      <c r="C20" s="373"/>
      <c r="D20" s="138"/>
      <c r="E20" s="374"/>
    </row>
    <row r="21" customFormat="false" ht="15" hidden="false" customHeight="false" outlineLevel="0" collapsed="false">
      <c r="A21" s="372" t="n">
        <v>154</v>
      </c>
      <c r="B21" s="137"/>
      <c r="C21" s="373"/>
      <c r="D21" s="138"/>
      <c r="E21" s="374"/>
    </row>
    <row r="22" customFormat="false" ht="15" hidden="false" customHeight="false" outlineLevel="0" collapsed="false">
      <c r="A22" s="372" t="n">
        <v>155</v>
      </c>
      <c r="B22" s="137"/>
      <c r="C22" s="373"/>
      <c r="D22" s="138"/>
      <c r="E22" s="374"/>
    </row>
    <row r="23" customFormat="false" ht="15" hidden="false" customHeight="false" outlineLevel="0" collapsed="false">
      <c r="A23" s="372" t="n">
        <v>156</v>
      </c>
      <c r="B23" s="137"/>
      <c r="C23" s="373"/>
      <c r="D23" s="138"/>
      <c r="E23" s="374"/>
    </row>
    <row r="24" customFormat="false" ht="15" hidden="false" customHeight="false" outlineLevel="0" collapsed="false">
      <c r="A24" s="372" t="n">
        <v>157</v>
      </c>
      <c r="B24" s="137"/>
      <c r="C24" s="373"/>
      <c r="D24" s="138"/>
      <c r="E24" s="374"/>
    </row>
    <row r="25" customFormat="false" ht="15" hidden="false" customHeight="false" outlineLevel="0" collapsed="false">
      <c r="A25" s="372" t="n">
        <v>158</v>
      </c>
      <c r="B25" s="137"/>
      <c r="C25" s="373"/>
      <c r="D25" s="138"/>
      <c r="E25" s="374"/>
    </row>
    <row r="26" customFormat="false" ht="15" hidden="false" customHeight="false" outlineLevel="0" collapsed="false">
      <c r="A26" s="372" t="n">
        <v>159</v>
      </c>
      <c r="B26" s="137"/>
      <c r="C26" s="373"/>
      <c r="D26" s="138"/>
      <c r="E26" s="374"/>
    </row>
    <row r="27" customFormat="false" ht="15" hidden="false" customHeight="false" outlineLevel="0" collapsed="false">
      <c r="A27" s="372" t="n">
        <v>160</v>
      </c>
      <c r="B27" s="137"/>
      <c r="C27" s="373"/>
      <c r="D27" s="138"/>
      <c r="E27" s="374"/>
    </row>
    <row r="28" customFormat="false" ht="15" hidden="false" customHeight="false" outlineLevel="0" collapsed="false">
      <c r="A28" s="372" t="n">
        <v>161</v>
      </c>
      <c r="B28" s="137"/>
      <c r="C28" s="373"/>
      <c r="D28" s="138"/>
      <c r="E28" s="374"/>
    </row>
    <row r="29" customFormat="false" ht="15" hidden="false" customHeight="false" outlineLevel="0" collapsed="false">
      <c r="A29" s="372" t="n">
        <v>162</v>
      </c>
      <c r="B29" s="137"/>
      <c r="C29" s="373"/>
      <c r="D29" s="138"/>
      <c r="E29" s="374"/>
    </row>
    <row r="30" customFormat="false" ht="15" hidden="false" customHeight="false" outlineLevel="0" collapsed="false">
      <c r="A30" s="372" t="n">
        <v>163</v>
      </c>
      <c r="B30" s="137"/>
      <c r="C30" s="373"/>
      <c r="D30" s="138"/>
      <c r="E30" s="374"/>
    </row>
    <row r="31" customFormat="false" ht="15" hidden="false" customHeight="false" outlineLevel="0" collapsed="false">
      <c r="A31" s="372" t="n">
        <v>164</v>
      </c>
      <c r="B31" s="137"/>
      <c r="C31" s="373"/>
      <c r="D31" s="138"/>
      <c r="E31" s="374"/>
    </row>
    <row r="32" customFormat="false" ht="15" hidden="false" customHeight="false" outlineLevel="0" collapsed="false">
      <c r="A32" s="372" t="n">
        <v>165</v>
      </c>
      <c r="B32" s="137"/>
      <c r="C32" s="373"/>
      <c r="D32" s="138"/>
      <c r="E32" s="374"/>
    </row>
    <row r="33" customFormat="false" ht="15" hidden="false" customHeight="false" outlineLevel="0" collapsed="false">
      <c r="A33" s="372" t="n">
        <v>166</v>
      </c>
      <c r="B33" s="137"/>
      <c r="C33" s="373"/>
      <c r="D33" s="138"/>
      <c r="E33" s="374"/>
    </row>
    <row r="34" customFormat="false" ht="15" hidden="false" customHeight="false" outlineLevel="0" collapsed="false">
      <c r="A34" s="372" t="n">
        <v>167</v>
      </c>
      <c r="B34" s="137"/>
      <c r="C34" s="373"/>
      <c r="D34" s="138"/>
      <c r="E34" s="374"/>
    </row>
    <row r="35" customFormat="false" ht="15" hidden="false" customHeight="false" outlineLevel="0" collapsed="false">
      <c r="A35" s="372" t="n">
        <v>168</v>
      </c>
      <c r="B35" s="137"/>
      <c r="C35" s="373"/>
      <c r="D35" s="138"/>
      <c r="E35" s="374"/>
    </row>
    <row r="36" customFormat="false" ht="15" hidden="false" customHeight="false" outlineLevel="0" collapsed="false">
      <c r="A36" s="372" t="n">
        <v>169</v>
      </c>
      <c r="B36" s="137"/>
      <c r="C36" s="373"/>
      <c r="D36" s="138"/>
      <c r="E36" s="374"/>
    </row>
    <row r="37" customFormat="false" ht="15" hidden="false" customHeight="false" outlineLevel="0" collapsed="false">
      <c r="A37" s="372" t="n">
        <v>170</v>
      </c>
      <c r="B37" s="137"/>
      <c r="C37" s="373"/>
      <c r="D37" s="138"/>
      <c r="E37" s="374"/>
    </row>
    <row r="38" customFormat="false" ht="15" hidden="false" customHeight="false" outlineLevel="0" collapsed="false">
      <c r="A38" s="372" t="n">
        <v>171</v>
      </c>
      <c r="B38" s="137"/>
      <c r="C38" s="373"/>
      <c r="D38" s="138"/>
      <c r="E38" s="374"/>
    </row>
    <row r="39" customFormat="false" ht="15" hidden="false" customHeight="false" outlineLevel="0" collapsed="false">
      <c r="A39" s="372" t="n">
        <v>172</v>
      </c>
      <c r="B39" s="137"/>
      <c r="C39" s="373"/>
      <c r="D39" s="138"/>
      <c r="E39" s="374"/>
    </row>
    <row r="40" customFormat="false" ht="15" hidden="false" customHeight="false" outlineLevel="0" collapsed="false">
      <c r="A40" s="372" t="n">
        <v>173</v>
      </c>
      <c r="B40" s="137"/>
      <c r="C40" s="373"/>
      <c r="D40" s="138"/>
      <c r="E40" s="374"/>
    </row>
    <row r="41" customFormat="false" ht="15" hidden="false" customHeight="false" outlineLevel="0" collapsed="false">
      <c r="A41" s="372" t="n">
        <v>174</v>
      </c>
      <c r="B41" s="137"/>
      <c r="C41" s="373"/>
      <c r="D41" s="138"/>
      <c r="E41" s="374"/>
    </row>
    <row r="42" customFormat="false" ht="15" hidden="false" customHeight="false" outlineLevel="0" collapsed="false">
      <c r="A42" s="372" t="n">
        <v>175</v>
      </c>
      <c r="B42" s="137"/>
      <c r="C42" s="373"/>
      <c r="D42" s="138"/>
      <c r="E42" s="374"/>
    </row>
    <row r="43" customFormat="false" ht="15" hidden="false" customHeight="false" outlineLevel="0" collapsed="false">
      <c r="A43" s="372" t="n">
        <v>176</v>
      </c>
      <c r="B43" s="137"/>
      <c r="C43" s="373"/>
      <c r="D43" s="138"/>
      <c r="E43" s="374"/>
    </row>
    <row r="44" customFormat="false" ht="15" hidden="false" customHeight="false" outlineLevel="0" collapsed="false">
      <c r="A44" s="372" t="n">
        <v>177</v>
      </c>
      <c r="B44" s="137"/>
      <c r="C44" s="373"/>
      <c r="D44" s="138"/>
      <c r="E44" s="374"/>
    </row>
    <row r="45" customFormat="false" ht="15" hidden="false" customHeight="false" outlineLevel="0" collapsed="false">
      <c r="A45" s="372" t="n">
        <v>178</v>
      </c>
      <c r="B45" s="137"/>
      <c r="C45" s="373"/>
      <c r="D45" s="138"/>
      <c r="E45" s="374"/>
    </row>
    <row r="46" customFormat="false" ht="15" hidden="false" customHeight="false" outlineLevel="0" collapsed="false">
      <c r="A46" s="372" t="n">
        <v>179</v>
      </c>
      <c r="B46" s="137"/>
      <c r="C46" s="373"/>
      <c r="D46" s="138"/>
      <c r="E46" s="374"/>
    </row>
    <row r="47" customFormat="false" ht="15" hidden="false" customHeight="false" outlineLevel="0" collapsed="false">
      <c r="A47" s="372" t="n">
        <v>180</v>
      </c>
      <c r="B47" s="137"/>
      <c r="C47" s="373"/>
      <c r="D47" s="138"/>
      <c r="E47" s="374"/>
    </row>
    <row r="48" customFormat="false" ht="15" hidden="false" customHeight="false" outlineLevel="0" collapsed="false">
      <c r="A48" s="372" t="n">
        <v>181</v>
      </c>
      <c r="B48" s="137"/>
      <c r="C48" s="373"/>
      <c r="D48" s="138"/>
      <c r="E48" s="374"/>
    </row>
    <row r="49" customFormat="false" ht="15" hidden="false" customHeight="false" outlineLevel="0" collapsed="false">
      <c r="A49" s="372" t="n">
        <v>182</v>
      </c>
      <c r="B49" s="137"/>
      <c r="C49" s="373"/>
      <c r="D49" s="138"/>
      <c r="E49" s="374"/>
    </row>
    <row r="50" customFormat="false" ht="15" hidden="false" customHeight="false" outlineLevel="0" collapsed="false">
      <c r="A50" s="372" t="n">
        <v>183</v>
      </c>
      <c r="B50" s="137"/>
      <c r="C50" s="373"/>
      <c r="D50" s="138"/>
      <c r="E50" s="374"/>
    </row>
    <row r="51" customFormat="false" ht="15" hidden="false" customHeight="false" outlineLevel="0" collapsed="false">
      <c r="A51" s="372" t="n">
        <v>184</v>
      </c>
      <c r="B51" s="137"/>
      <c r="C51" s="373"/>
      <c r="D51" s="138"/>
      <c r="E51" s="374"/>
    </row>
    <row r="52" customFormat="false" ht="15" hidden="false" customHeight="false" outlineLevel="0" collapsed="false">
      <c r="A52" s="372" t="n">
        <v>185</v>
      </c>
      <c r="B52" s="137"/>
      <c r="C52" s="373"/>
      <c r="D52" s="138"/>
      <c r="E52" s="374"/>
    </row>
    <row r="53" customFormat="false" ht="15" hidden="false" customHeight="false" outlineLevel="0" collapsed="false">
      <c r="A53" s="372" t="n">
        <v>186</v>
      </c>
      <c r="B53" s="137"/>
      <c r="C53" s="373"/>
      <c r="D53" s="138"/>
      <c r="E53" s="374"/>
    </row>
    <row r="54" customFormat="false" ht="15" hidden="false" customHeight="false" outlineLevel="0" collapsed="false">
      <c r="A54" s="372" t="n">
        <v>187</v>
      </c>
      <c r="B54" s="137"/>
      <c r="C54" s="373"/>
      <c r="D54" s="138"/>
      <c r="E54" s="374"/>
    </row>
    <row r="55" customFormat="false" ht="15" hidden="false" customHeight="false" outlineLevel="0" collapsed="false">
      <c r="A55" s="372" t="n">
        <v>188</v>
      </c>
      <c r="B55" s="137"/>
      <c r="C55" s="373"/>
      <c r="D55" s="138"/>
      <c r="E55" s="374"/>
    </row>
    <row r="56" customFormat="false" ht="15" hidden="false" customHeight="false" outlineLevel="0" collapsed="false">
      <c r="A56" s="372" t="n">
        <v>189</v>
      </c>
      <c r="B56" s="137"/>
      <c r="C56" s="373"/>
      <c r="D56" s="138"/>
      <c r="E56" s="374"/>
    </row>
    <row r="57" customFormat="false" ht="15" hidden="false" customHeight="false" outlineLevel="0" collapsed="false">
      <c r="A57" s="372" t="n">
        <v>190</v>
      </c>
      <c r="B57" s="137"/>
      <c r="C57" s="373"/>
      <c r="D57" s="138"/>
      <c r="E57" s="374"/>
    </row>
    <row r="58" customFormat="false" ht="15" hidden="false" customHeight="false" outlineLevel="0" collapsed="false">
      <c r="A58" s="372" t="n">
        <v>191</v>
      </c>
      <c r="B58" s="137"/>
      <c r="C58" s="373"/>
      <c r="D58" s="138"/>
      <c r="E58" s="374"/>
    </row>
    <row r="59" customFormat="false" ht="15" hidden="false" customHeight="false" outlineLevel="0" collapsed="false">
      <c r="A59" s="372" t="n">
        <v>192</v>
      </c>
      <c r="B59" s="141"/>
      <c r="C59" s="375"/>
      <c r="D59" s="142"/>
      <c r="E59" s="376"/>
    </row>
    <row r="60" customFormat="false" ht="15" hidden="false" customHeight="false" outlineLevel="0" collapsed="false">
      <c r="A60" s="377" t="s">
        <v>70</v>
      </c>
      <c r="B60" s="146"/>
      <c r="C60" s="378"/>
      <c r="D60" s="147"/>
      <c r="E60" s="37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J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.29"/>
    <col collapsed="false" customWidth="true" hidden="false" outlineLevel="0" max="7" min="2" style="0" width="17.86"/>
    <col collapsed="false" customWidth="true" hidden="false" outlineLevel="0" max="10" min="8" style="0" width="10.29"/>
    <col collapsed="false" customWidth="true" hidden="false" outlineLevel="0" max="11" min="11" style="0" width="24.42"/>
    <col collapsed="false" customWidth="true" hidden="false" outlineLevel="0" max="12" min="12" style="0" width="24.29"/>
    <col collapsed="false" customWidth="true" hidden="false" outlineLevel="0" max="13" min="13" style="0" width="33.71"/>
    <col collapsed="false" customWidth="true" hidden="false" outlineLevel="0" max="14" min="14" style="0" width="24.42"/>
    <col collapsed="false" customWidth="true" hidden="false" outlineLevel="0" max="15" min="15" style="0" width="24.29"/>
    <col collapsed="false" customWidth="true" hidden="false" outlineLevel="0" max="16" min="16" style="0" width="33.71"/>
    <col collapsed="false" customWidth="true" hidden="false" outlineLevel="0" max="17" min="17" style="0" width="24.42"/>
    <col collapsed="false" customWidth="true" hidden="false" outlineLevel="0" max="18" min="18" style="0" width="24.29"/>
    <col collapsed="false" customWidth="true" hidden="false" outlineLevel="0" max="19" min="19" style="0" width="33.71"/>
  </cols>
  <sheetData>
    <row r="1" s="24" customFormat="true" ht="15" hidden="false" customHeight="false" outlineLevel="0" collapsed="false">
      <c r="A1" s="24" t="s">
        <v>1282</v>
      </c>
    </row>
    <row r="2" customFormat="false" ht="15" hidden="true" customHeight="false" outlineLevel="0" collapsed="false">
      <c r="A2" s="166" t="s">
        <v>1281</v>
      </c>
      <c r="B2" s="167" t="s">
        <v>351</v>
      </c>
    </row>
    <row r="3" customFormat="false" ht="15" hidden="false" customHeight="false" outlineLevel="0" collapsed="false">
      <c r="E3" s="24" t="s">
        <v>1283</v>
      </c>
      <c r="H3" s="24" t="s">
        <v>1284</v>
      </c>
    </row>
    <row r="4" customFormat="false" ht="15" hidden="true" customHeight="false" outlineLevel="0" collapsed="false">
      <c r="A4" s="128" t="s">
        <v>74</v>
      </c>
      <c r="B4" s="30"/>
      <c r="C4" s="30"/>
      <c r="D4" s="31"/>
    </row>
    <row r="5" customFormat="false" ht="15" hidden="false" customHeight="false" outlineLevel="0" collapsed="false">
      <c r="A5" s="380" t="n">
        <v>2023</v>
      </c>
      <c r="B5" s="366" t="n">
        <v>2024</v>
      </c>
      <c r="C5" s="366" t="n">
        <v>2025</v>
      </c>
      <c r="D5" s="367" t="n">
        <v>2026</v>
      </c>
      <c r="E5" s="381" t="n">
        <v>2023</v>
      </c>
      <c r="F5" s="381" t="n">
        <v>2024</v>
      </c>
      <c r="G5" s="381" t="n">
        <v>2025</v>
      </c>
      <c r="H5" s="381" t="n">
        <v>2023</v>
      </c>
      <c r="I5" s="381" t="n">
        <v>2024</v>
      </c>
      <c r="J5" s="381" t="n">
        <v>2025</v>
      </c>
    </row>
    <row r="6" s="371" customFormat="true" ht="18" hidden="false" customHeight="true" outlineLevel="0" collapsed="false">
      <c r="A6" s="382" t="n">
        <v>6643030</v>
      </c>
      <c r="B6" s="383" t="n">
        <v>4371920</v>
      </c>
      <c r="C6" s="383" t="n">
        <v>7098140</v>
      </c>
      <c r="D6" s="384" t="n">
        <v>1297240</v>
      </c>
      <c r="E6" s="120" t="n">
        <v>4</v>
      </c>
      <c r="F6" s="120" t="n">
        <v>11</v>
      </c>
      <c r="G6" s="120" t="n">
        <v>4</v>
      </c>
      <c r="H6" s="120" t="n">
        <f aca="false">B6/E6</f>
        <v>62715</v>
      </c>
      <c r="I6" s="120" t="n">
        <f aca="false">C6/F6</f>
        <v>645285.454545455</v>
      </c>
      <c r="J6" s="120" t="n">
        <f aca="false">D6/G6</f>
        <v>324310</v>
      </c>
    </row>
    <row r="7" customFormat="false" ht="18" hidden="false" customHeight="true" outlineLevel="0" collapsed="false">
      <c r="E7" s="120" t="n">
        <v>29</v>
      </c>
      <c r="F7" s="120" t="n">
        <v>25</v>
      </c>
      <c r="G7" s="120" t="n">
        <v>28</v>
      </c>
      <c r="H7" s="120" t="n">
        <f aca="false">B7/E7</f>
        <v>178486.206896552</v>
      </c>
      <c r="I7" s="120" t="n">
        <f aca="false">C7/F7</f>
        <v>0</v>
      </c>
      <c r="J7" s="120" t="n">
        <f aca="false">D7/G7</f>
        <v>0</v>
      </c>
    </row>
    <row r="8" customFormat="false" ht="18" hidden="false" customHeight="true" outlineLevel="0" collapsed="false">
      <c r="E8" s="120" t="n">
        <v>10</v>
      </c>
      <c r="F8" s="120"/>
      <c r="G8" s="120" t="n">
        <v>9</v>
      </c>
      <c r="H8" s="120" t="n">
        <f aca="false">B8/E8</f>
        <v>121607</v>
      </c>
      <c r="I8" s="120"/>
      <c r="J8" s="120" t="n">
        <f aca="false">D8/G8</f>
        <v>0</v>
      </c>
    </row>
    <row r="9" customFormat="false" ht="15" hidden="false" customHeight="false" outlineLevel="0" collapsed="false">
      <c r="E9" s="385" t="n">
        <f aca="false">SUM(E6:E8)</f>
        <v>43</v>
      </c>
      <c r="F9" s="385" t="n">
        <f aca="false">SUM(F6:F8)</f>
        <v>36</v>
      </c>
      <c r="G9" s="385" t="n">
        <f aca="false">SUM(G6:G8)</f>
        <v>41</v>
      </c>
      <c r="H9" s="385" t="n">
        <f aca="false">B9/E9</f>
        <v>154489.069767442</v>
      </c>
      <c r="I9" s="385" t="n">
        <f aca="false">C9/F9</f>
        <v>0</v>
      </c>
      <c r="J9" s="385" t="n">
        <f aca="false">D9/G9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37" activePane="bottomLeft" state="frozen"/>
      <selection pane="topLeft" activeCell="A1" activeCellId="0" sqref="A1"/>
      <selection pane="bottomLeft" activeCell="I158" activeCellId="0" sqref="I158"/>
    </sheetView>
  </sheetViews>
  <sheetFormatPr defaultColWidth="8.859375" defaultRowHeight="14.25" customHeight="true" zeroHeight="false" outlineLevelRow="0" outlineLevelCol="0"/>
  <cols>
    <col collapsed="false" customWidth="true" hidden="false" outlineLevel="0" max="1" min="1" style="386" width="23.86"/>
    <col collapsed="false" customWidth="true" hidden="false" outlineLevel="0" max="2" min="2" style="386" width="24.29"/>
    <col collapsed="false" customWidth="false" hidden="false" outlineLevel="0" max="3" min="3" style="386" width="8.86"/>
    <col collapsed="false" customWidth="true" hidden="false" outlineLevel="0" max="4" min="4" style="386" width="12.42"/>
    <col collapsed="false" customWidth="true" hidden="false" outlineLevel="0" max="5" min="5" style="386" width="10.57"/>
    <col collapsed="false" customWidth="true" hidden="false" outlineLevel="0" max="6" min="6" style="386" width="18.29"/>
    <col collapsed="false" customWidth="false" hidden="false" outlineLevel="0" max="7" min="7" style="386" width="8.86"/>
    <col collapsed="false" customWidth="true" hidden="false" outlineLevel="0" max="8" min="8" style="386" width="10.42"/>
    <col collapsed="false" customWidth="false" hidden="false" outlineLevel="0" max="9" min="9" style="386" width="8.86"/>
    <col collapsed="false" customWidth="true" hidden="false" outlineLevel="0" max="10" min="10" style="386" width="9.71"/>
    <col collapsed="false" customWidth="true" hidden="false" outlineLevel="0" max="11" min="11" style="386" width="16.43"/>
    <col collapsed="false" customWidth="false" hidden="false" outlineLevel="0" max="13" min="12" style="386" width="8.86"/>
    <col collapsed="false" customWidth="true" hidden="false" outlineLevel="0" max="14" min="14" style="386" width="14"/>
    <col collapsed="false" customWidth="true" hidden="false" outlineLevel="0" max="16" min="15" style="386" width="13.29"/>
    <col collapsed="false" customWidth="false" hidden="false" outlineLevel="0" max="17" min="17" style="386" width="8.86"/>
    <col collapsed="false" customWidth="true" hidden="false" outlineLevel="0" max="18" min="18" style="386" width="14.29"/>
    <col collapsed="false" customWidth="true" hidden="false" outlineLevel="0" max="19" min="19" style="386" width="19"/>
    <col collapsed="false" customWidth="true" hidden="false" outlineLevel="0" max="20" min="20" style="386" width="19.29"/>
    <col collapsed="false" customWidth="true" hidden="false" outlineLevel="0" max="21" min="21" style="386" width="23.29"/>
    <col collapsed="false" customWidth="true" hidden="false" outlineLevel="0" max="22" min="22" style="386" width="17.42"/>
    <col collapsed="false" customWidth="true" hidden="false" outlineLevel="0" max="23" min="23" style="386" width="11.43"/>
    <col collapsed="false" customWidth="true" hidden="false" outlineLevel="0" max="24" min="24" style="386" width="19.71"/>
    <col collapsed="false" customWidth="true" hidden="false" outlineLevel="0" max="25" min="25" style="386" width="20"/>
    <col collapsed="false" customWidth="false" hidden="false" outlineLevel="0" max="16384" min="26" style="386" width="8.86"/>
  </cols>
  <sheetData>
    <row r="1" s="389" customFormat="true" ht="21" hidden="false" customHeight="true" outlineLevel="0" collapsed="false">
      <c r="A1" s="387" t="s">
        <v>1285</v>
      </c>
      <c r="B1" s="387" t="s">
        <v>1286</v>
      </c>
      <c r="C1" s="388" t="s">
        <v>1287</v>
      </c>
      <c r="D1" s="388" t="s">
        <v>1288</v>
      </c>
      <c r="E1" s="388" t="s">
        <v>1289</v>
      </c>
      <c r="F1" s="388" t="s">
        <v>1290</v>
      </c>
      <c r="G1" s="388" t="s">
        <v>31</v>
      </c>
      <c r="H1" s="388" t="s">
        <v>74</v>
      </c>
      <c r="I1" s="388" t="s">
        <v>34</v>
      </c>
      <c r="J1" s="388" t="s">
        <v>1291</v>
      </c>
      <c r="K1" s="388" t="s">
        <v>1292</v>
      </c>
      <c r="L1" s="387" t="s">
        <v>1293</v>
      </c>
      <c r="M1" s="387" t="s">
        <v>1294</v>
      </c>
      <c r="N1" s="387" t="s">
        <v>1295</v>
      </c>
      <c r="O1" s="387" t="s">
        <v>1296</v>
      </c>
      <c r="P1" s="387" t="s">
        <v>1297</v>
      </c>
      <c r="Q1" s="387" t="s">
        <v>1298</v>
      </c>
      <c r="R1" s="387" t="s">
        <v>1299</v>
      </c>
      <c r="S1" s="387" t="s">
        <v>1300</v>
      </c>
      <c r="T1" s="388" t="s">
        <v>1301</v>
      </c>
      <c r="U1" s="388" t="s">
        <v>1302</v>
      </c>
      <c r="V1" s="388" t="s">
        <v>1303</v>
      </c>
      <c r="W1" s="387" t="s">
        <v>1304</v>
      </c>
      <c r="X1" s="388" t="s">
        <v>1305</v>
      </c>
      <c r="Y1" s="388" t="s">
        <v>1306</v>
      </c>
    </row>
    <row r="2" s="389" customFormat="true" ht="21" hidden="false" customHeight="true" outlineLevel="0" collapsed="false">
      <c r="A2" s="390" t="s">
        <v>1307</v>
      </c>
      <c r="B2" s="390" t="s">
        <v>1308</v>
      </c>
      <c r="C2" s="391" t="s">
        <v>1309</v>
      </c>
      <c r="D2" s="391"/>
      <c r="E2" s="391" t="s">
        <v>1310</v>
      </c>
      <c r="F2" s="392" t="s">
        <v>1311</v>
      </c>
      <c r="G2" s="391" t="s">
        <v>95</v>
      </c>
      <c r="H2" s="391" t="n">
        <v>2024</v>
      </c>
      <c r="I2" s="391" t="s">
        <v>167</v>
      </c>
      <c r="J2" s="391" t="s">
        <v>1312</v>
      </c>
      <c r="K2" s="391" t="s">
        <v>1313</v>
      </c>
      <c r="L2" s="393" t="n">
        <v>10</v>
      </c>
      <c r="M2" s="394"/>
      <c r="N2" s="395" t="n">
        <v>1</v>
      </c>
      <c r="O2" s="396" t="n">
        <v>8</v>
      </c>
      <c r="P2" s="396" t="n">
        <v>70</v>
      </c>
      <c r="Q2" s="393" t="n">
        <v>10</v>
      </c>
      <c r="R2" s="394"/>
      <c r="S2" s="394"/>
      <c r="T2" s="394"/>
      <c r="U2" s="394"/>
      <c r="V2" s="394"/>
      <c r="W2" s="394"/>
      <c r="X2" s="393" t="n">
        <v>300</v>
      </c>
      <c r="Y2" s="393" t="n">
        <v>445</v>
      </c>
    </row>
    <row r="3" s="389" customFormat="true" ht="21" hidden="false" customHeight="true" outlineLevel="0" collapsed="false">
      <c r="A3" s="390" t="s">
        <v>1314</v>
      </c>
      <c r="B3" s="390" t="s">
        <v>1308</v>
      </c>
      <c r="C3" s="391" t="s">
        <v>1315</v>
      </c>
      <c r="D3" s="391"/>
      <c r="E3" s="391" t="s">
        <v>1310</v>
      </c>
      <c r="F3" s="392" t="s">
        <v>1311</v>
      </c>
      <c r="G3" s="391" t="s">
        <v>1316</v>
      </c>
      <c r="H3" s="391" t="n">
        <v>2024</v>
      </c>
      <c r="I3" s="391" t="s">
        <v>1317</v>
      </c>
      <c r="J3" s="391" t="s">
        <v>1312</v>
      </c>
      <c r="K3" s="391" t="s">
        <v>1318</v>
      </c>
      <c r="L3" s="393" t="n">
        <v>18</v>
      </c>
      <c r="M3" s="394"/>
      <c r="N3" s="395" t="n">
        <v>1</v>
      </c>
      <c r="O3" s="396" t="n">
        <v>8</v>
      </c>
      <c r="P3" s="396" t="n">
        <v>126</v>
      </c>
      <c r="Q3" s="393" t="n">
        <v>18</v>
      </c>
      <c r="R3" s="394"/>
      <c r="S3" s="394"/>
      <c r="T3" s="394"/>
      <c r="U3" s="394"/>
      <c r="V3" s="394"/>
      <c r="W3" s="394"/>
      <c r="X3" s="393" t="n">
        <v>396.195</v>
      </c>
      <c r="Y3" s="393" t="n">
        <v>801</v>
      </c>
    </row>
    <row r="4" s="389" customFormat="true" ht="21" hidden="false" customHeight="true" outlineLevel="0" collapsed="false">
      <c r="A4" s="390" t="s">
        <v>1314</v>
      </c>
      <c r="B4" s="390" t="s">
        <v>1308</v>
      </c>
      <c r="C4" s="391" t="s">
        <v>1315</v>
      </c>
      <c r="D4" s="391"/>
      <c r="E4" s="391" t="s">
        <v>1310</v>
      </c>
      <c r="F4" s="392" t="s">
        <v>1311</v>
      </c>
      <c r="G4" s="391" t="s">
        <v>1316</v>
      </c>
      <c r="H4" s="391" t="n">
        <v>2024</v>
      </c>
      <c r="I4" s="391" t="s">
        <v>1317</v>
      </c>
      <c r="J4" s="391" t="s">
        <v>1312</v>
      </c>
      <c r="K4" s="391" t="s">
        <v>1318</v>
      </c>
      <c r="L4" s="393" t="n">
        <v>18</v>
      </c>
      <c r="M4" s="394"/>
      <c r="N4" s="395" t="n">
        <v>1</v>
      </c>
      <c r="O4" s="396" t="n">
        <v>8</v>
      </c>
      <c r="P4" s="396" t="n">
        <v>126</v>
      </c>
      <c r="Q4" s="393" t="n">
        <v>18</v>
      </c>
      <c r="R4" s="394"/>
      <c r="S4" s="394"/>
      <c r="T4" s="394"/>
      <c r="U4" s="394"/>
      <c r="V4" s="394"/>
      <c r="W4" s="394"/>
      <c r="X4" s="393" t="n">
        <v>396.196</v>
      </c>
      <c r="Y4" s="393" t="n">
        <v>801</v>
      </c>
    </row>
    <row r="5" s="389" customFormat="true" ht="21" hidden="false" customHeight="true" outlineLevel="0" collapsed="false">
      <c r="A5" s="390" t="s">
        <v>1314</v>
      </c>
      <c r="B5" s="390" t="s">
        <v>1308</v>
      </c>
      <c r="C5" s="391" t="s">
        <v>1315</v>
      </c>
      <c r="D5" s="391"/>
      <c r="E5" s="391" t="s">
        <v>1310</v>
      </c>
      <c r="F5" s="392" t="s">
        <v>1311</v>
      </c>
      <c r="G5" s="391" t="s">
        <v>1316</v>
      </c>
      <c r="H5" s="391" t="n">
        <v>2024</v>
      </c>
      <c r="I5" s="391" t="s">
        <v>1317</v>
      </c>
      <c r="J5" s="391" t="s">
        <v>1312</v>
      </c>
      <c r="K5" s="391" t="s">
        <v>1318</v>
      </c>
      <c r="L5" s="393" t="n">
        <v>18</v>
      </c>
      <c r="M5" s="394"/>
      <c r="N5" s="395" t="n">
        <v>1</v>
      </c>
      <c r="O5" s="396" t="n">
        <v>8</v>
      </c>
      <c r="P5" s="396" t="n">
        <v>126</v>
      </c>
      <c r="Q5" s="393" t="n">
        <v>18</v>
      </c>
      <c r="R5" s="394"/>
      <c r="S5" s="394"/>
      <c r="T5" s="394"/>
      <c r="U5" s="394"/>
      <c r="V5" s="394"/>
      <c r="W5" s="394"/>
      <c r="X5" s="393" t="n">
        <v>396.196</v>
      </c>
      <c r="Y5" s="393" t="n">
        <v>801</v>
      </c>
    </row>
    <row r="6" s="389" customFormat="true" ht="21" hidden="false" customHeight="true" outlineLevel="0" collapsed="false">
      <c r="A6" s="390" t="s">
        <v>1314</v>
      </c>
      <c r="B6" s="390" t="s">
        <v>1308</v>
      </c>
      <c r="C6" s="391" t="s">
        <v>1315</v>
      </c>
      <c r="D6" s="391"/>
      <c r="E6" s="391" t="s">
        <v>1310</v>
      </c>
      <c r="F6" s="392" t="s">
        <v>1311</v>
      </c>
      <c r="G6" s="391" t="s">
        <v>1316</v>
      </c>
      <c r="H6" s="391" t="n">
        <v>2024</v>
      </c>
      <c r="I6" s="391" t="s">
        <v>1317</v>
      </c>
      <c r="J6" s="391" t="s">
        <v>1312</v>
      </c>
      <c r="K6" s="391" t="s">
        <v>1318</v>
      </c>
      <c r="L6" s="393" t="n">
        <v>18</v>
      </c>
      <c r="M6" s="394"/>
      <c r="N6" s="395" t="n">
        <v>1</v>
      </c>
      <c r="O6" s="396" t="n">
        <v>8</v>
      </c>
      <c r="P6" s="396" t="n">
        <v>126</v>
      </c>
      <c r="Q6" s="393" t="n">
        <v>18</v>
      </c>
      <c r="R6" s="394"/>
      <c r="S6" s="394"/>
      <c r="T6" s="394"/>
      <c r="U6" s="394"/>
      <c r="V6" s="394"/>
      <c r="W6" s="394"/>
      <c r="X6" s="393" t="n">
        <v>396.196</v>
      </c>
      <c r="Y6" s="393" t="n">
        <v>801</v>
      </c>
    </row>
    <row r="7" s="389" customFormat="true" ht="21" hidden="false" customHeight="true" outlineLevel="0" collapsed="false">
      <c r="A7" s="390" t="s">
        <v>1314</v>
      </c>
      <c r="B7" s="390" t="s">
        <v>1308</v>
      </c>
      <c r="C7" s="391" t="s">
        <v>1315</v>
      </c>
      <c r="D7" s="391"/>
      <c r="E7" s="391" t="s">
        <v>1310</v>
      </c>
      <c r="F7" s="392" t="s">
        <v>1311</v>
      </c>
      <c r="G7" s="391" t="s">
        <v>1316</v>
      </c>
      <c r="H7" s="391" t="n">
        <v>2024</v>
      </c>
      <c r="I7" s="391" t="s">
        <v>1317</v>
      </c>
      <c r="J7" s="391" t="s">
        <v>1312</v>
      </c>
      <c r="K7" s="391" t="s">
        <v>1318</v>
      </c>
      <c r="L7" s="393" t="n">
        <v>20</v>
      </c>
      <c r="M7" s="394"/>
      <c r="N7" s="395" t="n">
        <v>1</v>
      </c>
      <c r="O7" s="396" t="n">
        <v>8</v>
      </c>
      <c r="P7" s="396" t="n">
        <v>140</v>
      </c>
      <c r="Q7" s="393" t="n">
        <v>20</v>
      </c>
      <c r="R7" s="394"/>
      <c r="S7" s="394"/>
      <c r="T7" s="394"/>
      <c r="U7" s="394"/>
      <c r="V7" s="394"/>
      <c r="W7" s="394"/>
      <c r="X7" s="393" t="n">
        <v>440.217</v>
      </c>
      <c r="Y7" s="393" t="n">
        <v>890</v>
      </c>
    </row>
    <row r="8" s="389" customFormat="true" ht="21" hidden="false" customHeight="true" outlineLevel="0" collapsed="false">
      <c r="A8" s="390" t="s">
        <v>1319</v>
      </c>
      <c r="B8" s="390" t="s">
        <v>1320</v>
      </c>
      <c r="C8" s="391" t="s">
        <v>1321</v>
      </c>
      <c r="D8" s="391"/>
      <c r="E8" s="391" t="s">
        <v>1310</v>
      </c>
      <c r="F8" s="392" t="s">
        <v>1311</v>
      </c>
      <c r="G8" s="391" t="s">
        <v>1322</v>
      </c>
      <c r="H8" s="391" t="n">
        <v>2024</v>
      </c>
      <c r="I8" s="391" t="s">
        <v>1317</v>
      </c>
      <c r="J8" s="391" t="s">
        <v>1312</v>
      </c>
      <c r="K8" s="391" t="s">
        <v>1323</v>
      </c>
      <c r="L8" s="393" t="n">
        <v>28</v>
      </c>
      <c r="M8" s="394"/>
      <c r="N8" s="395" t="n">
        <v>1</v>
      </c>
      <c r="O8" s="396" t="n">
        <v>8</v>
      </c>
      <c r="P8" s="396" t="n">
        <v>196</v>
      </c>
      <c r="Q8" s="393" t="n">
        <v>28</v>
      </c>
      <c r="R8" s="394"/>
      <c r="S8" s="394"/>
      <c r="T8" s="394"/>
      <c r="U8" s="394"/>
      <c r="V8" s="394"/>
      <c r="W8" s="394"/>
      <c r="X8" s="393" t="n">
        <v>616</v>
      </c>
      <c r="Y8" s="397" t="n">
        <v>1246</v>
      </c>
    </row>
    <row r="9" s="389" customFormat="true" ht="21" hidden="false" customHeight="true" outlineLevel="0" collapsed="false">
      <c r="A9" s="390" t="s">
        <v>1319</v>
      </c>
      <c r="B9" s="390" t="s">
        <v>1320</v>
      </c>
      <c r="C9" s="391" t="s">
        <v>1321</v>
      </c>
      <c r="D9" s="391"/>
      <c r="E9" s="391" t="s">
        <v>1310</v>
      </c>
      <c r="F9" s="392" t="s">
        <v>1311</v>
      </c>
      <c r="G9" s="391" t="s">
        <v>1322</v>
      </c>
      <c r="H9" s="391" t="n">
        <v>2024</v>
      </c>
      <c r="I9" s="391" t="s">
        <v>1317</v>
      </c>
      <c r="J9" s="391" t="s">
        <v>1312</v>
      </c>
      <c r="K9" s="391" t="s">
        <v>1323</v>
      </c>
      <c r="L9" s="393" t="n">
        <v>28</v>
      </c>
      <c r="M9" s="394"/>
      <c r="N9" s="395" t="n">
        <v>1</v>
      </c>
      <c r="O9" s="396" t="n">
        <v>8</v>
      </c>
      <c r="P9" s="396" t="n">
        <v>196</v>
      </c>
      <c r="Q9" s="393" t="n">
        <v>28</v>
      </c>
      <c r="R9" s="394"/>
      <c r="S9" s="394"/>
      <c r="T9" s="394"/>
      <c r="U9" s="394"/>
      <c r="V9" s="394"/>
      <c r="W9" s="394"/>
      <c r="X9" s="393" t="n">
        <v>616</v>
      </c>
      <c r="Y9" s="397" t="n">
        <v>1246</v>
      </c>
    </row>
    <row r="10" s="389" customFormat="true" ht="21" hidden="false" customHeight="true" outlineLevel="0" collapsed="false">
      <c r="A10" s="390" t="s">
        <v>1319</v>
      </c>
      <c r="B10" s="390" t="s">
        <v>1320</v>
      </c>
      <c r="C10" s="391" t="s">
        <v>1321</v>
      </c>
      <c r="D10" s="391"/>
      <c r="E10" s="391" t="s">
        <v>1310</v>
      </c>
      <c r="F10" s="392" t="s">
        <v>1311</v>
      </c>
      <c r="G10" s="391" t="s">
        <v>1322</v>
      </c>
      <c r="H10" s="391" t="n">
        <v>2024</v>
      </c>
      <c r="I10" s="391" t="s">
        <v>1317</v>
      </c>
      <c r="J10" s="391" t="s">
        <v>1312</v>
      </c>
      <c r="K10" s="391" t="s">
        <v>1323</v>
      </c>
      <c r="L10" s="393" t="n">
        <v>24.2</v>
      </c>
      <c r="M10" s="394"/>
      <c r="N10" s="395" t="n">
        <v>1</v>
      </c>
      <c r="O10" s="396" t="n">
        <v>8</v>
      </c>
      <c r="P10" s="396" t="n">
        <v>169.4</v>
      </c>
      <c r="Q10" s="393" t="n">
        <v>24.2</v>
      </c>
      <c r="R10" s="394"/>
      <c r="S10" s="394"/>
      <c r="T10" s="394"/>
      <c r="U10" s="394"/>
      <c r="V10" s="394"/>
      <c r="W10" s="394"/>
      <c r="X10" s="393" t="n">
        <v>532.4</v>
      </c>
      <c r="Y10" s="397" t="n">
        <v>1076.9</v>
      </c>
    </row>
    <row r="11" s="389" customFormat="true" ht="21" hidden="false" customHeight="true" outlineLevel="0" collapsed="false">
      <c r="A11" s="390" t="s">
        <v>1319</v>
      </c>
      <c r="B11" s="390" t="s">
        <v>1320</v>
      </c>
      <c r="C11" s="391" t="s">
        <v>1321</v>
      </c>
      <c r="D11" s="391"/>
      <c r="E11" s="391" t="s">
        <v>1310</v>
      </c>
      <c r="F11" s="392" t="s">
        <v>1311</v>
      </c>
      <c r="G11" s="391" t="s">
        <v>1324</v>
      </c>
      <c r="H11" s="391" t="n">
        <v>2024</v>
      </c>
      <c r="I11" s="391" t="s">
        <v>1317</v>
      </c>
      <c r="J11" s="391" t="s">
        <v>1312</v>
      </c>
      <c r="K11" s="391" t="s">
        <v>1325</v>
      </c>
      <c r="L11" s="393" t="n">
        <v>29.8</v>
      </c>
      <c r="M11" s="394"/>
      <c r="N11" s="395" t="n">
        <v>1</v>
      </c>
      <c r="O11" s="396" t="n">
        <v>8</v>
      </c>
      <c r="P11" s="396" t="n">
        <v>208.6</v>
      </c>
      <c r="Q11" s="393" t="n">
        <v>29.8</v>
      </c>
      <c r="R11" s="394"/>
      <c r="S11" s="394"/>
      <c r="T11" s="394"/>
      <c r="U11" s="394"/>
      <c r="V11" s="394"/>
      <c r="W11" s="394"/>
      <c r="X11" s="393" t="n">
        <v>655.6</v>
      </c>
      <c r="Y11" s="397" t="n">
        <v>1326.1</v>
      </c>
    </row>
    <row r="12" s="389" customFormat="true" ht="21" hidden="false" customHeight="true" outlineLevel="0" collapsed="false">
      <c r="A12" s="390" t="s">
        <v>1326</v>
      </c>
      <c r="B12" s="390" t="s">
        <v>1320</v>
      </c>
      <c r="C12" s="391" t="s">
        <v>1321</v>
      </c>
      <c r="D12" s="391"/>
      <c r="E12" s="391" t="s">
        <v>1310</v>
      </c>
      <c r="F12" s="392" t="s">
        <v>1311</v>
      </c>
      <c r="G12" s="391" t="s">
        <v>1327</v>
      </c>
      <c r="H12" s="391" t="n">
        <v>2024</v>
      </c>
      <c r="I12" s="391" t="s">
        <v>1328</v>
      </c>
      <c r="J12" s="391" t="s">
        <v>1312</v>
      </c>
      <c r="K12" s="391" t="s">
        <v>1329</v>
      </c>
      <c r="L12" s="393" t="n">
        <v>30</v>
      </c>
      <c r="M12" s="394"/>
      <c r="N12" s="395" t="n">
        <v>1</v>
      </c>
      <c r="O12" s="396" t="n">
        <v>8</v>
      </c>
      <c r="P12" s="396" t="n">
        <v>210</v>
      </c>
      <c r="Q12" s="393" t="n">
        <v>30</v>
      </c>
      <c r="R12" s="394"/>
      <c r="S12" s="394"/>
      <c r="T12" s="394"/>
      <c r="U12" s="394"/>
      <c r="V12" s="394"/>
      <c r="W12" s="394"/>
      <c r="X12" s="397" t="n">
        <v>1270</v>
      </c>
      <c r="Y12" s="397" t="n">
        <v>1335</v>
      </c>
    </row>
    <row r="13" s="389" customFormat="true" ht="21" hidden="false" customHeight="true" outlineLevel="0" collapsed="false">
      <c r="A13" s="390" t="s">
        <v>1330</v>
      </c>
      <c r="B13" s="390" t="s">
        <v>1320</v>
      </c>
      <c r="C13" s="391" t="s">
        <v>1321</v>
      </c>
      <c r="D13" s="391"/>
      <c r="E13" s="391" t="s">
        <v>1310</v>
      </c>
      <c r="F13" s="392" t="s">
        <v>1311</v>
      </c>
      <c r="G13" s="391" t="s">
        <v>129</v>
      </c>
      <c r="H13" s="391" t="n">
        <v>2024</v>
      </c>
      <c r="I13" s="391" t="s">
        <v>167</v>
      </c>
      <c r="J13" s="391" t="s">
        <v>1312</v>
      </c>
      <c r="K13" s="391" t="s">
        <v>1331</v>
      </c>
      <c r="L13" s="393" t="n">
        <v>10</v>
      </c>
      <c r="M13" s="394"/>
      <c r="N13" s="395" t="n">
        <v>1</v>
      </c>
      <c r="O13" s="396" t="n">
        <v>16</v>
      </c>
      <c r="P13" s="396" t="n">
        <v>70</v>
      </c>
      <c r="Q13" s="393" t="n">
        <v>10</v>
      </c>
      <c r="R13" s="394"/>
      <c r="S13" s="394"/>
      <c r="T13" s="394"/>
      <c r="U13" s="394"/>
      <c r="V13" s="394"/>
      <c r="W13" s="394"/>
      <c r="X13" s="393" t="n">
        <v>305.317</v>
      </c>
      <c r="Y13" s="393" t="n">
        <v>445</v>
      </c>
    </row>
    <row r="14" s="389" customFormat="true" ht="21" hidden="false" customHeight="true" outlineLevel="0" collapsed="false">
      <c r="A14" s="390" t="s">
        <v>1330</v>
      </c>
      <c r="B14" s="390" t="s">
        <v>1320</v>
      </c>
      <c r="C14" s="391" t="s">
        <v>1321</v>
      </c>
      <c r="D14" s="391"/>
      <c r="E14" s="391" t="s">
        <v>1310</v>
      </c>
      <c r="F14" s="392" t="s">
        <v>1311</v>
      </c>
      <c r="G14" s="391" t="s">
        <v>99</v>
      </c>
      <c r="H14" s="391" t="n">
        <v>2024</v>
      </c>
      <c r="I14" s="391" t="s">
        <v>167</v>
      </c>
      <c r="J14" s="391" t="s">
        <v>1312</v>
      </c>
      <c r="K14" s="391" t="s">
        <v>1332</v>
      </c>
      <c r="L14" s="393" t="n">
        <v>17</v>
      </c>
      <c r="M14" s="394"/>
      <c r="N14" s="395" t="n">
        <v>1</v>
      </c>
      <c r="O14" s="396" t="n">
        <v>8</v>
      </c>
      <c r="P14" s="396" t="n">
        <v>119</v>
      </c>
      <c r="Q14" s="393" t="n">
        <v>17</v>
      </c>
      <c r="R14" s="394"/>
      <c r="S14" s="394"/>
      <c r="T14" s="394"/>
      <c r="U14" s="394"/>
      <c r="V14" s="394"/>
      <c r="W14" s="394"/>
      <c r="X14" s="393" t="n">
        <v>519.043</v>
      </c>
      <c r="Y14" s="393" t="n">
        <v>756.5</v>
      </c>
    </row>
    <row r="15" s="389" customFormat="true" ht="21" hidden="false" customHeight="true" outlineLevel="0" collapsed="false">
      <c r="A15" s="390" t="s">
        <v>1330</v>
      </c>
      <c r="B15" s="390" t="s">
        <v>1320</v>
      </c>
      <c r="C15" s="391" t="s">
        <v>1321</v>
      </c>
      <c r="D15" s="391"/>
      <c r="E15" s="391" t="s">
        <v>1310</v>
      </c>
      <c r="F15" s="392" t="s">
        <v>1311</v>
      </c>
      <c r="G15" s="391" t="s">
        <v>99</v>
      </c>
      <c r="H15" s="391" t="n">
        <v>2024</v>
      </c>
      <c r="I15" s="391" t="s">
        <v>167</v>
      </c>
      <c r="J15" s="391" t="s">
        <v>1312</v>
      </c>
      <c r="K15" s="391" t="s">
        <v>1332</v>
      </c>
      <c r="L15" s="393" t="n">
        <v>17</v>
      </c>
      <c r="M15" s="394"/>
      <c r="N15" s="395" t="n">
        <v>1</v>
      </c>
      <c r="O15" s="396" t="n">
        <v>16</v>
      </c>
      <c r="P15" s="396" t="n">
        <v>119</v>
      </c>
      <c r="Q15" s="393" t="n">
        <v>17</v>
      </c>
      <c r="R15" s="394"/>
      <c r="S15" s="394"/>
      <c r="T15" s="394"/>
      <c r="U15" s="394"/>
      <c r="V15" s="394"/>
      <c r="W15" s="394"/>
      <c r="X15" s="393" t="n">
        <v>519.043</v>
      </c>
      <c r="Y15" s="393" t="n">
        <v>756.5</v>
      </c>
    </row>
    <row r="16" s="389" customFormat="true" ht="21" hidden="false" customHeight="true" outlineLevel="0" collapsed="false">
      <c r="A16" s="390" t="s">
        <v>1330</v>
      </c>
      <c r="B16" s="390" t="s">
        <v>1320</v>
      </c>
      <c r="C16" s="391" t="s">
        <v>1321</v>
      </c>
      <c r="D16" s="391"/>
      <c r="E16" s="391" t="s">
        <v>1310</v>
      </c>
      <c r="F16" s="392" t="s">
        <v>1311</v>
      </c>
      <c r="G16" s="391" t="s">
        <v>99</v>
      </c>
      <c r="H16" s="391" t="n">
        <v>2024</v>
      </c>
      <c r="I16" s="391" t="s">
        <v>167</v>
      </c>
      <c r="J16" s="391" t="s">
        <v>1312</v>
      </c>
      <c r="K16" s="391" t="s">
        <v>1332</v>
      </c>
      <c r="L16" s="393" t="n">
        <v>17</v>
      </c>
      <c r="M16" s="394"/>
      <c r="N16" s="395" t="n">
        <v>1</v>
      </c>
      <c r="O16" s="396" t="n">
        <v>8</v>
      </c>
      <c r="P16" s="396" t="n">
        <v>119</v>
      </c>
      <c r="Q16" s="393" t="n">
        <v>17</v>
      </c>
      <c r="R16" s="394"/>
      <c r="S16" s="394"/>
      <c r="T16" s="394"/>
      <c r="U16" s="394"/>
      <c r="V16" s="394"/>
      <c r="W16" s="394"/>
      <c r="X16" s="393" t="n">
        <v>519.043</v>
      </c>
      <c r="Y16" s="393" t="n">
        <v>756.5</v>
      </c>
    </row>
    <row r="17" s="389" customFormat="true" ht="21" hidden="false" customHeight="true" outlineLevel="0" collapsed="false">
      <c r="A17" s="390" t="s">
        <v>1330</v>
      </c>
      <c r="B17" s="390" t="s">
        <v>1320</v>
      </c>
      <c r="C17" s="391" t="s">
        <v>1321</v>
      </c>
      <c r="D17" s="391"/>
      <c r="E17" s="391" t="s">
        <v>1310</v>
      </c>
      <c r="F17" s="392" t="s">
        <v>1311</v>
      </c>
      <c r="G17" s="391" t="s">
        <v>99</v>
      </c>
      <c r="H17" s="391" t="n">
        <v>2024</v>
      </c>
      <c r="I17" s="391" t="s">
        <v>167</v>
      </c>
      <c r="J17" s="391" t="s">
        <v>1312</v>
      </c>
      <c r="K17" s="391" t="s">
        <v>1332</v>
      </c>
      <c r="L17" s="393" t="n">
        <v>17</v>
      </c>
      <c r="M17" s="394"/>
      <c r="N17" s="395" t="n">
        <v>1</v>
      </c>
      <c r="O17" s="396" t="n">
        <v>16</v>
      </c>
      <c r="P17" s="396" t="n">
        <v>119</v>
      </c>
      <c r="Q17" s="393" t="n">
        <v>17</v>
      </c>
      <c r="R17" s="394"/>
      <c r="S17" s="394"/>
      <c r="T17" s="394"/>
      <c r="U17" s="394"/>
      <c r="V17" s="394"/>
      <c r="W17" s="394"/>
      <c r="X17" s="393" t="n">
        <v>519.043</v>
      </c>
      <c r="Y17" s="393" t="n">
        <v>756.5</v>
      </c>
    </row>
    <row r="18" s="389" customFormat="true" ht="21" hidden="false" customHeight="true" outlineLevel="0" collapsed="false">
      <c r="A18" s="390" t="s">
        <v>1330</v>
      </c>
      <c r="B18" s="390" t="s">
        <v>1320</v>
      </c>
      <c r="C18" s="391" t="s">
        <v>1321</v>
      </c>
      <c r="D18" s="391"/>
      <c r="E18" s="391" t="s">
        <v>1310</v>
      </c>
      <c r="F18" s="392" t="s">
        <v>1311</v>
      </c>
      <c r="G18" s="391" t="s">
        <v>99</v>
      </c>
      <c r="H18" s="391" t="n">
        <v>2024</v>
      </c>
      <c r="I18" s="391" t="s">
        <v>167</v>
      </c>
      <c r="J18" s="391" t="s">
        <v>1312</v>
      </c>
      <c r="K18" s="391" t="s">
        <v>1332</v>
      </c>
      <c r="L18" s="393" t="n">
        <v>16</v>
      </c>
      <c r="M18" s="394"/>
      <c r="N18" s="395" t="n">
        <v>1</v>
      </c>
      <c r="O18" s="396" t="n">
        <v>8</v>
      </c>
      <c r="P18" s="396" t="n">
        <v>112</v>
      </c>
      <c r="Q18" s="393" t="n">
        <v>16</v>
      </c>
      <c r="R18" s="394"/>
      <c r="S18" s="394"/>
      <c r="T18" s="394"/>
      <c r="U18" s="394"/>
      <c r="V18" s="394"/>
      <c r="W18" s="394"/>
      <c r="X18" s="393" t="n">
        <v>488.511</v>
      </c>
      <c r="Y18" s="393" t="n">
        <v>712</v>
      </c>
    </row>
    <row r="19" s="389" customFormat="true" ht="21" hidden="false" customHeight="true" outlineLevel="0" collapsed="false">
      <c r="A19" s="390" t="s">
        <v>1333</v>
      </c>
      <c r="B19" s="390" t="s">
        <v>1320</v>
      </c>
      <c r="C19" s="391" t="s">
        <v>1321</v>
      </c>
      <c r="D19" s="391"/>
      <c r="E19" s="391" t="s">
        <v>1310</v>
      </c>
      <c r="F19" s="392" t="s">
        <v>1311</v>
      </c>
      <c r="G19" s="391" t="s">
        <v>125</v>
      </c>
      <c r="H19" s="391" t="n">
        <v>2024</v>
      </c>
      <c r="I19" s="391" t="s">
        <v>167</v>
      </c>
      <c r="J19" s="391" t="s">
        <v>1312</v>
      </c>
      <c r="K19" s="391" t="s">
        <v>1334</v>
      </c>
      <c r="L19" s="393" t="n">
        <v>15</v>
      </c>
      <c r="M19" s="394"/>
      <c r="N19" s="395" t="n">
        <v>1</v>
      </c>
      <c r="O19" s="396" t="n">
        <v>8</v>
      </c>
      <c r="P19" s="396" t="n">
        <v>105</v>
      </c>
      <c r="Q19" s="393" t="n">
        <v>15</v>
      </c>
      <c r="R19" s="394"/>
      <c r="S19" s="394"/>
      <c r="T19" s="394"/>
      <c r="U19" s="394"/>
      <c r="V19" s="394"/>
      <c r="W19" s="394"/>
      <c r="X19" s="393" t="n">
        <v>452.206</v>
      </c>
      <c r="Y19" s="393" t="n">
        <v>667.5</v>
      </c>
    </row>
    <row r="20" s="389" customFormat="true" ht="21" hidden="false" customHeight="true" outlineLevel="0" collapsed="false">
      <c r="A20" s="390" t="s">
        <v>1333</v>
      </c>
      <c r="B20" s="390" t="s">
        <v>1320</v>
      </c>
      <c r="C20" s="391" t="s">
        <v>1321</v>
      </c>
      <c r="D20" s="391"/>
      <c r="E20" s="391" t="s">
        <v>1310</v>
      </c>
      <c r="F20" s="392" t="s">
        <v>1311</v>
      </c>
      <c r="G20" s="391" t="s">
        <v>123</v>
      </c>
      <c r="H20" s="391" t="n">
        <v>2024</v>
      </c>
      <c r="I20" s="391" t="s">
        <v>167</v>
      </c>
      <c r="J20" s="391" t="s">
        <v>1312</v>
      </c>
      <c r="K20" s="391" t="s">
        <v>1335</v>
      </c>
      <c r="L20" s="393" t="n">
        <v>17</v>
      </c>
      <c r="M20" s="394"/>
      <c r="N20" s="395" t="n">
        <v>1</v>
      </c>
      <c r="O20" s="396" t="n">
        <v>8</v>
      </c>
      <c r="P20" s="396" t="n">
        <v>119</v>
      </c>
      <c r="Q20" s="393" t="n">
        <v>17</v>
      </c>
      <c r="R20" s="394"/>
      <c r="S20" s="394"/>
      <c r="T20" s="394"/>
      <c r="U20" s="394"/>
      <c r="V20" s="394"/>
      <c r="W20" s="394"/>
      <c r="X20" s="393" t="n">
        <v>512.5</v>
      </c>
      <c r="Y20" s="393" t="n">
        <v>756.5</v>
      </c>
    </row>
    <row r="21" s="389" customFormat="true" ht="21" hidden="false" customHeight="true" outlineLevel="0" collapsed="false">
      <c r="A21" s="390" t="s">
        <v>1333</v>
      </c>
      <c r="B21" s="390" t="s">
        <v>1320</v>
      </c>
      <c r="C21" s="391" t="s">
        <v>1321</v>
      </c>
      <c r="D21" s="391"/>
      <c r="E21" s="391" t="s">
        <v>1310</v>
      </c>
      <c r="F21" s="392" t="s">
        <v>1311</v>
      </c>
      <c r="G21" s="391" t="s">
        <v>123</v>
      </c>
      <c r="H21" s="391" t="n">
        <v>2024</v>
      </c>
      <c r="I21" s="391" t="s">
        <v>167</v>
      </c>
      <c r="J21" s="391" t="s">
        <v>1312</v>
      </c>
      <c r="K21" s="391" t="s">
        <v>1335</v>
      </c>
      <c r="L21" s="393" t="n">
        <v>17</v>
      </c>
      <c r="M21" s="394"/>
      <c r="N21" s="395" t="n">
        <v>1</v>
      </c>
      <c r="O21" s="396" t="n">
        <v>8</v>
      </c>
      <c r="P21" s="396" t="n">
        <v>119</v>
      </c>
      <c r="Q21" s="393" t="n">
        <v>17</v>
      </c>
      <c r="R21" s="394"/>
      <c r="S21" s="394"/>
      <c r="T21" s="394"/>
      <c r="U21" s="394"/>
      <c r="V21" s="394"/>
      <c r="W21" s="394"/>
      <c r="X21" s="393" t="n">
        <v>512.5</v>
      </c>
      <c r="Y21" s="393" t="n">
        <v>756.5</v>
      </c>
    </row>
    <row r="22" s="389" customFormat="true" ht="21" hidden="false" customHeight="true" outlineLevel="0" collapsed="false">
      <c r="A22" s="390" t="s">
        <v>1333</v>
      </c>
      <c r="B22" s="390" t="s">
        <v>1320</v>
      </c>
      <c r="C22" s="391" t="s">
        <v>1321</v>
      </c>
      <c r="D22" s="391"/>
      <c r="E22" s="391" t="s">
        <v>1310</v>
      </c>
      <c r="F22" s="392" t="s">
        <v>1311</v>
      </c>
      <c r="G22" s="391" t="s">
        <v>123</v>
      </c>
      <c r="H22" s="391" t="n">
        <v>2024</v>
      </c>
      <c r="I22" s="391" t="s">
        <v>167</v>
      </c>
      <c r="J22" s="391" t="s">
        <v>1312</v>
      </c>
      <c r="K22" s="391" t="s">
        <v>1335</v>
      </c>
      <c r="L22" s="393" t="n">
        <v>19</v>
      </c>
      <c r="M22" s="394"/>
      <c r="N22" s="395" t="n">
        <v>1</v>
      </c>
      <c r="O22" s="396" t="n">
        <v>8</v>
      </c>
      <c r="P22" s="396" t="n">
        <v>133</v>
      </c>
      <c r="Q22" s="393" t="n">
        <v>19</v>
      </c>
      <c r="R22" s="394"/>
      <c r="S22" s="394"/>
      <c r="T22" s="394"/>
      <c r="U22" s="394"/>
      <c r="V22" s="394"/>
      <c r="W22" s="394"/>
      <c r="X22" s="393" t="n">
        <v>572.794</v>
      </c>
      <c r="Y22" s="393" t="n">
        <v>845.5</v>
      </c>
    </row>
    <row r="23" s="389" customFormat="true" ht="21" hidden="false" customHeight="true" outlineLevel="0" collapsed="false">
      <c r="A23" s="390" t="s">
        <v>1336</v>
      </c>
      <c r="B23" s="390" t="s">
        <v>1337</v>
      </c>
      <c r="C23" s="391" t="s">
        <v>1338</v>
      </c>
      <c r="D23" s="391"/>
      <c r="E23" s="391" t="s">
        <v>1310</v>
      </c>
      <c r="F23" s="392" t="s">
        <v>1311</v>
      </c>
      <c r="G23" s="391" t="s">
        <v>93</v>
      </c>
      <c r="H23" s="391" t="n">
        <v>2024</v>
      </c>
      <c r="I23" s="391" t="s">
        <v>167</v>
      </c>
      <c r="J23" s="391" t="s">
        <v>1312</v>
      </c>
      <c r="K23" s="391" t="s">
        <v>1339</v>
      </c>
      <c r="L23" s="393" t="n">
        <v>8</v>
      </c>
      <c r="M23" s="394"/>
      <c r="N23" s="395" t="n">
        <v>1</v>
      </c>
      <c r="O23" s="396" t="n">
        <v>8</v>
      </c>
      <c r="P23" s="396" t="n">
        <v>56</v>
      </c>
      <c r="Q23" s="393" t="n">
        <v>8</v>
      </c>
      <c r="R23" s="394"/>
      <c r="S23" s="394"/>
      <c r="T23" s="394"/>
      <c r="U23" s="394"/>
      <c r="V23" s="394"/>
      <c r="W23" s="394"/>
      <c r="X23" s="393" t="n">
        <v>225.074</v>
      </c>
      <c r="Y23" s="393" t="n">
        <v>356</v>
      </c>
    </row>
    <row r="24" s="389" customFormat="true" ht="21" hidden="false" customHeight="true" outlineLevel="0" collapsed="false">
      <c r="A24" s="390" t="s">
        <v>1336</v>
      </c>
      <c r="B24" s="390" t="s">
        <v>1337</v>
      </c>
      <c r="C24" s="391" t="s">
        <v>1338</v>
      </c>
      <c r="D24" s="391"/>
      <c r="E24" s="391" t="s">
        <v>1310</v>
      </c>
      <c r="F24" s="392" t="s">
        <v>1311</v>
      </c>
      <c r="G24" s="391" t="s">
        <v>93</v>
      </c>
      <c r="H24" s="391" t="n">
        <v>2024</v>
      </c>
      <c r="I24" s="391" t="s">
        <v>167</v>
      </c>
      <c r="J24" s="391" t="s">
        <v>1312</v>
      </c>
      <c r="K24" s="391" t="s">
        <v>1339</v>
      </c>
      <c r="L24" s="393" t="n">
        <v>15</v>
      </c>
      <c r="M24" s="394"/>
      <c r="N24" s="395" t="n">
        <v>1</v>
      </c>
      <c r="O24" s="396" t="n">
        <v>8</v>
      </c>
      <c r="P24" s="396" t="n">
        <v>105</v>
      </c>
      <c r="Q24" s="393" t="n">
        <v>15</v>
      </c>
      <c r="R24" s="394"/>
      <c r="S24" s="394"/>
      <c r="T24" s="394"/>
      <c r="U24" s="394"/>
      <c r="V24" s="394"/>
      <c r="W24" s="394"/>
      <c r="X24" s="393" t="n">
        <v>422.01</v>
      </c>
      <c r="Y24" s="393" t="n">
        <v>667.5</v>
      </c>
    </row>
    <row r="25" s="389" customFormat="true" ht="21" hidden="false" customHeight="true" outlineLevel="0" collapsed="false">
      <c r="A25" s="390" t="s">
        <v>1336</v>
      </c>
      <c r="B25" s="390" t="s">
        <v>1337</v>
      </c>
      <c r="C25" s="391" t="s">
        <v>1338</v>
      </c>
      <c r="D25" s="391"/>
      <c r="E25" s="391" t="s">
        <v>1310</v>
      </c>
      <c r="F25" s="392" t="s">
        <v>1311</v>
      </c>
      <c r="G25" s="391" t="s">
        <v>93</v>
      </c>
      <c r="H25" s="391" t="n">
        <v>2024</v>
      </c>
      <c r="I25" s="391" t="s">
        <v>167</v>
      </c>
      <c r="J25" s="391" t="s">
        <v>1312</v>
      </c>
      <c r="K25" s="391" t="s">
        <v>1339</v>
      </c>
      <c r="L25" s="393" t="n">
        <v>10</v>
      </c>
      <c r="M25" s="394"/>
      <c r="N25" s="395" t="n">
        <v>1</v>
      </c>
      <c r="O25" s="396" t="n">
        <v>8</v>
      </c>
      <c r="P25" s="396" t="n">
        <v>70</v>
      </c>
      <c r="Q25" s="393" t="n">
        <v>10</v>
      </c>
      <c r="R25" s="394"/>
      <c r="S25" s="394"/>
      <c r="T25" s="394"/>
      <c r="U25" s="394"/>
      <c r="V25" s="394"/>
      <c r="W25" s="394"/>
      <c r="X25" s="393" t="n">
        <v>281.34</v>
      </c>
      <c r="Y25" s="393" t="n">
        <v>445</v>
      </c>
    </row>
    <row r="26" s="389" customFormat="true" ht="21" hidden="false" customHeight="true" outlineLevel="0" collapsed="false">
      <c r="A26" s="390" t="s">
        <v>1336</v>
      </c>
      <c r="B26" s="390" t="s">
        <v>1337</v>
      </c>
      <c r="C26" s="391" t="s">
        <v>1338</v>
      </c>
      <c r="D26" s="391"/>
      <c r="E26" s="391" t="s">
        <v>1310</v>
      </c>
      <c r="F26" s="392" t="s">
        <v>1311</v>
      </c>
      <c r="G26" s="391" t="s">
        <v>125</v>
      </c>
      <c r="H26" s="391" t="n">
        <v>2024</v>
      </c>
      <c r="I26" s="391" t="s">
        <v>167</v>
      </c>
      <c r="J26" s="391" t="s">
        <v>1312</v>
      </c>
      <c r="K26" s="391" t="s">
        <v>1334</v>
      </c>
      <c r="L26" s="393" t="n">
        <v>21</v>
      </c>
      <c r="M26" s="394"/>
      <c r="N26" s="395" t="n">
        <v>1</v>
      </c>
      <c r="O26" s="396" t="n">
        <v>8</v>
      </c>
      <c r="P26" s="396" t="n">
        <v>147</v>
      </c>
      <c r="Q26" s="393" t="n">
        <v>21</v>
      </c>
      <c r="R26" s="394"/>
      <c r="S26" s="394"/>
      <c r="T26" s="394"/>
      <c r="U26" s="394"/>
      <c r="V26" s="394"/>
      <c r="W26" s="394"/>
      <c r="X26" s="393" t="n">
        <v>590.814</v>
      </c>
      <c r="Y26" s="393" t="n">
        <v>934.5</v>
      </c>
    </row>
    <row r="27" s="389" customFormat="true" ht="21" hidden="false" customHeight="true" outlineLevel="0" collapsed="false">
      <c r="A27" s="390" t="s">
        <v>1336</v>
      </c>
      <c r="B27" s="390" t="s">
        <v>1337</v>
      </c>
      <c r="C27" s="391" t="s">
        <v>1338</v>
      </c>
      <c r="D27" s="391"/>
      <c r="E27" s="391" t="s">
        <v>1310</v>
      </c>
      <c r="F27" s="392" t="s">
        <v>1311</v>
      </c>
      <c r="G27" s="391" t="s">
        <v>125</v>
      </c>
      <c r="H27" s="391" t="n">
        <v>2024</v>
      </c>
      <c r="I27" s="391" t="s">
        <v>167</v>
      </c>
      <c r="J27" s="391" t="s">
        <v>1312</v>
      </c>
      <c r="K27" s="391" t="s">
        <v>1334</v>
      </c>
      <c r="L27" s="393" t="n">
        <v>21</v>
      </c>
      <c r="M27" s="394"/>
      <c r="N27" s="395" t="n">
        <v>1</v>
      </c>
      <c r="O27" s="396" t="n">
        <v>8</v>
      </c>
      <c r="P27" s="396" t="n">
        <v>147</v>
      </c>
      <c r="Q27" s="393" t="n">
        <v>21</v>
      </c>
      <c r="R27" s="394"/>
      <c r="S27" s="394"/>
      <c r="T27" s="394"/>
      <c r="U27" s="394"/>
      <c r="V27" s="394"/>
      <c r="W27" s="394"/>
      <c r="X27" s="393" t="n">
        <v>590.814</v>
      </c>
      <c r="Y27" s="393" t="n">
        <v>934.5</v>
      </c>
    </row>
    <row r="28" s="389" customFormat="true" ht="21" hidden="false" customHeight="true" outlineLevel="0" collapsed="false">
      <c r="A28" s="390" t="s">
        <v>1336</v>
      </c>
      <c r="B28" s="390" t="s">
        <v>1337</v>
      </c>
      <c r="C28" s="391" t="s">
        <v>1338</v>
      </c>
      <c r="D28" s="391"/>
      <c r="E28" s="391" t="s">
        <v>1310</v>
      </c>
      <c r="F28" s="392" t="s">
        <v>1311</v>
      </c>
      <c r="G28" s="391" t="s">
        <v>125</v>
      </c>
      <c r="H28" s="391" t="n">
        <v>2024</v>
      </c>
      <c r="I28" s="391" t="s">
        <v>167</v>
      </c>
      <c r="J28" s="391" t="s">
        <v>1312</v>
      </c>
      <c r="K28" s="391" t="s">
        <v>1334</v>
      </c>
      <c r="L28" s="393" t="n">
        <v>22</v>
      </c>
      <c r="M28" s="394"/>
      <c r="N28" s="395" t="n">
        <v>1</v>
      </c>
      <c r="O28" s="396" t="n">
        <v>8</v>
      </c>
      <c r="P28" s="396" t="n">
        <v>154</v>
      </c>
      <c r="Q28" s="393" t="n">
        <v>22</v>
      </c>
      <c r="R28" s="394"/>
      <c r="S28" s="394"/>
      <c r="T28" s="394"/>
      <c r="U28" s="394"/>
      <c r="V28" s="394"/>
      <c r="W28" s="394"/>
      <c r="X28" s="393" t="n">
        <v>618.948</v>
      </c>
      <c r="Y28" s="393" t="n">
        <v>979</v>
      </c>
    </row>
    <row r="29" s="389" customFormat="true" ht="21" hidden="false" customHeight="true" outlineLevel="0" collapsed="false">
      <c r="A29" s="390" t="s">
        <v>1340</v>
      </c>
      <c r="B29" s="390" t="s">
        <v>1337</v>
      </c>
      <c r="C29" s="391" t="s">
        <v>1341</v>
      </c>
      <c r="D29" s="391"/>
      <c r="E29" s="391" t="s">
        <v>1310</v>
      </c>
      <c r="F29" s="392" t="s">
        <v>1311</v>
      </c>
      <c r="G29" s="391" t="s">
        <v>99</v>
      </c>
      <c r="H29" s="391" t="n">
        <v>2024</v>
      </c>
      <c r="I29" s="391" t="s">
        <v>167</v>
      </c>
      <c r="J29" s="391" t="s">
        <v>1312</v>
      </c>
      <c r="K29" s="391" t="s">
        <v>1332</v>
      </c>
      <c r="L29" s="393" t="n">
        <v>4</v>
      </c>
      <c r="M29" s="394"/>
      <c r="N29" s="395" t="n">
        <v>1</v>
      </c>
      <c r="O29" s="396" t="n">
        <v>8</v>
      </c>
      <c r="P29" s="396" t="n">
        <v>28</v>
      </c>
      <c r="Q29" s="393" t="n">
        <v>4</v>
      </c>
      <c r="R29" s="394"/>
      <c r="S29" s="394"/>
      <c r="T29" s="394"/>
      <c r="U29" s="394"/>
      <c r="V29" s="394"/>
      <c r="W29" s="394"/>
      <c r="X29" s="393" t="n">
        <v>200</v>
      </c>
      <c r="Y29" s="393" t="n">
        <v>178</v>
      </c>
    </row>
    <row r="30" s="389" customFormat="true" ht="21" hidden="false" customHeight="true" outlineLevel="0" collapsed="false">
      <c r="A30" s="390" t="s">
        <v>1342</v>
      </c>
      <c r="B30" s="390" t="s">
        <v>1343</v>
      </c>
      <c r="C30" s="391" t="s">
        <v>1341</v>
      </c>
      <c r="D30" s="391"/>
      <c r="E30" s="391" t="s">
        <v>1310</v>
      </c>
      <c r="F30" s="392" t="s">
        <v>1311</v>
      </c>
      <c r="G30" s="391" t="s">
        <v>129</v>
      </c>
      <c r="H30" s="391" t="n">
        <v>2024</v>
      </c>
      <c r="I30" s="391" t="s">
        <v>167</v>
      </c>
      <c r="J30" s="391" t="s">
        <v>1312</v>
      </c>
      <c r="K30" s="391" t="s">
        <v>1331</v>
      </c>
      <c r="L30" s="393" t="n">
        <v>25</v>
      </c>
      <c r="M30" s="394"/>
      <c r="N30" s="395" t="n">
        <v>1</v>
      </c>
      <c r="O30" s="396" t="n">
        <v>16</v>
      </c>
      <c r="P30" s="396" t="n">
        <v>175</v>
      </c>
      <c r="Q30" s="393" t="n">
        <v>25</v>
      </c>
      <c r="R30" s="394"/>
      <c r="S30" s="394"/>
      <c r="T30" s="394"/>
      <c r="U30" s="394"/>
      <c r="V30" s="394"/>
      <c r="W30" s="394"/>
      <c r="X30" s="393" t="n">
        <v>768.75</v>
      </c>
      <c r="Y30" s="397" t="n">
        <v>1112.5</v>
      </c>
    </row>
    <row r="31" s="389" customFormat="true" ht="21" hidden="false" customHeight="true" outlineLevel="0" collapsed="false">
      <c r="A31" s="390" t="s">
        <v>1342</v>
      </c>
      <c r="B31" s="390" t="s">
        <v>1343</v>
      </c>
      <c r="C31" s="391" t="s">
        <v>1341</v>
      </c>
      <c r="D31" s="391"/>
      <c r="E31" s="391" t="s">
        <v>1310</v>
      </c>
      <c r="F31" s="392" t="s">
        <v>1311</v>
      </c>
      <c r="G31" s="391" t="s">
        <v>129</v>
      </c>
      <c r="H31" s="391" t="n">
        <v>2024</v>
      </c>
      <c r="I31" s="391" t="s">
        <v>167</v>
      </c>
      <c r="J31" s="391" t="s">
        <v>1312</v>
      </c>
      <c r="K31" s="391" t="s">
        <v>1331</v>
      </c>
      <c r="L31" s="393" t="n">
        <v>25</v>
      </c>
      <c r="M31" s="394"/>
      <c r="N31" s="395" t="n">
        <v>1</v>
      </c>
      <c r="O31" s="396" t="n">
        <v>8</v>
      </c>
      <c r="P31" s="396" t="n">
        <v>175</v>
      </c>
      <c r="Q31" s="393" t="n">
        <v>25</v>
      </c>
      <c r="R31" s="394"/>
      <c r="S31" s="394"/>
      <c r="T31" s="394"/>
      <c r="U31" s="394"/>
      <c r="V31" s="394"/>
      <c r="W31" s="394"/>
      <c r="X31" s="393" t="n">
        <v>768.75</v>
      </c>
      <c r="Y31" s="397" t="n">
        <v>1112.5</v>
      </c>
    </row>
    <row r="32" s="389" customFormat="true" ht="21" hidden="false" customHeight="true" outlineLevel="0" collapsed="false">
      <c r="A32" s="390" t="s">
        <v>1342</v>
      </c>
      <c r="B32" s="390" t="s">
        <v>1343</v>
      </c>
      <c r="C32" s="391" t="s">
        <v>1341</v>
      </c>
      <c r="D32" s="391"/>
      <c r="E32" s="391" t="s">
        <v>1310</v>
      </c>
      <c r="F32" s="392" t="s">
        <v>1311</v>
      </c>
      <c r="G32" s="391" t="s">
        <v>129</v>
      </c>
      <c r="H32" s="391" t="n">
        <v>2024</v>
      </c>
      <c r="I32" s="391" t="s">
        <v>167</v>
      </c>
      <c r="J32" s="391" t="s">
        <v>1312</v>
      </c>
      <c r="K32" s="391" t="s">
        <v>1331</v>
      </c>
      <c r="L32" s="393" t="n">
        <v>30</v>
      </c>
      <c r="M32" s="394"/>
      <c r="N32" s="395" t="n">
        <v>1</v>
      </c>
      <c r="O32" s="396" t="n">
        <v>16</v>
      </c>
      <c r="P32" s="396" t="n">
        <v>210</v>
      </c>
      <c r="Q32" s="393" t="n">
        <v>30</v>
      </c>
      <c r="R32" s="394"/>
      <c r="S32" s="394"/>
      <c r="T32" s="394"/>
      <c r="U32" s="394"/>
      <c r="V32" s="394"/>
      <c r="W32" s="394"/>
      <c r="X32" s="393" t="n">
        <v>922.5</v>
      </c>
      <c r="Y32" s="397" t="n">
        <v>1335</v>
      </c>
    </row>
    <row r="33" s="389" customFormat="true" ht="21" hidden="false" customHeight="true" outlineLevel="0" collapsed="false">
      <c r="A33" s="390" t="s">
        <v>1344</v>
      </c>
      <c r="B33" s="390" t="s">
        <v>1343</v>
      </c>
      <c r="C33" s="391" t="s">
        <v>1341</v>
      </c>
      <c r="D33" s="391"/>
      <c r="E33" s="391" t="s">
        <v>1310</v>
      </c>
      <c r="F33" s="392" t="s">
        <v>1311</v>
      </c>
      <c r="G33" s="391" t="s">
        <v>93</v>
      </c>
      <c r="H33" s="391" t="n">
        <v>2024</v>
      </c>
      <c r="I33" s="391" t="s">
        <v>167</v>
      </c>
      <c r="J33" s="391" t="s">
        <v>1312</v>
      </c>
      <c r="K33" s="391" t="s">
        <v>1339</v>
      </c>
      <c r="L33" s="393" t="n">
        <v>15</v>
      </c>
      <c r="M33" s="394"/>
      <c r="N33" s="395" t="n">
        <v>1</v>
      </c>
      <c r="O33" s="396" t="n">
        <v>8</v>
      </c>
      <c r="P33" s="396" t="n">
        <v>105</v>
      </c>
      <c r="Q33" s="393" t="n">
        <v>15</v>
      </c>
      <c r="R33" s="394"/>
      <c r="S33" s="394"/>
      <c r="T33" s="394"/>
      <c r="U33" s="394"/>
      <c r="V33" s="394"/>
      <c r="W33" s="394"/>
      <c r="X33" s="393" t="n">
        <v>455.525</v>
      </c>
      <c r="Y33" s="393" t="n">
        <v>667.5</v>
      </c>
    </row>
    <row r="34" s="389" customFormat="true" ht="21" hidden="false" customHeight="true" outlineLevel="0" collapsed="false">
      <c r="A34" s="390" t="s">
        <v>1344</v>
      </c>
      <c r="B34" s="390" t="s">
        <v>1343</v>
      </c>
      <c r="C34" s="391" t="s">
        <v>1341</v>
      </c>
      <c r="D34" s="391"/>
      <c r="E34" s="391" t="s">
        <v>1310</v>
      </c>
      <c r="F34" s="392" t="s">
        <v>1311</v>
      </c>
      <c r="G34" s="391" t="s">
        <v>93</v>
      </c>
      <c r="H34" s="391" t="n">
        <v>2024</v>
      </c>
      <c r="I34" s="391" t="s">
        <v>167</v>
      </c>
      <c r="J34" s="391" t="s">
        <v>1312</v>
      </c>
      <c r="K34" s="391" t="s">
        <v>1339</v>
      </c>
      <c r="L34" s="393" t="n">
        <v>14</v>
      </c>
      <c r="M34" s="394"/>
      <c r="N34" s="395" t="n">
        <v>1</v>
      </c>
      <c r="O34" s="396" t="n">
        <v>8</v>
      </c>
      <c r="P34" s="396" t="n">
        <v>98</v>
      </c>
      <c r="Q34" s="393" t="n">
        <v>14</v>
      </c>
      <c r="R34" s="394"/>
      <c r="S34" s="394"/>
      <c r="T34" s="394"/>
      <c r="U34" s="394"/>
      <c r="V34" s="394"/>
      <c r="W34" s="394"/>
      <c r="X34" s="393" t="n">
        <v>425.158</v>
      </c>
      <c r="Y34" s="393" t="n">
        <v>623</v>
      </c>
    </row>
    <row r="35" s="389" customFormat="true" ht="21" hidden="false" customHeight="true" outlineLevel="0" collapsed="false">
      <c r="A35" s="390" t="s">
        <v>1344</v>
      </c>
      <c r="B35" s="390" t="s">
        <v>1343</v>
      </c>
      <c r="C35" s="391" t="s">
        <v>1341</v>
      </c>
      <c r="D35" s="391"/>
      <c r="E35" s="391" t="s">
        <v>1310</v>
      </c>
      <c r="F35" s="392" t="s">
        <v>1311</v>
      </c>
      <c r="G35" s="391" t="s">
        <v>125</v>
      </c>
      <c r="H35" s="391" t="n">
        <v>2024</v>
      </c>
      <c r="I35" s="391" t="s">
        <v>167</v>
      </c>
      <c r="J35" s="391" t="s">
        <v>1312</v>
      </c>
      <c r="K35" s="391" t="s">
        <v>1334</v>
      </c>
      <c r="L35" s="393" t="n">
        <v>16</v>
      </c>
      <c r="M35" s="394"/>
      <c r="N35" s="395" t="n">
        <v>1</v>
      </c>
      <c r="O35" s="396" t="n">
        <v>8</v>
      </c>
      <c r="P35" s="396" t="n">
        <v>112</v>
      </c>
      <c r="Q35" s="393" t="n">
        <v>16</v>
      </c>
      <c r="R35" s="394"/>
      <c r="S35" s="394"/>
      <c r="T35" s="394"/>
      <c r="U35" s="394"/>
      <c r="V35" s="394"/>
      <c r="W35" s="394"/>
      <c r="X35" s="393" t="n">
        <v>485.895</v>
      </c>
      <c r="Y35" s="393" t="n">
        <v>712</v>
      </c>
    </row>
    <row r="36" s="389" customFormat="true" ht="21" hidden="false" customHeight="true" outlineLevel="0" collapsed="false">
      <c r="A36" s="390" t="s">
        <v>1344</v>
      </c>
      <c r="B36" s="390" t="s">
        <v>1343</v>
      </c>
      <c r="C36" s="391" t="s">
        <v>1341</v>
      </c>
      <c r="D36" s="391"/>
      <c r="E36" s="391" t="s">
        <v>1310</v>
      </c>
      <c r="F36" s="392" t="s">
        <v>1311</v>
      </c>
      <c r="G36" s="391" t="s">
        <v>125</v>
      </c>
      <c r="H36" s="391" t="n">
        <v>2024</v>
      </c>
      <c r="I36" s="391" t="s">
        <v>167</v>
      </c>
      <c r="J36" s="391" t="s">
        <v>1312</v>
      </c>
      <c r="K36" s="391" t="s">
        <v>1334</v>
      </c>
      <c r="L36" s="393" t="n">
        <v>16</v>
      </c>
      <c r="M36" s="394"/>
      <c r="N36" s="395" t="n">
        <v>1</v>
      </c>
      <c r="O36" s="396" t="n">
        <v>8</v>
      </c>
      <c r="P36" s="396" t="n">
        <v>112</v>
      </c>
      <c r="Q36" s="393" t="n">
        <v>16</v>
      </c>
      <c r="R36" s="394"/>
      <c r="S36" s="394"/>
      <c r="T36" s="394"/>
      <c r="U36" s="394"/>
      <c r="V36" s="394"/>
      <c r="W36" s="394"/>
      <c r="X36" s="393" t="n">
        <v>485.895</v>
      </c>
      <c r="Y36" s="393" t="n">
        <v>712</v>
      </c>
    </row>
    <row r="37" s="389" customFormat="true" ht="21" hidden="false" customHeight="true" outlineLevel="0" collapsed="false">
      <c r="A37" s="390" t="s">
        <v>1344</v>
      </c>
      <c r="B37" s="390" t="s">
        <v>1343</v>
      </c>
      <c r="C37" s="391" t="s">
        <v>1341</v>
      </c>
      <c r="D37" s="391"/>
      <c r="E37" s="391" t="s">
        <v>1310</v>
      </c>
      <c r="F37" s="392" t="s">
        <v>1311</v>
      </c>
      <c r="G37" s="391" t="s">
        <v>125</v>
      </c>
      <c r="H37" s="391" t="n">
        <v>2024</v>
      </c>
      <c r="I37" s="391" t="s">
        <v>167</v>
      </c>
      <c r="J37" s="391" t="s">
        <v>1312</v>
      </c>
      <c r="K37" s="391" t="s">
        <v>1334</v>
      </c>
      <c r="L37" s="393" t="n">
        <v>16</v>
      </c>
      <c r="M37" s="394"/>
      <c r="N37" s="395" t="n">
        <v>1</v>
      </c>
      <c r="O37" s="396" t="n">
        <v>8</v>
      </c>
      <c r="P37" s="396" t="n">
        <v>112</v>
      </c>
      <c r="Q37" s="393" t="n">
        <v>16</v>
      </c>
      <c r="R37" s="394"/>
      <c r="S37" s="394"/>
      <c r="T37" s="394"/>
      <c r="U37" s="394"/>
      <c r="V37" s="394"/>
      <c r="W37" s="394"/>
      <c r="X37" s="393" t="n">
        <v>485.895</v>
      </c>
      <c r="Y37" s="393" t="n">
        <v>712</v>
      </c>
    </row>
    <row r="38" s="389" customFormat="true" ht="21" hidden="false" customHeight="true" outlineLevel="0" collapsed="false">
      <c r="A38" s="390" t="s">
        <v>1344</v>
      </c>
      <c r="B38" s="390" t="s">
        <v>1343</v>
      </c>
      <c r="C38" s="391" t="s">
        <v>1341</v>
      </c>
      <c r="D38" s="391"/>
      <c r="E38" s="391" t="s">
        <v>1310</v>
      </c>
      <c r="F38" s="392" t="s">
        <v>1311</v>
      </c>
      <c r="G38" s="391" t="s">
        <v>125</v>
      </c>
      <c r="H38" s="391" t="n">
        <v>2024</v>
      </c>
      <c r="I38" s="391" t="s">
        <v>167</v>
      </c>
      <c r="J38" s="391" t="s">
        <v>1312</v>
      </c>
      <c r="K38" s="391" t="s">
        <v>1334</v>
      </c>
      <c r="L38" s="393" t="n">
        <v>18</v>
      </c>
      <c r="M38" s="394"/>
      <c r="N38" s="395" t="n">
        <v>1</v>
      </c>
      <c r="O38" s="396" t="n">
        <v>8</v>
      </c>
      <c r="P38" s="396" t="n">
        <v>126</v>
      </c>
      <c r="Q38" s="393" t="n">
        <v>18</v>
      </c>
      <c r="R38" s="394"/>
      <c r="S38" s="394"/>
      <c r="T38" s="394"/>
      <c r="U38" s="394"/>
      <c r="V38" s="394"/>
      <c r="W38" s="394"/>
      <c r="X38" s="393" t="n">
        <v>546.632</v>
      </c>
      <c r="Y38" s="393" t="n">
        <v>801</v>
      </c>
    </row>
    <row r="39" s="389" customFormat="true" ht="21" hidden="false" customHeight="true" outlineLevel="0" collapsed="false">
      <c r="A39" s="390" t="s">
        <v>1345</v>
      </c>
      <c r="B39" s="390" t="s">
        <v>1343</v>
      </c>
      <c r="C39" s="391" t="s">
        <v>1341</v>
      </c>
      <c r="D39" s="391"/>
      <c r="E39" s="391" t="s">
        <v>1310</v>
      </c>
      <c r="F39" s="392" t="s">
        <v>1311</v>
      </c>
      <c r="G39" s="391" t="s">
        <v>1346</v>
      </c>
      <c r="H39" s="391" t="n">
        <v>2024</v>
      </c>
      <c r="I39" s="391" t="s">
        <v>1328</v>
      </c>
      <c r="J39" s="391" t="s">
        <v>1312</v>
      </c>
      <c r="K39" s="391" t="s">
        <v>1347</v>
      </c>
      <c r="L39" s="393" t="n">
        <v>30</v>
      </c>
      <c r="M39" s="394"/>
      <c r="N39" s="395" t="n">
        <v>1</v>
      </c>
      <c r="O39" s="396" t="n">
        <v>8</v>
      </c>
      <c r="P39" s="396" t="n">
        <v>210</v>
      </c>
      <c r="Q39" s="393" t="n">
        <v>30</v>
      </c>
      <c r="R39" s="394"/>
      <c r="S39" s="394"/>
      <c r="T39" s="394"/>
      <c r="U39" s="394"/>
      <c r="V39" s="394"/>
      <c r="W39" s="394"/>
      <c r="X39" s="397" t="n">
        <v>1388</v>
      </c>
      <c r="Y39" s="397" t="n">
        <v>1335</v>
      </c>
    </row>
    <row r="40" s="389" customFormat="true" ht="21" hidden="false" customHeight="true" outlineLevel="0" collapsed="false">
      <c r="A40" s="390" t="s">
        <v>1348</v>
      </c>
      <c r="B40" s="390" t="s">
        <v>1343</v>
      </c>
      <c r="C40" s="391" t="s">
        <v>1341</v>
      </c>
      <c r="D40" s="391"/>
      <c r="E40" s="391" t="s">
        <v>1310</v>
      </c>
      <c r="F40" s="392" t="s">
        <v>1311</v>
      </c>
      <c r="G40" s="391" t="s">
        <v>1316</v>
      </c>
      <c r="H40" s="391" t="n">
        <v>2024</v>
      </c>
      <c r="I40" s="391" t="s">
        <v>1317</v>
      </c>
      <c r="J40" s="391" t="s">
        <v>1312</v>
      </c>
      <c r="K40" s="391" t="s">
        <v>1318</v>
      </c>
      <c r="L40" s="393" t="n">
        <v>31</v>
      </c>
      <c r="M40" s="394"/>
      <c r="N40" s="395" t="n">
        <v>1</v>
      </c>
      <c r="O40" s="396" t="n">
        <v>8</v>
      </c>
      <c r="P40" s="396" t="n">
        <v>217</v>
      </c>
      <c r="Q40" s="393" t="n">
        <v>31</v>
      </c>
      <c r="R40" s="394"/>
      <c r="S40" s="394"/>
      <c r="T40" s="394"/>
      <c r="U40" s="394"/>
      <c r="V40" s="394"/>
      <c r="W40" s="394"/>
      <c r="X40" s="393" t="n">
        <v>557.666</v>
      </c>
      <c r="Y40" s="397" t="n">
        <v>1379.5</v>
      </c>
    </row>
    <row r="41" s="389" customFormat="true" ht="21" hidden="false" customHeight="true" outlineLevel="0" collapsed="false">
      <c r="A41" s="390" t="s">
        <v>1348</v>
      </c>
      <c r="B41" s="390" t="s">
        <v>1343</v>
      </c>
      <c r="C41" s="391" t="s">
        <v>1341</v>
      </c>
      <c r="D41" s="391"/>
      <c r="E41" s="391" t="s">
        <v>1310</v>
      </c>
      <c r="F41" s="392" t="s">
        <v>1311</v>
      </c>
      <c r="G41" s="391" t="s">
        <v>1316</v>
      </c>
      <c r="H41" s="391" t="n">
        <v>2024</v>
      </c>
      <c r="I41" s="391" t="s">
        <v>1317</v>
      </c>
      <c r="J41" s="391" t="s">
        <v>1312</v>
      </c>
      <c r="K41" s="391" t="s">
        <v>1318</v>
      </c>
      <c r="L41" s="393" t="n">
        <v>9.6</v>
      </c>
      <c r="M41" s="394"/>
      <c r="N41" s="395" t="n">
        <v>1</v>
      </c>
      <c r="O41" s="396" t="n">
        <v>8</v>
      </c>
      <c r="P41" s="396" t="n">
        <v>67.2</v>
      </c>
      <c r="Q41" s="393" t="n">
        <v>9.6</v>
      </c>
      <c r="R41" s="394"/>
      <c r="S41" s="394"/>
      <c r="T41" s="394"/>
      <c r="U41" s="394"/>
      <c r="V41" s="394"/>
      <c r="W41" s="394"/>
      <c r="X41" s="393" t="n">
        <v>172.697</v>
      </c>
      <c r="Y41" s="393" t="n">
        <v>427.2</v>
      </c>
    </row>
    <row r="42" s="389" customFormat="true" ht="21" hidden="false" customHeight="true" outlineLevel="0" collapsed="false">
      <c r="A42" s="390" t="s">
        <v>1348</v>
      </c>
      <c r="B42" s="390" t="s">
        <v>1343</v>
      </c>
      <c r="C42" s="391" t="s">
        <v>1341</v>
      </c>
      <c r="D42" s="391"/>
      <c r="E42" s="391" t="s">
        <v>1310</v>
      </c>
      <c r="F42" s="392" t="s">
        <v>1311</v>
      </c>
      <c r="G42" s="391" t="s">
        <v>1322</v>
      </c>
      <c r="H42" s="391" t="n">
        <v>2024</v>
      </c>
      <c r="I42" s="391" t="s">
        <v>1317</v>
      </c>
      <c r="J42" s="391" t="s">
        <v>1312</v>
      </c>
      <c r="K42" s="391" t="s">
        <v>1323</v>
      </c>
      <c r="L42" s="393" t="n">
        <v>52.4</v>
      </c>
      <c r="M42" s="394"/>
      <c r="N42" s="395" t="n">
        <v>1</v>
      </c>
      <c r="O42" s="396" t="n">
        <v>8</v>
      </c>
      <c r="P42" s="396" t="n">
        <v>366.8</v>
      </c>
      <c r="Q42" s="393" t="n">
        <v>52.4</v>
      </c>
      <c r="R42" s="394"/>
      <c r="S42" s="394"/>
      <c r="T42" s="394"/>
      <c r="U42" s="394"/>
      <c r="V42" s="394"/>
      <c r="W42" s="394"/>
      <c r="X42" s="393" t="n">
        <v>942.637</v>
      </c>
      <c r="Y42" s="397" t="n">
        <v>2331.8</v>
      </c>
    </row>
    <row r="43" s="389" customFormat="true" ht="21" hidden="false" customHeight="true" outlineLevel="0" collapsed="false">
      <c r="A43" s="390" t="s">
        <v>1349</v>
      </c>
      <c r="B43" s="390" t="s">
        <v>1350</v>
      </c>
      <c r="C43" s="391" t="s">
        <v>1315</v>
      </c>
      <c r="D43" s="391"/>
      <c r="E43" s="391" t="s">
        <v>1310</v>
      </c>
      <c r="F43" s="392" t="s">
        <v>1311</v>
      </c>
      <c r="G43" s="391" t="s">
        <v>129</v>
      </c>
      <c r="H43" s="391" t="n">
        <v>2024</v>
      </c>
      <c r="I43" s="391" t="s">
        <v>167</v>
      </c>
      <c r="J43" s="391" t="s">
        <v>1312</v>
      </c>
      <c r="K43" s="391" t="s">
        <v>1331</v>
      </c>
      <c r="L43" s="393" t="n">
        <v>14</v>
      </c>
      <c r="M43" s="394"/>
      <c r="N43" s="395" t="n">
        <v>1</v>
      </c>
      <c r="O43" s="396" t="n">
        <v>8</v>
      </c>
      <c r="P43" s="396" t="n">
        <v>98</v>
      </c>
      <c r="Q43" s="393" t="n">
        <v>14</v>
      </c>
      <c r="R43" s="394"/>
      <c r="S43" s="394"/>
      <c r="T43" s="394"/>
      <c r="U43" s="394"/>
      <c r="V43" s="394"/>
      <c r="W43" s="394"/>
      <c r="X43" s="393" t="n">
        <v>430.122</v>
      </c>
      <c r="Y43" s="393" t="n">
        <v>623</v>
      </c>
    </row>
    <row r="44" s="389" customFormat="true" ht="21" hidden="false" customHeight="true" outlineLevel="0" collapsed="false">
      <c r="A44" s="390" t="s">
        <v>1349</v>
      </c>
      <c r="B44" s="390" t="s">
        <v>1350</v>
      </c>
      <c r="C44" s="391" t="s">
        <v>1315</v>
      </c>
      <c r="D44" s="391"/>
      <c r="E44" s="391" t="s">
        <v>1310</v>
      </c>
      <c r="F44" s="392" t="s">
        <v>1311</v>
      </c>
      <c r="G44" s="391" t="s">
        <v>129</v>
      </c>
      <c r="H44" s="391" t="n">
        <v>2024</v>
      </c>
      <c r="I44" s="391" t="s">
        <v>167</v>
      </c>
      <c r="J44" s="391" t="s">
        <v>1312</v>
      </c>
      <c r="K44" s="391" t="s">
        <v>1331</v>
      </c>
      <c r="L44" s="393" t="n">
        <v>14</v>
      </c>
      <c r="M44" s="394"/>
      <c r="N44" s="395" t="n">
        <v>1</v>
      </c>
      <c r="O44" s="396" t="n">
        <v>8</v>
      </c>
      <c r="P44" s="396" t="n">
        <v>98</v>
      </c>
      <c r="Q44" s="393" t="n">
        <v>14</v>
      </c>
      <c r="R44" s="394"/>
      <c r="S44" s="394"/>
      <c r="T44" s="394"/>
      <c r="U44" s="394"/>
      <c r="V44" s="394"/>
      <c r="W44" s="394"/>
      <c r="X44" s="393" t="n">
        <v>430.12</v>
      </c>
      <c r="Y44" s="393" t="n">
        <v>623</v>
      </c>
    </row>
    <row r="45" s="389" customFormat="true" ht="21" hidden="false" customHeight="true" outlineLevel="0" collapsed="false">
      <c r="A45" s="390" t="s">
        <v>1349</v>
      </c>
      <c r="B45" s="390" t="s">
        <v>1350</v>
      </c>
      <c r="C45" s="391" t="s">
        <v>1315</v>
      </c>
      <c r="D45" s="391"/>
      <c r="E45" s="391" t="s">
        <v>1310</v>
      </c>
      <c r="F45" s="392" t="s">
        <v>1311</v>
      </c>
      <c r="G45" s="391" t="s">
        <v>129</v>
      </c>
      <c r="H45" s="391" t="n">
        <v>2024</v>
      </c>
      <c r="I45" s="391" t="s">
        <v>167</v>
      </c>
      <c r="J45" s="391" t="s">
        <v>1312</v>
      </c>
      <c r="K45" s="391" t="s">
        <v>1331</v>
      </c>
      <c r="L45" s="393" t="n">
        <v>14</v>
      </c>
      <c r="M45" s="394"/>
      <c r="N45" s="395" t="n">
        <v>1</v>
      </c>
      <c r="O45" s="396" t="n">
        <v>8</v>
      </c>
      <c r="P45" s="396" t="n">
        <v>98</v>
      </c>
      <c r="Q45" s="393" t="n">
        <v>14</v>
      </c>
      <c r="R45" s="394"/>
      <c r="S45" s="394"/>
      <c r="T45" s="394"/>
      <c r="U45" s="394"/>
      <c r="V45" s="394"/>
      <c r="W45" s="394"/>
      <c r="X45" s="393" t="n">
        <v>430.12</v>
      </c>
      <c r="Y45" s="393" t="n">
        <v>623</v>
      </c>
    </row>
    <row r="46" s="389" customFormat="true" ht="21" hidden="false" customHeight="true" outlineLevel="0" collapsed="false">
      <c r="A46" s="390" t="s">
        <v>1349</v>
      </c>
      <c r="B46" s="390" t="s">
        <v>1350</v>
      </c>
      <c r="C46" s="391" t="s">
        <v>1315</v>
      </c>
      <c r="D46" s="391"/>
      <c r="E46" s="391" t="s">
        <v>1310</v>
      </c>
      <c r="F46" s="392" t="s">
        <v>1311</v>
      </c>
      <c r="G46" s="391" t="s">
        <v>129</v>
      </c>
      <c r="H46" s="391" t="n">
        <v>2024</v>
      </c>
      <c r="I46" s="391" t="s">
        <v>167</v>
      </c>
      <c r="J46" s="391" t="s">
        <v>1312</v>
      </c>
      <c r="K46" s="391" t="s">
        <v>1331</v>
      </c>
      <c r="L46" s="393" t="n">
        <v>14</v>
      </c>
      <c r="M46" s="394"/>
      <c r="N46" s="395" t="n">
        <v>1</v>
      </c>
      <c r="O46" s="396" t="n">
        <v>8</v>
      </c>
      <c r="P46" s="396" t="n">
        <v>98</v>
      </c>
      <c r="Q46" s="393" t="n">
        <v>14</v>
      </c>
      <c r="R46" s="394"/>
      <c r="S46" s="394"/>
      <c r="T46" s="394"/>
      <c r="U46" s="394"/>
      <c r="V46" s="394"/>
      <c r="W46" s="394"/>
      <c r="X46" s="393" t="n">
        <v>430.12</v>
      </c>
      <c r="Y46" s="393" t="n">
        <v>623</v>
      </c>
    </row>
    <row r="47" s="389" customFormat="true" ht="21" hidden="false" customHeight="true" outlineLevel="0" collapsed="false">
      <c r="A47" s="390" t="s">
        <v>1349</v>
      </c>
      <c r="B47" s="390" t="s">
        <v>1350</v>
      </c>
      <c r="C47" s="391" t="s">
        <v>1315</v>
      </c>
      <c r="D47" s="391"/>
      <c r="E47" s="391" t="s">
        <v>1310</v>
      </c>
      <c r="F47" s="392" t="s">
        <v>1311</v>
      </c>
      <c r="G47" s="391" t="s">
        <v>129</v>
      </c>
      <c r="H47" s="391" t="n">
        <v>2024</v>
      </c>
      <c r="I47" s="391" t="s">
        <v>167</v>
      </c>
      <c r="J47" s="391" t="s">
        <v>1312</v>
      </c>
      <c r="K47" s="391" t="s">
        <v>1331</v>
      </c>
      <c r="L47" s="393" t="n">
        <v>14</v>
      </c>
      <c r="M47" s="394"/>
      <c r="N47" s="395" t="n">
        <v>1</v>
      </c>
      <c r="O47" s="396" t="n">
        <v>8</v>
      </c>
      <c r="P47" s="396" t="n">
        <v>98</v>
      </c>
      <c r="Q47" s="393" t="n">
        <v>14</v>
      </c>
      <c r="R47" s="394"/>
      <c r="S47" s="394"/>
      <c r="T47" s="394"/>
      <c r="U47" s="394"/>
      <c r="V47" s="394"/>
      <c r="W47" s="394"/>
      <c r="X47" s="393" t="n">
        <v>430.12</v>
      </c>
      <c r="Y47" s="393" t="n">
        <v>623</v>
      </c>
    </row>
    <row r="48" s="389" customFormat="true" ht="21" hidden="false" customHeight="true" outlineLevel="0" collapsed="false">
      <c r="A48" s="390" t="s">
        <v>1349</v>
      </c>
      <c r="B48" s="390" t="s">
        <v>1350</v>
      </c>
      <c r="C48" s="391" t="s">
        <v>1315</v>
      </c>
      <c r="D48" s="391"/>
      <c r="E48" s="391" t="s">
        <v>1310</v>
      </c>
      <c r="F48" s="392" t="s">
        <v>1311</v>
      </c>
      <c r="G48" s="391" t="s">
        <v>129</v>
      </c>
      <c r="H48" s="391" t="n">
        <v>2024</v>
      </c>
      <c r="I48" s="391" t="s">
        <v>167</v>
      </c>
      <c r="J48" s="391" t="s">
        <v>1312</v>
      </c>
      <c r="K48" s="391" t="s">
        <v>1331</v>
      </c>
      <c r="L48" s="393" t="n">
        <v>13</v>
      </c>
      <c r="M48" s="394"/>
      <c r="N48" s="395" t="n">
        <v>1</v>
      </c>
      <c r="O48" s="396" t="n">
        <v>8</v>
      </c>
      <c r="P48" s="396" t="n">
        <v>91</v>
      </c>
      <c r="Q48" s="393" t="n">
        <v>13</v>
      </c>
      <c r="R48" s="394"/>
      <c r="S48" s="394"/>
      <c r="T48" s="394"/>
      <c r="U48" s="394"/>
      <c r="V48" s="394"/>
      <c r="W48" s="394"/>
      <c r="X48" s="393" t="n">
        <v>399.398</v>
      </c>
      <c r="Y48" s="393" t="n">
        <v>578.5</v>
      </c>
    </row>
    <row r="49" s="389" customFormat="true" ht="21" hidden="false" customHeight="true" outlineLevel="0" collapsed="false">
      <c r="A49" s="390" t="s">
        <v>1351</v>
      </c>
      <c r="B49" s="390" t="s">
        <v>1350</v>
      </c>
      <c r="C49" s="391" t="s">
        <v>1315</v>
      </c>
      <c r="D49" s="391"/>
      <c r="E49" s="391" t="s">
        <v>1310</v>
      </c>
      <c r="F49" s="392" t="s">
        <v>1311</v>
      </c>
      <c r="G49" s="391" t="s">
        <v>93</v>
      </c>
      <c r="H49" s="391" t="n">
        <v>2024</v>
      </c>
      <c r="I49" s="391" t="s">
        <v>167</v>
      </c>
      <c r="J49" s="391" t="s">
        <v>1312</v>
      </c>
      <c r="K49" s="391" t="s">
        <v>1339</v>
      </c>
      <c r="L49" s="393" t="n">
        <v>11</v>
      </c>
      <c r="M49" s="394"/>
      <c r="N49" s="395" t="n">
        <v>1</v>
      </c>
      <c r="O49" s="396" t="n">
        <v>8</v>
      </c>
      <c r="P49" s="396" t="n">
        <v>77</v>
      </c>
      <c r="Q49" s="393" t="n">
        <v>11</v>
      </c>
      <c r="R49" s="394"/>
      <c r="S49" s="394"/>
      <c r="T49" s="394"/>
      <c r="U49" s="394"/>
      <c r="V49" s="394"/>
      <c r="W49" s="394"/>
      <c r="X49" s="393" t="n">
        <v>332.462</v>
      </c>
      <c r="Y49" s="393" t="n">
        <v>489.5</v>
      </c>
    </row>
    <row r="50" s="389" customFormat="true" ht="21" hidden="false" customHeight="true" outlineLevel="0" collapsed="false">
      <c r="A50" s="390" t="s">
        <v>1351</v>
      </c>
      <c r="B50" s="390" t="s">
        <v>1350</v>
      </c>
      <c r="C50" s="391" t="s">
        <v>1315</v>
      </c>
      <c r="D50" s="391"/>
      <c r="E50" s="391" t="s">
        <v>1310</v>
      </c>
      <c r="F50" s="392" t="s">
        <v>1311</v>
      </c>
      <c r="G50" s="391" t="s">
        <v>125</v>
      </c>
      <c r="H50" s="391" t="n">
        <v>2024</v>
      </c>
      <c r="I50" s="391" t="s">
        <v>167</v>
      </c>
      <c r="J50" s="391" t="s">
        <v>1312</v>
      </c>
      <c r="K50" s="391" t="s">
        <v>1334</v>
      </c>
      <c r="L50" s="393" t="n">
        <v>20</v>
      </c>
      <c r="M50" s="394"/>
      <c r="N50" s="395" t="n">
        <v>1</v>
      </c>
      <c r="O50" s="396" t="n">
        <v>8</v>
      </c>
      <c r="P50" s="396" t="n">
        <v>140</v>
      </c>
      <c r="Q50" s="393" t="n">
        <v>20</v>
      </c>
      <c r="R50" s="394"/>
      <c r="S50" s="394"/>
      <c r="T50" s="394"/>
      <c r="U50" s="394"/>
      <c r="V50" s="394"/>
      <c r="W50" s="394"/>
      <c r="X50" s="393" t="n">
        <v>604.478</v>
      </c>
      <c r="Y50" s="393" t="n">
        <v>890</v>
      </c>
    </row>
    <row r="51" s="389" customFormat="true" ht="21" hidden="false" customHeight="true" outlineLevel="0" collapsed="false">
      <c r="A51" s="390" t="s">
        <v>1351</v>
      </c>
      <c r="B51" s="390" t="s">
        <v>1350</v>
      </c>
      <c r="C51" s="391" t="s">
        <v>1315</v>
      </c>
      <c r="D51" s="391"/>
      <c r="E51" s="391" t="s">
        <v>1310</v>
      </c>
      <c r="F51" s="392" t="s">
        <v>1311</v>
      </c>
      <c r="G51" s="391" t="s">
        <v>125</v>
      </c>
      <c r="H51" s="391" t="n">
        <v>2024</v>
      </c>
      <c r="I51" s="391" t="s">
        <v>167</v>
      </c>
      <c r="J51" s="391" t="s">
        <v>1312</v>
      </c>
      <c r="K51" s="391" t="s">
        <v>1334</v>
      </c>
      <c r="L51" s="393" t="n">
        <v>20</v>
      </c>
      <c r="M51" s="394"/>
      <c r="N51" s="395" t="n">
        <v>1</v>
      </c>
      <c r="O51" s="396" t="n">
        <v>8</v>
      </c>
      <c r="P51" s="396" t="n">
        <v>140</v>
      </c>
      <c r="Q51" s="393" t="n">
        <v>20</v>
      </c>
      <c r="R51" s="394"/>
      <c r="S51" s="394"/>
      <c r="T51" s="394"/>
      <c r="U51" s="394"/>
      <c r="V51" s="394"/>
      <c r="W51" s="394"/>
      <c r="X51" s="393" t="n">
        <v>604.478</v>
      </c>
      <c r="Y51" s="393" t="n">
        <v>890</v>
      </c>
    </row>
    <row r="52" s="389" customFormat="true" ht="21" hidden="false" customHeight="true" outlineLevel="0" collapsed="false">
      <c r="A52" s="390" t="s">
        <v>1351</v>
      </c>
      <c r="B52" s="390" t="s">
        <v>1350</v>
      </c>
      <c r="C52" s="391" t="s">
        <v>1315</v>
      </c>
      <c r="D52" s="391"/>
      <c r="E52" s="391" t="s">
        <v>1310</v>
      </c>
      <c r="F52" s="392" t="s">
        <v>1311</v>
      </c>
      <c r="G52" s="391" t="s">
        <v>125</v>
      </c>
      <c r="H52" s="391" t="n">
        <v>2024</v>
      </c>
      <c r="I52" s="391" t="s">
        <v>167</v>
      </c>
      <c r="J52" s="391" t="s">
        <v>1312</v>
      </c>
      <c r="K52" s="391" t="s">
        <v>1334</v>
      </c>
      <c r="L52" s="393" t="n">
        <v>16</v>
      </c>
      <c r="M52" s="394"/>
      <c r="N52" s="395" t="n">
        <v>1</v>
      </c>
      <c r="O52" s="396" t="n">
        <v>8</v>
      </c>
      <c r="P52" s="396" t="n">
        <v>112</v>
      </c>
      <c r="Q52" s="393" t="n">
        <v>16</v>
      </c>
      <c r="R52" s="394"/>
      <c r="S52" s="394"/>
      <c r="T52" s="394"/>
      <c r="U52" s="394"/>
      <c r="V52" s="394"/>
      <c r="W52" s="394"/>
      <c r="X52" s="393" t="n">
        <v>483.582</v>
      </c>
      <c r="Y52" s="393" t="n">
        <v>712</v>
      </c>
    </row>
    <row r="53" s="389" customFormat="true" ht="21" hidden="false" customHeight="true" outlineLevel="0" collapsed="false">
      <c r="A53" s="390" t="s">
        <v>1352</v>
      </c>
      <c r="B53" s="390" t="s">
        <v>1353</v>
      </c>
      <c r="C53" s="391" t="s">
        <v>1338</v>
      </c>
      <c r="D53" s="391"/>
      <c r="E53" s="391" t="s">
        <v>1310</v>
      </c>
      <c r="F53" s="392" t="s">
        <v>1311</v>
      </c>
      <c r="G53" s="391" t="s">
        <v>1346</v>
      </c>
      <c r="H53" s="391" t="n">
        <v>2024</v>
      </c>
      <c r="I53" s="391" t="s">
        <v>1328</v>
      </c>
      <c r="J53" s="391" t="s">
        <v>1312</v>
      </c>
      <c r="K53" s="391" t="s">
        <v>1347</v>
      </c>
      <c r="L53" s="393" t="n">
        <v>15</v>
      </c>
      <c r="M53" s="394"/>
      <c r="N53" s="395" t="n">
        <v>1</v>
      </c>
      <c r="O53" s="396" t="n">
        <v>8</v>
      </c>
      <c r="P53" s="396" t="n">
        <v>105</v>
      </c>
      <c r="Q53" s="393" t="n">
        <v>15</v>
      </c>
      <c r="R53" s="394"/>
      <c r="S53" s="394"/>
      <c r="T53" s="394"/>
      <c r="U53" s="394"/>
      <c r="V53" s="394"/>
      <c r="W53" s="394"/>
      <c r="X53" s="393" t="n">
        <v>774.5</v>
      </c>
      <c r="Y53" s="393" t="n">
        <v>667.5</v>
      </c>
    </row>
    <row r="54" s="389" customFormat="true" ht="21" hidden="false" customHeight="true" outlineLevel="0" collapsed="false">
      <c r="A54" s="390" t="s">
        <v>1352</v>
      </c>
      <c r="B54" s="390" t="s">
        <v>1353</v>
      </c>
      <c r="C54" s="391" t="s">
        <v>1338</v>
      </c>
      <c r="D54" s="391"/>
      <c r="E54" s="391" t="s">
        <v>1310</v>
      </c>
      <c r="F54" s="392" t="s">
        <v>1311</v>
      </c>
      <c r="G54" s="391" t="s">
        <v>1327</v>
      </c>
      <c r="H54" s="391" t="n">
        <v>2024</v>
      </c>
      <c r="I54" s="391" t="s">
        <v>1328</v>
      </c>
      <c r="J54" s="391" t="s">
        <v>1312</v>
      </c>
      <c r="K54" s="391" t="s">
        <v>1329</v>
      </c>
      <c r="L54" s="393" t="n">
        <v>15</v>
      </c>
      <c r="M54" s="394"/>
      <c r="N54" s="395" t="n">
        <v>1</v>
      </c>
      <c r="O54" s="396" t="n">
        <v>8</v>
      </c>
      <c r="P54" s="396" t="n">
        <v>105</v>
      </c>
      <c r="Q54" s="393" t="n">
        <v>15</v>
      </c>
      <c r="R54" s="394"/>
      <c r="S54" s="394"/>
      <c r="T54" s="394"/>
      <c r="U54" s="394"/>
      <c r="V54" s="394"/>
      <c r="W54" s="394"/>
      <c r="X54" s="393" t="n">
        <v>774.5</v>
      </c>
      <c r="Y54" s="393" t="n">
        <v>667.5</v>
      </c>
    </row>
    <row r="55" s="389" customFormat="true" ht="21" hidden="false" customHeight="true" outlineLevel="0" collapsed="false">
      <c r="A55" s="390" t="s">
        <v>1354</v>
      </c>
      <c r="B55" s="390" t="s">
        <v>1353</v>
      </c>
      <c r="C55" s="391" t="s">
        <v>1338</v>
      </c>
      <c r="D55" s="391"/>
      <c r="E55" s="391" t="s">
        <v>1310</v>
      </c>
      <c r="F55" s="392" t="s">
        <v>1311</v>
      </c>
      <c r="G55" s="391" t="s">
        <v>129</v>
      </c>
      <c r="H55" s="391" t="n">
        <v>2024</v>
      </c>
      <c r="I55" s="391" t="s">
        <v>167</v>
      </c>
      <c r="J55" s="391" t="s">
        <v>1312</v>
      </c>
      <c r="K55" s="391" t="s">
        <v>1331</v>
      </c>
      <c r="L55" s="393" t="n">
        <v>6</v>
      </c>
      <c r="M55" s="394"/>
      <c r="N55" s="395" t="n">
        <v>1</v>
      </c>
      <c r="O55" s="396" t="n">
        <v>8</v>
      </c>
      <c r="P55" s="396" t="n">
        <v>42</v>
      </c>
      <c r="Q55" s="393" t="n">
        <v>6</v>
      </c>
      <c r="R55" s="394"/>
      <c r="S55" s="394"/>
      <c r="T55" s="394"/>
      <c r="U55" s="394"/>
      <c r="V55" s="394"/>
      <c r="W55" s="394"/>
      <c r="X55" s="393" t="n">
        <v>190.909</v>
      </c>
      <c r="Y55" s="393" t="n">
        <v>267</v>
      </c>
    </row>
    <row r="56" s="389" customFormat="true" ht="21" hidden="false" customHeight="true" outlineLevel="0" collapsed="false">
      <c r="A56" s="390" t="s">
        <v>1354</v>
      </c>
      <c r="B56" s="390" t="s">
        <v>1353</v>
      </c>
      <c r="C56" s="391" t="s">
        <v>1338</v>
      </c>
      <c r="D56" s="391"/>
      <c r="E56" s="391" t="s">
        <v>1310</v>
      </c>
      <c r="F56" s="392" t="s">
        <v>1311</v>
      </c>
      <c r="G56" s="391" t="s">
        <v>95</v>
      </c>
      <c r="H56" s="391" t="n">
        <v>2024</v>
      </c>
      <c r="I56" s="391" t="s">
        <v>167</v>
      </c>
      <c r="J56" s="391" t="s">
        <v>1312</v>
      </c>
      <c r="K56" s="391" t="s">
        <v>1313</v>
      </c>
      <c r="L56" s="393" t="n">
        <v>5</v>
      </c>
      <c r="M56" s="394"/>
      <c r="N56" s="395" t="n">
        <v>1</v>
      </c>
      <c r="O56" s="396" t="n">
        <v>8</v>
      </c>
      <c r="P56" s="396" t="n">
        <v>35</v>
      </c>
      <c r="Q56" s="393" t="n">
        <v>5</v>
      </c>
      <c r="R56" s="394"/>
      <c r="S56" s="394"/>
      <c r="T56" s="394"/>
      <c r="U56" s="394"/>
      <c r="V56" s="394"/>
      <c r="W56" s="394"/>
      <c r="X56" s="393" t="n">
        <v>159.091</v>
      </c>
      <c r="Y56" s="393" t="n">
        <v>222.5</v>
      </c>
    </row>
    <row r="57" customFormat="false" ht="14.25" hidden="false" customHeight="false" outlineLevel="0" collapsed="false">
      <c r="A57" s="389" t="s">
        <v>1355</v>
      </c>
      <c r="B57" s="389" t="s">
        <v>1308</v>
      </c>
      <c r="C57" s="389" t="s">
        <v>1341</v>
      </c>
      <c r="D57" s="389"/>
      <c r="E57" s="389" t="s">
        <v>1310</v>
      </c>
      <c r="F57" s="389"/>
      <c r="G57" s="389" t="s">
        <v>133</v>
      </c>
      <c r="H57" s="389" t="n">
        <v>2025</v>
      </c>
      <c r="I57" s="389" t="s">
        <v>1356</v>
      </c>
      <c r="J57" s="389" t="s">
        <v>1312</v>
      </c>
      <c r="K57" s="389" t="s">
        <v>1357</v>
      </c>
      <c r="L57" s="389" t="n">
        <v>5</v>
      </c>
      <c r="M57" s="389"/>
      <c r="N57" s="389" t="n">
        <v>1</v>
      </c>
      <c r="O57" s="389" t="n">
        <v>5</v>
      </c>
      <c r="P57" s="389" t="n">
        <v>35</v>
      </c>
      <c r="Q57" s="389" t="n">
        <v>5</v>
      </c>
      <c r="R57" s="389"/>
      <c r="S57" s="389"/>
      <c r="T57" s="389"/>
      <c r="U57" s="389"/>
      <c r="V57" s="389"/>
      <c r="W57" s="389"/>
      <c r="X57" s="389" t="n">
        <v>264.688</v>
      </c>
      <c r="Y57" s="389" t="n">
        <v>222.5</v>
      </c>
    </row>
    <row r="58" customFormat="false" ht="14.25" hidden="false" customHeight="false" outlineLevel="0" collapsed="false">
      <c r="A58" s="389" t="s">
        <v>1355</v>
      </c>
      <c r="B58" s="389" t="s">
        <v>1308</v>
      </c>
      <c r="C58" s="389" t="s">
        <v>1341</v>
      </c>
      <c r="D58" s="389"/>
      <c r="E58" s="389" t="s">
        <v>1310</v>
      </c>
      <c r="F58" s="389"/>
      <c r="G58" s="389" t="s">
        <v>133</v>
      </c>
      <c r="H58" s="389" t="n">
        <v>2025</v>
      </c>
      <c r="I58" s="389" t="s">
        <v>1356</v>
      </c>
      <c r="J58" s="389" t="s">
        <v>1312</v>
      </c>
      <c r="K58" s="389" t="s">
        <v>1357</v>
      </c>
      <c r="L58" s="389" t="n">
        <v>10</v>
      </c>
      <c r="M58" s="389"/>
      <c r="N58" s="389" t="n">
        <v>1</v>
      </c>
      <c r="O58" s="389" t="n">
        <v>24</v>
      </c>
      <c r="P58" s="389" t="n">
        <v>70</v>
      </c>
      <c r="Q58" s="389" t="n">
        <v>10</v>
      </c>
      <c r="R58" s="389"/>
      <c r="S58" s="389"/>
      <c r="T58" s="389"/>
      <c r="U58" s="389"/>
      <c r="V58" s="389"/>
      <c r="W58" s="389"/>
      <c r="X58" s="389" t="n">
        <v>529.375</v>
      </c>
      <c r="Y58" s="389" t="n">
        <v>445</v>
      </c>
    </row>
    <row r="59" customFormat="false" ht="14.25" hidden="false" customHeight="false" outlineLevel="0" collapsed="false">
      <c r="A59" s="389" t="s">
        <v>1358</v>
      </c>
      <c r="B59" s="389" t="s">
        <v>1350</v>
      </c>
      <c r="C59" s="389" t="s">
        <v>1315</v>
      </c>
      <c r="D59" s="389"/>
      <c r="E59" s="389" t="s">
        <v>1310</v>
      </c>
      <c r="F59" s="389"/>
      <c r="G59" s="389" t="s">
        <v>1359</v>
      </c>
      <c r="H59" s="389" t="n">
        <v>2025</v>
      </c>
      <c r="I59" s="389" t="s">
        <v>1317</v>
      </c>
      <c r="J59" s="389" t="s">
        <v>1312</v>
      </c>
      <c r="K59" s="389" t="s">
        <v>1360</v>
      </c>
      <c r="L59" s="389" t="n">
        <v>11.3</v>
      </c>
      <c r="M59" s="389"/>
      <c r="N59" s="389" t="n">
        <v>1</v>
      </c>
      <c r="O59" s="389" t="n">
        <v>24</v>
      </c>
      <c r="P59" s="389" t="n">
        <v>79.1</v>
      </c>
      <c r="Q59" s="389" t="n">
        <v>11.3</v>
      </c>
      <c r="R59" s="389"/>
      <c r="S59" s="389"/>
      <c r="T59" s="389"/>
      <c r="U59" s="389"/>
      <c r="V59" s="389"/>
      <c r="W59" s="389"/>
      <c r="X59" s="389" t="n">
        <v>434</v>
      </c>
      <c r="Y59" s="389" t="n">
        <v>502.85</v>
      </c>
    </row>
    <row r="60" customFormat="false" ht="14.25" hidden="false" customHeight="false" outlineLevel="0" collapsed="false">
      <c r="A60" s="389" t="s">
        <v>1361</v>
      </c>
      <c r="B60" s="389" t="s">
        <v>1350</v>
      </c>
      <c r="C60" s="389" t="s">
        <v>1315</v>
      </c>
      <c r="D60" s="389"/>
      <c r="E60" s="389" t="s">
        <v>1310</v>
      </c>
      <c r="F60" s="389"/>
      <c r="G60" s="389" t="s">
        <v>1362</v>
      </c>
      <c r="H60" s="389" t="n">
        <v>2025</v>
      </c>
      <c r="I60" s="389" t="s">
        <v>1317</v>
      </c>
      <c r="J60" s="389" t="s">
        <v>1312</v>
      </c>
      <c r="K60" s="389" t="s">
        <v>1363</v>
      </c>
      <c r="L60" s="389" t="n">
        <v>72.2</v>
      </c>
      <c r="M60" s="389"/>
      <c r="N60" s="389" t="n">
        <v>1</v>
      </c>
      <c r="O60" s="389" t="n">
        <v>24</v>
      </c>
      <c r="P60" s="389" t="n">
        <v>505.4</v>
      </c>
      <c r="Q60" s="389" t="n">
        <v>72.2</v>
      </c>
      <c r="R60" s="389"/>
      <c r="S60" s="389"/>
      <c r="T60" s="389"/>
      <c r="U60" s="389"/>
      <c r="V60" s="389"/>
      <c r="W60" s="389"/>
      <c r="X60" s="389" t="n">
        <v>2693</v>
      </c>
      <c r="Y60" s="389" t="n">
        <v>3212.9</v>
      </c>
    </row>
    <row r="61" customFormat="false" ht="14.25" hidden="false" customHeight="false" outlineLevel="0" collapsed="false">
      <c r="A61" s="389" t="s">
        <v>1364</v>
      </c>
      <c r="B61" s="389" t="s">
        <v>1365</v>
      </c>
      <c r="C61" s="389" t="s">
        <v>1309</v>
      </c>
      <c r="D61" s="389"/>
      <c r="E61" s="389" t="s">
        <v>1310</v>
      </c>
      <c r="F61" s="389"/>
      <c r="G61" s="389" t="s">
        <v>1359</v>
      </c>
      <c r="H61" s="389" t="n">
        <v>2025</v>
      </c>
      <c r="I61" s="389" t="s">
        <v>1317</v>
      </c>
      <c r="J61" s="389" t="s">
        <v>1312</v>
      </c>
      <c r="K61" s="389" t="s">
        <v>1360</v>
      </c>
      <c r="L61" s="389" t="n">
        <v>26</v>
      </c>
      <c r="M61" s="389"/>
      <c r="N61" s="389" t="n">
        <v>1</v>
      </c>
      <c r="O61" s="389" t="n">
        <v>24</v>
      </c>
      <c r="P61" s="389" t="n">
        <v>182</v>
      </c>
      <c r="Q61" s="389" t="n">
        <v>26</v>
      </c>
      <c r="R61" s="389"/>
      <c r="S61" s="389"/>
      <c r="T61" s="389"/>
      <c r="U61" s="389"/>
      <c r="V61" s="389"/>
      <c r="W61" s="389"/>
      <c r="X61" s="389" t="n">
        <v>500</v>
      </c>
      <c r="Y61" s="389" t="n">
        <v>1157</v>
      </c>
    </row>
    <row r="62" customFormat="false" ht="14.25" hidden="false" customHeight="false" outlineLevel="0" collapsed="false">
      <c r="A62" s="389" t="s">
        <v>1366</v>
      </c>
      <c r="B62" s="389" t="s">
        <v>1365</v>
      </c>
      <c r="C62" s="389" t="s">
        <v>1309</v>
      </c>
      <c r="D62" s="389"/>
      <c r="E62" s="389" t="s">
        <v>1310</v>
      </c>
      <c r="F62" s="389"/>
      <c r="G62" s="389" t="s">
        <v>1362</v>
      </c>
      <c r="H62" s="389" t="n">
        <v>2025</v>
      </c>
      <c r="I62" s="389" t="s">
        <v>1317</v>
      </c>
      <c r="J62" s="389" t="s">
        <v>1312</v>
      </c>
      <c r="K62" s="389" t="s">
        <v>1363</v>
      </c>
      <c r="L62" s="389" t="n">
        <v>4.5</v>
      </c>
      <c r="M62" s="389"/>
      <c r="N62" s="389" t="n">
        <v>1</v>
      </c>
      <c r="O62" s="389" t="n">
        <v>12</v>
      </c>
      <c r="P62" s="389" t="n">
        <v>31.5</v>
      </c>
      <c r="Q62" s="389" t="n">
        <v>4.5</v>
      </c>
      <c r="R62" s="389"/>
      <c r="S62" s="389"/>
      <c r="T62" s="389"/>
      <c r="U62" s="389"/>
      <c r="V62" s="389"/>
      <c r="W62" s="389"/>
      <c r="X62" s="389" t="n">
        <v>221.218</v>
      </c>
      <c r="Y62" s="389" t="n">
        <v>200.25</v>
      </c>
    </row>
    <row r="63" customFormat="false" ht="14.25" hidden="false" customHeight="false" outlineLevel="0" collapsed="false">
      <c r="A63" s="389" t="s">
        <v>1366</v>
      </c>
      <c r="B63" s="389" t="s">
        <v>1365</v>
      </c>
      <c r="C63" s="389" t="s">
        <v>1309</v>
      </c>
      <c r="D63" s="389"/>
      <c r="E63" s="389" t="s">
        <v>1310</v>
      </c>
      <c r="F63" s="389"/>
      <c r="G63" s="389" t="s">
        <v>1359</v>
      </c>
      <c r="H63" s="389" t="n">
        <v>2025</v>
      </c>
      <c r="I63" s="389" t="s">
        <v>1317</v>
      </c>
      <c r="J63" s="389" t="s">
        <v>1312</v>
      </c>
      <c r="K63" s="389" t="s">
        <v>1360</v>
      </c>
      <c r="L63" s="389" t="n">
        <v>41.9</v>
      </c>
      <c r="M63" s="389"/>
      <c r="N63" s="389" t="n">
        <v>1</v>
      </c>
      <c r="O63" s="389" t="n">
        <v>12</v>
      </c>
      <c r="P63" s="389" t="n">
        <v>293.3</v>
      </c>
      <c r="Q63" s="389" t="n">
        <v>41.9</v>
      </c>
      <c r="R63" s="389"/>
      <c r="S63" s="389"/>
      <c r="T63" s="389"/>
      <c r="U63" s="389"/>
      <c r="V63" s="389"/>
      <c r="W63" s="389"/>
      <c r="X63" s="389" t="n">
        <v>2059.782</v>
      </c>
      <c r="Y63" s="389" t="n">
        <v>1864.55</v>
      </c>
    </row>
    <row r="64" customFormat="false" ht="14.25" hidden="false" customHeight="false" outlineLevel="0" collapsed="false">
      <c r="A64" s="389" t="s">
        <v>1367</v>
      </c>
      <c r="B64" s="389" t="s">
        <v>1368</v>
      </c>
      <c r="C64" s="389" t="s">
        <v>1321</v>
      </c>
      <c r="D64" s="389"/>
      <c r="E64" s="389" t="s">
        <v>1310</v>
      </c>
      <c r="F64" s="389"/>
      <c r="G64" s="389" t="s">
        <v>1359</v>
      </c>
      <c r="H64" s="389" t="n">
        <v>2025</v>
      </c>
      <c r="I64" s="389" t="s">
        <v>1317</v>
      </c>
      <c r="J64" s="389" t="s">
        <v>1312</v>
      </c>
      <c r="K64" s="389" t="s">
        <v>1360</v>
      </c>
      <c r="L64" s="389" t="n">
        <v>7.7</v>
      </c>
      <c r="M64" s="389"/>
      <c r="N64" s="389" t="n">
        <v>1</v>
      </c>
      <c r="O64" s="389" t="n">
        <v>24</v>
      </c>
      <c r="P64" s="389" t="n">
        <v>53.9</v>
      </c>
      <c r="Q64" s="389" t="n">
        <v>7.7</v>
      </c>
      <c r="R64" s="389"/>
      <c r="S64" s="389"/>
      <c r="T64" s="389"/>
      <c r="U64" s="389"/>
      <c r="V64" s="389"/>
      <c r="W64" s="389"/>
      <c r="X64" s="389" t="n">
        <v>550</v>
      </c>
      <c r="Y64" s="389" t="n">
        <v>342.65</v>
      </c>
    </row>
    <row r="65" customFormat="false" ht="14.25" hidden="false" customHeight="false" outlineLevel="0" collapsed="false">
      <c r="A65" s="389" t="s">
        <v>1369</v>
      </c>
      <c r="B65" s="389" t="s">
        <v>1368</v>
      </c>
      <c r="C65" s="389" t="s">
        <v>1321</v>
      </c>
      <c r="D65" s="389"/>
      <c r="E65" s="389" t="s">
        <v>1310</v>
      </c>
      <c r="F65" s="389"/>
      <c r="G65" s="389" t="s">
        <v>1359</v>
      </c>
      <c r="H65" s="389" t="n">
        <v>2025</v>
      </c>
      <c r="I65" s="389" t="s">
        <v>1317</v>
      </c>
      <c r="J65" s="389" t="s">
        <v>1312</v>
      </c>
      <c r="K65" s="389" t="s">
        <v>1360</v>
      </c>
      <c r="L65" s="389" t="n">
        <v>73.6</v>
      </c>
      <c r="M65" s="389"/>
      <c r="N65" s="389" t="n">
        <v>1</v>
      </c>
      <c r="O65" s="389" t="n">
        <v>24</v>
      </c>
      <c r="P65" s="389" t="n">
        <v>515.2</v>
      </c>
      <c r="Q65" s="389" t="n">
        <v>73.6</v>
      </c>
      <c r="R65" s="389"/>
      <c r="S65" s="389"/>
      <c r="T65" s="389"/>
      <c r="U65" s="389"/>
      <c r="V65" s="389"/>
      <c r="W65" s="389"/>
      <c r="X65" s="389" t="n">
        <v>2549</v>
      </c>
      <c r="Y65" s="389" t="n">
        <v>3275.2</v>
      </c>
    </row>
    <row r="66" customFormat="false" ht="14.25" hidden="false" customHeight="false" outlineLevel="0" collapsed="false">
      <c r="A66" s="389" t="s">
        <v>1370</v>
      </c>
      <c r="B66" s="389" t="s">
        <v>1337</v>
      </c>
      <c r="C66" s="389" t="s">
        <v>1338</v>
      </c>
      <c r="D66" s="389"/>
      <c r="E66" s="389" t="s">
        <v>1310</v>
      </c>
      <c r="F66" s="389"/>
      <c r="G66" s="389" t="s">
        <v>133</v>
      </c>
      <c r="H66" s="389" t="n">
        <v>2025</v>
      </c>
      <c r="I66" s="389" t="s">
        <v>1356</v>
      </c>
      <c r="J66" s="389" t="s">
        <v>1312</v>
      </c>
      <c r="K66" s="389" t="s">
        <v>1357</v>
      </c>
      <c r="L66" s="389" t="n">
        <v>26</v>
      </c>
      <c r="M66" s="389"/>
      <c r="N66" s="389" t="n">
        <v>1</v>
      </c>
      <c r="O66" s="389" t="n">
        <v>24</v>
      </c>
      <c r="P66" s="389" t="n">
        <v>182</v>
      </c>
      <c r="Q66" s="389" t="n">
        <v>26</v>
      </c>
      <c r="R66" s="389"/>
      <c r="S66" s="389"/>
      <c r="T66" s="389"/>
      <c r="U66" s="389"/>
      <c r="V66" s="389"/>
      <c r="W66" s="389"/>
      <c r="X66" s="389" t="n">
        <v>960.429</v>
      </c>
      <c r="Y66" s="389" t="n">
        <v>1157</v>
      </c>
    </row>
    <row r="67" customFormat="false" ht="14.25" hidden="false" customHeight="false" outlineLevel="0" collapsed="false">
      <c r="A67" s="389" t="s">
        <v>1370</v>
      </c>
      <c r="B67" s="389" t="s">
        <v>1337</v>
      </c>
      <c r="C67" s="389" t="s">
        <v>1338</v>
      </c>
      <c r="D67" s="389"/>
      <c r="E67" s="389" t="s">
        <v>1310</v>
      </c>
      <c r="F67" s="389"/>
      <c r="G67" s="389" t="s">
        <v>133</v>
      </c>
      <c r="H67" s="389" t="n">
        <v>2025</v>
      </c>
      <c r="I67" s="389" t="s">
        <v>1356</v>
      </c>
      <c r="J67" s="389" t="s">
        <v>1312</v>
      </c>
      <c r="K67" s="389" t="s">
        <v>1357</v>
      </c>
      <c r="L67" s="389" t="n">
        <v>18</v>
      </c>
      <c r="M67" s="389"/>
      <c r="N67" s="389" t="n">
        <v>1</v>
      </c>
      <c r="O67" s="389" t="n">
        <v>24</v>
      </c>
      <c r="P67" s="389" t="n">
        <v>126</v>
      </c>
      <c r="Q67" s="389" t="n">
        <v>18</v>
      </c>
      <c r="R67" s="389"/>
      <c r="S67" s="389"/>
      <c r="T67" s="389"/>
      <c r="U67" s="389"/>
      <c r="V67" s="389"/>
      <c r="W67" s="389"/>
      <c r="X67" s="389" t="n">
        <v>664.913</v>
      </c>
      <c r="Y67" s="389" t="n">
        <v>801</v>
      </c>
    </row>
    <row r="68" customFormat="false" ht="14.25" hidden="false" customHeight="false" outlineLevel="0" collapsed="false">
      <c r="A68" s="389" t="s">
        <v>1370</v>
      </c>
      <c r="B68" s="389" t="s">
        <v>1337</v>
      </c>
      <c r="C68" s="389" t="s">
        <v>1338</v>
      </c>
      <c r="D68" s="389"/>
      <c r="E68" s="389" t="s">
        <v>1310</v>
      </c>
      <c r="F68" s="389"/>
      <c r="G68" s="389" t="s">
        <v>133</v>
      </c>
      <c r="H68" s="389" t="n">
        <v>2025</v>
      </c>
      <c r="I68" s="389" t="s">
        <v>1356</v>
      </c>
      <c r="J68" s="389" t="s">
        <v>1312</v>
      </c>
      <c r="K68" s="389" t="s">
        <v>1357</v>
      </c>
      <c r="L68" s="389" t="n">
        <v>4</v>
      </c>
      <c r="M68" s="389"/>
      <c r="N68" s="389" t="n">
        <v>1</v>
      </c>
      <c r="O68" s="389" t="n">
        <v>4</v>
      </c>
      <c r="P68" s="389" t="n">
        <v>28</v>
      </c>
      <c r="Q68" s="389" t="n">
        <v>4</v>
      </c>
      <c r="R68" s="389"/>
      <c r="S68" s="389"/>
      <c r="T68" s="389"/>
      <c r="U68" s="389"/>
      <c r="V68" s="389"/>
      <c r="W68" s="389"/>
      <c r="X68" s="389" t="n">
        <v>147.758</v>
      </c>
      <c r="Y68" s="389" t="n">
        <v>178</v>
      </c>
    </row>
    <row r="69" customFormat="false" ht="14.25" hidden="false" customHeight="false" outlineLevel="0" collapsed="false">
      <c r="A69" s="389" t="s">
        <v>1370</v>
      </c>
      <c r="B69" s="389" t="s">
        <v>1337</v>
      </c>
      <c r="C69" s="389" t="s">
        <v>1338</v>
      </c>
      <c r="D69" s="389"/>
      <c r="E69" s="389" t="s">
        <v>1310</v>
      </c>
      <c r="F69" s="389"/>
      <c r="G69" s="389" t="s">
        <v>134</v>
      </c>
      <c r="H69" s="389" t="n">
        <v>2025</v>
      </c>
      <c r="I69" s="389" t="s">
        <v>1356</v>
      </c>
      <c r="J69" s="389" t="s">
        <v>1312</v>
      </c>
      <c r="K69" s="389" t="s">
        <v>1371</v>
      </c>
      <c r="L69" s="389" t="n">
        <v>23</v>
      </c>
      <c r="M69" s="389"/>
      <c r="N69" s="389" t="n">
        <v>1</v>
      </c>
      <c r="O69" s="389" t="n">
        <v>20</v>
      </c>
      <c r="P69" s="389" t="n">
        <v>161</v>
      </c>
      <c r="Q69" s="389" t="n">
        <v>23</v>
      </c>
      <c r="R69" s="389"/>
      <c r="S69" s="389"/>
      <c r="T69" s="389"/>
      <c r="U69" s="389"/>
      <c r="V69" s="389"/>
      <c r="W69" s="389"/>
      <c r="X69" s="389" t="n">
        <v>849.611</v>
      </c>
      <c r="Y69" s="389" t="n">
        <v>1023.5</v>
      </c>
    </row>
    <row r="70" customFormat="false" ht="14.25" hidden="false" customHeight="false" outlineLevel="0" collapsed="false">
      <c r="A70" s="389" t="s">
        <v>1370</v>
      </c>
      <c r="B70" s="389" t="s">
        <v>1337</v>
      </c>
      <c r="C70" s="389" t="s">
        <v>1338</v>
      </c>
      <c r="D70" s="389"/>
      <c r="E70" s="389" t="s">
        <v>1310</v>
      </c>
      <c r="F70" s="389"/>
      <c r="G70" s="389" t="s">
        <v>134</v>
      </c>
      <c r="H70" s="389" t="n">
        <v>2025</v>
      </c>
      <c r="I70" s="389" t="s">
        <v>1356</v>
      </c>
      <c r="J70" s="389" t="s">
        <v>1312</v>
      </c>
      <c r="K70" s="389" t="s">
        <v>1371</v>
      </c>
      <c r="L70" s="389" t="n">
        <v>33</v>
      </c>
      <c r="M70" s="389"/>
      <c r="N70" s="389" t="n">
        <v>1</v>
      </c>
      <c r="O70" s="389" t="n">
        <v>24</v>
      </c>
      <c r="P70" s="389" t="n">
        <v>231</v>
      </c>
      <c r="Q70" s="389" t="n">
        <v>33</v>
      </c>
      <c r="R70" s="389"/>
      <c r="S70" s="389"/>
      <c r="T70" s="389"/>
      <c r="U70" s="389"/>
      <c r="V70" s="389"/>
      <c r="W70" s="389"/>
      <c r="X70" s="389" t="n">
        <v>1219.007</v>
      </c>
      <c r="Y70" s="389" t="n">
        <v>1468.5</v>
      </c>
    </row>
    <row r="71" customFormat="false" ht="14.25" hidden="false" customHeight="false" outlineLevel="0" collapsed="false">
      <c r="A71" s="389" t="s">
        <v>1370</v>
      </c>
      <c r="B71" s="389" t="s">
        <v>1337</v>
      </c>
      <c r="C71" s="389" t="s">
        <v>1338</v>
      </c>
      <c r="D71" s="389"/>
      <c r="E71" s="389" t="s">
        <v>1310</v>
      </c>
      <c r="F71" s="389"/>
      <c r="G71" s="389" t="s">
        <v>149</v>
      </c>
      <c r="H71" s="389" t="n">
        <v>2025</v>
      </c>
      <c r="I71" s="389" t="s">
        <v>1356</v>
      </c>
      <c r="J71" s="389" t="s">
        <v>1312</v>
      </c>
      <c r="K71" s="389" t="s">
        <v>1372</v>
      </c>
      <c r="L71" s="389" t="n">
        <v>20</v>
      </c>
      <c r="M71" s="389"/>
      <c r="N71" s="389" t="n">
        <v>1</v>
      </c>
      <c r="O71" s="389" t="n">
        <v>24</v>
      </c>
      <c r="P71" s="389" t="n">
        <v>140</v>
      </c>
      <c r="Q71" s="389" t="n">
        <v>20</v>
      </c>
      <c r="R71" s="389"/>
      <c r="S71" s="389"/>
      <c r="T71" s="389"/>
      <c r="U71" s="389"/>
      <c r="V71" s="389"/>
      <c r="W71" s="389"/>
      <c r="X71" s="389" t="n">
        <v>738.792</v>
      </c>
      <c r="Y71" s="389" t="n">
        <v>890</v>
      </c>
    </row>
    <row r="72" customFormat="false" ht="14.25" hidden="false" customHeight="false" outlineLevel="0" collapsed="false">
      <c r="A72" s="389" t="s">
        <v>1370</v>
      </c>
      <c r="B72" s="389" t="s">
        <v>1337</v>
      </c>
      <c r="C72" s="389" t="s">
        <v>1338</v>
      </c>
      <c r="D72" s="389"/>
      <c r="E72" s="389" t="s">
        <v>1310</v>
      </c>
      <c r="F72" s="389"/>
      <c r="G72" s="389" t="s">
        <v>136</v>
      </c>
      <c r="H72" s="389" t="n">
        <v>2025</v>
      </c>
      <c r="I72" s="389" t="s">
        <v>1373</v>
      </c>
      <c r="J72" s="389" t="s">
        <v>1312</v>
      </c>
      <c r="K72" s="389" t="s">
        <v>1374</v>
      </c>
      <c r="L72" s="389" t="n">
        <v>13.6</v>
      </c>
      <c r="M72" s="389"/>
      <c r="N72" s="389" t="n">
        <v>1</v>
      </c>
      <c r="O72" s="389" t="n">
        <v>12</v>
      </c>
      <c r="P72" s="389" t="n">
        <v>95.2</v>
      </c>
      <c r="Q72" s="389" t="n">
        <v>13.6</v>
      </c>
      <c r="R72" s="389"/>
      <c r="S72" s="389"/>
      <c r="T72" s="389"/>
      <c r="U72" s="389"/>
      <c r="V72" s="389"/>
      <c r="W72" s="389"/>
      <c r="X72" s="389" t="n">
        <v>502.379</v>
      </c>
      <c r="Y72" s="389" t="n">
        <v>605.2</v>
      </c>
    </row>
    <row r="73" customFormat="false" ht="14.25" hidden="false" customHeight="false" outlineLevel="0" collapsed="false">
      <c r="A73" s="389" t="s">
        <v>1370</v>
      </c>
      <c r="B73" s="389" t="s">
        <v>1337</v>
      </c>
      <c r="C73" s="389" t="s">
        <v>1338</v>
      </c>
      <c r="D73" s="389"/>
      <c r="E73" s="389" t="s">
        <v>1310</v>
      </c>
      <c r="F73" s="389"/>
      <c r="G73" s="389" t="s">
        <v>141</v>
      </c>
      <c r="H73" s="389" t="n">
        <v>2025</v>
      </c>
      <c r="I73" s="389" t="s">
        <v>167</v>
      </c>
      <c r="J73" s="389" t="s">
        <v>1312</v>
      </c>
      <c r="K73" s="389" t="s">
        <v>1375</v>
      </c>
      <c r="L73" s="389" t="n">
        <v>11.4</v>
      </c>
      <c r="M73" s="389"/>
      <c r="N73" s="389" t="n">
        <v>1</v>
      </c>
      <c r="O73" s="389" t="n">
        <v>12</v>
      </c>
      <c r="P73" s="389" t="n">
        <v>79.8</v>
      </c>
      <c r="Q73" s="389" t="n">
        <v>11.4</v>
      </c>
      <c r="R73" s="389"/>
      <c r="S73" s="389"/>
      <c r="T73" s="389"/>
      <c r="U73" s="389"/>
      <c r="V73" s="389"/>
      <c r="W73" s="389"/>
      <c r="X73" s="389" t="n">
        <v>421.111</v>
      </c>
      <c r="Y73" s="389" t="n">
        <v>507.3</v>
      </c>
    </row>
    <row r="74" customFormat="false" ht="14.25" hidden="false" customHeight="false" outlineLevel="0" collapsed="false">
      <c r="A74" s="389" t="s">
        <v>1376</v>
      </c>
      <c r="B74" s="389" t="s">
        <v>1365</v>
      </c>
      <c r="C74" s="389" t="s">
        <v>1309</v>
      </c>
      <c r="D74" s="389"/>
      <c r="E74" s="389" t="s">
        <v>1310</v>
      </c>
      <c r="F74" s="389"/>
      <c r="G74" s="389" t="s">
        <v>141</v>
      </c>
      <c r="H74" s="389" t="n">
        <v>2025</v>
      </c>
      <c r="I74" s="389" t="s">
        <v>167</v>
      </c>
      <c r="J74" s="389" t="s">
        <v>1312</v>
      </c>
      <c r="K74" s="389" t="s">
        <v>1375</v>
      </c>
      <c r="L74" s="389" t="n">
        <v>0.8</v>
      </c>
      <c r="M74" s="389"/>
      <c r="N74" s="389" t="n">
        <v>1</v>
      </c>
      <c r="O74" s="389" t="n">
        <v>2</v>
      </c>
      <c r="P74" s="389" t="n">
        <v>5.6</v>
      </c>
      <c r="Q74" s="389" t="n">
        <v>0.8</v>
      </c>
      <c r="R74" s="389"/>
      <c r="S74" s="389"/>
      <c r="T74" s="389"/>
      <c r="U74" s="389"/>
      <c r="V74" s="389"/>
      <c r="W74" s="389"/>
      <c r="X74" s="389" t="n">
        <v>29.354</v>
      </c>
      <c r="Y74" s="389" t="n">
        <v>35.6</v>
      </c>
    </row>
    <row r="75" customFormat="false" ht="14.25" hidden="false" customHeight="false" outlineLevel="0" collapsed="false">
      <c r="A75" s="389" t="s">
        <v>1376</v>
      </c>
      <c r="B75" s="389" t="s">
        <v>1365</v>
      </c>
      <c r="C75" s="389" t="s">
        <v>1309</v>
      </c>
      <c r="D75" s="389"/>
      <c r="E75" s="389" t="s">
        <v>1310</v>
      </c>
      <c r="F75" s="389"/>
      <c r="G75" s="389" t="s">
        <v>141</v>
      </c>
      <c r="H75" s="389" t="n">
        <v>2025</v>
      </c>
      <c r="I75" s="389" t="s">
        <v>167</v>
      </c>
      <c r="J75" s="389" t="s">
        <v>1312</v>
      </c>
      <c r="K75" s="389" t="s">
        <v>1375</v>
      </c>
      <c r="L75" s="389" t="n">
        <v>23.2</v>
      </c>
      <c r="M75" s="389"/>
      <c r="N75" s="389" t="n">
        <v>1</v>
      </c>
      <c r="O75" s="389" t="n">
        <v>22</v>
      </c>
      <c r="P75" s="389" t="n">
        <v>162.4</v>
      </c>
      <c r="Q75" s="389" t="n">
        <v>23.2</v>
      </c>
      <c r="R75" s="389"/>
      <c r="S75" s="389"/>
      <c r="T75" s="389"/>
      <c r="U75" s="389"/>
      <c r="V75" s="389"/>
      <c r="W75" s="389"/>
      <c r="X75" s="389" t="n">
        <v>851.262</v>
      </c>
      <c r="Y75" s="389" t="n">
        <v>1032.4</v>
      </c>
    </row>
    <row r="76" customFormat="false" ht="14.25" hidden="false" customHeight="false" outlineLevel="0" collapsed="false">
      <c r="A76" s="389" t="s">
        <v>1376</v>
      </c>
      <c r="B76" s="389" t="s">
        <v>1365</v>
      </c>
      <c r="C76" s="389" t="s">
        <v>1309</v>
      </c>
      <c r="D76" s="389"/>
      <c r="E76" s="389" t="s">
        <v>1310</v>
      </c>
      <c r="F76" s="389"/>
      <c r="G76" s="389" t="s">
        <v>141</v>
      </c>
      <c r="H76" s="389" t="n">
        <v>2025</v>
      </c>
      <c r="I76" s="389" t="s">
        <v>167</v>
      </c>
      <c r="J76" s="389" t="s">
        <v>1312</v>
      </c>
      <c r="K76" s="389" t="s">
        <v>1375</v>
      </c>
      <c r="L76" s="389" t="n">
        <v>2.6</v>
      </c>
      <c r="M76" s="389"/>
      <c r="N76" s="389" t="n">
        <v>1</v>
      </c>
      <c r="O76" s="389" t="n">
        <v>2</v>
      </c>
      <c r="P76" s="389" t="n">
        <v>18.2</v>
      </c>
      <c r="Q76" s="389" t="n">
        <v>2.6</v>
      </c>
      <c r="R76" s="389"/>
      <c r="S76" s="389"/>
      <c r="T76" s="389"/>
      <c r="U76" s="389"/>
      <c r="V76" s="389"/>
      <c r="W76" s="389"/>
      <c r="X76" s="389" t="n">
        <v>95.4</v>
      </c>
      <c r="Y76" s="389" t="n">
        <v>115.7</v>
      </c>
    </row>
    <row r="77" customFormat="false" ht="14.25" hidden="false" customHeight="false" outlineLevel="0" collapsed="false">
      <c r="A77" s="389" t="s">
        <v>1376</v>
      </c>
      <c r="B77" s="389" t="s">
        <v>1365</v>
      </c>
      <c r="C77" s="389" t="s">
        <v>1309</v>
      </c>
      <c r="D77" s="389"/>
      <c r="E77" s="389" t="s">
        <v>1310</v>
      </c>
      <c r="F77" s="389"/>
      <c r="G77" s="389" t="s">
        <v>141</v>
      </c>
      <c r="H77" s="389" t="n">
        <v>2025</v>
      </c>
      <c r="I77" s="389" t="s">
        <v>167</v>
      </c>
      <c r="J77" s="389" t="s">
        <v>1312</v>
      </c>
      <c r="K77" s="389" t="s">
        <v>1375</v>
      </c>
      <c r="L77" s="389" t="n">
        <v>20</v>
      </c>
      <c r="M77" s="389"/>
      <c r="N77" s="389" t="n">
        <v>1</v>
      </c>
      <c r="O77" s="389" t="n">
        <v>24</v>
      </c>
      <c r="P77" s="389" t="n">
        <v>140</v>
      </c>
      <c r="Q77" s="389" t="n">
        <v>20</v>
      </c>
      <c r="R77" s="389"/>
      <c r="S77" s="389"/>
      <c r="T77" s="389"/>
      <c r="U77" s="389"/>
      <c r="V77" s="389"/>
      <c r="W77" s="389"/>
      <c r="X77" s="389" t="n">
        <v>733.846</v>
      </c>
      <c r="Y77" s="389" t="n">
        <v>890</v>
      </c>
    </row>
    <row r="78" customFormat="false" ht="14.25" hidden="false" customHeight="false" outlineLevel="0" collapsed="false">
      <c r="A78" s="389" t="s">
        <v>1376</v>
      </c>
      <c r="B78" s="389" t="s">
        <v>1365</v>
      </c>
      <c r="C78" s="389" t="s">
        <v>1309</v>
      </c>
      <c r="D78" s="389"/>
      <c r="E78" s="389" t="s">
        <v>1310</v>
      </c>
      <c r="F78" s="389"/>
      <c r="G78" s="389" t="s">
        <v>141</v>
      </c>
      <c r="H78" s="389" t="n">
        <v>2025</v>
      </c>
      <c r="I78" s="389" t="s">
        <v>167</v>
      </c>
      <c r="J78" s="389" t="s">
        <v>1312</v>
      </c>
      <c r="K78" s="389" t="s">
        <v>1375</v>
      </c>
      <c r="L78" s="389" t="n">
        <v>5.4</v>
      </c>
      <c r="M78" s="389"/>
      <c r="N78" s="389" t="n">
        <v>1</v>
      </c>
      <c r="O78" s="389" t="n">
        <v>2</v>
      </c>
      <c r="P78" s="389" t="n">
        <v>37.8</v>
      </c>
      <c r="Q78" s="389" t="n">
        <v>5.4</v>
      </c>
      <c r="R78" s="389"/>
      <c r="S78" s="389"/>
      <c r="T78" s="389"/>
      <c r="U78" s="389"/>
      <c r="V78" s="389"/>
      <c r="W78" s="389"/>
      <c r="X78" s="389" t="n">
        <v>198.138</v>
      </c>
      <c r="Y78" s="389" t="n">
        <v>240.3</v>
      </c>
    </row>
    <row r="79" customFormat="false" ht="14.25" hidden="false" customHeight="false" outlineLevel="0" collapsed="false">
      <c r="A79" s="389" t="s">
        <v>1377</v>
      </c>
      <c r="B79" s="389" t="s">
        <v>1350</v>
      </c>
      <c r="C79" s="389" t="s">
        <v>1315</v>
      </c>
      <c r="D79" s="389"/>
      <c r="E79" s="389" t="s">
        <v>1310</v>
      </c>
      <c r="F79" s="389"/>
      <c r="G79" s="389" t="s">
        <v>141</v>
      </c>
      <c r="H79" s="389" t="n">
        <v>2025</v>
      </c>
      <c r="I79" s="389" t="s">
        <v>167</v>
      </c>
      <c r="J79" s="389" t="s">
        <v>1312</v>
      </c>
      <c r="K79" s="389" t="s">
        <v>1375</v>
      </c>
      <c r="L79" s="389" t="n">
        <v>21.6</v>
      </c>
      <c r="M79" s="389"/>
      <c r="N79" s="389" t="n">
        <v>1</v>
      </c>
      <c r="O79" s="389" t="n">
        <v>24</v>
      </c>
      <c r="P79" s="389" t="n">
        <v>151.2</v>
      </c>
      <c r="Q79" s="389" t="n">
        <v>21.6</v>
      </c>
      <c r="R79" s="389"/>
      <c r="S79" s="389"/>
      <c r="T79" s="389"/>
      <c r="U79" s="389"/>
      <c r="V79" s="389"/>
      <c r="W79" s="389"/>
      <c r="X79" s="389" t="n">
        <v>810</v>
      </c>
      <c r="Y79" s="389" t="n">
        <v>961.2</v>
      </c>
    </row>
    <row r="80" customFormat="false" ht="14.25" hidden="false" customHeight="false" outlineLevel="0" collapsed="false">
      <c r="A80" s="389" t="s">
        <v>1377</v>
      </c>
      <c r="B80" s="389" t="s">
        <v>1350</v>
      </c>
      <c r="C80" s="389" t="s">
        <v>1315</v>
      </c>
      <c r="D80" s="389"/>
      <c r="E80" s="389" t="s">
        <v>1310</v>
      </c>
      <c r="F80" s="389"/>
      <c r="G80" s="389" t="s">
        <v>157</v>
      </c>
      <c r="H80" s="389" t="n">
        <v>2025</v>
      </c>
      <c r="I80" s="389" t="s">
        <v>167</v>
      </c>
      <c r="J80" s="389" t="s">
        <v>1312</v>
      </c>
      <c r="K80" s="389" t="s">
        <v>1378</v>
      </c>
      <c r="L80" s="389" t="n">
        <v>3</v>
      </c>
      <c r="M80" s="389"/>
      <c r="N80" s="389" t="n">
        <v>1</v>
      </c>
      <c r="O80" s="389" t="n">
        <v>2</v>
      </c>
      <c r="P80" s="389" t="n">
        <v>21</v>
      </c>
      <c r="Q80" s="389" t="n">
        <v>3</v>
      </c>
      <c r="R80" s="389"/>
      <c r="S80" s="389"/>
      <c r="T80" s="389"/>
      <c r="U80" s="389"/>
      <c r="V80" s="389"/>
      <c r="W80" s="389"/>
      <c r="X80" s="389" t="n">
        <v>112.5</v>
      </c>
      <c r="Y80" s="389" t="n">
        <v>133.5</v>
      </c>
    </row>
    <row r="81" customFormat="false" ht="14.25" hidden="false" customHeight="false" outlineLevel="0" collapsed="false">
      <c r="A81" s="389" t="s">
        <v>1377</v>
      </c>
      <c r="B81" s="389" t="s">
        <v>1350</v>
      </c>
      <c r="C81" s="389" t="s">
        <v>1315</v>
      </c>
      <c r="D81" s="389"/>
      <c r="E81" s="389" t="s">
        <v>1310</v>
      </c>
      <c r="F81" s="389"/>
      <c r="G81" s="389" t="s">
        <v>151</v>
      </c>
      <c r="H81" s="389" t="n">
        <v>2025</v>
      </c>
      <c r="I81" s="389" t="s">
        <v>167</v>
      </c>
      <c r="J81" s="389" t="s">
        <v>1312</v>
      </c>
      <c r="K81" s="389" t="s">
        <v>1379</v>
      </c>
      <c r="L81" s="389" t="n">
        <v>19.4</v>
      </c>
      <c r="M81" s="389"/>
      <c r="N81" s="389" t="n">
        <v>1</v>
      </c>
      <c r="O81" s="389" t="n">
        <v>24</v>
      </c>
      <c r="P81" s="389" t="n">
        <v>135.8</v>
      </c>
      <c r="Q81" s="389" t="n">
        <v>19.4</v>
      </c>
      <c r="R81" s="389"/>
      <c r="S81" s="389"/>
      <c r="T81" s="389"/>
      <c r="U81" s="389"/>
      <c r="V81" s="389"/>
      <c r="W81" s="389"/>
      <c r="X81" s="389" t="n">
        <v>727.5</v>
      </c>
      <c r="Y81" s="389" t="n">
        <v>863.3</v>
      </c>
    </row>
    <row r="82" customFormat="false" ht="14.25" hidden="false" customHeight="false" outlineLevel="0" collapsed="false">
      <c r="A82" s="389" t="s">
        <v>1380</v>
      </c>
      <c r="B82" s="389" t="s">
        <v>1368</v>
      </c>
      <c r="C82" s="389" t="s">
        <v>1321</v>
      </c>
      <c r="D82" s="389"/>
      <c r="E82" s="389" t="s">
        <v>1310</v>
      </c>
      <c r="F82" s="389"/>
      <c r="G82" s="389" t="s">
        <v>151</v>
      </c>
      <c r="H82" s="389" t="n">
        <v>2025</v>
      </c>
      <c r="I82" s="389" t="s">
        <v>167</v>
      </c>
      <c r="J82" s="389" t="s">
        <v>1312</v>
      </c>
      <c r="K82" s="389" t="s">
        <v>1379</v>
      </c>
      <c r="L82" s="389" t="n">
        <v>15.6</v>
      </c>
      <c r="M82" s="389"/>
      <c r="N82" s="389" t="n">
        <v>1</v>
      </c>
      <c r="O82" s="389" t="n">
        <v>24</v>
      </c>
      <c r="P82" s="389" t="n">
        <v>109.2</v>
      </c>
      <c r="Q82" s="389" t="n">
        <v>15.6</v>
      </c>
      <c r="R82" s="389"/>
      <c r="S82" s="389"/>
      <c r="T82" s="389"/>
      <c r="U82" s="389"/>
      <c r="V82" s="389"/>
      <c r="W82" s="389"/>
      <c r="X82" s="389" t="n">
        <v>577.2</v>
      </c>
      <c r="Y82" s="389" t="n">
        <v>694.2</v>
      </c>
    </row>
    <row r="83" customFormat="false" ht="14.25" hidden="false" customHeight="false" outlineLevel="0" collapsed="false">
      <c r="A83" s="389" t="s">
        <v>1380</v>
      </c>
      <c r="B83" s="389" t="s">
        <v>1368</v>
      </c>
      <c r="C83" s="389" t="s">
        <v>1321</v>
      </c>
      <c r="D83" s="389"/>
      <c r="E83" s="389" t="s">
        <v>1310</v>
      </c>
      <c r="F83" s="389"/>
      <c r="G83" s="389" t="s">
        <v>151</v>
      </c>
      <c r="H83" s="389" t="n">
        <v>2025</v>
      </c>
      <c r="I83" s="389" t="s">
        <v>167</v>
      </c>
      <c r="J83" s="389" t="s">
        <v>1312</v>
      </c>
      <c r="K83" s="389" t="s">
        <v>1379</v>
      </c>
      <c r="L83" s="389" t="n">
        <v>27.4</v>
      </c>
      <c r="M83" s="389"/>
      <c r="N83" s="389" t="n">
        <v>1</v>
      </c>
      <c r="O83" s="389" t="n">
        <v>24</v>
      </c>
      <c r="P83" s="389" t="n">
        <v>191.8</v>
      </c>
      <c r="Q83" s="389" t="n">
        <v>27.4</v>
      </c>
      <c r="R83" s="389"/>
      <c r="S83" s="389"/>
      <c r="T83" s="389"/>
      <c r="U83" s="389"/>
      <c r="V83" s="389"/>
      <c r="W83" s="389"/>
      <c r="X83" s="389" t="n">
        <v>1013.8</v>
      </c>
      <c r="Y83" s="389" t="n">
        <v>1219.3</v>
      </c>
    </row>
    <row r="84" customFormat="false" ht="14.25" hidden="false" customHeight="false" outlineLevel="0" collapsed="false">
      <c r="A84" s="389" t="s">
        <v>1381</v>
      </c>
      <c r="B84" s="389" t="s">
        <v>1308</v>
      </c>
      <c r="C84" s="389" t="s">
        <v>1341</v>
      </c>
      <c r="D84" s="389"/>
      <c r="E84" s="389" t="s">
        <v>1310</v>
      </c>
      <c r="F84" s="389"/>
      <c r="G84" s="389" t="s">
        <v>151</v>
      </c>
      <c r="H84" s="389" t="n">
        <v>2025</v>
      </c>
      <c r="I84" s="389" t="s">
        <v>167</v>
      </c>
      <c r="J84" s="389" t="s">
        <v>1312</v>
      </c>
      <c r="K84" s="389" t="s">
        <v>1379</v>
      </c>
      <c r="L84" s="389" t="n">
        <v>7.6</v>
      </c>
      <c r="M84" s="389"/>
      <c r="N84" s="389" t="n">
        <v>1</v>
      </c>
      <c r="O84" s="389" t="n">
        <v>4</v>
      </c>
      <c r="P84" s="389" t="n">
        <v>53.2</v>
      </c>
      <c r="Q84" s="389" t="n">
        <v>7.6</v>
      </c>
      <c r="R84" s="389"/>
      <c r="S84" s="389"/>
      <c r="T84" s="389"/>
      <c r="U84" s="389"/>
      <c r="V84" s="389"/>
      <c r="W84" s="389"/>
      <c r="X84" s="389" t="n">
        <v>277.07</v>
      </c>
      <c r="Y84" s="389" t="n">
        <v>338.2</v>
      </c>
    </row>
    <row r="85" customFormat="false" ht="14.25" hidden="false" customHeight="false" outlineLevel="0" collapsed="false">
      <c r="A85" s="389" t="s">
        <v>1381</v>
      </c>
      <c r="B85" s="389" t="s">
        <v>1308</v>
      </c>
      <c r="C85" s="389" t="s">
        <v>1341</v>
      </c>
      <c r="D85" s="389"/>
      <c r="E85" s="389" t="s">
        <v>1310</v>
      </c>
      <c r="F85" s="389"/>
      <c r="G85" s="389" t="s">
        <v>151</v>
      </c>
      <c r="H85" s="389" t="n">
        <v>2025</v>
      </c>
      <c r="I85" s="389" t="s">
        <v>167</v>
      </c>
      <c r="J85" s="389" t="s">
        <v>1312</v>
      </c>
      <c r="K85" s="389" t="s">
        <v>1379</v>
      </c>
      <c r="L85" s="389" t="n">
        <v>31.4</v>
      </c>
      <c r="M85" s="389"/>
      <c r="N85" s="389" t="n">
        <v>1</v>
      </c>
      <c r="O85" s="389" t="n">
        <v>12</v>
      </c>
      <c r="P85" s="389" t="n">
        <v>219.8</v>
      </c>
      <c r="Q85" s="389" t="n">
        <v>31.4</v>
      </c>
      <c r="R85" s="389"/>
      <c r="S85" s="389"/>
      <c r="T85" s="389"/>
      <c r="U85" s="389"/>
      <c r="V85" s="389"/>
      <c r="W85" s="389"/>
      <c r="X85" s="389" t="n">
        <v>1144.737</v>
      </c>
      <c r="Y85" s="389" t="n">
        <v>1397.3</v>
      </c>
    </row>
    <row r="86" customFormat="false" ht="14.25" hidden="false" customHeight="false" outlineLevel="0" collapsed="false">
      <c r="A86" s="389" t="s">
        <v>1381</v>
      </c>
      <c r="B86" s="389" t="s">
        <v>1308</v>
      </c>
      <c r="C86" s="389" t="s">
        <v>1341</v>
      </c>
      <c r="D86" s="389"/>
      <c r="E86" s="389" t="s">
        <v>1310</v>
      </c>
      <c r="F86" s="389"/>
      <c r="G86" s="389" t="s">
        <v>149</v>
      </c>
      <c r="H86" s="389" t="n">
        <v>2025</v>
      </c>
      <c r="I86" s="389" t="s">
        <v>167</v>
      </c>
      <c r="J86" s="389" t="s">
        <v>1312</v>
      </c>
      <c r="K86" s="389" t="s">
        <v>1382</v>
      </c>
      <c r="L86" s="389" t="n">
        <v>12</v>
      </c>
      <c r="M86" s="389"/>
      <c r="N86" s="389" t="n">
        <v>1</v>
      </c>
      <c r="O86" s="389" t="n">
        <v>4</v>
      </c>
      <c r="P86" s="389" t="n">
        <v>84</v>
      </c>
      <c r="Q86" s="389" t="n">
        <v>12</v>
      </c>
      <c r="R86" s="389"/>
      <c r="S86" s="389"/>
      <c r="T86" s="389"/>
      <c r="U86" s="389"/>
      <c r="V86" s="389"/>
      <c r="W86" s="389"/>
      <c r="X86" s="389" t="n">
        <v>437.479</v>
      </c>
      <c r="Y86" s="389" t="n">
        <v>534</v>
      </c>
    </row>
    <row r="87" customFormat="false" ht="14.25" hidden="false" customHeight="false" outlineLevel="0" collapsed="false">
      <c r="A87" s="389" t="s">
        <v>1381</v>
      </c>
      <c r="B87" s="389" t="s">
        <v>1308</v>
      </c>
      <c r="C87" s="389" t="s">
        <v>1341</v>
      </c>
      <c r="D87" s="389"/>
      <c r="E87" s="389" t="s">
        <v>1310</v>
      </c>
      <c r="F87" s="389"/>
      <c r="G87" s="389" t="s">
        <v>187</v>
      </c>
      <c r="H87" s="389" t="n">
        <v>2025</v>
      </c>
      <c r="I87" s="389" t="s">
        <v>167</v>
      </c>
      <c r="J87" s="389" t="s">
        <v>1312</v>
      </c>
      <c r="K87" s="389" t="s">
        <v>1383</v>
      </c>
      <c r="L87" s="389" t="n">
        <v>18</v>
      </c>
      <c r="M87" s="389"/>
      <c r="N87" s="389" t="n">
        <v>1</v>
      </c>
      <c r="O87" s="389" t="n">
        <v>12</v>
      </c>
      <c r="P87" s="389" t="n">
        <v>126</v>
      </c>
      <c r="Q87" s="389" t="n">
        <v>18</v>
      </c>
      <c r="R87" s="389"/>
      <c r="S87" s="389"/>
      <c r="T87" s="389"/>
      <c r="U87" s="389"/>
      <c r="V87" s="389"/>
      <c r="W87" s="389"/>
      <c r="X87" s="389" t="n">
        <v>656.219</v>
      </c>
      <c r="Y87" s="389" t="n">
        <v>801</v>
      </c>
    </row>
    <row r="88" customFormat="false" ht="14.25" hidden="false" customHeight="false" outlineLevel="0" collapsed="false">
      <c r="A88" s="389" t="s">
        <v>1381</v>
      </c>
      <c r="B88" s="389" t="s">
        <v>1308</v>
      </c>
      <c r="C88" s="389" t="s">
        <v>1341</v>
      </c>
      <c r="D88" s="389"/>
      <c r="E88" s="389" t="s">
        <v>1310</v>
      </c>
      <c r="F88" s="389"/>
      <c r="G88" s="389" t="s">
        <v>187</v>
      </c>
      <c r="H88" s="389" t="n">
        <v>2025</v>
      </c>
      <c r="I88" s="389" t="s">
        <v>167</v>
      </c>
      <c r="J88" s="389" t="s">
        <v>1312</v>
      </c>
      <c r="K88" s="389" t="s">
        <v>1383</v>
      </c>
      <c r="L88" s="389" t="n">
        <v>21</v>
      </c>
      <c r="M88" s="389"/>
      <c r="N88" s="389" t="n">
        <v>1</v>
      </c>
      <c r="O88" s="389" t="n">
        <v>10</v>
      </c>
      <c r="P88" s="389" t="n">
        <v>147</v>
      </c>
      <c r="Q88" s="389" t="n">
        <v>21</v>
      </c>
      <c r="R88" s="389"/>
      <c r="S88" s="389"/>
      <c r="T88" s="389"/>
      <c r="U88" s="389"/>
      <c r="V88" s="389"/>
      <c r="W88" s="389"/>
      <c r="X88" s="389" t="n">
        <v>765.589</v>
      </c>
      <c r="Y88" s="389" t="n">
        <v>934.5</v>
      </c>
    </row>
    <row r="89" customFormat="false" ht="14.25" hidden="false" customHeight="false" outlineLevel="0" collapsed="false">
      <c r="A89" s="389" t="s">
        <v>1355</v>
      </c>
      <c r="B89" s="389" t="s">
        <v>1308</v>
      </c>
      <c r="C89" s="389" t="s">
        <v>1341</v>
      </c>
      <c r="D89" s="389"/>
      <c r="E89" s="389" t="s">
        <v>1310</v>
      </c>
      <c r="F89" s="389"/>
      <c r="G89" s="389" t="s">
        <v>133</v>
      </c>
      <c r="H89" s="389" t="n">
        <v>2025</v>
      </c>
      <c r="I89" s="389" t="s">
        <v>1356</v>
      </c>
      <c r="J89" s="389" t="s">
        <v>1312</v>
      </c>
      <c r="K89" s="389" t="s">
        <v>1357</v>
      </c>
      <c r="L89" s="389" t="n">
        <v>1</v>
      </c>
      <c r="M89" s="389"/>
      <c r="N89" s="389" t="n">
        <v>1</v>
      </c>
      <c r="O89" s="389" t="n">
        <v>4</v>
      </c>
      <c r="P89" s="389" t="n">
        <v>7</v>
      </c>
      <c r="Q89" s="389" t="n">
        <v>1</v>
      </c>
      <c r="R89" s="389"/>
      <c r="S89" s="389"/>
      <c r="T89" s="389"/>
      <c r="U89" s="389"/>
      <c r="V89" s="389"/>
      <c r="W89" s="389"/>
      <c r="X89" s="389" t="n">
        <v>52.937</v>
      </c>
      <c r="Y89" s="389" t="n">
        <v>44.5</v>
      </c>
    </row>
    <row r="90" customFormat="false" ht="14.25" hidden="false" customHeight="false" outlineLevel="0" collapsed="false">
      <c r="A90" s="389" t="s">
        <v>1384</v>
      </c>
      <c r="B90" s="389" t="s">
        <v>1385</v>
      </c>
      <c r="C90" s="389" t="s">
        <v>1338</v>
      </c>
      <c r="D90" s="389"/>
      <c r="E90" s="389" t="s">
        <v>1310</v>
      </c>
      <c r="F90" s="389"/>
      <c r="G90" s="389" t="s">
        <v>133</v>
      </c>
      <c r="H90" s="389" t="n">
        <v>2025</v>
      </c>
      <c r="I90" s="389" t="s">
        <v>1356</v>
      </c>
      <c r="J90" s="389" t="s">
        <v>1312</v>
      </c>
      <c r="K90" s="389" t="s">
        <v>1357</v>
      </c>
      <c r="L90" s="389" t="n">
        <v>19</v>
      </c>
      <c r="M90" s="389"/>
      <c r="N90" s="389" t="n">
        <v>1</v>
      </c>
      <c r="O90" s="389" t="n">
        <v>24</v>
      </c>
      <c r="P90" s="389" t="n">
        <v>133</v>
      </c>
      <c r="Q90" s="389" t="n">
        <v>19</v>
      </c>
      <c r="R90" s="389"/>
      <c r="S90" s="389"/>
      <c r="T90" s="389"/>
      <c r="U90" s="389"/>
      <c r="V90" s="389"/>
      <c r="W90" s="389"/>
      <c r="X90" s="389" t="n">
        <v>631</v>
      </c>
      <c r="Y90" s="389" t="n">
        <v>845.5</v>
      </c>
    </row>
    <row r="91" customFormat="false" ht="14.25" hidden="false" customHeight="false" outlineLevel="0" collapsed="false">
      <c r="A91" s="389" t="s">
        <v>1386</v>
      </c>
      <c r="B91" s="389" t="s">
        <v>1337</v>
      </c>
      <c r="C91" s="389" t="s">
        <v>1338</v>
      </c>
      <c r="D91" s="389"/>
      <c r="E91" s="389" t="s">
        <v>1310</v>
      </c>
      <c r="F91" s="389"/>
      <c r="G91" s="389" t="s">
        <v>133</v>
      </c>
      <c r="H91" s="389" t="n">
        <v>2025</v>
      </c>
      <c r="I91" s="389" t="s">
        <v>1356</v>
      </c>
      <c r="J91" s="389" t="s">
        <v>1312</v>
      </c>
      <c r="K91" s="389" t="s">
        <v>1357</v>
      </c>
      <c r="L91" s="389" t="n">
        <v>1</v>
      </c>
      <c r="M91" s="389"/>
      <c r="N91" s="389" t="n">
        <v>1</v>
      </c>
      <c r="O91" s="389" t="n">
        <v>2</v>
      </c>
      <c r="P91" s="389" t="n">
        <v>7</v>
      </c>
      <c r="Q91" s="389" t="n">
        <v>1</v>
      </c>
      <c r="R91" s="389"/>
      <c r="S91" s="389"/>
      <c r="T91" s="389"/>
      <c r="U91" s="389"/>
      <c r="V91" s="389"/>
      <c r="W91" s="389"/>
      <c r="X91" s="389" t="n">
        <v>50</v>
      </c>
      <c r="Y91" s="389" t="n">
        <v>44.5</v>
      </c>
    </row>
    <row r="92" customFormat="false" ht="14.25" hidden="false" customHeight="false" outlineLevel="0" collapsed="false">
      <c r="A92" s="389" t="s">
        <v>1381</v>
      </c>
      <c r="B92" s="389" t="s">
        <v>1308</v>
      </c>
      <c r="C92" s="389" t="s">
        <v>1341</v>
      </c>
      <c r="D92" s="389"/>
      <c r="E92" s="389" t="s">
        <v>1310</v>
      </c>
      <c r="F92" s="389"/>
      <c r="G92" s="389" t="s">
        <v>136</v>
      </c>
      <c r="H92" s="389" t="n">
        <v>2025</v>
      </c>
      <c r="I92" s="389" t="s">
        <v>1373</v>
      </c>
      <c r="J92" s="389" t="s">
        <v>1312</v>
      </c>
      <c r="K92" s="389" t="s">
        <v>1374</v>
      </c>
      <c r="L92" s="389" t="n">
        <v>17.4</v>
      </c>
      <c r="M92" s="389"/>
      <c r="N92" s="389" t="n">
        <v>1</v>
      </c>
      <c r="O92" s="389" t="n">
        <v>4</v>
      </c>
      <c r="P92" s="389" t="n">
        <v>121.8</v>
      </c>
      <c r="Q92" s="389" t="n">
        <v>17.4</v>
      </c>
      <c r="R92" s="389"/>
      <c r="S92" s="389"/>
      <c r="T92" s="389"/>
      <c r="U92" s="389"/>
      <c r="V92" s="389"/>
      <c r="W92" s="389"/>
      <c r="X92" s="389" t="n">
        <v>634.345</v>
      </c>
      <c r="Y92" s="389" t="n">
        <v>774.3</v>
      </c>
    </row>
    <row r="93" customFormat="false" ht="14.25" hidden="false" customHeight="false" outlineLevel="0" collapsed="false">
      <c r="A93" s="389" t="s">
        <v>1381</v>
      </c>
      <c r="B93" s="389" t="s">
        <v>1308</v>
      </c>
      <c r="C93" s="389" t="s">
        <v>1341</v>
      </c>
      <c r="D93" s="389"/>
      <c r="E93" s="389" t="s">
        <v>1310</v>
      </c>
      <c r="F93" s="389"/>
      <c r="G93" s="389" t="s">
        <v>136</v>
      </c>
      <c r="H93" s="389" t="n">
        <v>2025</v>
      </c>
      <c r="I93" s="389" t="s">
        <v>1356</v>
      </c>
      <c r="J93" s="389" t="s">
        <v>1312</v>
      </c>
      <c r="K93" s="389" t="s">
        <v>1387</v>
      </c>
      <c r="L93" s="389" t="n">
        <v>23</v>
      </c>
      <c r="M93" s="389"/>
      <c r="N93" s="389" t="n">
        <v>1</v>
      </c>
      <c r="O93" s="389" t="n">
        <v>10</v>
      </c>
      <c r="P93" s="389" t="n">
        <v>161</v>
      </c>
      <c r="Q93" s="389" t="n">
        <v>23</v>
      </c>
      <c r="R93" s="389"/>
      <c r="S93" s="389"/>
      <c r="T93" s="389"/>
      <c r="U93" s="389"/>
      <c r="V93" s="389"/>
      <c r="W93" s="389"/>
      <c r="X93" s="389" t="n">
        <v>723.561</v>
      </c>
      <c r="Y93" s="389" t="n">
        <v>883.2</v>
      </c>
    </row>
    <row r="94" customFormat="false" ht="14.25" hidden="false" customHeight="false" outlineLevel="0" collapsed="false">
      <c r="A94" s="389" t="s">
        <v>1388</v>
      </c>
      <c r="B94" s="389" t="s">
        <v>1343</v>
      </c>
      <c r="C94" s="389" t="s">
        <v>1341</v>
      </c>
      <c r="D94" s="389"/>
      <c r="E94" s="389" t="s">
        <v>1310</v>
      </c>
      <c r="F94" s="389"/>
      <c r="G94" s="389" t="s">
        <v>1359</v>
      </c>
      <c r="H94" s="389" t="n">
        <v>2025</v>
      </c>
      <c r="I94" s="389" t="s">
        <v>1317</v>
      </c>
      <c r="J94" s="389" t="s">
        <v>1312</v>
      </c>
      <c r="K94" s="389" t="s">
        <v>1360</v>
      </c>
      <c r="L94" s="389" t="n">
        <v>1</v>
      </c>
      <c r="M94" s="389"/>
      <c r="N94" s="389" t="n">
        <v>1</v>
      </c>
      <c r="O94" s="389" t="n">
        <v>1</v>
      </c>
      <c r="P94" s="389" t="n">
        <v>7</v>
      </c>
      <c r="Q94" s="389" t="n">
        <v>1</v>
      </c>
      <c r="R94" s="389"/>
      <c r="S94" s="389"/>
      <c r="T94" s="389"/>
      <c r="U94" s="389"/>
      <c r="V94" s="389"/>
      <c r="W94" s="389"/>
      <c r="X94" s="389" t="n">
        <v>336</v>
      </c>
      <c r="Y94" s="389" t="n">
        <v>38.4</v>
      </c>
    </row>
    <row r="95" customFormat="false" ht="14.25" hidden="false" customHeight="false" outlineLevel="0" collapsed="false">
      <c r="A95" s="389" t="s">
        <v>1389</v>
      </c>
      <c r="B95" s="389" t="s">
        <v>1365</v>
      </c>
      <c r="C95" s="389" t="s">
        <v>1309</v>
      </c>
      <c r="D95" s="389"/>
      <c r="E95" s="389" t="s">
        <v>1310</v>
      </c>
      <c r="F95" s="389"/>
      <c r="G95" s="389" t="s">
        <v>1390</v>
      </c>
      <c r="H95" s="389" t="n">
        <v>2025</v>
      </c>
      <c r="I95" s="389" t="s">
        <v>1391</v>
      </c>
      <c r="J95" s="389" t="s">
        <v>1312</v>
      </c>
      <c r="K95" s="389" t="s">
        <v>1392</v>
      </c>
      <c r="L95" s="389" t="n">
        <v>4.85</v>
      </c>
      <c r="M95" s="389"/>
      <c r="N95" s="389" t="n">
        <v>1</v>
      </c>
      <c r="O95" s="389" t="n">
        <v>8</v>
      </c>
      <c r="P95" s="389" t="n">
        <v>34</v>
      </c>
      <c r="Q95" s="389" t="n">
        <v>4.85</v>
      </c>
      <c r="R95" s="389"/>
      <c r="S95" s="389"/>
      <c r="T95" s="389"/>
      <c r="U95" s="389"/>
      <c r="V95" s="389"/>
      <c r="W95" s="389"/>
      <c r="X95" s="389" t="n">
        <v>196.425</v>
      </c>
      <c r="Y95" s="389" t="n">
        <v>215.825</v>
      </c>
    </row>
    <row r="96" customFormat="false" ht="14.25" hidden="false" customHeight="false" outlineLevel="0" collapsed="false">
      <c r="A96" s="389" t="s">
        <v>1389</v>
      </c>
      <c r="B96" s="389" t="s">
        <v>1365</v>
      </c>
      <c r="C96" s="389" t="s">
        <v>1309</v>
      </c>
      <c r="D96" s="389"/>
      <c r="E96" s="389" t="s">
        <v>1310</v>
      </c>
      <c r="F96" s="389"/>
      <c r="G96" s="389" t="s">
        <v>1393</v>
      </c>
      <c r="H96" s="389" t="n">
        <v>2025</v>
      </c>
      <c r="I96" s="389" t="s">
        <v>1391</v>
      </c>
      <c r="J96" s="389" t="s">
        <v>1312</v>
      </c>
      <c r="K96" s="389" t="s">
        <v>1394</v>
      </c>
      <c r="L96" s="389" t="n">
        <v>3.4</v>
      </c>
      <c r="M96" s="389"/>
      <c r="N96" s="389" t="n">
        <v>1</v>
      </c>
      <c r="O96" s="389" t="n">
        <v>8</v>
      </c>
      <c r="P96" s="389" t="n">
        <v>23.8</v>
      </c>
      <c r="Q96" s="389" t="n">
        <v>3.4</v>
      </c>
      <c r="R96" s="389"/>
      <c r="S96" s="389"/>
      <c r="T96" s="389"/>
      <c r="U96" s="389"/>
      <c r="V96" s="389"/>
      <c r="W96" s="389"/>
      <c r="X96" s="389" t="n">
        <v>137.7</v>
      </c>
      <c r="Y96" s="389" t="n">
        <v>151.3</v>
      </c>
    </row>
    <row r="97" customFormat="false" ht="14.25" hidden="false" customHeight="false" outlineLevel="0" collapsed="false">
      <c r="A97" s="389" t="s">
        <v>1389</v>
      </c>
      <c r="B97" s="389" t="s">
        <v>1365</v>
      </c>
      <c r="C97" s="389" t="s">
        <v>1309</v>
      </c>
      <c r="D97" s="389"/>
      <c r="E97" s="389" t="s">
        <v>1310</v>
      </c>
      <c r="F97" s="389"/>
      <c r="G97" s="389" t="s">
        <v>1393</v>
      </c>
      <c r="H97" s="389" t="n">
        <v>2025</v>
      </c>
      <c r="I97" s="389" t="s">
        <v>1391</v>
      </c>
      <c r="J97" s="389" t="s">
        <v>1312</v>
      </c>
      <c r="K97" s="389" t="s">
        <v>1394</v>
      </c>
      <c r="L97" s="389" t="n">
        <v>1.77</v>
      </c>
      <c r="M97" s="389"/>
      <c r="N97" s="389" t="n">
        <v>1</v>
      </c>
      <c r="O97" s="389" t="n">
        <v>8</v>
      </c>
      <c r="P97" s="389" t="n">
        <v>12.4</v>
      </c>
      <c r="Q97" s="389" t="n">
        <v>1.77</v>
      </c>
      <c r="R97" s="389"/>
      <c r="S97" s="389"/>
      <c r="T97" s="389"/>
      <c r="U97" s="389"/>
      <c r="V97" s="389"/>
      <c r="W97" s="389"/>
      <c r="X97" s="389" t="n">
        <v>71.685</v>
      </c>
      <c r="Y97" s="389" t="n">
        <v>78.765</v>
      </c>
    </row>
    <row r="98" customFormat="false" ht="14.25" hidden="false" customHeight="false" outlineLevel="0" collapsed="false">
      <c r="A98" s="389" t="s">
        <v>1389</v>
      </c>
      <c r="B98" s="389" t="s">
        <v>1365</v>
      </c>
      <c r="C98" s="389" t="s">
        <v>1309</v>
      </c>
      <c r="D98" s="389"/>
      <c r="E98" s="389" t="s">
        <v>1310</v>
      </c>
      <c r="F98" s="389"/>
      <c r="G98" s="389" t="s">
        <v>1393</v>
      </c>
      <c r="H98" s="389" t="n">
        <v>2025</v>
      </c>
      <c r="I98" s="389" t="s">
        <v>1391</v>
      </c>
      <c r="J98" s="389" t="s">
        <v>1312</v>
      </c>
      <c r="K98" s="389" t="s">
        <v>1394</v>
      </c>
      <c r="L98" s="389" t="n">
        <v>4.35</v>
      </c>
      <c r="M98" s="389"/>
      <c r="N98" s="389" t="n">
        <v>1</v>
      </c>
      <c r="O98" s="389" t="n">
        <v>8</v>
      </c>
      <c r="P98" s="389" t="n">
        <v>30.5</v>
      </c>
      <c r="Q98" s="389" t="n">
        <v>4.35</v>
      </c>
      <c r="R98" s="389"/>
      <c r="S98" s="389"/>
      <c r="T98" s="389"/>
      <c r="U98" s="389"/>
      <c r="V98" s="389"/>
      <c r="W98" s="389"/>
      <c r="X98" s="389" t="n">
        <v>176.175</v>
      </c>
      <c r="Y98" s="389" t="n">
        <v>193.575</v>
      </c>
    </row>
    <row r="99" customFormat="false" ht="14.25" hidden="false" customHeight="false" outlineLevel="0" collapsed="false">
      <c r="A99" s="389" t="s">
        <v>1389</v>
      </c>
      <c r="B99" s="389" t="s">
        <v>1365</v>
      </c>
      <c r="C99" s="389" t="s">
        <v>1309</v>
      </c>
      <c r="D99" s="389"/>
      <c r="E99" s="389" t="s">
        <v>1310</v>
      </c>
      <c r="F99" s="389"/>
      <c r="G99" s="389" t="s">
        <v>1395</v>
      </c>
      <c r="H99" s="389" t="n">
        <v>2025</v>
      </c>
      <c r="I99" s="389" t="s">
        <v>1391</v>
      </c>
      <c r="J99" s="389" t="s">
        <v>1312</v>
      </c>
      <c r="K99" s="389" t="s">
        <v>1396</v>
      </c>
      <c r="L99" s="389" t="n">
        <v>4.3</v>
      </c>
      <c r="M99" s="389"/>
      <c r="N99" s="389" t="n">
        <v>1</v>
      </c>
      <c r="O99" s="389" t="n">
        <v>8</v>
      </c>
      <c r="P99" s="389" t="n">
        <v>30.1</v>
      </c>
      <c r="Q99" s="389" t="n">
        <v>4.3</v>
      </c>
      <c r="R99" s="389"/>
      <c r="S99" s="389"/>
      <c r="T99" s="389"/>
      <c r="U99" s="389"/>
      <c r="V99" s="389"/>
      <c r="W99" s="389"/>
      <c r="X99" s="389" t="n">
        <v>174.15</v>
      </c>
      <c r="Y99" s="389" t="n">
        <v>191.35</v>
      </c>
    </row>
    <row r="100" customFormat="false" ht="14.25" hidden="false" customHeight="false" outlineLevel="0" collapsed="false">
      <c r="A100" s="389" t="s">
        <v>1389</v>
      </c>
      <c r="B100" s="389" t="s">
        <v>1365</v>
      </c>
      <c r="C100" s="389" t="s">
        <v>1309</v>
      </c>
      <c r="D100" s="389"/>
      <c r="E100" s="389" t="s">
        <v>1310</v>
      </c>
      <c r="F100" s="389"/>
      <c r="G100" s="389" t="s">
        <v>1393</v>
      </c>
      <c r="H100" s="389" t="n">
        <v>2025</v>
      </c>
      <c r="I100" s="389" t="s">
        <v>1391</v>
      </c>
      <c r="J100" s="389" t="s">
        <v>1312</v>
      </c>
      <c r="K100" s="389" t="s">
        <v>1394</v>
      </c>
      <c r="L100" s="389" t="n">
        <v>3.35</v>
      </c>
      <c r="M100" s="389"/>
      <c r="N100" s="389" t="n">
        <v>1</v>
      </c>
      <c r="O100" s="389" t="n">
        <v>8</v>
      </c>
      <c r="P100" s="389" t="n">
        <v>23.5</v>
      </c>
      <c r="Q100" s="389" t="n">
        <v>3.35</v>
      </c>
      <c r="R100" s="389"/>
      <c r="S100" s="389"/>
      <c r="T100" s="389"/>
      <c r="U100" s="389"/>
      <c r="V100" s="389"/>
      <c r="W100" s="389"/>
      <c r="X100" s="389" t="n">
        <v>135.675</v>
      </c>
      <c r="Y100" s="389" t="n">
        <v>149.075</v>
      </c>
    </row>
    <row r="101" customFormat="false" ht="14.25" hidden="false" customHeight="false" outlineLevel="0" collapsed="false">
      <c r="A101" s="389" t="s">
        <v>1389</v>
      </c>
      <c r="B101" s="389" t="s">
        <v>1365</v>
      </c>
      <c r="C101" s="389" t="s">
        <v>1309</v>
      </c>
      <c r="D101" s="389"/>
      <c r="E101" s="389" t="s">
        <v>1310</v>
      </c>
      <c r="F101" s="389"/>
      <c r="G101" s="389" t="s">
        <v>1395</v>
      </c>
      <c r="H101" s="389" t="n">
        <v>2025</v>
      </c>
      <c r="I101" s="389" t="s">
        <v>1391</v>
      </c>
      <c r="J101" s="389" t="s">
        <v>1312</v>
      </c>
      <c r="K101" s="389" t="s">
        <v>1396</v>
      </c>
      <c r="L101" s="389" t="n">
        <v>8.45</v>
      </c>
      <c r="M101" s="389"/>
      <c r="N101" s="389" t="n">
        <v>1</v>
      </c>
      <c r="O101" s="389" t="n">
        <v>8</v>
      </c>
      <c r="P101" s="389" t="n">
        <v>59.2</v>
      </c>
      <c r="Q101" s="389" t="n">
        <v>8.45</v>
      </c>
      <c r="R101" s="389"/>
      <c r="S101" s="389"/>
      <c r="T101" s="389"/>
      <c r="U101" s="389"/>
      <c r="V101" s="389"/>
      <c r="W101" s="389"/>
      <c r="X101" s="389" t="n">
        <v>342.225</v>
      </c>
      <c r="Y101" s="389" t="n">
        <v>376.025</v>
      </c>
    </row>
    <row r="102" customFormat="false" ht="14.25" hidden="false" customHeight="false" outlineLevel="0" collapsed="false">
      <c r="A102" s="389" t="s">
        <v>1389</v>
      </c>
      <c r="B102" s="389" t="s">
        <v>1365</v>
      </c>
      <c r="C102" s="389" t="s">
        <v>1309</v>
      </c>
      <c r="D102" s="389"/>
      <c r="E102" s="389" t="s">
        <v>1310</v>
      </c>
      <c r="F102" s="389"/>
      <c r="G102" s="389" t="s">
        <v>1395</v>
      </c>
      <c r="H102" s="389" t="n">
        <v>2025</v>
      </c>
      <c r="I102" s="389" t="s">
        <v>1391</v>
      </c>
      <c r="J102" s="389" t="s">
        <v>1312</v>
      </c>
      <c r="K102" s="389" t="s">
        <v>1396</v>
      </c>
      <c r="L102" s="389" t="n">
        <v>3.2</v>
      </c>
      <c r="M102" s="389"/>
      <c r="N102" s="389" t="n">
        <v>1</v>
      </c>
      <c r="O102" s="389" t="n">
        <v>8</v>
      </c>
      <c r="P102" s="389" t="n">
        <v>22.4</v>
      </c>
      <c r="Q102" s="389" t="n">
        <v>3.2</v>
      </c>
      <c r="R102" s="389"/>
      <c r="S102" s="389"/>
      <c r="T102" s="389"/>
      <c r="U102" s="389"/>
      <c r="V102" s="389"/>
      <c r="W102" s="389"/>
      <c r="X102" s="389" t="n">
        <v>129.6</v>
      </c>
      <c r="Y102" s="389" t="n">
        <v>142.4</v>
      </c>
    </row>
    <row r="103" customFormat="false" ht="14.25" hidden="false" customHeight="false" outlineLevel="0" collapsed="false">
      <c r="A103" s="389" t="s">
        <v>1389</v>
      </c>
      <c r="B103" s="389" t="s">
        <v>1365</v>
      </c>
      <c r="C103" s="389" t="s">
        <v>1309</v>
      </c>
      <c r="D103" s="389"/>
      <c r="E103" s="389" t="s">
        <v>1310</v>
      </c>
      <c r="F103" s="389"/>
      <c r="G103" s="389" t="s">
        <v>1395</v>
      </c>
      <c r="H103" s="389" t="n">
        <v>2025</v>
      </c>
      <c r="I103" s="389" t="s">
        <v>1391</v>
      </c>
      <c r="J103" s="389" t="s">
        <v>1312</v>
      </c>
      <c r="K103" s="389" t="s">
        <v>1396</v>
      </c>
      <c r="L103" s="389" t="n">
        <v>3.32</v>
      </c>
      <c r="M103" s="389"/>
      <c r="N103" s="389" t="n">
        <v>1</v>
      </c>
      <c r="O103" s="389" t="n">
        <v>8</v>
      </c>
      <c r="P103" s="389" t="n">
        <v>23.2</v>
      </c>
      <c r="Q103" s="389" t="n">
        <v>3.32</v>
      </c>
      <c r="R103" s="389"/>
      <c r="S103" s="389"/>
      <c r="T103" s="389"/>
      <c r="U103" s="389"/>
      <c r="V103" s="389"/>
      <c r="W103" s="389"/>
      <c r="X103" s="389" t="n">
        <v>134.46</v>
      </c>
      <c r="Y103" s="389" t="n">
        <v>147.74</v>
      </c>
    </row>
    <row r="104" customFormat="false" ht="14.25" hidden="false" customHeight="false" outlineLevel="0" collapsed="false">
      <c r="A104" s="389" t="s">
        <v>1389</v>
      </c>
      <c r="B104" s="389" t="s">
        <v>1365</v>
      </c>
      <c r="C104" s="389" t="s">
        <v>1309</v>
      </c>
      <c r="D104" s="389"/>
      <c r="E104" s="389" t="s">
        <v>1310</v>
      </c>
      <c r="F104" s="389"/>
      <c r="G104" s="389" t="s">
        <v>1395</v>
      </c>
      <c r="H104" s="389" t="n">
        <v>2025</v>
      </c>
      <c r="I104" s="389" t="s">
        <v>1391</v>
      </c>
      <c r="J104" s="389" t="s">
        <v>1312</v>
      </c>
      <c r="K104" s="389" t="s">
        <v>1396</v>
      </c>
      <c r="L104" s="389" t="n">
        <v>35.01</v>
      </c>
      <c r="M104" s="389"/>
      <c r="N104" s="389" t="n">
        <v>1</v>
      </c>
      <c r="O104" s="389" t="n">
        <v>8</v>
      </c>
      <c r="P104" s="389" t="n">
        <v>245.1</v>
      </c>
      <c r="Q104" s="389" t="n">
        <v>35.01</v>
      </c>
      <c r="R104" s="389"/>
      <c r="S104" s="389"/>
      <c r="T104" s="389"/>
      <c r="U104" s="389"/>
      <c r="V104" s="389"/>
      <c r="W104" s="389"/>
      <c r="X104" s="389" t="n">
        <v>1417.905</v>
      </c>
      <c r="Y104" s="389" t="n">
        <v>1557.945</v>
      </c>
    </row>
    <row r="105" customFormat="false" ht="14.25" hidden="false" customHeight="false" outlineLevel="0" collapsed="false">
      <c r="A105" s="389" t="s">
        <v>1397</v>
      </c>
      <c r="B105" s="389" t="s">
        <v>1350</v>
      </c>
      <c r="C105" s="389" t="s">
        <v>1315</v>
      </c>
      <c r="D105" s="389"/>
      <c r="E105" s="389" t="s">
        <v>1310</v>
      </c>
      <c r="F105" s="389"/>
      <c r="G105" s="389" t="s">
        <v>1390</v>
      </c>
      <c r="H105" s="389" t="n">
        <v>2025</v>
      </c>
      <c r="I105" s="389" t="s">
        <v>1391</v>
      </c>
      <c r="J105" s="389" t="s">
        <v>1312</v>
      </c>
      <c r="K105" s="389" t="s">
        <v>1392</v>
      </c>
      <c r="L105" s="389" t="n">
        <v>4.85</v>
      </c>
      <c r="M105" s="389"/>
      <c r="N105" s="389" t="n">
        <v>1</v>
      </c>
      <c r="O105" s="389" t="n">
        <v>8</v>
      </c>
      <c r="P105" s="389" t="n">
        <v>34</v>
      </c>
      <c r="Q105" s="389" t="n">
        <v>4.85</v>
      </c>
      <c r="R105" s="389"/>
      <c r="S105" s="389"/>
      <c r="T105" s="389"/>
      <c r="U105" s="389"/>
      <c r="V105" s="389"/>
      <c r="W105" s="389"/>
      <c r="X105" s="389" t="n">
        <v>201.834</v>
      </c>
      <c r="Y105" s="389" t="n">
        <v>215.825</v>
      </c>
    </row>
    <row r="106" customFormat="false" ht="14.25" hidden="false" customHeight="false" outlineLevel="0" collapsed="false">
      <c r="A106" s="389" t="s">
        <v>1397</v>
      </c>
      <c r="B106" s="389" t="s">
        <v>1350</v>
      </c>
      <c r="C106" s="389" t="s">
        <v>1315</v>
      </c>
      <c r="D106" s="389"/>
      <c r="E106" s="389" t="s">
        <v>1310</v>
      </c>
      <c r="F106" s="389"/>
      <c r="G106" s="389" t="s">
        <v>1393</v>
      </c>
      <c r="H106" s="389" t="n">
        <v>2025</v>
      </c>
      <c r="I106" s="389" t="s">
        <v>1391</v>
      </c>
      <c r="J106" s="389" t="s">
        <v>1312</v>
      </c>
      <c r="K106" s="389" t="s">
        <v>1394</v>
      </c>
      <c r="L106" s="389" t="n">
        <v>3.4</v>
      </c>
      <c r="M106" s="389"/>
      <c r="N106" s="389" t="n">
        <v>1</v>
      </c>
      <c r="O106" s="389" t="n">
        <v>8</v>
      </c>
      <c r="P106" s="389" t="n">
        <v>23.8</v>
      </c>
      <c r="Q106" s="389" t="n">
        <v>3.4</v>
      </c>
      <c r="R106" s="389"/>
      <c r="S106" s="389"/>
      <c r="T106" s="389"/>
      <c r="U106" s="389"/>
      <c r="V106" s="389"/>
      <c r="W106" s="389"/>
      <c r="X106" s="389" t="n">
        <v>141.492</v>
      </c>
      <c r="Y106" s="389" t="n">
        <v>151.3</v>
      </c>
    </row>
    <row r="107" customFormat="false" ht="14.25" hidden="false" customHeight="false" outlineLevel="0" collapsed="false">
      <c r="A107" s="389" t="s">
        <v>1397</v>
      </c>
      <c r="B107" s="389" t="s">
        <v>1350</v>
      </c>
      <c r="C107" s="389" t="s">
        <v>1315</v>
      </c>
      <c r="D107" s="389"/>
      <c r="E107" s="389" t="s">
        <v>1310</v>
      </c>
      <c r="F107" s="389"/>
      <c r="G107" s="389" t="s">
        <v>1393</v>
      </c>
      <c r="H107" s="389" t="n">
        <v>2025</v>
      </c>
      <c r="I107" s="389" t="s">
        <v>1391</v>
      </c>
      <c r="J107" s="389" t="s">
        <v>1312</v>
      </c>
      <c r="K107" s="389" t="s">
        <v>1394</v>
      </c>
      <c r="L107" s="389" t="n">
        <v>1.78</v>
      </c>
      <c r="M107" s="389"/>
      <c r="N107" s="389" t="n">
        <v>1</v>
      </c>
      <c r="O107" s="389" t="n">
        <v>8</v>
      </c>
      <c r="P107" s="389" t="n">
        <v>12.5</v>
      </c>
      <c r="Q107" s="389" t="n">
        <v>1.78</v>
      </c>
      <c r="R107" s="389"/>
      <c r="S107" s="389"/>
      <c r="T107" s="389"/>
      <c r="U107" s="389"/>
      <c r="V107" s="389"/>
      <c r="W107" s="389"/>
      <c r="X107" s="389" t="n">
        <v>74.075</v>
      </c>
      <c r="Y107" s="389" t="n">
        <v>79.21</v>
      </c>
    </row>
    <row r="108" customFormat="false" ht="14.25" hidden="false" customHeight="false" outlineLevel="0" collapsed="false">
      <c r="A108" s="389" t="s">
        <v>1397</v>
      </c>
      <c r="B108" s="389" t="s">
        <v>1350</v>
      </c>
      <c r="C108" s="389" t="s">
        <v>1315</v>
      </c>
      <c r="D108" s="389"/>
      <c r="E108" s="389" t="s">
        <v>1310</v>
      </c>
      <c r="F108" s="389"/>
      <c r="G108" s="389" t="s">
        <v>1393</v>
      </c>
      <c r="H108" s="389" t="n">
        <v>2025</v>
      </c>
      <c r="I108" s="389" t="s">
        <v>1391</v>
      </c>
      <c r="J108" s="389" t="s">
        <v>1312</v>
      </c>
      <c r="K108" s="389" t="s">
        <v>1394</v>
      </c>
      <c r="L108" s="389" t="n">
        <v>4.35</v>
      </c>
      <c r="M108" s="389"/>
      <c r="N108" s="389" t="n">
        <v>1</v>
      </c>
      <c r="O108" s="389" t="n">
        <v>8</v>
      </c>
      <c r="P108" s="389" t="n">
        <v>30.5</v>
      </c>
      <c r="Q108" s="389" t="n">
        <v>4.35</v>
      </c>
      <c r="R108" s="389"/>
      <c r="S108" s="389"/>
      <c r="T108" s="389"/>
      <c r="U108" s="389"/>
      <c r="V108" s="389"/>
      <c r="W108" s="389"/>
      <c r="X108" s="389" t="n">
        <v>181.026</v>
      </c>
      <c r="Y108" s="389" t="n">
        <v>193.575</v>
      </c>
    </row>
    <row r="109" customFormat="false" ht="14.25" hidden="false" customHeight="false" outlineLevel="0" collapsed="false">
      <c r="A109" s="389" t="s">
        <v>1397</v>
      </c>
      <c r="B109" s="389" t="s">
        <v>1350</v>
      </c>
      <c r="C109" s="389" t="s">
        <v>1315</v>
      </c>
      <c r="D109" s="389"/>
      <c r="E109" s="389" t="s">
        <v>1310</v>
      </c>
      <c r="F109" s="389"/>
      <c r="G109" s="389" t="s">
        <v>1395</v>
      </c>
      <c r="H109" s="389" t="n">
        <v>2025</v>
      </c>
      <c r="I109" s="389" t="s">
        <v>1391</v>
      </c>
      <c r="J109" s="389" t="s">
        <v>1312</v>
      </c>
      <c r="K109" s="389" t="s">
        <v>1396</v>
      </c>
      <c r="L109" s="389" t="n">
        <v>4.3</v>
      </c>
      <c r="M109" s="389"/>
      <c r="N109" s="389" t="n">
        <v>1</v>
      </c>
      <c r="O109" s="389" t="n">
        <v>8</v>
      </c>
      <c r="P109" s="389" t="n">
        <v>30.1</v>
      </c>
      <c r="Q109" s="389" t="n">
        <v>4.3</v>
      </c>
      <c r="R109" s="389"/>
      <c r="S109" s="389"/>
      <c r="T109" s="389"/>
      <c r="U109" s="389"/>
      <c r="V109" s="389"/>
      <c r="W109" s="389"/>
      <c r="X109" s="389" t="n">
        <v>178.946</v>
      </c>
      <c r="Y109" s="389" t="n">
        <v>191.35</v>
      </c>
    </row>
    <row r="110" customFormat="false" ht="14.25" hidden="false" customHeight="false" outlineLevel="0" collapsed="false">
      <c r="A110" s="389" t="s">
        <v>1397</v>
      </c>
      <c r="B110" s="389" t="s">
        <v>1350</v>
      </c>
      <c r="C110" s="389" t="s">
        <v>1315</v>
      </c>
      <c r="D110" s="389"/>
      <c r="E110" s="389" t="s">
        <v>1310</v>
      </c>
      <c r="F110" s="389"/>
      <c r="G110" s="389" t="s">
        <v>1393</v>
      </c>
      <c r="H110" s="389" t="n">
        <v>2025</v>
      </c>
      <c r="I110" s="389" t="s">
        <v>1391</v>
      </c>
      <c r="J110" s="389" t="s">
        <v>1312</v>
      </c>
      <c r="K110" s="389" t="s">
        <v>1394</v>
      </c>
      <c r="L110" s="389" t="n">
        <v>3.35</v>
      </c>
      <c r="M110" s="389"/>
      <c r="N110" s="389" t="n">
        <v>1</v>
      </c>
      <c r="O110" s="389" t="n">
        <v>8</v>
      </c>
      <c r="P110" s="389" t="n">
        <v>23.5</v>
      </c>
      <c r="Q110" s="389" t="n">
        <v>3.35</v>
      </c>
      <c r="R110" s="389"/>
      <c r="S110" s="389"/>
      <c r="T110" s="389"/>
      <c r="U110" s="389"/>
      <c r="V110" s="389"/>
      <c r="W110" s="389"/>
      <c r="X110" s="389" t="n">
        <v>139.411</v>
      </c>
      <c r="Y110" s="389" t="n">
        <v>149.075</v>
      </c>
    </row>
    <row r="111" customFormat="false" ht="14.25" hidden="false" customHeight="false" outlineLevel="0" collapsed="false">
      <c r="A111" s="389" t="s">
        <v>1397</v>
      </c>
      <c r="B111" s="389" t="s">
        <v>1350</v>
      </c>
      <c r="C111" s="389" t="s">
        <v>1315</v>
      </c>
      <c r="D111" s="389"/>
      <c r="E111" s="389" t="s">
        <v>1310</v>
      </c>
      <c r="F111" s="389"/>
      <c r="G111" s="389" t="s">
        <v>1395</v>
      </c>
      <c r="H111" s="389" t="n">
        <v>2025</v>
      </c>
      <c r="I111" s="389" t="s">
        <v>1391</v>
      </c>
      <c r="J111" s="389" t="s">
        <v>1312</v>
      </c>
      <c r="K111" s="389" t="s">
        <v>1396</v>
      </c>
      <c r="L111" s="389" t="n">
        <v>8.45</v>
      </c>
      <c r="M111" s="389"/>
      <c r="N111" s="389" t="n">
        <v>1</v>
      </c>
      <c r="O111" s="389" t="n">
        <v>8</v>
      </c>
      <c r="P111" s="389" t="n">
        <v>59.2</v>
      </c>
      <c r="Q111" s="389" t="n">
        <v>8.45</v>
      </c>
      <c r="R111" s="389"/>
      <c r="S111" s="389"/>
      <c r="T111" s="389"/>
      <c r="U111" s="389"/>
      <c r="V111" s="389"/>
      <c r="W111" s="389"/>
      <c r="X111" s="389" t="n">
        <v>351.649</v>
      </c>
      <c r="Y111" s="389" t="n">
        <v>376.025</v>
      </c>
    </row>
    <row r="112" customFormat="false" ht="14.25" hidden="false" customHeight="false" outlineLevel="0" collapsed="false">
      <c r="A112" s="389" t="s">
        <v>1397</v>
      </c>
      <c r="B112" s="389" t="s">
        <v>1350</v>
      </c>
      <c r="C112" s="389" t="s">
        <v>1315</v>
      </c>
      <c r="D112" s="389"/>
      <c r="E112" s="389" t="s">
        <v>1310</v>
      </c>
      <c r="F112" s="389"/>
      <c r="G112" s="389" t="s">
        <v>1395</v>
      </c>
      <c r="H112" s="389" t="n">
        <v>2025</v>
      </c>
      <c r="I112" s="389" t="s">
        <v>1391</v>
      </c>
      <c r="J112" s="389" t="s">
        <v>1312</v>
      </c>
      <c r="K112" s="389" t="s">
        <v>1396</v>
      </c>
      <c r="L112" s="389" t="n">
        <v>3.2</v>
      </c>
      <c r="M112" s="389"/>
      <c r="N112" s="389" t="n">
        <v>1</v>
      </c>
      <c r="O112" s="389" t="n">
        <v>8</v>
      </c>
      <c r="P112" s="389" t="n">
        <v>22.4</v>
      </c>
      <c r="Q112" s="389" t="n">
        <v>3.2</v>
      </c>
      <c r="R112" s="389"/>
      <c r="S112" s="389"/>
      <c r="T112" s="389"/>
      <c r="U112" s="389"/>
      <c r="V112" s="389"/>
      <c r="W112" s="389"/>
      <c r="X112" s="389" t="n">
        <v>133.169</v>
      </c>
      <c r="Y112" s="389" t="n">
        <v>142.4</v>
      </c>
    </row>
    <row r="113" customFormat="false" ht="14.25" hidden="false" customHeight="false" outlineLevel="0" collapsed="false">
      <c r="A113" s="389" t="s">
        <v>1397</v>
      </c>
      <c r="B113" s="389" t="s">
        <v>1350</v>
      </c>
      <c r="C113" s="389" t="s">
        <v>1315</v>
      </c>
      <c r="D113" s="389"/>
      <c r="E113" s="389" t="s">
        <v>1310</v>
      </c>
      <c r="F113" s="389"/>
      <c r="G113" s="389" t="s">
        <v>1395</v>
      </c>
      <c r="H113" s="389" t="n">
        <v>2025</v>
      </c>
      <c r="I113" s="389" t="s">
        <v>1391</v>
      </c>
      <c r="J113" s="389" t="s">
        <v>1312</v>
      </c>
      <c r="K113" s="389" t="s">
        <v>1396</v>
      </c>
      <c r="L113" s="389" t="n">
        <v>3.33</v>
      </c>
      <c r="M113" s="389"/>
      <c r="N113" s="389" t="n">
        <v>1</v>
      </c>
      <c r="O113" s="389" t="n">
        <v>8</v>
      </c>
      <c r="P113" s="389" t="n">
        <v>23.3</v>
      </c>
      <c r="Q113" s="389" t="n">
        <v>3.33</v>
      </c>
      <c r="R113" s="389"/>
      <c r="S113" s="389"/>
      <c r="T113" s="389"/>
      <c r="U113" s="389"/>
      <c r="V113" s="389"/>
      <c r="W113" s="389"/>
      <c r="X113" s="389" t="n">
        <v>138.579</v>
      </c>
      <c r="Y113" s="389" t="n">
        <v>148.185</v>
      </c>
    </row>
    <row r="114" customFormat="false" ht="14.25" hidden="false" customHeight="false" outlineLevel="0" collapsed="false">
      <c r="A114" s="389" t="s">
        <v>1397</v>
      </c>
      <c r="B114" s="389" t="s">
        <v>1350</v>
      </c>
      <c r="C114" s="389" t="s">
        <v>1315</v>
      </c>
      <c r="D114" s="389"/>
      <c r="E114" s="389" t="s">
        <v>1310</v>
      </c>
      <c r="F114" s="389"/>
      <c r="G114" s="389" t="s">
        <v>1395</v>
      </c>
      <c r="H114" s="389" t="n">
        <v>2025</v>
      </c>
      <c r="I114" s="389" t="s">
        <v>1391</v>
      </c>
      <c r="J114" s="389" t="s">
        <v>1312</v>
      </c>
      <c r="K114" s="389" t="s">
        <v>1396</v>
      </c>
      <c r="L114" s="389" t="n">
        <v>31.09</v>
      </c>
      <c r="M114" s="389"/>
      <c r="N114" s="389" t="n">
        <v>1</v>
      </c>
      <c r="O114" s="389" t="n">
        <v>8</v>
      </c>
      <c r="P114" s="389" t="n">
        <v>217.6</v>
      </c>
      <c r="Q114" s="389" t="n">
        <v>31.09</v>
      </c>
      <c r="R114" s="389"/>
      <c r="S114" s="389"/>
      <c r="T114" s="389"/>
      <c r="U114" s="389"/>
      <c r="V114" s="389"/>
      <c r="W114" s="389"/>
      <c r="X114" s="389" t="n">
        <v>1293.819</v>
      </c>
      <c r="Y114" s="389" t="n">
        <v>1383.505</v>
      </c>
    </row>
    <row r="115" customFormat="false" ht="14.25" hidden="false" customHeight="false" outlineLevel="0" collapsed="false">
      <c r="A115" s="389" t="s">
        <v>1398</v>
      </c>
      <c r="B115" s="389" t="s">
        <v>1368</v>
      </c>
      <c r="C115" s="389" t="s">
        <v>1321</v>
      </c>
      <c r="D115" s="389"/>
      <c r="E115" s="389" t="s">
        <v>1310</v>
      </c>
      <c r="F115" s="389"/>
      <c r="G115" s="389" t="s">
        <v>1390</v>
      </c>
      <c r="H115" s="389" t="n">
        <v>2025</v>
      </c>
      <c r="I115" s="389" t="s">
        <v>1391</v>
      </c>
      <c r="J115" s="389" t="s">
        <v>1312</v>
      </c>
      <c r="K115" s="389" t="s">
        <v>1392</v>
      </c>
      <c r="L115" s="389" t="n">
        <v>4.85</v>
      </c>
      <c r="M115" s="389"/>
      <c r="N115" s="389" t="n">
        <v>1</v>
      </c>
      <c r="O115" s="389" t="n">
        <v>8</v>
      </c>
      <c r="P115" s="389" t="n">
        <v>34</v>
      </c>
      <c r="Q115" s="389" t="n">
        <v>4.85</v>
      </c>
      <c r="R115" s="389"/>
      <c r="S115" s="389"/>
      <c r="T115" s="389"/>
      <c r="U115" s="389"/>
      <c r="V115" s="389"/>
      <c r="W115" s="389"/>
      <c r="X115" s="389" t="n">
        <v>199.011</v>
      </c>
      <c r="Y115" s="389" t="n">
        <v>215.825</v>
      </c>
    </row>
    <row r="116" customFormat="false" ht="14.25" hidden="false" customHeight="false" outlineLevel="0" collapsed="false">
      <c r="A116" s="389" t="s">
        <v>1398</v>
      </c>
      <c r="B116" s="389" t="s">
        <v>1368</v>
      </c>
      <c r="C116" s="389" t="s">
        <v>1321</v>
      </c>
      <c r="D116" s="389"/>
      <c r="E116" s="389" t="s">
        <v>1310</v>
      </c>
      <c r="F116" s="389"/>
      <c r="G116" s="389" t="s">
        <v>1393</v>
      </c>
      <c r="H116" s="389" t="n">
        <v>2025</v>
      </c>
      <c r="I116" s="389" t="s">
        <v>1391</v>
      </c>
      <c r="J116" s="389" t="s">
        <v>1312</v>
      </c>
      <c r="K116" s="389" t="s">
        <v>1394</v>
      </c>
      <c r="L116" s="389" t="n">
        <v>3.4</v>
      </c>
      <c r="M116" s="389"/>
      <c r="N116" s="389" t="n">
        <v>1</v>
      </c>
      <c r="O116" s="389" t="n">
        <v>8</v>
      </c>
      <c r="P116" s="389" t="n">
        <v>23.8</v>
      </c>
      <c r="Q116" s="389" t="n">
        <v>3.4</v>
      </c>
      <c r="R116" s="389"/>
      <c r="S116" s="389"/>
      <c r="T116" s="389"/>
      <c r="U116" s="389"/>
      <c r="V116" s="389"/>
      <c r="W116" s="389"/>
      <c r="X116" s="389" t="n">
        <v>139.513</v>
      </c>
      <c r="Y116" s="389" t="n">
        <v>151.3</v>
      </c>
    </row>
    <row r="117" customFormat="false" ht="14.25" hidden="false" customHeight="false" outlineLevel="0" collapsed="false">
      <c r="A117" s="389" t="s">
        <v>1398</v>
      </c>
      <c r="B117" s="389" t="s">
        <v>1368</v>
      </c>
      <c r="C117" s="389" t="s">
        <v>1321</v>
      </c>
      <c r="D117" s="389"/>
      <c r="E117" s="389" t="s">
        <v>1310</v>
      </c>
      <c r="F117" s="389"/>
      <c r="G117" s="389" t="s">
        <v>1393</v>
      </c>
      <c r="H117" s="389" t="n">
        <v>2025</v>
      </c>
      <c r="I117" s="389" t="s">
        <v>1391</v>
      </c>
      <c r="J117" s="389" t="s">
        <v>1312</v>
      </c>
      <c r="K117" s="389" t="s">
        <v>1394</v>
      </c>
      <c r="L117" s="389" t="n">
        <v>1.77</v>
      </c>
      <c r="M117" s="389"/>
      <c r="N117" s="389" t="n">
        <v>1</v>
      </c>
      <c r="O117" s="389" t="n">
        <v>8</v>
      </c>
      <c r="P117" s="389" t="n">
        <v>12.4</v>
      </c>
      <c r="Q117" s="389" t="n">
        <v>1.77</v>
      </c>
      <c r="R117" s="389"/>
      <c r="S117" s="389"/>
      <c r="T117" s="389"/>
      <c r="U117" s="389"/>
      <c r="V117" s="389"/>
      <c r="W117" s="389"/>
      <c r="X117" s="389" t="n">
        <v>72.629</v>
      </c>
      <c r="Y117" s="389" t="n">
        <v>78.765</v>
      </c>
    </row>
    <row r="118" customFormat="false" ht="14.25" hidden="false" customHeight="false" outlineLevel="0" collapsed="false">
      <c r="A118" s="389" t="s">
        <v>1398</v>
      </c>
      <c r="B118" s="389" t="s">
        <v>1368</v>
      </c>
      <c r="C118" s="389" t="s">
        <v>1321</v>
      </c>
      <c r="D118" s="389"/>
      <c r="E118" s="389" t="s">
        <v>1310</v>
      </c>
      <c r="F118" s="389"/>
      <c r="G118" s="389" t="s">
        <v>1393</v>
      </c>
      <c r="H118" s="389" t="n">
        <v>2025</v>
      </c>
      <c r="I118" s="389" t="s">
        <v>1391</v>
      </c>
      <c r="J118" s="389" t="s">
        <v>1312</v>
      </c>
      <c r="K118" s="389" t="s">
        <v>1394</v>
      </c>
      <c r="L118" s="389" t="n">
        <v>4.35</v>
      </c>
      <c r="M118" s="389"/>
      <c r="N118" s="389" t="n">
        <v>1</v>
      </c>
      <c r="O118" s="389" t="n">
        <v>8</v>
      </c>
      <c r="P118" s="389" t="n">
        <v>30.5</v>
      </c>
      <c r="Q118" s="389" t="n">
        <v>4.35</v>
      </c>
      <c r="R118" s="389"/>
      <c r="S118" s="389"/>
      <c r="T118" s="389"/>
      <c r="U118" s="389"/>
      <c r="V118" s="389"/>
      <c r="W118" s="389"/>
      <c r="X118" s="389" t="n">
        <v>178.495</v>
      </c>
      <c r="Y118" s="389" t="n">
        <v>193.575</v>
      </c>
    </row>
    <row r="119" customFormat="false" ht="14.25" hidden="false" customHeight="false" outlineLevel="0" collapsed="false">
      <c r="A119" s="389" t="s">
        <v>1398</v>
      </c>
      <c r="B119" s="389" t="s">
        <v>1368</v>
      </c>
      <c r="C119" s="389" t="s">
        <v>1321</v>
      </c>
      <c r="D119" s="389"/>
      <c r="E119" s="389" t="s">
        <v>1310</v>
      </c>
      <c r="F119" s="389"/>
      <c r="G119" s="389" t="s">
        <v>1395</v>
      </c>
      <c r="H119" s="389" t="n">
        <v>2025</v>
      </c>
      <c r="I119" s="389" t="s">
        <v>1391</v>
      </c>
      <c r="J119" s="389" t="s">
        <v>1312</v>
      </c>
      <c r="K119" s="389" t="s">
        <v>1396</v>
      </c>
      <c r="L119" s="389" t="n">
        <v>4.3</v>
      </c>
      <c r="M119" s="389"/>
      <c r="N119" s="389" t="n">
        <v>1</v>
      </c>
      <c r="O119" s="389" t="n">
        <v>8</v>
      </c>
      <c r="P119" s="389" t="n">
        <v>30.1</v>
      </c>
      <c r="Q119" s="389" t="n">
        <v>4.3</v>
      </c>
      <c r="R119" s="389"/>
      <c r="S119" s="389"/>
      <c r="T119" s="389"/>
      <c r="U119" s="389"/>
      <c r="V119" s="389"/>
      <c r="W119" s="389"/>
      <c r="X119" s="389" t="n">
        <v>176.443</v>
      </c>
      <c r="Y119" s="389" t="n">
        <v>191.35</v>
      </c>
    </row>
    <row r="120" customFormat="false" ht="14.25" hidden="false" customHeight="false" outlineLevel="0" collapsed="false">
      <c r="A120" s="389" t="s">
        <v>1398</v>
      </c>
      <c r="B120" s="389" t="s">
        <v>1368</v>
      </c>
      <c r="C120" s="389" t="s">
        <v>1321</v>
      </c>
      <c r="D120" s="389"/>
      <c r="E120" s="389" t="s">
        <v>1310</v>
      </c>
      <c r="F120" s="389"/>
      <c r="G120" s="389" t="s">
        <v>1393</v>
      </c>
      <c r="H120" s="389" t="n">
        <v>2025</v>
      </c>
      <c r="I120" s="389" t="s">
        <v>1391</v>
      </c>
      <c r="J120" s="389" t="s">
        <v>1312</v>
      </c>
      <c r="K120" s="389" t="s">
        <v>1394</v>
      </c>
      <c r="L120" s="389" t="n">
        <v>3.35</v>
      </c>
      <c r="M120" s="389"/>
      <c r="N120" s="389" t="n">
        <v>1</v>
      </c>
      <c r="O120" s="389" t="n">
        <v>8</v>
      </c>
      <c r="P120" s="389" t="n">
        <v>23.5</v>
      </c>
      <c r="Q120" s="389" t="n">
        <v>3.35</v>
      </c>
      <c r="R120" s="389"/>
      <c r="S120" s="389"/>
      <c r="T120" s="389"/>
      <c r="U120" s="389"/>
      <c r="V120" s="389"/>
      <c r="W120" s="389"/>
      <c r="X120" s="389" t="n">
        <v>137.462</v>
      </c>
      <c r="Y120" s="389" t="n">
        <v>149.075</v>
      </c>
    </row>
    <row r="121" customFormat="false" ht="14.25" hidden="false" customHeight="false" outlineLevel="0" collapsed="false">
      <c r="A121" s="389" t="s">
        <v>1398</v>
      </c>
      <c r="B121" s="389" t="s">
        <v>1368</v>
      </c>
      <c r="C121" s="389" t="s">
        <v>1321</v>
      </c>
      <c r="D121" s="389"/>
      <c r="E121" s="389" t="s">
        <v>1310</v>
      </c>
      <c r="F121" s="389"/>
      <c r="G121" s="389" t="s">
        <v>1395</v>
      </c>
      <c r="H121" s="389" t="n">
        <v>2025</v>
      </c>
      <c r="I121" s="389" t="s">
        <v>1391</v>
      </c>
      <c r="J121" s="389" t="s">
        <v>1312</v>
      </c>
      <c r="K121" s="389" t="s">
        <v>1396</v>
      </c>
      <c r="L121" s="389" t="n">
        <v>8.45</v>
      </c>
      <c r="M121" s="389"/>
      <c r="N121" s="389" t="n">
        <v>1</v>
      </c>
      <c r="O121" s="389" t="n">
        <v>8</v>
      </c>
      <c r="P121" s="389" t="n">
        <v>59.2</v>
      </c>
      <c r="Q121" s="389" t="n">
        <v>8.45</v>
      </c>
      <c r="R121" s="389"/>
      <c r="S121" s="389"/>
      <c r="T121" s="389"/>
      <c r="U121" s="389"/>
      <c r="V121" s="389"/>
      <c r="W121" s="389"/>
      <c r="X121" s="389" t="n">
        <v>346.732</v>
      </c>
      <c r="Y121" s="389" t="n">
        <v>376.025</v>
      </c>
    </row>
    <row r="122" customFormat="false" ht="14.25" hidden="false" customHeight="false" outlineLevel="0" collapsed="false">
      <c r="A122" s="389" t="s">
        <v>1398</v>
      </c>
      <c r="B122" s="389" t="s">
        <v>1368</v>
      </c>
      <c r="C122" s="389" t="s">
        <v>1321</v>
      </c>
      <c r="D122" s="389"/>
      <c r="E122" s="389" t="s">
        <v>1310</v>
      </c>
      <c r="F122" s="389"/>
      <c r="G122" s="389" t="s">
        <v>1395</v>
      </c>
      <c r="H122" s="389" t="n">
        <v>2025</v>
      </c>
      <c r="I122" s="389" t="s">
        <v>1391</v>
      </c>
      <c r="J122" s="389" t="s">
        <v>1312</v>
      </c>
      <c r="K122" s="389" t="s">
        <v>1396</v>
      </c>
      <c r="L122" s="389" t="n">
        <v>3.2</v>
      </c>
      <c r="M122" s="389"/>
      <c r="N122" s="389" t="n">
        <v>1</v>
      </c>
      <c r="O122" s="389" t="n">
        <v>8</v>
      </c>
      <c r="P122" s="389" t="n">
        <v>22.4</v>
      </c>
      <c r="Q122" s="389" t="n">
        <v>3.2</v>
      </c>
      <c r="R122" s="389"/>
      <c r="S122" s="389"/>
      <c r="T122" s="389"/>
      <c r="U122" s="389"/>
      <c r="V122" s="389"/>
      <c r="W122" s="389"/>
      <c r="X122" s="389" t="n">
        <v>131.307</v>
      </c>
      <c r="Y122" s="389" t="n">
        <v>142.4</v>
      </c>
    </row>
    <row r="123" customFormat="false" ht="14.25" hidden="false" customHeight="false" outlineLevel="0" collapsed="false">
      <c r="A123" s="389" t="s">
        <v>1398</v>
      </c>
      <c r="B123" s="389" t="s">
        <v>1368</v>
      </c>
      <c r="C123" s="389" t="s">
        <v>1321</v>
      </c>
      <c r="D123" s="389"/>
      <c r="E123" s="389" t="s">
        <v>1310</v>
      </c>
      <c r="F123" s="389"/>
      <c r="G123" s="389" t="s">
        <v>1395</v>
      </c>
      <c r="H123" s="389" t="n">
        <v>2025</v>
      </c>
      <c r="I123" s="389" t="s">
        <v>1391</v>
      </c>
      <c r="J123" s="389" t="s">
        <v>1312</v>
      </c>
      <c r="K123" s="389" t="s">
        <v>1396</v>
      </c>
      <c r="L123" s="389" t="n">
        <v>3.32</v>
      </c>
      <c r="M123" s="389"/>
      <c r="N123" s="389" t="n">
        <v>1</v>
      </c>
      <c r="O123" s="389" t="n">
        <v>8</v>
      </c>
      <c r="P123" s="389" t="n">
        <v>23.2</v>
      </c>
      <c r="Q123" s="389" t="n">
        <v>3.32</v>
      </c>
      <c r="R123" s="389"/>
      <c r="S123" s="389"/>
      <c r="T123" s="389"/>
      <c r="U123" s="389"/>
      <c r="V123" s="389"/>
      <c r="W123" s="389"/>
      <c r="X123" s="389" t="n">
        <v>136.231</v>
      </c>
      <c r="Y123" s="389" t="n">
        <v>147.74</v>
      </c>
    </row>
    <row r="124" customFormat="false" ht="14.25" hidden="false" customHeight="false" outlineLevel="0" collapsed="false">
      <c r="A124" s="389" t="s">
        <v>1398</v>
      </c>
      <c r="B124" s="389" t="s">
        <v>1368</v>
      </c>
      <c r="C124" s="389" t="s">
        <v>1321</v>
      </c>
      <c r="D124" s="389"/>
      <c r="E124" s="389" t="s">
        <v>1310</v>
      </c>
      <c r="F124" s="389"/>
      <c r="G124" s="389" t="s">
        <v>1395</v>
      </c>
      <c r="H124" s="389" t="n">
        <v>2025</v>
      </c>
      <c r="I124" s="389" t="s">
        <v>1391</v>
      </c>
      <c r="J124" s="389" t="s">
        <v>1312</v>
      </c>
      <c r="K124" s="389" t="s">
        <v>1396</v>
      </c>
      <c r="L124" s="389" t="n">
        <v>23.01</v>
      </c>
      <c r="M124" s="389"/>
      <c r="N124" s="389" t="n">
        <v>1</v>
      </c>
      <c r="O124" s="389" t="n">
        <v>8</v>
      </c>
      <c r="P124" s="389" t="n">
        <v>161.1</v>
      </c>
      <c r="Q124" s="389" t="n">
        <v>23.01</v>
      </c>
      <c r="R124" s="389"/>
      <c r="S124" s="389"/>
      <c r="T124" s="389"/>
      <c r="U124" s="389"/>
      <c r="V124" s="389"/>
      <c r="W124" s="389"/>
      <c r="X124" s="389" t="n">
        <v>944.177</v>
      </c>
      <c r="Y124" s="389" t="n">
        <v>1023.945</v>
      </c>
    </row>
    <row r="125" customFormat="false" ht="14.25" hidden="false" customHeight="false" outlineLevel="0" collapsed="false">
      <c r="A125" s="389" t="s">
        <v>1399</v>
      </c>
      <c r="B125" s="389" t="s">
        <v>1400</v>
      </c>
      <c r="C125" s="389" t="s">
        <v>1341</v>
      </c>
      <c r="D125" s="389"/>
      <c r="E125" s="389" t="s">
        <v>1310</v>
      </c>
      <c r="F125" s="389"/>
      <c r="G125" s="389" t="s">
        <v>1390</v>
      </c>
      <c r="H125" s="389" t="n">
        <v>2025</v>
      </c>
      <c r="I125" s="389" t="s">
        <v>1391</v>
      </c>
      <c r="J125" s="389" t="s">
        <v>1312</v>
      </c>
      <c r="K125" s="389" t="s">
        <v>1392</v>
      </c>
      <c r="L125" s="389" t="n">
        <v>4.85</v>
      </c>
      <c r="M125" s="389"/>
      <c r="N125" s="389" t="n">
        <v>1</v>
      </c>
      <c r="O125" s="389" t="n">
        <v>8</v>
      </c>
      <c r="P125" s="389" t="n">
        <v>34</v>
      </c>
      <c r="Q125" s="389" t="n">
        <v>4.85</v>
      </c>
      <c r="R125" s="389"/>
      <c r="S125" s="389"/>
      <c r="T125" s="389"/>
      <c r="U125" s="389"/>
      <c r="V125" s="389"/>
      <c r="W125" s="389"/>
      <c r="X125" s="389" t="n">
        <v>204.91</v>
      </c>
      <c r="Y125" s="389" t="n">
        <v>215.825</v>
      </c>
    </row>
    <row r="126" customFormat="false" ht="14.25" hidden="false" customHeight="false" outlineLevel="0" collapsed="false">
      <c r="A126" s="389" t="s">
        <v>1399</v>
      </c>
      <c r="B126" s="389" t="s">
        <v>1400</v>
      </c>
      <c r="C126" s="389" t="s">
        <v>1341</v>
      </c>
      <c r="D126" s="389"/>
      <c r="E126" s="389" t="s">
        <v>1310</v>
      </c>
      <c r="F126" s="389"/>
      <c r="G126" s="389" t="s">
        <v>1393</v>
      </c>
      <c r="H126" s="389" t="n">
        <v>2025</v>
      </c>
      <c r="I126" s="389" t="s">
        <v>1391</v>
      </c>
      <c r="J126" s="389" t="s">
        <v>1312</v>
      </c>
      <c r="K126" s="389" t="s">
        <v>1394</v>
      </c>
      <c r="L126" s="389" t="n">
        <v>3.4</v>
      </c>
      <c r="M126" s="389"/>
      <c r="N126" s="389" t="n">
        <v>1</v>
      </c>
      <c r="O126" s="389" t="n">
        <v>8</v>
      </c>
      <c r="P126" s="389" t="n">
        <v>23.8</v>
      </c>
      <c r="Q126" s="389" t="n">
        <v>3.4</v>
      </c>
      <c r="R126" s="389"/>
      <c r="S126" s="389"/>
      <c r="T126" s="389"/>
      <c r="U126" s="389"/>
      <c r="V126" s="389"/>
      <c r="W126" s="389"/>
      <c r="X126" s="389" t="n">
        <v>143.65</v>
      </c>
      <c r="Y126" s="389" t="n">
        <v>151.3</v>
      </c>
    </row>
    <row r="127" customFormat="false" ht="14.25" hidden="false" customHeight="false" outlineLevel="0" collapsed="false">
      <c r="A127" s="389" t="s">
        <v>1399</v>
      </c>
      <c r="B127" s="389" t="s">
        <v>1400</v>
      </c>
      <c r="C127" s="389" t="s">
        <v>1341</v>
      </c>
      <c r="D127" s="389"/>
      <c r="E127" s="389" t="s">
        <v>1310</v>
      </c>
      <c r="F127" s="389"/>
      <c r="G127" s="389" t="s">
        <v>1393</v>
      </c>
      <c r="H127" s="389" t="n">
        <v>2025</v>
      </c>
      <c r="I127" s="389" t="s">
        <v>1391</v>
      </c>
      <c r="J127" s="389" t="s">
        <v>1312</v>
      </c>
      <c r="K127" s="389" t="s">
        <v>1394</v>
      </c>
      <c r="L127" s="389" t="n">
        <v>1.78</v>
      </c>
      <c r="M127" s="389"/>
      <c r="N127" s="389" t="n">
        <v>1</v>
      </c>
      <c r="O127" s="389" t="n">
        <v>8</v>
      </c>
      <c r="P127" s="389" t="n">
        <v>12.5</v>
      </c>
      <c r="Q127" s="389" t="n">
        <v>1.78</v>
      </c>
      <c r="R127" s="389"/>
      <c r="S127" s="389"/>
      <c r="T127" s="389"/>
      <c r="U127" s="389"/>
      <c r="V127" s="389"/>
      <c r="W127" s="389"/>
      <c r="X127" s="389" t="n">
        <v>75.205</v>
      </c>
      <c r="Y127" s="389" t="n">
        <v>79.21</v>
      </c>
    </row>
    <row r="128" customFormat="false" ht="14.25" hidden="false" customHeight="false" outlineLevel="0" collapsed="false">
      <c r="A128" s="389" t="s">
        <v>1399</v>
      </c>
      <c r="B128" s="389" t="s">
        <v>1400</v>
      </c>
      <c r="C128" s="389" t="s">
        <v>1341</v>
      </c>
      <c r="D128" s="389"/>
      <c r="E128" s="389" t="s">
        <v>1310</v>
      </c>
      <c r="F128" s="389"/>
      <c r="G128" s="389" t="s">
        <v>1393</v>
      </c>
      <c r="H128" s="389" t="n">
        <v>2025</v>
      </c>
      <c r="I128" s="389" t="s">
        <v>1391</v>
      </c>
      <c r="J128" s="389" t="s">
        <v>1312</v>
      </c>
      <c r="K128" s="389" t="s">
        <v>1394</v>
      </c>
      <c r="L128" s="389" t="n">
        <v>4.35</v>
      </c>
      <c r="M128" s="389"/>
      <c r="N128" s="389" t="n">
        <v>1</v>
      </c>
      <c r="O128" s="389" t="n">
        <v>8</v>
      </c>
      <c r="P128" s="389" t="n">
        <v>30.5</v>
      </c>
      <c r="Q128" s="389" t="n">
        <v>4.35</v>
      </c>
      <c r="R128" s="389"/>
      <c r="S128" s="389"/>
      <c r="T128" s="389"/>
      <c r="U128" s="389"/>
      <c r="V128" s="389"/>
      <c r="W128" s="389"/>
      <c r="X128" s="389" t="n">
        <v>183.788</v>
      </c>
      <c r="Y128" s="389" t="n">
        <v>193.575</v>
      </c>
    </row>
    <row r="129" customFormat="false" ht="14.25" hidden="false" customHeight="false" outlineLevel="0" collapsed="false">
      <c r="A129" s="389" t="s">
        <v>1399</v>
      </c>
      <c r="B129" s="389" t="s">
        <v>1400</v>
      </c>
      <c r="C129" s="389" t="s">
        <v>1341</v>
      </c>
      <c r="D129" s="389"/>
      <c r="E129" s="389" t="s">
        <v>1310</v>
      </c>
      <c r="F129" s="389"/>
      <c r="G129" s="389" t="s">
        <v>1395</v>
      </c>
      <c r="H129" s="389" t="n">
        <v>2025</v>
      </c>
      <c r="I129" s="389" t="s">
        <v>1391</v>
      </c>
      <c r="J129" s="389" t="s">
        <v>1312</v>
      </c>
      <c r="K129" s="389" t="s">
        <v>1396</v>
      </c>
      <c r="L129" s="389" t="n">
        <v>4.3</v>
      </c>
      <c r="M129" s="389"/>
      <c r="N129" s="389" t="n">
        <v>1</v>
      </c>
      <c r="O129" s="389" t="n">
        <v>8</v>
      </c>
      <c r="P129" s="389" t="n">
        <v>30.1</v>
      </c>
      <c r="Q129" s="389" t="n">
        <v>4.3</v>
      </c>
      <c r="R129" s="389"/>
      <c r="S129" s="389"/>
      <c r="T129" s="389"/>
      <c r="U129" s="389"/>
      <c r="V129" s="389"/>
      <c r="W129" s="389"/>
      <c r="X129" s="389" t="n">
        <v>181.675</v>
      </c>
      <c r="Y129" s="389" t="n">
        <v>191.35</v>
      </c>
    </row>
    <row r="130" customFormat="false" ht="14.25" hidden="false" customHeight="false" outlineLevel="0" collapsed="false">
      <c r="A130" s="389" t="s">
        <v>1399</v>
      </c>
      <c r="B130" s="389" t="s">
        <v>1400</v>
      </c>
      <c r="C130" s="389" t="s">
        <v>1341</v>
      </c>
      <c r="D130" s="389"/>
      <c r="E130" s="389" t="s">
        <v>1310</v>
      </c>
      <c r="F130" s="389"/>
      <c r="G130" s="389" t="s">
        <v>1393</v>
      </c>
      <c r="H130" s="389" t="n">
        <v>2025</v>
      </c>
      <c r="I130" s="389" t="s">
        <v>1391</v>
      </c>
      <c r="J130" s="389" t="s">
        <v>1312</v>
      </c>
      <c r="K130" s="389" t="s">
        <v>1394</v>
      </c>
      <c r="L130" s="389" t="n">
        <v>3.35</v>
      </c>
      <c r="M130" s="389"/>
      <c r="N130" s="389" t="n">
        <v>1</v>
      </c>
      <c r="O130" s="389" t="n">
        <v>8</v>
      </c>
      <c r="P130" s="389" t="n">
        <v>23.5</v>
      </c>
      <c r="Q130" s="389" t="n">
        <v>3.35</v>
      </c>
      <c r="R130" s="389"/>
      <c r="S130" s="389"/>
      <c r="T130" s="389"/>
      <c r="U130" s="389"/>
      <c r="V130" s="389"/>
      <c r="W130" s="389"/>
      <c r="X130" s="389" t="n">
        <v>141.538</v>
      </c>
      <c r="Y130" s="389" t="n">
        <v>149.075</v>
      </c>
    </row>
    <row r="131" customFormat="false" ht="14.25" hidden="false" customHeight="false" outlineLevel="0" collapsed="false">
      <c r="A131" s="389" t="s">
        <v>1399</v>
      </c>
      <c r="B131" s="389" t="s">
        <v>1400</v>
      </c>
      <c r="C131" s="389" t="s">
        <v>1341</v>
      </c>
      <c r="D131" s="389"/>
      <c r="E131" s="389" t="s">
        <v>1310</v>
      </c>
      <c r="F131" s="389"/>
      <c r="G131" s="389" t="s">
        <v>1395</v>
      </c>
      <c r="H131" s="389" t="n">
        <v>2025</v>
      </c>
      <c r="I131" s="389" t="s">
        <v>1391</v>
      </c>
      <c r="J131" s="389" t="s">
        <v>1312</v>
      </c>
      <c r="K131" s="389" t="s">
        <v>1396</v>
      </c>
      <c r="L131" s="389" t="n">
        <v>8.45</v>
      </c>
      <c r="M131" s="389"/>
      <c r="N131" s="389" t="n">
        <v>1</v>
      </c>
      <c r="O131" s="389" t="n">
        <v>8</v>
      </c>
      <c r="P131" s="389" t="n">
        <v>59.2</v>
      </c>
      <c r="Q131" s="389" t="n">
        <v>8.45</v>
      </c>
      <c r="R131" s="389"/>
      <c r="S131" s="389"/>
      <c r="T131" s="389"/>
      <c r="U131" s="389"/>
      <c r="V131" s="389"/>
      <c r="W131" s="389"/>
      <c r="X131" s="389" t="n">
        <v>357.013</v>
      </c>
      <c r="Y131" s="389" t="n">
        <v>376.025</v>
      </c>
    </row>
    <row r="132" customFormat="false" ht="14.25" hidden="false" customHeight="false" outlineLevel="0" collapsed="false">
      <c r="A132" s="389" t="s">
        <v>1399</v>
      </c>
      <c r="B132" s="389" t="s">
        <v>1400</v>
      </c>
      <c r="C132" s="389" t="s">
        <v>1341</v>
      </c>
      <c r="D132" s="389"/>
      <c r="E132" s="389" t="s">
        <v>1310</v>
      </c>
      <c r="F132" s="389"/>
      <c r="G132" s="389" t="s">
        <v>1395</v>
      </c>
      <c r="H132" s="389" t="n">
        <v>2025</v>
      </c>
      <c r="I132" s="389" t="s">
        <v>1391</v>
      </c>
      <c r="J132" s="389" t="s">
        <v>1312</v>
      </c>
      <c r="K132" s="389" t="s">
        <v>1396</v>
      </c>
      <c r="L132" s="389" t="n">
        <v>3.2</v>
      </c>
      <c r="M132" s="389"/>
      <c r="N132" s="389" t="n">
        <v>1</v>
      </c>
      <c r="O132" s="389" t="n">
        <v>8</v>
      </c>
      <c r="P132" s="389" t="n">
        <v>22.4</v>
      </c>
      <c r="Q132" s="389" t="n">
        <v>3.2</v>
      </c>
      <c r="R132" s="389"/>
      <c r="S132" s="389"/>
      <c r="T132" s="389"/>
      <c r="U132" s="389"/>
      <c r="V132" s="389"/>
      <c r="W132" s="389"/>
      <c r="X132" s="389" t="n">
        <v>135.2</v>
      </c>
      <c r="Y132" s="389" t="n">
        <v>142.4</v>
      </c>
    </row>
    <row r="133" customFormat="false" ht="14.25" hidden="false" customHeight="false" outlineLevel="0" collapsed="false">
      <c r="A133" s="389" t="s">
        <v>1399</v>
      </c>
      <c r="B133" s="389" t="s">
        <v>1400</v>
      </c>
      <c r="C133" s="389" t="s">
        <v>1341</v>
      </c>
      <c r="D133" s="389"/>
      <c r="E133" s="389" t="s">
        <v>1310</v>
      </c>
      <c r="F133" s="389"/>
      <c r="G133" s="389" t="s">
        <v>1395</v>
      </c>
      <c r="H133" s="389" t="n">
        <v>2025</v>
      </c>
      <c r="I133" s="389" t="s">
        <v>1391</v>
      </c>
      <c r="J133" s="389" t="s">
        <v>1312</v>
      </c>
      <c r="K133" s="389" t="s">
        <v>1396</v>
      </c>
      <c r="L133" s="389" t="n">
        <v>3.33</v>
      </c>
      <c r="M133" s="389"/>
      <c r="N133" s="389" t="n">
        <v>1</v>
      </c>
      <c r="O133" s="389" t="n">
        <v>8</v>
      </c>
      <c r="P133" s="389" t="n">
        <v>23.3</v>
      </c>
      <c r="Q133" s="389" t="n">
        <v>3.33</v>
      </c>
      <c r="R133" s="389"/>
      <c r="S133" s="389"/>
      <c r="T133" s="389"/>
      <c r="U133" s="389"/>
      <c r="V133" s="389"/>
      <c r="W133" s="389"/>
      <c r="X133" s="389" t="n">
        <v>140.693</v>
      </c>
      <c r="Y133" s="389" t="n">
        <v>148.185</v>
      </c>
    </row>
    <row r="134" customFormat="false" ht="14.25" hidden="false" customHeight="false" outlineLevel="0" collapsed="false">
      <c r="A134" s="389" t="s">
        <v>1399</v>
      </c>
      <c r="B134" s="389" t="s">
        <v>1400</v>
      </c>
      <c r="C134" s="389" t="s">
        <v>1341</v>
      </c>
      <c r="D134" s="389"/>
      <c r="E134" s="389" t="s">
        <v>1310</v>
      </c>
      <c r="F134" s="389"/>
      <c r="G134" s="389" t="s">
        <v>1395</v>
      </c>
      <c r="H134" s="389" t="n">
        <v>2025</v>
      </c>
      <c r="I134" s="389" t="s">
        <v>1391</v>
      </c>
      <c r="J134" s="389" t="s">
        <v>1312</v>
      </c>
      <c r="K134" s="389" t="s">
        <v>1396</v>
      </c>
      <c r="L134" s="389" t="n">
        <v>30.99</v>
      </c>
      <c r="M134" s="389"/>
      <c r="N134" s="389" t="n">
        <v>1</v>
      </c>
      <c r="O134" s="389" t="n">
        <v>8</v>
      </c>
      <c r="P134" s="389" t="n">
        <v>216.9</v>
      </c>
      <c r="Q134" s="389" t="n">
        <v>30.99</v>
      </c>
      <c r="R134" s="389"/>
      <c r="S134" s="389"/>
      <c r="T134" s="389"/>
      <c r="U134" s="389"/>
      <c r="V134" s="389"/>
      <c r="W134" s="389"/>
      <c r="X134" s="389" t="n">
        <v>1309.328</v>
      </c>
      <c r="Y134" s="389" t="n">
        <v>1379.055</v>
      </c>
    </row>
    <row r="135" customFormat="false" ht="14.25" hidden="false" customHeight="false" outlineLevel="0" collapsed="false">
      <c r="A135" s="389" t="s">
        <v>1401</v>
      </c>
      <c r="B135" s="389" t="s">
        <v>1365</v>
      </c>
      <c r="C135" s="389" t="s">
        <v>1309</v>
      </c>
      <c r="D135" s="389"/>
      <c r="E135" s="389" t="s">
        <v>1310</v>
      </c>
      <c r="F135" s="389"/>
      <c r="G135" s="389" t="s">
        <v>1402</v>
      </c>
      <c r="H135" s="389" t="n">
        <v>2025</v>
      </c>
      <c r="I135" s="389" t="s">
        <v>191</v>
      </c>
      <c r="J135" s="389" t="s">
        <v>1312</v>
      </c>
      <c r="K135" s="389" t="s">
        <v>1403</v>
      </c>
      <c r="L135" s="389" t="n">
        <v>4.6</v>
      </c>
      <c r="M135" s="389"/>
      <c r="N135" s="389" t="n">
        <v>1</v>
      </c>
      <c r="O135" s="389" t="n">
        <v>8</v>
      </c>
      <c r="P135" s="389" t="n">
        <v>32.2</v>
      </c>
      <c r="Q135" s="389" t="n">
        <v>4.6</v>
      </c>
      <c r="R135" s="389"/>
      <c r="S135" s="389"/>
      <c r="T135" s="389"/>
      <c r="U135" s="389"/>
      <c r="V135" s="389"/>
      <c r="W135" s="389"/>
      <c r="X135" s="389" t="n">
        <v>297.85</v>
      </c>
      <c r="Y135" s="389" t="n">
        <v>176.64</v>
      </c>
    </row>
    <row r="136" customFormat="false" ht="14.25" hidden="false" customHeight="false" outlineLevel="0" collapsed="false">
      <c r="A136" s="389" t="s">
        <v>1401</v>
      </c>
      <c r="B136" s="389" t="s">
        <v>1365</v>
      </c>
      <c r="C136" s="389" t="s">
        <v>1309</v>
      </c>
      <c r="D136" s="389"/>
      <c r="E136" s="389" t="s">
        <v>1310</v>
      </c>
      <c r="F136" s="389"/>
      <c r="G136" s="389" t="s">
        <v>1402</v>
      </c>
      <c r="H136" s="389" t="n">
        <v>2025</v>
      </c>
      <c r="I136" s="389" t="s">
        <v>191</v>
      </c>
      <c r="J136" s="389" t="s">
        <v>1312</v>
      </c>
      <c r="K136" s="389" t="s">
        <v>1403</v>
      </c>
      <c r="L136" s="389" t="n">
        <v>4.4</v>
      </c>
      <c r="M136" s="389"/>
      <c r="N136" s="389" t="n">
        <v>1</v>
      </c>
      <c r="O136" s="389" t="n">
        <v>8</v>
      </c>
      <c r="P136" s="389" t="n">
        <v>30.8</v>
      </c>
      <c r="Q136" s="389" t="n">
        <v>4.4</v>
      </c>
      <c r="R136" s="389"/>
      <c r="S136" s="389"/>
      <c r="T136" s="389"/>
      <c r="U136" s="389"/>
      <c r="V136" s="389"/>
      <c r="W136" s="389"/>
      <c r="X136" s="389" t="n">
        <v>284.9</v>
      </c>
      <c r="Y136" s="389" t="n">
        <v>168.96</v>
      </c>
    </row>
    <row r="137" customFormat="false" ht="14.25" hidden="false" customHeight="false" outlineLevel="0" collapsed="false">
      <c r="A137" s="389" t="s">
        <v>1401</v>
      </c>
      <c r="B137" s="389" t="s">
        <v>1365</v>
      </c>
      <c r="C137" s="389" t="s">
        <v>1309</v>
      </c>
      <c r="D137" s="389"/>
      <c r="E137" s="389" t="s">
        <v>1310</v>
      </c>
      <c r="F137" s="389"/>
      <c r="G137" s="389" t="s">
        <v>1402</v>
      </c>
      <c r="H137" s="389" t="n">
        <v>2025</v>
      </c>
      <c r="I137" s="389" t="s">
        <v>191</v>
      </c>
      <c r="J137" s="389" t="s">
        <v>1312</v>
      </c>
      <c r="K137" s="389" t="s">
        <v>1403</v>
      </c>
      <c r="L137" s="389" t="n">
        <v>1.7</v>
      </c>
      <c r="M137" s="389"/>
      <c r="N137" s="389" t="n">
        <v>1</v>
      </c>
      <c r="O137" s="389" t="n">
        <v>8</v>
      </c>
      <c r="P137" s="389" t="n">
        <v>11.9</v>
      </c>
      <c r="Q137" s="389" t="n">
        <v>1.7</v>
      </c>
      <c r="R137" s="389"/>
      <c r="S137" s="389"/>
      <c r="T137" s="389"/>
      <c r="U137" s="389"/>
      <c r="V137" s="389"/>
      <c r="W137" s="389"/>
      <c r="X137" s="389" t="n">
        <v>110.075</v>
      </c>
      <c r="Y137" s="389" t="n">
        <v>65.28</v>
      </c>
    </row>
    <row r="138" customFormat="false" ht="14.25" hidden="false" customHeight="false" outlineLevel="0" collapsed="false">
      <c r="A138" s="389" t="s">
        <v>1401</v>
      </c>
      <c r="B138" s="389" t="s">
        <v>1365</v>
      </c>
      <c r="C138" s="389" t="s">
        <v>1309</v>
      </c>
      <c r="D138" s="389"/>
      <c r="E138" s="389" t="s">
        <v>1310</v>
      </c>
      <c r="F138" s="389"/>
      <c r="G138" s="389" t="s">
        <v>1402</v>
      </c>
      <c r="H138" s="389" t="n">
        <v>2025</v>
      </c>
      <c r="I138" s="389" t="s">
        <v>191</v>
      </c>
      <c r="J138" s="389" t="s">
        <v>1312</v>
      </c>
      <c r="K138" s="389" t="s">
        <v>1403</v>
      </c>
      <c r="L138" s="389" t="n">
        <v>9.3</v>
      </c>
      <c r="M138" s="389"/>
      <c r="N138" s="389" t="n">
        <v>1</v>
      </c>
      <c r="O138" s="389" t="n">
        <v>8</v>
      </c>
      <c r="P138" s="389" t="n">
        <v>65.1</v>
      </c>
      <c r="Q138" s="389" t="n">
        <v>9.3</v>
      </c>
      <c r="R138" s="389"/>
      <c r="S138" s="389"/>
      <c r="T138" s="389"/>
      <c r="U138" s="389"/>
      <c r="V138" s="389"/>
      <c r="W138" s="389"/>
      <c r="X138" s="389" t="n">
        <v>602.175</v>
      </c>
      <c r="Y138" s="389" t="n">
        <v>357.12</v>
      </c>
    </row>
    <row r="139" customFormat="false" ht="14.25" hidden="false" customHeight="false" outlineLevel="0" collapsed="false">
      <c r="A139" s="389" t="s">
        <v>1404</v>
      </c>
      <c r="B139" s="389" t="s">
        <v>1350</v>
      </c>
      <c r="C139" s="389" t="s">
        <v>1315</v>
      </c>
      <c r="D139" s="389"/>
      <c r="E139" s="389" t="s">
        <v>1310</v>
      </c>
      <c r="F139" s="389"/>
      <c r="G139" s="389" t="s">
        <v>1402</v>
      </c>
      <c r="H139" s="389" t="n">
        <v>2025</v>
      </c>
      <c r="I139" s="389" t="s">
        <v>191</v>
      </c>
      <c r="J139" s="389" t="s">
        <v>1312</v>
      </c>
      <c r="K139" s="389" t="s">
        <v>1403</v>
      </c>
      <c r="L139" s="389" t="n">
        <v>19</v>
      </c>
      <c r="M139" s="389"/>
      <c r="N139" s="389" t="n">
        <v>1</v>
      </c>
      <c r="O139" s="389" t="n">
        <v>8</v>
      </c>
      <c r="P139" s="389" t="n">
        <v>133</v>
      </c>
      <c r="Q139" s="389" t="n">
        <v>19</v>
      </c>
      <c r="R139" s="389"/>
      <c r="S139" s="389"/>
      <c r="T139" s="389"/>
      <c r="U139" s="389"/>
      <c r="V139" s="389"/>
      <c r="W139" s="389"/>
      <c r="X139" s="389" t="n">
        <v>1230.25</v>
      </c>
      <c r="Y139" s="389" t="n">
        <v>729.6</v>
      </c>
    </row>
    <row r="140" customFormat="false" ht="14.25" hidden="false" customHeight="false" outlineLevel="0" collapsed="false">
      <c r="A140" s="389" t="s">
        <v>1404</v>
      </c>
      <c r="B140" s="389" t="s">
        <v>1350</v>
      </c>
      <c r="C140" s="389" t="s">
        <v>1315</v>
      </c>
      <c r="D140" s="389"/>
      <c r="E140" s="389" t="s">
        <v>1310</v>
      </c>
      <c r="F140" s="389"/>
      <c r="G140" s="389" t="s">
        <v>1405</v>
      </c>
      <c r="H140" s="389" t="n">
        <v>2025</v>
      </c>
      <c r="I140" s="389" t="s">
        <v>191</v>
      </c>
      <c r="J140" s="389" t="s">
        <v>1312</v>
      </c>
      <c r="K140" s="389" t="s">
        <v>1406</v>
      </c>
      <c r="L140" s="389" t="n">
        <v>0.4</v>
      </c>
      <c r="M140" s="389"/>
      <c r="N140" s="389" t="n">
        <v>1</v>
      </c>
      <c r="O140" s="389" t="n">
        <v>8</v>
      </c>
      <c r="P140" s="389" t="n">
        <v>2.8</v>
      </c>
      <c r="Q140" s="389" t="n">
        <v>0.4</v>
      </c>
      <c r="R140" s="389"/>
      <c r="S140" s="389"/>
      <c r="T140" s="389"/>
      <c r="U140" s="389"/>
      <c r="V140" s="389"/>
      <c r="W140" s="389"/>
      <c r="X140" s="389" t="n">
        <v>25.9</v>
      </c>
      <c r="Y140" s="389" t="n">
        <v>15.36</v>
      </c>
    </row>
    <row r="141" customFormat="false" ht="14.25" hidden="false" customHeight="false" outlineLevel="0" collapsed="false">
      <c r="A141" s="389" t="s">
        <v>1404</v>
      </c>
      <c r="B141" s="389" t="s">
        <v>1350</v>
      </c>
      <c r="C141" s="389" t="s">
        <v>1315</v>
      </c>
      <c r="D141" s="389"/>
      <c r="E141" s="389" t="s">
        <v>1310</v>
      </c>
      <c r="F141" s="389"/>
      <c r="G141" s="389" t="s">
        <v>1405</v>
      </c>
      <c r="H141" s="389" t="n">
        <v>2025</v>
      </c>
      <c r="I141" s="389" t="s">
        <v>191</v>
      </c>
      <c r="J141" s="389" t="s">
        <v>1312</v>
      </c>
      <c r="K141" s="389" t="s">
        <v>1406</v>
      </c>
      <c r="L141" s="389" t="n">
        <v>0.6</v>
      </c>
      <c r="M141" s="389"/>
      <c r="N141" s="389" t="n">
        <v>1</v>
      </c>
      <c r="O141" s="389" t="n">
        <v>8</v>
      </c>
      <c r="P141" s="389" t="n">
        <v>4.2</v>
      </c>
      <c r="Q141" s="389" t="n">
        <v>0.6</v>
      </c>
      <c r="R141" s="389"/>
      <c r="S141" s="389"/>
      <c r="T141" s="389"/>
      <c r="U141" s="389"/>
      <c r="V141" s="389"/>
      <c r="W141" s="389"/>
      <c r="X141" s="389" t="n">
        <v>38.85</v>
      </c>
      <c r="Y141" s="389" t="n">
        <v>23.04</v>
      </c>
    </row>
    <row r="142" customFormat="false" ht="14.25" hidden="false" customHeight="false" outlineLevel="0" collapsed="false">
      <c r="A142" s="389" t="s">
        <v>1407</v>
      </c>
      <c r="B142" s="389" t="s">
        <v>1368</v>
      </c>
      <c r="C142" s="389" t="s">
        <v>1321</v>
      </c>
      <c r="D142" s="389"/>
      <c r="E142" s="389" t="s">
        <v>1310</v>
      </c>
      <c r="F142" s="389"/>
      <c r="G142" s="389" t="s">
        <v>1405</v>
      </c>
      <c r="H142" s="389" t="n">
        <v>2025</v>
      </c>
      <c r="I142" s="389" t="s">
        <v>191</v>
      </c>
      <c r="J142" s="389" t="s">
        <v>1312</v>
      </c>
      <c r="K142" s="389" t="s">
        <v>1406</v>
      </c>
      <c r="L142" s="389" t="n">
        <v>5.7</v>
      </c>
      <c r="M142" s="389"/>
      <c r="N142" s="389" t="n">
        <v>1</v>
      </c>
      <c r="O142" s="389" t="n">
        <v>8</v>
      </c>
      <c r="P142" s="389" t="n">
        <v>39.9</v>
      </c>
      <c r="Q142" s="389" t="n">
        <v>5.7</v>
      </c>
      <c r="R142" s="389"/>
      <c r="S142" s="389"/>
      <c r="T142" s="389"/>
      <c r="U142" s="389"/>
      <c r="V142" s="389"/>
      <c r="W142" s="389"/>
      <c r="X142" s="389" t="n">
        <v>369.075</v>
      </c>
      <c r="Y142" s="389" t="n">
        <v>218.88</v>
      </c>
    </row>
    <row r="143" customFormat="false" ht="14.25" hidden="false" customHeight="false" outlineLevel="0" collapsed="false">
      <c r="A143" s="389" t="s">
        <v>1407</v>
      </c>
      <c r="B143" s="389" t="s">
        <v>1368</v>
      </c>
      <c r="C143" s="389" t="s">
        <v>1321</v>
      </c>
      <c r="D143" s="389"/>
      <c r="E143" s="389" t="s">
        <v>1310</v>
      </c>
      <c r="F143" s="389"/>
      <c r="G143" s="389" t="s">
        <v>1405</v>
      </c>
      <c r="H143" s="389" t="n">
        <v>2025</v>
      </c>
      <c r="I143" s="389" t="s">
        <v>191</v>
      </c>
      <c r="J143" s="389" t="s">
        <v>1312</v>
      </c>
      <c r="K143" s="389" t="s">
        <v>1406</v>
      </c>
      <c r="L143" s="389" t="n">
        <v>14.3</v>
      </c>
      <c r="M143" s="389"/>
      <c r="N143" s="389" t="n">
        <v>1</v>
      </c>
      <c r="O143" s="389" t="n">
        <v>8</v>
      </c>
      <c r="P143" s="389" t="n">
        <v>100.1</v>
      </c>
      <c r="Q143" s="389" t="n">
        <v>14.3</v>
      </c>
      <c r="R143" s="389"/>
      <c r="S143" s="389"/>
      <c r="T143" s="389"/>
      <c r="U143" s="389"/>
      <c r="V143" s="389"/>
      <c r="W143" s="389"/>
      <c r="X143" s="389" t="n">
        <v>925.925</v>
      </c>
      <c r="Y143" s="389" t="n">
        <v>549.12</v>
      </c>
    </row>
    <row r="144" customFormat="false" ht="14.25" hidden="false" customHeight="false" outlineLevel="0" collapsed="false">
      <c r="A144" s="389" t="s">
        <v>1408</v>
      </c>
      <c r="B144" s="389" t="s">
        <v>1337</v>
      </c>
      <c r="C144" s="389" t="s">
        <v>1338</v>
      </c>
      <c r="D144" s="389"/>
      <c r="E144" s="389" t="s">
        <v>1310</v>
      </c>
      <c r="F144" s="389"/>
      <c r="G144" s="389" t="s">
        <v>1405</v>
      </c>
      <c r="H144" s="389" t="n">
        <v>2025</v>
      </c>
      <c r="I144" s="389" t="s">
        <v>191</v>
      </c>
      <c r="J144" s="389" t="s">
        <v>1312</v>
      </c>
      <c r="K144" s="389" t="s">
        <v>1406</v>
      </c>
      <c r="L144" s="389" t="n">
        <v>1.2</v>
      </c>
      <c r="M144" s="389"/>
      <c r="N144" s="389" t="n">
        <v>1</v>
      </c>
      <c r="O144" s="389" t="n">
        <v>8</v>
      </c>
      <c r="P144" s="389" t="n">
        <v>8.4</v>
      </c>
      <c r="Q144" s="389" t="n">
        <v>1.2</v>
      </c>
      <c r="R144" s="389"/>
      <c r="S144" s="389"/>
      <c r="T144" s="389"/>
      <c r="U144" s="389"/>
      <c r="V144" s="389"/>
      <c r="W144" s="389"/>
      <c r="X144" s="389" t="n">
        <v>77.063</v>
      </c>
      <c r="Y144" s="389" t="n">
        <v>46.08</v>
      </c>
    </row>
    <row r="145" customFormat="false" ht="14.25" hidden="false" customHeight="false" outlineLevel="0" collapsed="false">
      <c r="A145" s="389" t="s">
        <v>1408</v>
      </c>
      <c r="B145" s="389" t="s">
        <v>1337</v>
      </c>
      <c r="C145" s="389" t="s">
        <v>1338</v>
      </c>
      <c r="D145" s="389"/>
      <c r="E145" s="389" t="s">
        <v>1310</v>
      </c>
      <c r="F145" s="389"/>
      <c r="G145" s="389" t="s">
        <v>1405</v>
      </c>
      <c r="H145" s="389" t="n">
        <v>2025</v>
      </c>
      <c r="I145" s="389" t="s">
        <v>191</v>
      </c>
      <c r="J145" s="389" t="s">
        <v>1312</v>
      </c>
      <c r="K145" s="389" t="s">
        <v>1406</v>
      </c>
      <c r="L145" s="389" t="n">
        <v>18.8</v>
      </c>
      <c r="M145" s="389"/>
      <c r="N145" s="389" t="n">
        <v>1</v>
      </c>
      <c r="O145" s="389" t="n">
        <v>8</v>
      </c>
      <c r="P145" s="389" t="n">
        <v>131.6</v>
      </c>
      <c r="Q145" s="389" t="n">
        <v>18.8</v>
      </c>
      <c r="R145" s="389"/>
      <c r="S145" s="389"/>
      <c r="T145" s="389"/>
      <c r="U145" s="389"/>
      <c r="V145" s="389"/>
      <c r="W145" s="389"/>
      <c r="X145" s="389" t="n">
        <v>1207.327</v>
      </c>
      <c r="Y145" s="389" t="n">
        <v>721.92</v>
      </c>
    </row>
    <row r="146" customFormat="false" ht="14.25" hidden="false" customHeight="false" outlineLevel="0" collapsed="false">
      <c r="A146" s="389" t="s">
        <v>1408</v>
      </c>
      <c r="B146" s="389" t="s">
        <v>1337</v>
      </c>
      <c r="C146" s="389" t="s">
        <v>1338</v>
      </c>
      <c r="D146" s="389"/>
      <c r="E146" s="389" t="s">
        <v>1310</v>
      </c>
      <c r="F146" s="389"/>
      <c r="G146" s="389" t="s">
        <v>1409</v>
      </c>
      <c r="H146" s="389" t="n">
        <v>2025</v>
      </c>
      <c r="I146" s="389" t="s">
        <v>191</v>
      </c>
      <c r="J146" s="389" t="s">
        <v>1312</v>
      </c>
      <c r="K146" s="389" t="s">
        <v>1410</v>
      </c>
      <c r="L146" s="389" t="n">
        <v>6</v>
      </c>
      <c r="M146" s="389"/>
      <c r="N146" s="389" t="n">
        <v>1</v>
      </c>
      <c r="O146" s="389" t="n">
        <v>8</v>
      </c>
      <c r="P146" s="389" t="n">
        <v>42</v>
      </c>
      <c r="Q146" s="389" t="n">
        <v>6</v>
      </c>
      <c r="R146" s="389"/>
      <c r="S146" s="389"/>
      <c r="T146" s="389"/>
      <c r="U146" s="389"/>
      <c r="V146" s="389"/>
      <c r="W146" s="389"/>
      <c r="X146" s="389" t="n">
        <v>385.317</v>
      </c>
      <c r="Y146" s="389" t="n">
        <v>230.4</v>
      </c>
    </row>
    <row r="147" customFormat="false" ht="14.25" hidden="false" customHeight="false" outlineLevel="0" collapsed="false">
      <c r="A147" s="389" t="s">
        <v>1408</v>
      </c>
      <c r="B147" s="389" t="s">
        <v>1337</v>
      </c>
      <c r="C147" s="389" t="s">
        <v>1338</v>
      </c>
      <c r="D147" s="389"/>
      <c r="E147" s="389" t="s">
        <v>1310</v>
      </c>
      <c r="F147" s="389"/>
      <c r="G147" s="389" t="s">
        <v>1409</v>
      </c>
      <c r="H147" s="389" t="n">
        <v>2025</v>
      </c>
      <c r="I147" s="389" t="s">
        <v>191</v>
      </c>
      <c r="J147" s="389" t="s">
        <v>1312</v>
      </c>
      <c r="K147" s="389" t="s">
        <v>1410</v>
      </c>
      <c r="L147" s="389" t="n">
        <v>15</v>
      </c>
      <c r="M147" s="389"/>
      <c r="N147" s="389" t="n">
        <v>1</v>
      </c>
      <c r="O147" s="389" t="n">
        <v>8</v>
      </c>
      <c r="P147" s="389" t="n">
        <v>105</v>
      </c>
      <c r="Q147" s="389" t="n">
        <v>15</v>
      </c>
      <c r="R147" s="389"/>
      <c r="S147" s="389"/>
      <c r="T147" s="389"/>
      <c r="U147" s="389"/>
      <c r="V147" s="389"/>
      <c r="W147" s="389"/>
      <c r="X147" s="389" t="n">
        <v>963.293</v>
      </c>
      <c r="Y147" s="389" t="n">
        <v>576</v>
      </c>
    </row>
    <row r="148" customFormat="false" ht="14.25" hidden="false" customHeight="false" outlineLevel="0" collapsed="false">
      <c r="A148" s="389" t="s">
        <v>1411</v>
      </c>
      <c r="B148" s="389" t="s">
        <v>1337</v>
      </c>
      <c r="C148" s="389" t="s">
        <v>1338</v>
      </c>
      <c r="D148" s="389"/>
      <c r="E148" s="389" t="s">
        <v>1310</v>
      </c>
      <c r="F148" s="389"/>
      <c r="G148" s="389" t="s">
        <v>1409</v>
      </c>
      <c r="H148" s="389" t="n">
        <v>2025</v>
      </c>
      <c r="I148" s="389" t="s">
        <v>191</v>
      </c>
      <c r="J148" s="389" t="s">
        <v>1312</v>
      </c>
      <c r="K148" s="389" t="s">
        <v>1410</v>
      </c>
      <c r="L148" s="389" t="n">
        <v>17</v>
      </c>
      <c r="M148" s="389"/>
      <c r="N148" s="389" t="n">
        <v>1</v>
      </c>
      <c r="O148" s="389" t="n">
        <v>8</v>
      </c>
      <c r="P148" s="389" t="n">
        <v>119</v>
      </c>
      <c r="Q148" s="389" t="n">
        <v>17</v>
      </c>
      <c r="R148" s="389"/>
      <c r="S148" s="389"/>
      <c r="T148" s="389"/>
      <c r="U148" s="389"/>
      <c r="V148" s="389"/>
      <c r="W148" s="389"/>
      <c r="X148" s="389" t="n">
        <v>1114</v>
      </c>
      <c r="Y148" s="389" t="n">
        <v>652.8</v>
      </c>
    </row>
    <row r="149" customFormat="false" ht="14.25" hidden="false" customHeight="false" outlineLevel="0" collapsed="false">
      <c r="A149" s="389" t="s">
        <v>1412</v>
      </c>
      <c r="B149" s="389" t="s">
        <v>1365</v>
      </c>
      <c r="C149" s="389" t="s">
        <v>1309</v>
      </c>
      <c r="D149" s="389"/>
      <c r="E149" s="389" t="s">
        <v>1310</v>
      </c>
      <c r="F149" s="389"/>
      <c r="G149" s="389" t="s">
        <v>1409</v>
      </c>
      <c r="H149" s="389" t="n">
        <v>2025</v>
      </c>
      <c r="I149" s="389" t="s">
        <v>191</v>
      </c>
      <c r="J149" s="389" t="s">
        <v>1312</v>
      </c>
      <c r="K149" s="389" t="s">
        <v>1410</v>
      </c>
      <c r="L149" s="389" t="n">
        <v>6</v>
      </c>
      <c r="M149" s="389"/>
      <c r="N149" s="389" t="n">
        <v>1</v>
      </c>
      <c r="O149" s="389" t="n">
        <v>8</v>
      </c>
      <c r="P149" s="389" t="n">
        <v>42</v>
      </c>
      <c r="Q149" s="389" t="n">
        <v>6</v>
      </c>
      <c r="R149" s="389"/>
      <c r="S149" s="389"/>
      <c r="T149" s="389"/>
      <c r="U149" s="389"/>
      <c r="V149" s="389"/>
      <c r="W149" s="389"/>
      <c r="X149" s="389" t="n">
        <v>350</v>
      </c>
      <c r="Y149" s="389" t="n">
        <v>230.4</v>
      </c>
    </row>
    <row r="150" customFormat="false" ht="14.25" hidden="false" customHeight="false" outlineLevel="0" collapsed="false">
      <c r="A150" s="389" t="s">
        <v>1413</v>
      </c>
      <c r="B150" s="389" t="s">
        <v>1350</v>
      </c>
      <c r="C150" s="389" t="s">
        <v>1315</v>
      </c>
      <c r="D150" s="389"/>
      <c r="E150" s="389" t="s">
        <v>1310</v>
      </c>
      <c r="F150" s="389"/>
      <c r="G150" s="389" t="s">
        <v>1409</v>
      </c>
      <c r="H150" s="389" t="n">
        <v>2025</v>
      </c>
      <c r="I150" s="389" t="s">
        <v>191</v>
      </c>
      <c r="J150" s="389" t="s">
        <v>1312</v>
      </c>
      <c r="K150" s="389" t="s">
        <v>1410</v>
      </c>
      <c r="L150" s="389" t="n">
        <v>7</v>
      </c>
      <c r="M150" s="389"/>
      <c r="N150" s="389" t="n">
        <v>1</v>
      </c>
      <c r="O150" s="389" t="n">
        <v>8</v>
      </c>
      <c r="P150" s="389" t="n">
        <v>49</v>
      </c>
      <c r="Q150" s="389" t="n">
        <v>7</v>
      </c>
      <c r="R150" s="389"/>
      <c r="S150" s="389"/>
      <c r="T150" s="389"/>
      <c r="U150" s="389"/>
      <c r="V150" s="389"/>
      <c r="W150" s="389"/>
      <c r="X150" s="389" t="n">
        <v>415</v>
      </c>
      <c r="Y150" s="389" t="n">
        <v>268.8</v>
      </c>
    </row>
    <row r="151" customFormat="false" ht="14.25" hidden="false" customHeight="false" outlineLevel="0" collapsed="false">
      <c r="A151" s="389" t="s">
        <v>1414</v>
      </c>
      <c r="B151" s="389" t="s">
        <v>1368</v>
      </c>
      <c r="C151" s="389" t="s">
        <v>1321</v>
      </c>
      <c r="D151" s="389"/>
      <c r="E151" s="389" t="s">
        <v>1310</v>
      </c>
      <c r="F151" s="389"/>
      <c r="G151" s="389" t="s">
        <v>1409</v>
      </c>
      <c r="H151" s="389" t="n">
        <v>2025</v>
      </c>
      <c r="I151" s="389" t="s">
        <v>191</v>
      </c>
      <c r="J151" s="389" t="s">
        <v>1312</v>
      </c>
      <c r="K151" s="389" t="s">
        <v>1410</v>
      </c>
      <c r="L151" s="389" t="n">
        <v>7</v>
      </c>
      <c r="M151" s="389"/>
      <c r="N151" s="389" t="n">
        <v>1</v>
      </c>
      <c r="O151" s="389" t="n">
        <v>8</v>
      </c>
      <c r="P151" s="389" t="n">
        <v>49</v>
      </c>
      <c r="Q151" s="389" t="n">
        <v>7</v>
      </c>
      <c r="R151" s="389"/>
      <c r="S151" s="389"/>
      <c r="T151" s="389"/>
      <c r="U151" s="389"/>
      <c r="V151" s="389"/>
      <c r="W151" s="389"/>
      <c r="X151" s="389" t="n">
        <v>450</v>
      </c>
      <c r="Y151" s="389" t="n">
        <v>268.8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503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N1405" activeCellId="0" sqref="N1405"/>
    </sheetView>
  </sheetViews>
  <sheetFormatPr defaultColWidth="8.1484375" defaultRowHeight="15" customHeight="true" zeroHeight="false" outlineLevelRow="0" outlineLevelCol="0"/>
  <cols>
    <col collapsed="false" customWidth="true" hidden="false" outlineLevel="0" max="1" min="1" style="398" width="38.71"/>
    <col collapsed="false" customWidth="true" hidden="false" outlineLevel="0" max="2" min="2" style="398" width="10.71"/>
    <col collapsed="false" customWidth="true" hidden="false" outlineLevel="0" max="3" min="3" style="398" width="12.29"/>
    <col collapsed="false" customWidth="true" hidden="false" outlineLevel="0" max="4" min="4" style="398" width="11.43"/>
    <col collapsed="false" customWidth="true" hidden="false" outlineLevel="0" max="5" min="5" style="398" width="18.57"/>
    <col collapsed="false" customWidth="true" hidden="false" outlineLevel="0" max="6" min="6" style="398" width="12.71"/>
    <col collapsed="false" customWidth="true" hidden="false" outlineLevel="0" max="7" min="7" style="398" width="14.42"/>
    <col collapsed="false" customWidth="true" hidden="false" outlineLevel="0" max="9" min="8" style="398" width="9.57"/>
    <col collapsed="false" customWidth="true" hidden="false" outlineLevel="0" max="10" min="10" style="398" width="9.86"/>
    <col collapsed="false" customWidth="true" hidden="false" outlineLevel="0" max="11" min="11" style="398" width="20.29"/>
    <col collapsed="false" customWidth="true" hidden="false" outlineLevel="0" max="12" min="12" style="398" width="10.29"/>
    <col collapsed="false" customWidth="true" hidden="false" outlineLevel="0" max="13" min="13" style="398" width="8.71"/>
    <col collapsed="false" customWidth="true" hidden="false" outlineLevel="0" max="14" min="14" style="398" width="12.71"/>
    <col collapsed="false" customWidth="true" hidden="false" outlineLevel="0" max="15" min="15" style="398" width="9.71"/>
    <col collapsed="false" customWidth="true" hidden="false" outlineLevel="0" max="16" min="16" style="398" width="11"/>
    <col collapsed="false" customWidth="true" hidden="false" outlineLevel="0" max="18" min="17" style="0" width="9.86"/>
    <col collapsed="false" customWidth="true" hidden="false" outlineLevel="0" max="19" min="19" style="22" width="12.15"/>
    <col collapsed="false" customWidth="true" hidden="false" outlineLevel="0" max="20" min="20" style="0" width="9"/>
    <col collapsed="false" customWidth="true" hidden="false" outlineLevel="0" max="21" min="21" style="399" width="7.15"/>
    <col collapsed="false" customWidth="true" hidden="false" outlineLevel="0" max="24" min="24" style="0" width="11.29"/>
    <col collapsed="false" customWidth="true" hidden="false" outlineLevel="0" max="25" min="25" style="0" width="11"/>
    <col collapsed="false" customWidth="true" hidden="false" outlineLevel="0" max="32" min="32" style="0" width="23.57"/>
  </cols>
  <sheetData>
    <row r="1" s="404" customFormat="true" ht="69" hidden="false" customHeight="true" outlineLevel="0" collapsed="false">
      <c r="A1" s="400" t="s">
        <v>1415</v>
      </c>
      <c r="B1" s="400" t="s">
        <v>1416</v>
      </c>
      <c r="C1" s="400" t="s">
        <v>1417</v>
      </c>
      <c r="D1" s="400" t="s">
        <v>1418</v>
      </c>
      <c r="E1" s="400" t="s">
        <v>339</v>
      </c>
      <c r="F1" s="400" t="s">
        <v>1419</v>
      </c>
      <c r="G1" s="400" t="s">
        <v>1420</v>
      </c>
      <c r="H1" s="400" t="s">
        <v>341</v>
      </c>
      <c r="I1" s="401" t="s">
        <v>31</v>
      </c>
      <c r="J1" s="400" t="s">
        <v>221</v>
      </c>
      <c r="K1" s="400" t="s">
        <v>1421</v>
      </c>
      <c r="L1" s="400" t="s">
        <v>1422</v>
      </c>
      <c r="M1" s="400" t="s">
        <v>1423</v>
      </c>
      <c r="N1" s="400" t="s">
        <v>1424</v>
      </c>
      <c r="O1" s="400" t="s">
        <v>1425</v>
      </c>
      <c r="P1" s="400" t="s">
        <v>281</v>
      </c>
      <c r="Q1" s="400" t="s">
        <v>74</v>
      </c>
      <c r="R1" s="400" t="s">
        <v>1426</v>
      </c>
      <c r="S1" s="402" t="s">
        <v>43</v>
      </c>
      <c r="T1" s="400" t="s">
        <v>1427</v>
      </c>
      <c r="U1" s="403" t="s">
        <v>1428</v>
      </c>
      <c r="V1" s="400" t="s">
        <v>1429</v>
      </c>
      <c r="W1" s="400" t="s">
        <v>1430</v>
      </c>
      <c r="X1" s="400" t="s">
        <v>352</v>
      </c>
      <c r="Y1" s="400" t="s">
        <v>1281</v>
      </c>
    </row>
    <row r="2" s="410" customFormat="true" ht="15" hidden="true" customHeight="true" outlineLevel="0" collapsed="false">
      <c r="A2" s="199" t="s">
        <v>1431</v>
      </c>
      <c r="B2" s="199" t="s">
        <v>417</v>
      </c>
      <c r="C2" s="405" t="n">
        <v>82</v>
      </c>
      <c r="D2" s="406" t="n">
        <v>63303</v>
      </c>
      <c r="E2" s="199" t="s">
        <v>1432</v>
      </c>
      <c r="F2" s="199" t="s">
        <v>1433</v>
      </c>
      <c r="G2" s="199" t="s">
        <v>377</v>
      </c>
      <c r="H2" s="199" t="s">
        <v>1434</v>
      </c>
      <c r="I2" s="199" t="s">
        <v>1434</v>
      </c>
      <c r="J2" s="199" t="s">
        <v>252</v>
      </c>
      <c r="K2" s="199" t="s">
        <v>1435</v>
      </c>
      <c r="L2" s="407" t="n">
        <v>14040</v>
      </c>
      <c r="M2" s="407" t="n">
        <v>9670</v>
      </c>
      <c r="N2" s="408" t="n">
        <v>7.5</v>
      </c>
      <c r="O2" s="407" t="n">
        <v>4370</v>
      </c>
      <c r="P2" s="407" t="n">
        <v>4042.2</v>
      </c>
      <c r="Q2" s="234" t="n">
        <v>2023</v>
      </c>
      <c r="R2" s="234"/>
      <c r="S2" s="248" t="n">
        <v>45072</v>
      </c>
      <c r="T2" s="407" t="n">
        <f aca="false">Таблица18[[#This Row],[Вес нетто]]-Таблица18[[#This Row],[Зачетный вес]]</f>
        <v>327.8</v>
      </c>
      <c r="U2" s="409" t="n">
        <f aca="false">Таблица18[[#This Row],[Отход]]/Таблица18[[#This Row],[Вес нетто]]</f>
        <v>0.0750114416475973</v>
      </c>
      <c r="V2" s="234" t="n">
        <f aca="false">MONTH(Таблица18[[#This Row],[Дата акта]])</f>
        <v>5</v>
      </c>
      <c r="W2" s="234" t="n">
        <v>26</v>
      </c>
      <c r="X2" s="248" t="n">
        <f aca="false">DATE(1900,Таблица18[[#This Row],[Месяц]],Таблица18[[#This Row],[Число]])</f>
        <v>147</v>
      </c>
      <c r="Y2" s="234"/>
      <c r="AF2" s="411"/>
      <c r="AG2" s="412"/>
    </row>
    <row r="3" s="410" customFormat="true" ht="15" hidden="true" customHeight="true" outlineLevel="0" collapsed="false">
      <c r="A3" s="199" t="s">
        <v>1436</v>
      </c>
      <c r="B3" s="199" t="s">
        <v>417</v>
      </c>
      <c r="C3" s="405" t="n">
        <v>83</v>
      </c>
      <c r="D3" s="406" t="n">
        <v>63304</v>
      </c>
      <c r="E3" s="199" t="s">
        <v>1432</v>
      </c>
      <c r="F3" s="199" t="s">
        <v>1433</v>
      </c>
      <c r="G3" s="199" t="s">
        <v>377</v>
      </c>
      <c r="H3" s="199" t="s">
        <v>1434</v>
      </c>
      <c r="I3" s="199" t="s">
        <v>1434</v>
      </c>
      <c r="J3" s="199" t="s">
        <v>252</v>
      </c>
      <c r="K3" s="199" t="s">
        <v>1435</v>
      </c>
      <c r="L3" s="407" t="n">
        <v>25600</v>
      </c>
      <c r="M3" s="407" t="n">
        <v>14400</v>
      </c>
      <c r="N3" s="408" t="n">
        <v>10.5</v>
      </c>
      <c r="O3" s="407" t="n">
        <v>11200</v>
      </c>
      <c r="P3" s="407" t="n">
        <v>10024</v>
      </c>
      <c r="Q3" s="234" t="n">
        <v>2023</v>
      </c>
      <c r="R3" s="234"/>
      <c r="S3" s="248" t="n">
        <v>45075</v>
      </c>
      <c r="T3" s="407" t="n">
        <f aca="false">Таблица18[[#This Row],[Вес нетто]]-Таблица18[[#This Row],[Зачетный вес]]</f>
        <v>1176</v>
      </c>
      <c r="U3" s="409" t="n">
        <f aca="false">Таблица18[[#This Row],[Отход]]/Таблица18[[#This Row],[Вес нетто]]</f>
        <v>0.105</v>
      </c>
      <c r="V3" s="234" t="n">
        <f aca="false">MONTH(Таблица18[[#This Row],[Дата акта]])</f>
        <v>5</v>
      </c>
      <c r="W3" s="234" t="n">
        <v>29</v>
      </c>
      <c r="X3" s="248" t="n">
        <f aca="false">DATE(1900,Таблица18[[#This Row],[Месяц]],Таблица18[[#This Row],[Число]])</f>
        <v>150</v>
      </c>
      <c r="Y3" s="234"/>
      <c r="AF3" s="411"/>
      <c r="AG3" s="412"/>
    </row>
    <row r="4" s="410" customFormat="true" ht="15" hidden="true" customHeight="true" outlineLevel="0" collapsed="false">
      <c r="A4" s="199" t="s">
        <v>1437</v>
      </c>
      <c r="B4" s="199" t="s">
        <v>417</v>
      </c>
      <c r="C4" s="405" t="n">
        <v>84</v>
      </c>
      <c r="D4" s="406" t="n">
        <v>63307</v>
      </c>
      <c r="E4" s="199" t="s">
        <v>1432</v>
      </c>
      <c r="F4" s="199" t="s">
        <v>380</v>
      </c>
      <c r="G4" s="199" t="s">
        <v>381</v>
      </c>
      <c r="H4" s="199" t="s">
        <v>1434</v>
      </c>
      <c r="I4" s="199" t="s">
        <v>1434</v>
      </c>
      <c r="J4" s="199" t="s">
        <v>252</v>
      </c>
      <c r="K4" s="199" t="s">
        <v>1435</v>
      </c>
      <c r="L4" s="407" t="n">
        <v>25580</v>
      </c>
      <c r="M4" s="407" t="n">
        <v>14210</v>
      </c>
      <c r="N4" s="408" t="n">
        <v>16.5</v>
      </c>
      <c r="O4" s="407" t="n">
        <v>11370</v>
      </c>
      <c r="P4" s="407" t="n">
        <v>9493.9</v>
      </c>
      <c r="Q4" s="234" t="n">
        <v>2023</v>
      </c>
      <c r="R4" s="234"/>
      <c r="S4" s="248" t="n">
        <v>45075</v>
      </c>
      <c r="T4" s="407" t="n">
        <f aca="false">Таблица18[[#This Row],[Вес нетто]]-Таблица18[[#This Row],[Зачетный вес]]</f>
        <v>1876.1</v>
      </c>
      <c r="U4" s="409" t="n">
        <f aca="false">Таблица18[[#This Row],[Отход]]/Таблица18[[#This Row],[Вес нетто]]</f>
        <v>0.165004397537379</v>
      </c>
      <c r="V4" s="234" t="n">
        <f aca="false">MONTH(Таблица18[[#This Row],[Дата акта]])</f>
        <v>5</v>
      </c>
      <c r="W4" s="234" t="n">
        <v>29</v>
      </c>
      <c r="X4" s="248" t="n">
        <f aca="false">DATE(1900,Таблица18[[#This Row],[Месяц]],Таблица18[[#This Row],[Число]])</f>
        <v>150</v>
      </c>
      <c r="Y4" s="234"/>
      <c r="AF4" s="411"/>
      <c r="AG4" s="412"/>
    </row>
    <row r="5" s="410" customFormat="true" ht="15" hidden="true" customHeight="true" outlineLevel="0" collapsed="false">
      <c r="A5" s="199" t="s">
        <v>1438</v>
      </c>
      <c r="B5" s="199" t="s">
        <v>417</v>
      </c>
      <c r="C5" s="405" t="n">
        <v>85</v>
      </c>
      <c r="D5" s="406" t="n">
        <v>63306</v>
      </c>
      <c r="E5" s="199" t="s">
        <v>1432</v>
      </c>
      <c r="F5" s="199" t="s">
        <v>1439</v>
      </c>
      <c r="G5" s="199" t="s">
        <v>1440</v>
      </c>
      <c r="H5" s="199" t="s">
        <v>1434</v>
      </c>
      <c r="I5" s="199" t="s">
        <v>1434</v>
      </c>
      <c r="J5" s="199" t="s">
        <v>252</v>
      </c>
      <c r="K5" s="199" t="s">
        <v>1435</v>
      </c>
      <c r="L5" s="407" t="n">
        <v>24810</v>
      </c>
      <c r="M5" s="407" t="n">
        <v>13380</v>
      </c>
      <c r="N5" s="408" t="n">
        <v>13.5</v>
      </c>
      <c r="O5" s="407" t="n">
        <v>11430</v>
      </c>
      <c r="P5" s="407" t="n">
        <v>9886.9</v>
      </c>
      <c r="Q5" s="234" t="n">
        <v>2023</v>
      </c>
      <c r="R5" s="234"/>
      <c r="S5" s="248" t="n">
        <v>45075</v>
      </c>
      <c r="T5" s="407" t="n">
        <f aca="false">Таблица18[[#This Row],[Вес нетто]]-Таблица18[[#This Row],[Зачетный вес]]</f>
        <v>1543.1</v>
      </c>
      <c r="U5" s="409" t="n">
        <f aca="false">Таблица18[[#This Row],[Отход]]/Таблица18[[#This Row],[Вес нетто]]</f>
        <v>0.135004374453193</v>
      </c>
      <c r="V5" s="234" t="n">
        <f aca="false">MONTH(Таблица18[[#This Row],[Дата акта]])</f>
        <v>5</v>
      </c>
      <c r="W5" s="234" t="n">
        <v>29</v>
      </c>
      <c r="X5" s="248" t="n">
        <f aca="false">DATE(1900,Таблица18[[#This Row],[Месяц]],Таблица18[[#This Row],[Число]])</f>
        <v>150</v>
      </c>
      <c r="Y5" s="234"/>
      <c r="AF5" s="411"/>
      <c r="AG5" s="412"/>
    </row>
    <row r="6" s="410" customFormat="true" ht="15" hidden="true" customHeight="true" outlineLevel="0" collapsed="false">
      <c r="A6" s="199" t="s">
        <v>1441</v>
      </c>
      <c r="B6" s="199" t="s">
        <v>417</v>
      </c>
      <c r="C6" s="405" t="n">
        <v>86</v>
      </c>
      <c r="D6" s="406" t="n">
        <v>63308</v>
      </c>
      <c r="E6" s="199" t="s">
        <v>1432</v>
      </c>
      <c r="F6" s="199" t="s">
        <v>371</v>
      </c>
      <c r="G6" s="199" t="s">
        <v>372</v>
      </c>
      <c r="H6" s="199" t="s">
        <v>1434</v>
      </c>
      <c r="I6" s="199" t="s">
        <v>1434</v>
      </c>
      <c r="J6" s="199" t="s">
        <v>252</v>
      </c>
      <c r="K6" s="199" t="s">
        <v>1435</v>
      </c>
      <c r="L6" s="407" t="n">
        <v>27090</v>
      </c>
      <c r="M6" s="407" t="n">
        <v>15100</v>
      </c>
      <c r="N6" s="408" t="n">
        <v>18.5</v>
      </c>
      <c r="O6" s="407" t="n">
        <v>11990</v>
      </c>
      <c r="P6" s="407" t="n">
        <v>9771.8</v>
      </c>
      <c r="Q6" s="234" t="n">
        <v>2023</v>
      </c>
      <c r="R6" s="234"/>
      <c r="S6" s="248" t="n">
        <v>45075</v>
      </c>
      <c r="T6" s="407" t="n">
        <f aca="false">Таблица18[[#This Row],[Вес нетто]]-Таблица18[[#This Row],[Зачетный вес]]</f>
        <v>2218.2</v>
      </c>
      <c r="U6" s="409" t="n">
        <f aca="false">Таблица18[[#This Row],[Отход]]/Таблица18[[#This Row],[Вес нетто]]</f>
        <v>0.185004170141785</v>
      </c>
      <c r="V6" s="234" t="n">
        <f aca="false">MONTH(Таблица18[[#This Row],[Дата акта]])</f>
        <v>5</v>
      </c>
      <c r="W6" s="234" t="n">
        <v>29</v>
      </c>
      <c r="X6" s="248" t="n">
        <f aca="false">DATE(1900,Таблица18[[#This Row],[Месяц]],Таблица18[[#This Row],[Число]])</f>
        <v>150</v>
      </c>
      <c r="Y6" s="234"/>
      <c r="AF6" s="411"/>
      <c r="AG6" s="412"/>
    </row>
    <row r="7" s="410" customFormat="true" ht="15" hidden="true" customHeight="true" outlineLevel="0" collapsed="false">
      <c r="A7" s="199" t="s">
        <v>1442</v>
      </c>
      <c r="B7" s="199" t="s">
        <v>417</v>
      </c>
      <c r="C7" s="405" t="n">
        <v>87</v>
      </c>
      <c r="D7" s="406" t="n">
        <v>63309</v>
      </c>
      <c r="E7" s="199" t="s">
        <v>1432</v>
      </c>
      <c r="F7" s="199" t="s">
        <v>1443</v>
      </c>
      <c r="G7" s="199" t="s">
        <v>1444</v>
      </c>
      <c r="H7" s="199" t="s">
        <v>1434</v>
      </c>
      <c r="I7" s="199" t="s">
        <v>1434</v>
      </c>
      <c r="J7" s="199" t="s">
        <v>252</v>
      </c>
      <c r="K7" s="199" t="s">
        <v>1435</v>
      </c>
      <c r="L7" s="407" t="n">
        <v>27460</v>
      </c>
      <c r="M7" s="407" t="n">
        <v>15810</v>
      </c>
      <c r="N7" s="408" t="n">
        <v>14.5</v>
      </c>
      <c r="O7" s="407" t="n">
        <v>11650</v>
      </c>
      <c r="P7" s="407" t="n">
        <v>9960.7</v>
      </c>
      <c r="Q7" s="234" t="n">
        <v>2023</v>
      </c>
      <c r="R7" s="234"/>
      <c r="S7" s="248" t="n">
        <v>45075</v>
      </c>
      <c r="T7" s="407" t="n">
        <f aca="false">Таблица18[[#This Row],[Вес нетто]]-Таблица18[[#This Row],[Зачетный вес]]</f>
        <v>1689.3</v>
      </c>
      <c r="U7" s="409" t="n">
        <f aca="false">Таблица18[[#This Row],[Отход]]/Таблица18[[#This Row],[Вес нетто]]</f>
        <v>0.145004291845494</v>
      </c>
      <c r="V7" s="234" t="n">
        <f aca="false">MONTH(Таблица18[[#This Row],[Дата акта]])</f>
        <v>5</v>
      </c>
      <c r="W7" s="234" t="n">
        <v>29</v>
      </c>
      <c r="X7" s="248" t="n">
        <f aca="false">DATE(1900,Таблица18[[#This Row],[Месяц]],Таблица18[[#This Row],[Число]])</f>
        <v>150</v>
      </c>
      <c r="Y7" s="234"/>
      <c r="AF7" s="411"/>
      <c r="AG7" s="412"/>
    </row>
    <row r="8" s="410" customFormat="true" ht="15" hidden="true" customHeight="true" outlineLevel="0" collapsed="false">
      <c r="A8" s="199" t="s">
        <v>1445</v>
      </c>
      <c r="B8" s="199" t="s">
        <v>417</v>
      </c>
      <c r="C8" s="405" t="n">
        <v>88</v>
      </c>
      <c r="D8" s="406" t="n">
        <v>63310</v>
      </c>
      <c r="E8" s="199" t="s">
        <v>1432</v>
      </c>
      <c r="F8" s="199" t="s">
        <v>1446</v>
      </c>
      <c r="G8" s="199" t="s">
        <v>1447</v>
      </c>
      <c r="H8" s="199" t="s">
        <v>1434</v>
      </c>
      <c r="I8" s="199" t="s">
        <v>1434</v>
      </c>
      <c r="J8" s="199" t="s">
        <v>252</v>
      </c>
      <c r="K8" s="199" t="s">
        <v>1435</v>
      </c>
      <c r="L8" s="407" t="n">
        <v>26050</v>
      </c>
      <c r="M8" s="407" t="n">
        <v>14660</v>
      </c>
      <c r="N8" s="408" t="n">
        <v>10.5</v>
      </c>
      <c r="O8" s="407" t="n">
        <v>11390</v>
      </c>
      <c r="P8" s="407" t="n">
        <v>10194</v>
      </c>
      <c r="Q8" s="234" t="n">
        <v>2023</v>
      </c>
      <c r="R8" s="234"/>
      <c r="S8" s="248" t="n">
        <v>45075</v>
      </c>
      <c r="T8" s="407" t="n">
        <f aca="false">Таблица18[[#This Row],[Вес нетто]]-Таблица18[[#This Row],[Зачетный вес]]</f>
        <v>1196</v>
      </c>
      <c r="U8" s="409" t="n">
        <f aca="false">Таблица18[[#This Row],[Отход]]/Таблица18[[#This Row],[Вес нетто]]</f>
        <v>0.105004389815628</v>
      </c>
      <c r="V8" s="234" t="n">
        <f aca="false">MONTH(Таблица18[[#This Row],[Дата акта]])</f>
        <v>5</v>
      </c>
      <c r="W8" s="234" t="n">
        <v>29</v>
      </c>
      <c r="X8" s="248" t="n">
        <f aca="false">DATE(1900,Таблица18[[#This Row],[Месяц]],Таблица18[[#This Row],[Число]])</f>
        <v>150</v>
      </c>
      <c r="Y8" s="234"/>
      <c r="AF8" s="411"/>
      <c r="AG8" s="412"/>
    </row>
    <row r="9" s="410" customFormat="true" ht="15" hidden="true" customHeight="true" outlineLevel="0" collapsed="false">
      <c r="A9" s="199" t="s">
        <v>1448</v>
      </c>
      <c r="B9" s="199" t="s">
        <v>417</v>
      </c>
      <c r="C9" s="405" t="n">
        <v>90</v>
      </c>
      <c r="D9" s="406" t="n">
        <v>63311</v>
      </c>
      <c r="E9" s="199" t="s">
        <v>1432</v>
      </c>
      <c r="F9" s="199" t="s">
        <v>1449</v>
      </c>
      <c r="G9" s="199" t="s">
        <v>704</v>
      </c>
      <c r="H9" s="199" t="s">
        <v>1434</v>
      </c>
      <c r="I9" s="199" t="s">
        <v>1434</v>
      </c>
      <c r="J9" s="199" t="s">
        <v>252</v>
      </c>
      <c r="K9" s="199" t="s">
        <v>1435</v>
      </c>
      <c r="L9" s="407" t="n">
        <v>25730</v>
      </c>
      <c r="M9" s="407" t="n">
        <v>14550</v>
      </c>
      <c r="N9" s="408" t="n">
        <v>15.5</v>
      </c>
      <c r="O9" s="407" t="n">
        <v>11180</v>
      </c>
      <c r="P9" s="407" t="n">
        <v>9447.1</v>
      </c>
      <c r="Q9" s="234" t="n">
        <v>2023</v>
      </c>
      <c r="R9" s="234"/>
      <c r="S9" s="248" t="n">
        <v>45076</v>
      </c>
      <c r="T9" s="407" t="n">
        <f aca="false">Таблица18[[#This Row],[Вес нетто]]-Таблица18[[#This Row],[Зачетный вес]]</f>
        <v>1732.9</v>
      </c>
      <c r="U9" s="409" t="n">
        <f aca="false">Таблица18[[#This Row],[Отход]]/Таблица18[[#This Row],[Вес нетто]]</f>
        <v>0.155</v>
      </c>
      <c r="V9" s="234" t="n">
        <f aca="false">MONTH(Таблица18[[#This Row],[Дата акта]])</f>
        <v>5</v>
      </c>
      <c r="W9" s="234" t="n">
        <v>30</v>
      </c>
      <c r="X9" s="248" t="n">
        <f aca="false">DATE(1900,Таблица18[[#This Row],[Месяц]],Таблица18[[#This Row],[Число]])</f>
        <v>151</v>
      </c>
      <c r="Y9" s="234"/>
      <c r="AF9" s="411"/>
      <c r="AG9" s="412"/>
    </row>
    <row r="10" s="410" customFormat="true" ht="15" hidden="true" customHeight="true" outlineLevel="0" collapsed="false">
      <c r="A10" s="199" t="s">
        <v>1450</v>
      </c>
      <c r="B10" s="199" t="s">
        <v>417</v>
      </c>
      <c r="C10" s="405" t="n">
        <v>91</v>
      </c>
      <c r="D10" s="406" t="n">
        <v>63312</v>
      </c>
      <c r="E10" s="199" t="s">
        <v>1432</v>
      </c>
      <c r="F10" s="199" t="s">
        <v>367</v>
      </c>
      <c r="G10" s="199" t="s">
        <v>368</v>
      </c>
      <c r="H10" s="199" t="s">
        <v>1434</v>
      </c>
      <c r="I10" s="199" t="s">
        <v>1434</v>
      </c>
      <c r="J10" s="199" t="s">
        <v>252</v>
      </c>
      <c r="K10" s="199" t="s">
        <v>1435</v>
      </c>
      <c r="L10" s="407" t="n">
        <v>25450</v>
      </c>
      <c r="M10" s="407" t="n">
        <v>14300</v>
      </c>
      <c r="N10" s="408" t="n">
        <v>11.5</v>
      </c>
      <c r="O10" s="407" t="n">
        <v>11150</v>
      </c>
      <c r="P10" s="407" t="n">
        <v>9867.7</v>
      </c>
      <c r="Q10" s="234" t="n">
        <v>2023</v>
      </c>
      <c r="R10" s="234"/>
      <c r="S10" s="248" t="n">
        <v>45076</v>
      </c>
      <c r="T10" s="407" t="n">
        <f aca="false">Таблица18[[#This Row],[Вес нетто]]-Таблица18[[#This Row],[Зачетный вес]]</f>
        <v>1282.3</v>
      </c>
      <c r="U10" s="409" t="n">
        <f aca="false">Таблица18[[#This Row],[Отход]]/Таблица18[[#This Row],[Вес нетто]]</f>
        <v>0.115004484304933</v>
      </c>
      <c r="V10" s="234" t="n">
        <f aca="false">MONTH(Таблица18[[#This Row],[Дата акта]])</f>
        <v>5</v>
      </c>
      <c r="W10" s="234" t="n">
        <v>30</v>
      </c>
      <c r="X10" s="248" t="n">
        <f aca="false">DATE(1900,Таблица18[[#This Row],[Месяц]],Таблица18[[#This Row],[Число]])</f>
        <v>151</v>
      </c>
      <c r="Y10" s="234"/>
      <c r="AF10" s="411"/>
      <c r="AG10" s="412"/>
    </row>
    <row r="11" s="410" customFormat="true" ht="15" hidden="true" customHeight="true" outlineLevel="0" collapsed="false">
      <c r="A11" s="199" t="s">
        <v>1451</v>
      </c>
      <c r="B11" s="199" t="s">
        <v>417</v>
      </c>
      <c r="C11" s="405" t="n">
        <v>92</v>
      </c>
      <c r="D11" s="406" t="n">
        <v>63313</v>
      </c>
      <c r="E11" s="199" t="s">
        <v>1432</v>
      </c>
      <c r="F11" s="199" t="s">
        <v>1452</v>
      </c>
      <c r="G11" s="199" t="s">
        <v>370</v>
      </c>
      <c r="H11" s="199" t="s">
        <v>1434</v>
      </c>
      <c r="I11" s="199" t="s">
        <v>1434</v>
      </c>
      <c r="J11" s="199" t="s">
        <v>252</v>
      </c>
      <c r="K11" s="199" t="s">
        <v>1435</v>
      </c>
      <c r="L11" s="407" t="n">
        <v>24970</v>
      </c>
      <c r="M11" s="407" t="n">
        <v>13940</v>
      </c>
      <c r="N11" s="408" t="n">
        <v>13.5</v>
      </c>
      <c r="O11" s="407" t="n">
        <v>11030</v>
      </c>
      <c r="P11" s="407" t="n">
        <v>9540.9</v>
      </c>
      <c r="Q11" s="234" t="n">
        <v>2023</v>
      </c>
      <c r="R11" s="234"/>
      <c r="S11" s="248" t="n">
        <v>45076</v>
      </c>
      <c r="T11" s="407" t="n">
        <f aca="false">Таблица18[[#This Row],[Вес нетто]]-Таблица18[[#This Row],[Зачетный вес]]</f>
        <v>1489.1</v>
      </c>
      <c r="U11" s="409" t="n">
        <f aca="false">Таблица18[[#This Row],[Отход]]/Таблица18[[#This Row],[Вес нетто]]</f>
        <v>0.135004533091568</v>
      </c>
      <c r="V11" s="234" t="n">
        <f aca="false">MONTH(Таблица18[[#This Row],[Дата акта]])</f>
        <v>5</v>
      </c>
      <c r="W11" s="234" t="n">
        <v>30</v>
      </c>
      <c r="X11" s="248" t="n">
        <f aca="false">DATE(1900,Таблица18[[#This Row],[Месяц]],Таблица18[[#This Row],[Число]])</f>
        <v>151</v>
      </c>
      <c r="Y11" s="234"/>
      <c r="AF11" s="411"/>
      <c r="AG11" s="412"/>
    </row>
    <row r="12" s="410" customFormat="true" ht="15" hidden="true" customHeight="true" outlineLevel="0" collapsed="false">
      <c r="A12" s="199" t="s">
        <v>1453</v>
      </c>
      <c r="B12" s="199" t="s">
        <v>417</v>
      </c>
      <c r="C12" s="405" t="n">
        <v>93</v>
      </c>
      <c r="D12" s="406" t="n">
        <v>63314</v>
      </c>
      <c r="E12" s="199" t="s">
        <v>1432</v>
      </c>
      <c r="F12" s="199" t="s">
        <v>1454</v>
      </c>
      <c r="G12" s="199" t="s">
        <v>1455</v>
      </c>
      <c r="H12" s="199" t="s">
        <v>1434</v>
      </c>
      <c r="I12" s="199" t="s">
        <v>1434</v>
      </c>
      <c r="J12" s="199" t="s">
        <v>252</v>
      </c>
      <c r="K12" s="199" t="s">
        <v>1435</v>
      </c>
      <c r="L12" s="407" t="n">
        <v>25500</v>
      </c>
      <c r="M12" s="407" t="n">
        <v>14440</v>
      </c>
      <c r="N12" s="408" t="n">
        <v>13.5</v>
      </c>
      <c r="O12" s="407" t="n">
        <v>11060</v>
      </c>
      <c r="P12" s="407" t="n">
        <v>9566.9</v>
      </c>
      <c r="Q12" s="234" t="n">
        <v>2023</v>
      </c>
      <c r="R12" s="234"/>
      <c r="S12" s="248" t="n">
        <v>45076</v>
      </c>
      <c r="T12" s="407" t="n">
        <f aca="false">Таблица18[[#This Row],[Вес нетто]]-Таблица18[[#This Row],[Зачетный вес]]</f>
        <v>1493.1</v>
      </c>
      <c r="U12" s="409" t="n">
        <f aca="false">Таблица18[[#This Row],[Отход]]/Таблица18[[#This Row],[Вес нетто]]</f>
        <v>0.135</v>
      </c>
      <c r="V12" s="234" t="n">
        <f aca="false">MONTH(Таблица18[[#This Row],[Дата акта]])</f>
        <v>5</v>
      </c>
      <c r="W12" s="234" t="n">
        <v>30</v>
      </c>
      <c r="X12" s="248" t="n">
        <f aca="false">DATE(1900,Таблица18[[#This Row],[Месяц]],Таблица18[[#This Row],[Число]])</f>
        <v>151</v>
      </c>
      <c r="Y12" s="234"/>
      <c r="AF12" s="411"/>
      <c r="AG12" s="412"/>
    </row>
    <row r="13" s="410" customFormat="true" ht="15" hidden="true" customHeight="true" outlineLevel="0" collapsed="false">
      <c r="A13" s="199" t="s">
        <v>1456</v>
      </c>
      <c r="B13" s="199" t="s">
        <v>417</v>
      </c>
      <c r="C13" s="405" t="n">
        <v>94</v>
      </c>
      <c r="D13" s="406" t="n">
        <v>63315</v>
      </c>
      <c r="E13" s="199" t="s">
        <v>1432</v>
      </c>
      <c r="F13" s="199" t="s">
        <v>1457</v>
      </c>
      <c r="G13" s="199" t="s">
        <v>1440</v>
      </c>
      <c r="H13" s="199" t="s">
        <v>1434</v>
      </c>
      <c r="I13" s="199" t="s">
        <v>1434</v>
      </c>
      <c r="J13" s="199" t="s">
        <v>252</v>
      </c>
      <c r="K13" s="199" t="s">
        <v>1435</v>
      </c>
      <c r="L13" s="407" t="n">
        <v>24630</v>
      </c>
      <c r="M13" s="407" t="n">
        <v>13410</v>
      </c>
      <c r="N13" s="408" t="n">
        <v>12.5</v>
      </c>
      <c r="O13" s="407" t="n">
        <v>11220</v>
      </c>
      <c r="P13" s="407" t="n">
        <v>9817.5</v>
      </c>
      <c r="Q13" s="234" t="n">
        <v>2023</v>
      </c>
      <c r="R13" s="234"/>
      <c r="S13" s="248" t="n">
        <v>45076</v>
      </c>
      <c r="T13" s="407" t="n">
        <f aca="false">Таблица18[[#This Row],[Вес нетто]]-Таблица18[[#This Row],[Зачетный вес]]</f>
        <v>1402.5</v>
      </c>
      <c r="U13" s="409" t="n">
        <f aca="false">Таблица18[[#This Row],[Отход]]/Таблица18[[#This Row],[Вес нетто]]</f>
        <v>0.125</v>
      </c>
      <c r="V13" s="234" t="n">
        <f aca="false">MONTH(Таблица18[[#This Row],[Дата акта]])</f>
        <v>5</v>
      </c>
      <c r="W13" s="234" t="n">
        <v>30</v>
      </c>
      <c r="X13" s="248" t="n">
        <f aca="false">DATE(1900,Таблица18[[#This Row],[Месяц]],Таблица18[[#This Row],[Число]])</f>
        <v>151</v>
      </c>
      <c r="Y13" s="234"/>
      <c r="AF13" s="411"/>
      <c r="AG13" s="412"/>
    </row>
    <row r="14" s="410" customFormat="true" ht="15" hidden="true" customHeight="true" outlineLevel="0" collapsed="false">
      <c r="A14" s="199" t="s">
        <v>1458</v>
      </c>
      <c r="B14" s="199" t="s">
        <v>417</v>
      </c>
      <c r="C14" s="405" t="n">
        <v>95</v>
      </c>
      <c r="D14" s="406" t="n">
        <v>63316</v>
      </c>
      <c r="E14" s="199" t="s">
        <v>1432</v>
      </c>
      <c r="F14" s="199" t="s">
        <v>371</v>
      </c>
      <c r="G14" s="199" t="s">
        <v>372</v>
      </c>
      <c r="H14" s="199" t="s">
        <v>1434</v>
      </c>
      <c r="I14" s="199" t="s">
        <v>1434</v>
      </c>
      <c r="J14" s="199" t="s">
        <v>252</v>
      </c>
      <c r="K14" s="199" t="s">
        <v>1435</v>
      </c>
      <c r="L14" s="407" t="n">
        <v>28330</v>
      </c>
      <c r="M14" s="407" t="n">
        <v>15050</v>
      </c>
      <c r="N14" s="408" t="n">
        <v>14.5</v>
      </c>
      <c r="O14" s="407" t="n">
        <v>13280</v>
      </c>
      <c r="P14" s="407" t="n">
        <v>11354.4</v>
      </c>
      <c r="Q14" s="234" t="n">
        <v>2023</v>
      </c>
      <c r="R14" s="234"/>
      <c r="S14" s="248" t="n">
        <v>45076</v>
      </c>
      <c r="T14" s="407" t="n">
        <f aca="false">Таблица18[[#This Row],[Вес нетто]]-Таблица18[[#This Row],[Зачетный вес]]</f>
        <v>1925.6</v>
      </c>
      <c r="U14" s="409" t="n">
        <f aca="false">Таблица18[[#This Row],[Отход]]/Таблица18[[#This Row],[Вес нетто]]</f>
        <v>0.145</v>
      </c>
      <c r="V14" s="234" t="n">
        <f aca="false">MONTH(Таблица18[[#This Row],[Дата акта]])</f>
        <v>5</v>
      </c>
      <c r="W14" s="234" t="n">
        <v>30</v>
      </c>
      <c r="X14" s="248" t="n">
        <f aca="false">DATE(1900,Таблица18[[#This Row],[Месяц]],Таблица18[[#This Row],[Число]])</f>
        <v>151</v>
      </c>
      <c r="Y14" s="234"/>
      <c r="AF14" s="411"/>
      <c r="AG14" s="412"/>
    </row>
    <row r="15" s="410" customFormat="true" ht="15" hidden="true" customHeight="true" outlineLevel="0" collapsed="false">
      <c r="A15" s="199" t="s">
        <v>1459</v>
      </c>
      <c r="B15" s="199" t="s">
        <v>417</v>
      </c>
      <c r="C15" s="405" t="n">
        <v>97</v>
      </c>
      <c r="D15" s="406" t="n">
        <v>63318</v>
      </c>
      <c r="E15" s="199" t="s">
        <v>1432</v>
      </c>
      <c r="F15" s="199" t="s">
        <v>1460</v>
      </c>
      <c r="G15" s="199" t="s">
        <v>1444</v>
      </c>
      <c r="H15" s="199" t="s">
        <v>1434</v>
      </c>
      <c r="I15" s="199" t="s">
        <v>1434</v>
      </c>
      <c r="J15" s="199" t="s">
        <v>252</v>
      </c>
      <c r="K15" s="199" t="s">
        <v>1435</v>
      </c>
      <c r="L15" s="407" t="n">
        <v>29420</v>
      </c>
      <c r="M15" s="407" t="n">
        <v>15720</v>
      </c>
      <c r="N15" s="408" t="n">
        <v>16.5</v>
      </c>
      <c r="O15" s="407" t="n">
        <v>13700</v>
      </c>
      <c r="P15" s="407" t="n">
        <v>11439.5</v>
      </c>
      <c r="Q15" s="234" t="n">
        <v>2023</v>
      </c>
      <c r="R15" s="234"/>
      <c r="S15" s="248" t="n">
        <v>45076</v>
      </c>
      <c r="T15" s="407" t="n">
        <f aca="false">Таблица18[[#This Row],[Вес нетто]]-Таблица18[[#This Row],[Зачетный вес]]</f>
        <v>2260.5</v>
      </c>
      <c r="U15" s="409" t="n">
        <f aca="false">Таблица18[[#This Row],[Отход]]/Таблица18[[#This Row],[Вес нетто]]</f>
        <v>0.165</v>
      </c>
      <c r="V15" s="234" t="n">
        <f aca="false">MONTH(Таблица18[[#This Row],[Дата акта]])</f>
        <v>5</v>
      </c>
      <c r="W15" s="234" t="n">
        <v>30</v>
      </c>
      <c r="X15" s="248" t="n">
        <f aca="false">DATE(1900,Таблица18[[#This Row],[Месяц]],Таблица18[[#This Row],[Число]])</f>
        <v>151</v>
      </c>
      <c r="Y15" s="234"/>
      <c r="AF15" s="411"/>
      <c r="AG15" s="412"/>
    </row>
    <row r="16" s="410" customFormat="true" ht="15" hidden="true" customHeight="true" outlineLevel="0" collapsed="false">
      <c r="A16" s="199" t="s">
        <v>1461</v>
      </c>
      <c r="B16" s="199" t="s">
        <v>417</v>
      </c>
      <c r="C16" s="405" t="n">
        <v>99</v>
      </c>
      <c r="D16" s="406" t="n">
        <v>63319</v>
      </c>
      <c r="E16" s="199" t="s">
        <v>1432</v>
      </c>
      <c r="F16" s="199" t="s">
        <v>1433</v>
      </c>
      <c r="G16" s="199" t="s">
        <v>377</v>
      </c>
      <c r="H16" s="199" t="s">
        <v>1434</v>
      </c>
      <c r="I16" s="199" t="s">
        <v>1434</v>
      </c>
      <c r="J16" s="199" t="s">
        <v>252</v>
      </c>
      <c r="K16" s="199" t="s">
        <v>1435</v>
      </c>
      <c r="L16" s="407" t="n">
        <v>27910</v>
      </c>
      <c r="M16" s="407" t="n">
        <v>14480</v>
      </c>
      <c r="N16" s="408" t="n">
        <v>17.5</v>
      </c>
      <c r="O16" s="407" t="n">
        <v>13430</v>
      </c>
      <c r="P16" s="407" t="n">
        <v>11079.7</v>
      </c>
      <c r="Q16" s="234" t="n">
        <v>2023</v>
      </c>
      <c r="R16" s="234"/>
      <c r="S16" s="248" t="n">
        <v>45076</v>
      </c>
      <c r="T16" s="407" t="n">
        <f aca="false">Таблица18[[#This Row],[Вес нетто]]-Таблица18[[#This Row],[Зачетный вес]]</f>
        <v>2350.3</v>
      </c>
      <c r="U16" s="409" t="n">
        <f aca="false">Таблица18[[#This Row],[Отход]]/Таблица18[[#This Row],[Вес нетто]]</f>
        <v>0.175003723008191</v>
      </c>
      <c r="V16" s="234" t="n">
        <f aca="false">MONTH(Таблица18[[#This Row],[Дата акта]])</f>
        <v>5</v>
      </c>
      <c r="W16" s="234" t="n">
        <v>30</v>
      </c>
      <c r="X16" s="248" t="n">
        <f aca="false">DATE(1900,Таблица18[[#This Row],[Месяц]],Таблица18[[#This Row],[Число]])</f>
        <v>151</v>
      </c>
      <c r="Y16" s="234"/>
      <c r="AF16" s="411"/>
      <c r="AG16" s="412"/>
    </row>
    <row r="17" s="410" customFormat="true" ht="15" hidden="true" customHeight="true" outlineLevel="0" collapsed="false">
      <c r="A17" s="199" t="s">
        <v>1462</v>
      </c>
      <c r="B17" s="199" t="s">
        <v>417</v>
      </c>
      <c r="C17" s="405" t="n">
        <v>100</v>
      </c>
      <c r="D17" s="406" t="n">
        <v>63320</v>
      </c>
      <c r="E17" s="199" t="s">
        <v>1432</v>
      </c>
      <c r="F17" s="199" t="s">
        <v>380</v>
      </c>
      <c r="G17" s="199" t="s">
        <v>381</v>
      </c>
      <c r="H17" s="199" t="s">
        <v>1434</v>
      </c>
      <c r="I17" s="199" t="s">
        <v>1434</v>
      </c>
      <c r="J17" s="199" t="s">
        <v>252</v>
      </c>
      <c r="K17" s="199" t="s">
        <v>1435</v>
      </c>
      <c r="L17" s="407" t="n">
        <v>27730</v>
      </c>
      <c r="M17" s="407" t="n">
        <v>14370</v>
      </c>
      <c r="N17" s="408" t="n">
        <v>18.5</v>
      </c>
      <c r="O17" s="407" t="n">
        <v>13360</v>
      </c>
      <c r="P17" s="407" t="n">
        <v>10888.4</v>
      </c>
      <c r="Q17" s="234" t="n">
        <v>2023</v>
      </c>
      <c r="R17" s="234"/>
      <c r="S17" s="248" t="n">
        <v>45076</v>
      </c>
      <c r="T17" s="407" t="n">
        <f aca="false">Таблица18[[#This Row],[Вес нетто]]-Таблица18[[#This Row],[Зачетный вес]]</f>
        <v>2471.6</v>
      </c>
      <c r="U17" s="409" t="n">
        <f aca="false">Таблица18[[#This Row],[Отход]]/Таблица18[[#This Row],[Вес нетто]]</f>
        <v>0.185</v>
      </c>
      <c r="V17" s="234" t="n">
        <f aca="false">MONTH(Таблица18[[#This Row],[Дата акта]])</f>
        <v>5</v>
      </c>
      <c r="W17" s="234" t="n">
        <v>30</v>
      </c>
      <c r="X17" s="248" t="n">
        <f aca="false">DATE(1900,Таблица18[[#This Row],[Месяц]],Таблица18[[#This Row],[Число]])</f>
        <v>151</v>
      </c>
      <c r="Y17" s="234"/>
      <c r="AF17" s="411"/>
      <c r="AG17" s="412"/>
    </row>
    <row r="18" s="410" customFormat="true" ht="15" hidden="true" customHeight="true" outlineLevel="0" collapsed="false">
      <c r="A18" s="199" t="s">
        <v>1463</v>
      </c>
      <c r="B18" s="199" t="s">
        <v>417</v>
      </c>
      <c r="C18" s="405" t="n">
        <v>101</v>
      </c>
      <c r="D18" s="406" t="n">
        <v>63322</v>
      </c>
      <c r="E18" s="199" t="s">
        <v>1432</v>
      </c>
      <c r="F18" s="199" t="s">
        <v>1464</v>
      </c>
      <c r="G18" s="199" t="s">
        <v>1447</v>
      </c>
      <c r="H18" s="199" t="s">
        <v>1434</v>
      </c>
      <c r="I18" s="199" t="s">
        <v>1434</v>
      </c>
      <c r="J18" s="199" t="s">
        <v>252</v>
      </c>
      <c r="K18" s="199" t="s">
        <v>1435</v>
      </c>
      <c r="L18" s="407" t="n">
        <v>28350</v>
      </c>
      <c r="M18" s="407" t="n">
        <v>14730</v>
      </c>
      <c r="N18" s="408" t="n">
        <v>10.5</v>
      </c>
      <c r="O18" s="407" t="n">
        <v>13620</v>
      </c>
      <c r="P18" s="407" t="n">
        <v>12189.9</v>
      </c>
      <c r="Q18" s="234" t="n">
        <v>2023</v>
      </c>
      <c r="R18" s="234"/>
      <c r="S18" s="248" t="n">
        <v>45077</v>
      </c>
      <c r="T18" s="407" t="n">
        <f aca="false">Таблица18[[#This Row],[Вес нетто]]-Таблица18[[#This Row],[Зачетный вес]]</f>
        <v>1430.1</v>
      </c>
      <c r="U18" s="409" t="n">
        <f aca="false">Таблица18[[#This Row],[Отход]]/Таблица18[[#This Row],[Вес нетто]]</f>
        <v>0.105</v>
      </c>
      <c r="V18" s="234" t="n">
        <f aca="false">MONTH(Таблица18[[#This Row],[Дата акта]])</f>
        <v>5</v>
      </c>
      <c r="W18" s="234" t="n">
        <v>31</v>
      </c>
      <c r="X18" s="248" t="n">
        <f aca="false">DATE(1900,Таблица18[[#This Row],[Месяц]],Таблица18[[#This Row],[Число]])</f>
        <v>152</v>
      </c>
      <c r="Y18" s="234"/>
      <c r="AF18" s="411"/>
      <c r="AG18" s="412"/>
    </row>
    <row r="19" s="410" customFormat="true" ht="15" hidden="true" customHeight="true" outlineLevel="0" collapsed="false">
      <c r="A19" s="199" t="s">
        <v>1465</v>
      </c>
      <c r="B19" s="199" t="s">
        <v>417</v>
      </c>
      <c r="C19" s="405" t="n">
        <v>102</v>
      </c>
      <c r="D19" s="413" t="n">
        <v>63321</v>
      </c>
      <c r="E19" s="199" t="s">
        <v>1432</v>
      </c>
      <c r="F19" s="199" t="s">
        <v>1449</v>
      </c>
      <c r="G19" s="199" t="s">
        <v>704</v>
      </c>
      <c r="H19" s="199" t="s">
        <v>1434</v>
      </c>
      <c r="I19" s="199" t="s">
        <v>1434</v>
      </c>
      <c r="J19" s="199" t="s">
        <v>252</v>
      </c>
      <c r="K19" s="199" t="s">
        <v>1435</v>
      </c>
      <c r="L19" s="407" t="n">
        <v>28210</v>
      </c>
      <c r="M19" s="407" t="n">
        <v>14530</v>
      </c>
      <c r="N19" s="408" t="n">
        <v>13.5</v>
      </c>
      <c r="O19" s="407" t="n">
        <v>13680</v>
      </c>
      <c r="P19" s="407" t="n">
        <v>11833.2</v>
      </c>
      <c r="Q19" s="234" t="n">
        <v>2023</v>
      </c>
      <c r="R19" s="234"/>
      <c r="S19" s="248" t="n">
        <v>45077</v>
      </c>
      <c r="T19" s="407" t="n">
        <f aca="false">Таблица18[[#This Row],[Вес нетто]]-Таблица18[[#This Row],[Зачетный вес]]</f>
        <v>1846.8</v>
      </c>
      <c r="U19" s="409" t="n">
        <f aca="false">Таблица18[[#This Row],[Отход]]/Таблица18[[#This Row],[Вес нетто]]</f>
        <v>0.135</v>
      </c>
      <c r="V19" s="234" t="n">
        <f aca="false">MONTH(Таблица18[[#This Row],[Дата акта]])</f>
        <v>5</v>
      </c>
      <c r="W19" s="234" t="n">
        <v>31</v>
      </c>
      <c r="X19" s="248" t="n">
        <f aca="false">DATE(1900,Таблица18[[#This Row],[Месяц]],Таблица18[[#This Row],[Число]])</f>
        <v>152</v>
      </c>
      <c r="Y19" s="234"/>
      <c r="AF19" s="411"/>
      <c r="AG19" s="412"/>
    </row>
    <row r="20" s="410" customFormat="true" ht="15" hidden="true" customHeight="true" outlineLevel="0" collapsed="false">
      <c r="A20" s="199" t="s">
        <v>1466</v>
      </c>
      <c r="B20" s="199" t="s">
        <v>417</v>
      </c>
      <c r="C20" s="405" t="n">
        <v>105</v>
      </c>
      <c r="D20" s="413" t="n">
        <v>63323</v>
      </c>
      <c r="E20" s="199" t="s">
        <v>1432</v>
      </c>
      <c r="F20" s="199" t="s">
        <v>1467</v>
      </c>
      <c r="G20" s="199" t="s">
        <v>49</v>
      </c>
      <c r="H20" s="199" t="s">
        <v>1434</v>
      </c>
      <c r="I20" s="199" t="s">
        <v>1434</v>
      </c>
      <c r="J20" s="199" t="s">
        <v>252</v>
      </c>
      <c r="K20" s="199" t="s">
        <v>1435</v>
      </c>
      <c r="L20" s="407" t="n">
        <v>28620</v>
      </c>
      <c r="M20" s="407" t="n">
        <v>14920</v>
      </c>
      <c r="N20" s="408" t="n">
        <v>13.5</v>
      </c>
      <c r="O20" s="407" t="n">
        <v>13700</v>
      </c>
      <c r="P20" s="407" t="n">
        <v>11850.5</v>
      </c>
      <c r="Q20" s="234" t="n">
        <v>2023</v>
      </c>
      <c r="R20" s="234"/>
      <c r="S20" s="248" t="n">
        <v>45077</v>
      </c>
      <c r="T20" s="407" t="n">
        <f aca="false">Таблица18[[#This Row],[Вес нетто]]-Таблица18[[#This Row],[Зачетный вес]]</f>
        <v>1849.5</v>
      </c>
      <c r="U20" s="409" t="n">
        <f aca="false">Таблица18[[#This Row],[Отход]]/Таблица18[[#This Row],[Вес нетто]]</f>
        <v>0.135</v>
      </c>
      <c r="V20" s="234" t="n">
        <f aca="false">MONTH(Таблица18[[#This Row],[Дата акта]])</f>
        <v>5</v>
      </c>
      <c r="W20" s="234" t="n">
        <v>31</v>
      </c>
      <c r="X20" s="248" t="n">
        <f aca="false">DATE(1900,Таблица18[[#This Row],[Месяц]],Таблица18[[#This Row],[Число]])</f>
        <v>152</v>
      </c>
      <c r="Y20" s="234"/>
      <c r="AF20" s="411"/>
      <c r="AG20" s="412"/>
    </row>
    <row r="21" s="410" customFormat="true" ht="15" hidden="true" customHeight="true" outlineLevel="0" collapsed="false">
      <c r="A21" s="199" t="s">
        <v>1468</v>
      </c>
      <c r="B21" s="199" t="s">
        <v>417</v>
      </c>
      <c r="C21" s="405" t="n">
        <v>106</v>
      </c>
      <c r="D21" s="413" t="n">
        <v>63326</v>
      </c>
      <c r="E21" s="199" t="s">
        <v>1432</v>
      </c>
      <c r="F21" s="199" t="s">
        <v>55</v>
      </c>
      <c r="G21" s="199" t="s">
        <v>56</v>
      </c>
      <c r="H21" s="199" t="s">
        <v>1434</v>
      </c>
      <c r="I21" s="199" t="s">
        <v>1434</v>
      </c>
      <c r="J21" s="199" t="s">
        <v>252</v>
      </c>
      <c r="K21" s="199" t="s">
        <v>1435</v>
      </c>
      <c r="L21" s="407" t="n">
        <v>27960</v>
      </c>
      <c r="M21" s="407" t="n">
        <v>14470</v>
      </c>
      <c r="N21" s="408" t="n">
        <v>12.5</v>
      </c>
      <c r="O21" s="407" t="n">
        <v>13490</v>
      </c>
      <c r="P21" s="407" t="n">
        <v>11803.7</v>
      </c>
      <c r="Q21" s="234" t="n">
        <v>2023</v>
      </c>
      <c r="R21" s="234"/>
      <c r="S21" s="248" t="n">
        <v>45077</v>
      </c>
      <c r="T21" s="407" t="n">
        <f aca="false">Таблица18[[#This Row],[Вес нетто]]-Таблица18[[#This Row],[Зачетный вес]]</f>
        <v>1686.3</v>
      </c>
      <c r="U21" s="409" t="n">
        <f aca="false">Таблица18[[#This Row],[Отход]]/Таблица18[[#This Row],[Вес нетто]]</f>
        <v>0.125003706449222</v>
      </c>
      <c r="V21" s="234" t="n">
        <f aca="false">MONTH(Таблица18[[#This Row],[Дата акта]])</f>
        <v>5</v>
      </c>
      <c r="W21" s="234" t="n">
        <v>31</v>
      </c>
      <c r="X21" s="248" t="n">
        <f aca="false">DATE(1900,Таблица18[[#This Row],[Месяц]],Таблица18[[#This Row],[Число]])</f>
        <v>152</v>
      </c>
      <c r="Y21" s="234"/>
      <c r="AF21" s="411"/>
      <c r="AG21" s="412"/>
    </row>
    <row r="22" s="410" customFormat="true" ht="15" hidden="true" customHeight="true" outlineLevel="0" collapsed="false">
      <c r="A22" s="199" t="s">
        <v>1469</v>
      </c>
      <c r="B22" s="199" t="s">
        <v>417</v>
      </c>
      <c r="C22" s="405" t="n">
        <v>107</v>
      </c>
      <c r="D22" s="413" t="n">
        <v>63329</v>
      </c>
      <c r="E22" s="199" t="s">
        <v>1432</v>
      </c>
      <c r="F22" s="199" t="s">
        <v>371</v>
      </c>
      <c r="G22" s="199" t="s">
        <v>372</v>
      </c>
      <c r="H22" s="199" t="s">
        <v>1434</v>
      </c>
      <c r="I22" s="199" t="s">
        <v>1434</v>
      </c>
      <c r="J22" s="199" t="s">
        <v>252</v>
      </c>
      <c r="K22" s="199" t="s">
        <v>1435</v>
      </c>
      <c r="L22" s="407" t="n">
        <v>28620</v>
      </c>
      <c r="M22" s="407" t="n">
        <v>15060</v>
      </c>
      <c r="N22" s="408" t="n">
        <v>14.5</v>
      </c>
      <c r="O22" s="407" t="n">
        <v>13560</v>
      </c>
      <c r="P22" s="407" t="n">
        <v>11593.8</v>
      </c>
      <c r="Q22" s="234" t="n">
        <v>2023</v>
      </c>
      <c r="R22" s="234"/>
      <c r="S22" s="248" t="n">
        <v>45077</v>
      </c>
      <c r="T22" s="407" t="n">
        <f aca="false">Таблица18[[#This Row],[Вес нетто]]-Таблица18[[#This Row],[Зачетный вес]]</f>
        <v>1966.2</v>
      </c>
      <c r="U22" s="409" t="n">
        <f aca="false">Таблица18[[#This Row],[Отход]]/Таблица18[[#This Row],[Вес нетто]]</f>
        <v>0.145</v>
      </c>
      <c r="V22" s="234" t="n">
        <f aca="false">MONTH(Таблица18[[#This Row],[Дата акта]])</f>
        <v>5</v>
      </c>
      <c r="W22" s="234" t="n">
        <v>31</v>
      </c>
      <c r="X22" s="248" t="n">
        <f aca="false">DATE(1900,Таблица18[[#This Row],[Месяц]],Таблица18[[#This Row],[Число]])</f>
        <v>152</v>
      </c>
      <c r="Y22" s="234"/>
      <c r="AF22" s="411"/>
      <c r="AG22" s="412"/>
    </row>
    <row r="23" s="410" customFormat="true" ht="15" hidden="true" customHeight="true" outlineLevel="0" collapsed="false">
      <c r="A23" s="199" t="s">
        <v>1470</v>
      </c>
      <c r="B23" s="199" t="s">
        <v>417</v>
      </c>
      <c r="C23" s="405" t="n">
        <v>109</v>
      </c>
      <c r="D23" s="406" t="n">
        <v>63330</v>
      </c>
      <c r="E23" s="199" t="s">
        <v>1432</v>
      </c>
      <c r="F23" s="199" t="s">
        <v>1471</v>
      </c>
      <c r="G23" s="199" t="s">
        <v>1444</v>
      </c>
      <c r="H23" s="199" t="s">
        <v>1434</v>
      </c>
      <c r="I23" s="199" t="s">
        <v>1434</v>
      </c>
      <c r="J23" s="199" t="s">
        <v>252</v>
      </c>
      <c r="K23" s="199" t="s">
        <v>1435</v>
      </c>
      <c r="L23" s="407" t="n">
        <v>29520</v>
      </c>
      <c r="M23" s="407" t="n">
        <v>15810</v>
      </c>
      <c r="N23" s="408" t="n">
        <v>15.5</v>
      </c>
      <c r="O23" s="407" t="n">
        <v>13710</v>
      </c>
      <c r="P23" s="407" t="n">
        <v>11584.9</v>
      </c>
      <c r="Q23" s="234" t="n">
        <v>2023</v>
      </c>
      <c r="R23" s="234"/>
      <c r="S23" s="248" t="n">
        <v>45078</v>
      </c>
      <c r="T23" s="407" t="n">
        <f aca="false">Таблица18[[#This Row],[Вес нетто]]-Таблица18[[#This Row],[Зачетный вес]]</f>
        <v>2125.1</v>
      </c>
      <c r="U23" s="409" t="n">
        <f aca="false">Таблица18[[#This Row],[Отход]]/Таблица18[[#This Row],[Вес нетто]]</f>
        <v>0.155003646973012</v>
      </c>
      <c r="V23" s="234" t="n">
        <f aca="false">MONTH(Таблица18[[#This Row],[Дата акта]])</f>
        <v>6</v>
      </c>
      <c r="W23" s="234" t="n">
        <v>1</v>
      </c>
      <c r="X23" s="248" t="n">
        <f aca="false">DATE(1900,Таблица18[[#This Row],[Месяц]],Таблица18[[#This Row],[Число]])</f>
        <v>153</v>
      </c>
      <c r="Y23" s="234"/>
      <c r="AF23" s="411"/>
      <c r="AG23" s="412"/>
    </row>
    <row r="24" s="410" customFormat="true" ht="15" hidden="true" customHeight="true" outlineLevel="0" collapsed="false">
      <c r="A24" s="199" t="s">
        <v>1472</v>
      </c>
      <c r="B24" s="199" t="s">
        <v>417</v>
      </c>
      <c r="C24" s="405" t="n">
        <v>111</v>
      </c>
      <c r="D24" s="406" t="n">
        <v>63331</v>
      </c>
      <c r="E24" s="199" t="s">
        <v>1432</v>
      </c>
      <c r="F24" s="199" t="s">
        <v>1439</v>
      </c>
      <c r="G24" s="199" t="s">
        <v>1440</v>
      </c>
      <c r="H24" s="199" t="s">
        <v>1434</v>
      </c>
      <c r="I24" s="199" t="s">
        <v>1434</v>
      </c>
      <c r="J24" s="199" t="s">
        <v>252</v>
      </c>
      <c r="K24" s="199" t="s">
        <v>1435</v>
      </c>
      <c r="L24" s="407" t="n">
        <v>26980</v>
      </c>
      <c r="M24" s="407" t="n">
        <v>13390</v>
      </c>
      <c r="N24" s="408" t="n">
        <v>15.5</v>
      </c>
      <c r="O24" s="407" t="n">
        <v>13590</v>
      </c>
      <c r="P24" s="407" t="n">
        <v>11483.5</v>
      </c>
      <c r="Q24" s="234" t="n">
        <v>2023</v>
      </c>
      <c r="R24" s="234"/>
      <c r="S24" s="248" t="n">
        <v>45078</v>
      </c>
      <c r="T24" s="407" t="n">
        <f aca="false">Таблица18[[#This Row],[Вес нетто]]-Таблица18[[#This Row],[Зачетный вес]]</f>
        <v>2106.5</v>
      </c>
      <c r="U24" s="409" t="n">
        <f aca="false">Таблица18[[#This Row],[Отход]]/Таблица18[[#This Row],[Вес нетто]]</f>
        <v>0.155003679175865</v>
      </c>
      <c r="V24" s="234" t="n">
        <f aca="false">MONTH(Таблица18[[#This Row],[Дата акта]])</f>
        <v>6</v>
      </c>
      <c r="W24" s="234" t="n">
        <v>1</v>
      </c>
      <c r="X24" s="248" t="n">
        <f aca="false">DATE(1900,Таблица18[[#This Row],[Месяц]],Таблица18[[#This Row],[Число]])</f>
        <v>153</v>
      </c>
      <c r="Y24" s="234"/>
      <c r="AF24" s="411"/>
      <c r="AG24" s="412"/>
    </row>
    <row r="25" s="410" customFormat="true" ht="15" hidden="true" customHeight="true" outlineLevel="0" collapsed="false">
      <c r="A25" s="199" t="s">
        <v>1473</v>
      </c>
      <c r="B25" s="199" t="s">
        <v>417</v>
      </c>
      <c r="C25" s="405" t="n">
        <v>112</v>
      </c>
      <c r="D25" s="406" t="n">
        <v>63332</v>
      </c>
      <c r="E25" s="199" t="s">
        <v>1432</v>
      </c>
      <c r="F25" s="199" t="s">
        <v>1474</v>
      </c>
      <c r="G25" s="199" t="s">
        <v>370</v>
      </c>
      <c r="H25" s="199" t="s">
        <v>1434</v>
      </c>
      <c r="I25" s="199" t="s">
        <v>1434</v>
      </c>
      <c r="J25" s="199" t="s">
        <v>252</v>
      </c>
      <c r="K25" s="199" t="s">
        <v>1435</v>
      </c>
      <c r="L25" s="407" t="n">
        <v>27360</v>
      </c>
      <c r="M25" s="407" t="n">
        <v>13940</v>
      </c>
      <c r="N25" s="408" t="n">
        <v>14.5</v>
      </c>
      <c r="O25" s="407" t="n">
        <v>13420</v>
      </c>
      <c r="P25" s="407" t="n">
        <v>11474.1</v>
      </c>
      <c r="Q25" s="234" t="n">
        <v>2023</v>
      </c>
      <c r="R25" s="234"/>
      <c r="S25" s="248" t="n">
        <v>45078</v>
      </c>
      <c r="T25" s="407" t="n">
        <f aca="false">Таблица18[[#This Row],[Вес нетто]]-Таблица18[[#This Row],[Зачетный вес]]</f>
        <v>1945.9</v>
      </c>
      <c r="U25" s="409" t="n">
        <f aca="false">Таблица18[[#This Row],[Отход]]/Таблица18[[#This Row],[Вес нетто]]</f>
        <v>0.145</v>
      </c>
      <c r="V25" s="234" t="n">
        <f aca="false">MONTH(Таблица18[[#This Row],[Дата акта]])</f>
        <v>6</v>
      </c>
      <c r="W25" s="234" t="n">
        <v>1</v>
      </c>
      <c r="X25" s="248" t="n">
        <f aca="false">DATE(1900,Таблица18[[#This Row],[Месяц]],Таблица18[[#This Row],[Число]])</f>
        <v>153</v>
      </c>
      <c r="Y25" s="234"/>
      <c r="AF25" s="411"/>
      <c r="AG25" s="412"/>
    </row>
    <row r="26" s="410" customFormat="true" ht="15" hidden="true" customHeight="true" outlineLevel="0" collapsed="false">
      <c r="A26" s="199" t="s">
        <v>1475</v>
      </c>
      <c r="B26" s="199" t="s">
        <v>417</v>
      </c>
      <c r="C26" s="405" t="n">
        <v>113</v>
      </c>
      <c r="D26" s="406" t="n">
        <v>63333</v>
      </c>
      <c r="E26" s="199" t="s">
        <v>1432</v>
      </c>
      <c r="F26" s="199" t="s">
        <v>1476</v>
      </c>
      <c r="G26" s="199" t="s">
        <v>368</v>
      </c>
      <c r="H26" s="199" t="s">
        <v>1434</v>
      </c>
      <c r="I26" s="199" t="s">
        <v>1434</v>
      </c>
      <c r="J26" s="199" t="s">
        <v>252</v>
      </c>
      <c r="K26" s="199" t="s">
        <v>1435</v>
      </c>
      <c r="L26" s="407" t="n">
        <v>27610</v>
      </c>
      <c r="M26" s="407" t="n">
        <v>14270</v>
      </c>
      <c r="N26" s="408" t="n">
        <v>14.5</v>
      </c>
      <c r="O26" s="407" t="n">
        <v>13340</v>
      </c>
      <c r="P26" s="407" t="n">
        <v>11405.7</v>
      </c>
      <c r="Q26" s="234" t="n">
        <v>2023</v>
      </c>
      <c r="R26" s="234"/>
      <c r="S26" s="248" t="n">
        <v>45078</v>
      </c>
      <c r="T26" s="407" t="n">
        <f aca="false">Таблица18[[#This Row],[Вес нетто]]-Таблица18[[#This Row],[Зачетный вес]]</f>
        <v>1934.3</v>
      </c>
      <c r="U26" s="409" t="n">
        <f aca="false">Таблица18[[#This Row],[Отход]]/Таблица18[[#This Row],[Вес нетто]]</f>
        <v>0.145</v>
      </c>
      <c r="V26" s="234" t="n">
        <f aca="false">MONTH(Таблица18[[#This Row],[Дата акта]])</f>
        <v>6</v>
      </c>
      <c r="W26" s="234" t="n">
        <v>1</v>
      </c>
      <c r="X26" s="248" t="n">
        <f aca="false">DATE(1900,Таблица18[[#This Row],[Месяц]],Таблица18[[#This Row],[Число]])</f>
        <v>153</v>
      </c>
      <c r="Y26" s="234"/>
      <c r="AF26" s="411"/>
      <c r="AG26" s="412"/>
    </row>
    <row r="27" s="410" customFormat="true" ht="15" hidden="true" customHeight="true" outlineLevel="0" collapsed="false">
      <c r="A27" s="199" t="s">
        <v>1477</v>
      </c>
      <c r="B27" s="199" t="s">
        <v>417</v>
      </c>
      <c r="C27" s="405" t="n">
        <v>114</v>
      </c>
      <c r="D27" s="406" t="n">
        <v>63334</v>
      </c>
      <c r="E27" s="199" t="s">
        <v>1432</v>
      </c>
      <c r="F27" s="199" t="s">
        <v>1476</v>
      </c>
      <c r="G27" s="199" t="s">
        <v>1478</v>
      </c>
      <c r="H27" s="199" t="s">
        <v>1434</v>
      </c>
      <c r="I27" s="199" t="s">
        <v>1434</v>
      </c>
      <c r="J27" s="199" t="s">
        <v>252</v>
      </c>
      <c r="K27" s="199" t="s">
        <v>1435</v>
      </c>
      <c r="L27" s="407" t="n">
        <v>27900</v>
      </c>
      <c r="M27" s="407" t="n">
        <v>14380</v>
      </c>
      <c r="N27" s="408" t="n">
        <v>15.5</v>
      </c>
      <c r="O27" s="407" t="n">
        <v>13520</v>
      </c>
      <c r="P27" s="407" t="n">
        <v>11424.4</v>
      </c>
      <c r="Q27" s="234" t="n">
        <v>2023</v>
      </c>
      <c r="R27" s="234"/>
      <c r="S27" s="248" t="n">
        <v>45078</v>
      </c>
      <c r="T27" s="407" t="n">
        <f aca="false">Таблица18[[#This Row],[Вес нетто]]-Таблица18[[#This Row],[Зачетный вес]]</f>
        <v>2095.6</v>
      </c>
      <c r="U27" s="409" t="n">
        <f aca="false">Таблица18[[#This Row],[Отход]]/Таблица18[[#This Row],[Вес нетто]]</f>
        <v>0.155</v>
      </c>
      <c r="V27" s="234" t="n">
        <f aca="false">MONTH(Таблица18[[#This Row],[Дата акта]])</f>
        <v>6</v>
      </c>
      <c r="W27" s="234" t="n">
        <v>1</v>
      </c>
      <c r="X27" s="248" t="n">
        <f aca="false">DATE(1900,Таблица18[[#This Row],[Месяц]],Таблица18[[#This Row],[Число]])</f>
        <v>153</v>
      </c>
      <c r="Y27" s="234"/>
      <c r="AF27" s="411"/>
      <c r="AG27" s="412"/>
    </row>
    <row r="28" s="410" customFormat="true" ht="15" hidden="true" customHeight="true" outlineLevel="0" collapsed="false">
      <c r="A28" s="199" t="s">
        <v>1479</v>
      </c>
      <c r="B28" s="199" t="s">
        <v>417</v>
      </c>
      <c r="C28" s="405" t="n">
        <v>115</v>
      </c>
      <c r="D28" s="406" t="n">
        <v>63335</v>
      </c>
      <c r="E28" s="199" t="s">
        <v>1432</v>
      </c>
      <c r="F28" s="199" t="s">
        <v>1433</v>
      </c>
      <c r="G28" s="199" t="s">
        <v>377</v>
      </c>
      <c r="H28" s="199" t="s">
        <v>1434</v>
      </c>
      <c r="I28" s="199" t="s">
        <v>1434</v>
      </c>
      <c r="J28" s="199" t="s">
        <v>252</v>
      </c>
      <c r="K28" s="199" t="s">
        <v>1435</v>
      </c>
      <c r="L28" s="407" t="n">
        <v>28050</v>
      </c>
      <c r="M28" s="407" t="n">
        <v>14400</v>
      </c>
      <c r="N28" s="408" t="n">
        <v>14.5</v>
      </c>
      <c r="O28" s="407" t="n">
        <v>13650</v>
      </c>
      <c r="P28" s="407" t="n">
        <v>11670.7</v>
      </c>
      <c r="Q28" s="234" t="n">
        <v>2023</v>
      </c>
      <c r="R28" s="234"/>
      <c r="S28" s="248" t="n">
        <v>45078</v>
      </c>
      <c r="T28" s="407" t="n">
        <f aca="false">Таблица18[[#This Row],[Вес нетто]]-Таблица18[[#This Row],[Зачетный вес]]</f>
        <v>1979.3</v>
      </c>
      <c r="U28" s="409" t="n">
        <f aca="false">Таблица18[[#This Row],[Отход]]/Таблица18[[#This Row],[Вес нетто]]</f>
        <v>0.145003663003663</v>
      </c>
      <c r="V28" s="234" t="n">
        <f aca="false">MONTH(Таблица18[[#This Row],[Дата акта]])</f>
        <v>6</v>
      </c>
      <c r="W28" s="234" t="n">
        <v>1</v>
      </c>
      <c r="X28" s="248" t="n">
        <f aca="false">DATE(1900,Таблица18[[#This Row],[Месяц]],Таблица18[[#This Row],[Число]])</f>
        <v>153</v>
      </c>
      <c r="Y28" s="234"/>
      <c r="AF28" s="411"/>
      <c r="AG28" s="412"/>
    </row>
    <row r="29" s="410" customFormat="true" ht="15" hidden="true" customHeight="true" outlineLevel="0" collapsed="false">
      <c r="A29" s="199" t="s">
        <v>1480</v>
      </c>
      <c r="B29" s="199" t="s">
        <v>417</v>
      </c>
      <c r="C29" s="405" t="n">
        <v>117</v>
      </c>
      <c r="D29" s="406" t="n">
        <v>63336</v>
      </c>
      <c r="E29" s="199" t="s">
        <v>1432</v>
      </c>
      <c r="F29" s="199" t="s">
        <v>380</v>
      </c>
      <c r="G29" s="199" t="s">
        <v>381</v>
      </c>
      <c r="H29" s="199" t="s">
        <v>1434</v>
      </c>
      <c r="I29" s="199" t="s">
        <v>1434</v>
      </c>
      <c r="J29" s="199" t="s">
        <v>252</v>
      </c>
      <c r="K29" s="199" t="s">
        <v>1435</v>
      </c>
      <c r="L29" s="407" t="n">
        <v>27750</v>
      </c>
      <c r="M29" s="407" t="n">
        <v>14280</v>
      </c>
      <c r="N29" s="408" t="n">
        <v>14.5</v>
      </c>
      <c r="O29" s="407" t="n">
        <v>13470</v>
      </c>
      <c r="P29" s="407" t="n">
        <v>11516.8</v>
      </c>
      <c r="Q29" s="234" t="n">
        <v>2023</v>
      </c>
      <c r="R29" s="234"/>
      <c r="S29" s="248" t="n">
        <v>45078</v>
      </c>
      <c r="T29" s="407" t="n">
        <f aca="false">Таблица18[[#This Row],[Вес нетто]]-Таблица18[[#This Row],[Зачетный вес]]</f>
        <v>1953.2</v>
      </c>
      <c r="U29" s="409" t="n">
        <f aca="false">Таблица18[[#This Row],[Отход]]/Таблица18[[#This Row],[Вес нетто]]</f>
        <v>0.145003711952487</v>
      </c>
      <c r="V29" s="234" t="n">
        <f aca="false">MONTH(Таблица18[[#This Row],[Дата акта]])</f>
        <v>6</v>
      </c>
      <c r="W29" s="234" t="n">
        <v>1</v>
      </c>
      <c r="X29" s="248" t="n">
        <f aca="false">DATE(1900,Таблица18[[#This Row],[Месяц]],Таблица18[[#This Row],[Число]])</f>
        <v>153</v>
      </c>
      <c r="Y29" s="234"/>
      <c r="AF29" s="411"/>
      <c r="AG29" s="412"/>
    </row>
    <row r="30" s="410" customFormat="true" ht="15" hidden="true" customHeight="true" outlineLevel="0" collapsed="false">
      <c r="A30" s="199" t="s">
        <v>1481</v>
      </c>
      <c r="B30" s="199" t="s">
        <v>417</v>
      </c>
      <c r="C30" s="405" t="n">
        <v>118</v>
      </c>
      <c r="D30" s="406" t="n">
        <v>63337</v>
      </c>
      <c r="E30" s="199" t="s">
        <v>1432</v>
      </c>
      <c r="F30" s="199" t="s">
        <v>1454</v>
      </c>
      <c r="G30" s="199" t="s">
        <v>1455</v>
      </c>
      <c r="H30" s="199" t="s">
        <v>1434</v>
      </c>
      <c r="I30" s="199" t="s">
        <v>1434</v>
      </c>
      <c r="J30" s="199" t="s">
        <v>252</v>
      </c>
      <c r="K30" s="199" t="s">
        <v>1435</v>
      </c>
      <c r="L30" s="407" t="n">
        <v>27390</v>
      </c>
      <c r="M30" s="407" t="n">
        <v>14320</v>
      </c>
      <c r="N30" s="408" t="n">
        <v>14.5</v>
      </c>
      <c r="O30" s="407" t="n">
        <v>13070</v>
      </c>
      <c r="P30" s="407" t="n">
        <v>11174.8</v>
      </c>
      <c r="Q30" s="234" t="n">
        <v>2023</v>
      </c>
      <c r="R30" s="234"/>
      <c r="S30" s="248" t="n">
        <v>45078</v>
      </c>
      <c r="T30" s="407" t="n">
        <f aca="false">Таблица18[[#This Row],[Вес нетто]]-Таблица18[[#This Row],[Зачетный вес]]</f>
        <v>1895.2</v>
      </c>
      <c r="U30" s="409" t="n">
        <f aca="false">Таблица18[[#This Row],[Отход]]/Таблица18[[#This Row],[Вес нетто]]</f>
        <v>0.145003825554705</v>
      </c>
      <c r="V30" s="234" t="n">
        <f aca="false">MONTH(Таблица18[[#This Row],[Дата акта]])</f>
        <v>6</v>
      </c>
      <c r="W30" s="234" t="n">
        <v>1</v>
      </c>
      <c r="X30" s="248" t="n">
        <f aca="false">DATE(1900,Таблица18[[#This Row],[Месяц]],Таблица18[[#This Row],[Число]])</f>
        <v>153</v>
      </c>
      <c r="Y30" s="234"/>
      <c r="AF30" s="411"/>
      <c r="AG30" s="412"/>
    </row>
    <row r="31" s="410" customFormat="true" ht="15" hidden="true" customHeight="true" outlineLevel="0" collapsed="false">
      <c r="A31" s="199" t="s">
        <v>1482</v>
      </c>
      <c r="B31" s="199" t="s">
        <v>417</v>
      </c>
      <c r="C31" s="405" t="n">
        <v>119</v>
      </c>
      <c r="D31" s="406" t="n">
        <v>63338</v>
      </c>
      <c r="E31" s="199" t="s">
        <v>1432</v>
      </c>
      <c r="F31" s="199" t="s">
        <v>1483</v>
      </c>
      <c r="G31" s="199" t="s">
        <v>366</v>
      </c>
      <c r="H31" s="199" t="s">
        <v>1434</v>
      </c>
      <c r="I31" s="199" t="s">
        <v>1434</v>
      </c>
      <c r="J31" s="199" t="s">
        <v>252</v>
      </c>
      <c r="K31" s="199" t="s">
        <v>1435</v>
      </c>
      <c r="L31" s="407" t="n">
        <v>32760</v>
      </c>
      <c r="M31" s="407" t="n">
        <v>17300</v>
      </c>
      <c r="N31" s="408" t="n">
        <v>12.5</v>
      </c>
      <c r="O31" s="407" t="n">
        <v>15460</v>
      </c>
      <c r="P31" s="407" t="n">
        <v>13527.5</v>
      </c>
      <c r="Q31" s="234" t="n">
        <v>2023</v>
      </c>
      <c r="R31" s="234"/>
      <c r="S31" s="248" t="n">
        <v>45078</v>
      </c>
      <c r="T31" s="407" t="n">
        <f aca="false">Таблица18[[#This Row],[Вес нетто]]-Таблица18[[#This Row],[Зачетный вес]]</f>
        <v>1932.5</v>
      </c>
      <c r="U31" s="409" t="n">
        <f aca="false">Таблица18[[#This Row],[Отход]]/Таблица18[[#This Row],[Вес нетто]]</f>
        <v>0.125</v>
      </c>
      <c r="V31" s="234" t="n">
        <f aca="false">MONTH(Таблица18[[#This Row],[Дата акта]])</f>
        <v>6</v>
      </c>
      <c r="W31" s="234" t="n">
        <v>1</v>
      </c>
      <c r="X31" s="248" t="n">
        <f aca="false">DATE(1900,Таблица18[[#This Row],[Месяц]],Таблица18[[#This Row],[Число]])</f>
        <v>153</v>
      </c>
      <c r="Y31" s="234"/>
      <c r="AF31" s="411"/>
      <c r="AG31" s="412"/>
    </row>
    <row r="32" s="410" customFormat="true" ht="15" hidden="true" customHeight="true" outlineLevel="0" collapsed="false">
      <c r="A32" s="199" t="s">
        <v>1484</v>
      </c>
      <c r="B32" s="199" t="s">
        <v>417</v>
      </c>
      <c r="C32" s="405" t="n">
        <v>121</v>
      </c>
      <c r="D32" s="406" t="n">
        <v>63340</v>
      </c>
      <c r="E32" s="199" t="s">
        <v>1432</v>
      </c>
      <c r="F32" s="199" t="s">
        <v>1485</v>
      </c>
      <c r="G32" s="199" t="s">
        <v>431</v>
      </c>
      <c r="H32" s="199" t="s">
        <v>1434</v>
      </c>
      <c r="I32" s="199" t="s">
        <v>1434</v>
      </c>
      <c r="J32" s="199" t="s">
        <v>252</v>
      </c>
      <c r="K32" s="199" t="s">
        <v>1435</v>
      </c>
      <c r="L32" s="407" t="n">
        <v>38430</v>
      </c>
      <c r="M32" s="407" t="n">
        <v>20970</v>
      </c>
      <c r="N32" s="408" t="n">
        <v>13.5</v>
      </c>
      <c r="O32" s="407" t="n">
        <v>17460</v>
      </c>
      <c r="P32" s="407" t="n">
        <v>15102.9</v>
      </c>
      <c r="Q32" s="234" t="n">
        <v>2023</v>
      </c>
      <c r="R32" s="234"/>
      <c r="S32" s="248" t="n">
        <v>45078</v>
      </c>
      <c r="T32" s="407" t="n">
        <f aca="false">Таблица18[[#This Row],[Вес нетто]]-Таблица18[[#This Row],[Зачетный вес]]</f>
        <v>2357.1</v>
      </c>
      <c r="U32" s="409" t="n">
        <f aca="false">Таблица18[[#This Row],[Отход]]/Таблица18[[#This Row],[Вес нетто]]</f>
        <v>0.135</v>
      </c>
      <c r="V32" s="234" t="n">
        <f aca="false">MONTH(Таблица18[[#This Row],[Дата акта]])</f>
        <v>6</v>
      </c>
      <c r="W32" s="234" t="n">
        <v>1</v>
      </c>
      <c r="X32" s="248" t="n">
        <f aca="false">DATE(1900,Таблица18[[#This Row],[Месяц]],Таблица18[[#This Row],[Число]])</f>
        <v>153</v>
      </c>
      <c r="Y32" s="234"/>
      <c r="AF32" s="411"/>
      <c r="AG32" s="412"/>
    </row>
    <row r="33" s="410" customFormat="true" ht="15" hidden="true" customHeight="true" outlineLevel="0" collapsed="false">
      <c r="A33" s="199" t="s">
        <v>1486</v>
      </c>
      <c r="B33" s="199" t="s">
        <v>417</v>
      </c>
      <c r="C33" s="405" t="n">
        <v>122</v>
      </c>
      <c r="D33" s="406" t="n">
        <v>63341</v>
      </c>
      <c r="E33" s="199" t="s">
        <v>1432</v>
      </c>
      <c r="F33" s="199" t="s">
        <v>371</v>
      </c>
      <c r="G33" s="199" t="s">
        <v>372</v>
      </c>
      <c r="H33" s="199" t="s">
        <v>1434</v>
      </c>
      <c r="I33" s="199" t="s">
        <v>1434</v>
      </c>
      <c r="J33" s="199" t="s">
        <v>252</v>
      </c>
      <c r="K33" s="199" t="s">
        <v>1435</v>
      </c>
      <c r="L33" s="407" t="n">
        <v>28400</v>
      </c>
      <c r="M33" s="407" t="n">
        <v>15150</v>
      </c>
      <c r="N33" s="408" t="n">
        <v>14.5</v>
      </c>
      <c r="O33" s="407" t="n">
        <v>13250</v>
      </c>
      <c r="P33" s="407" t="n">
        <v>11328.7</v>
      </c>
      <c r="Q33" s="234" t="n">
        <v>2023</v>
      </c>
      <c r="R33" s="234"/>
      <c r="S33" s="248" t="n">
        <v>45078</v>
      </c>
      <c r="T33" s="407" t="n">
        <f aca="false">Таблица18[[#This Row],[Вес нетто]]-Таблица18[[#This Row],[Зачетный вес]]</f>
        <v>1921.3</v>
      </c>
      <c r="U33" s="409" t="n">
        <f aca="false">Таблица18[[#This Row],[Отход]]/Таблица18[[#This Row],[Вес нетто]]</f>
        <v>0.145003773584906</v>
      </c>
      <c r="V33" s="234" t="n">
        <f aca="false">MONTH(Таблица18[[#This Row],[Дата акта]])</f>
        <v>6</v>
      </c>
      <c r="W33" s="234" t="n">
        <v>1</v>
      </c>
      <c r="X33" s="248" t="n">
        <f aca="false">DATE(1900,Таблица18[[#This Row],[Месяц]],Таблица18[[#This Row],[Число]])</f>
        <v>153</v>
      </c>
      <c r="Y33" s="234"/>
      <c r="AF33" s="411"/>
      <c r="AG33" s="412"/>
    </row>
    <row r="34" s="410" customFormat="true" ht="15" hidden="true" customHeight="true" outlineLevel="0" collapsed="false">
      <c r="A34" s="199" t="s">
        <v>1487</v>
      </c>
      <c r="B34" s="199" t="s">
        <v>417</v>
      </c>
      <c r="C34" s="405" t="n">
        <v>123</v>
      </c>
      <c r="D34" s="406" t="n">
        <v>63342</v>
      </c>
      <c r="E34" s="199" t="s">
        <v>1432</v>
      </c>
      <c r="F34" s="199" t="s">
        <v>1488</v>
      </c>
      <c r="G34" s="199" t="s">
        <v>1444</v>
      </c>
      <c r="H34" s="199" t="s">
        <v>1434</v>
      </c>
      <c r="I34" s="199" t="s">
        <v>1434</v>
      </c>
      <c r="J34" s="199" t="s">
        <v>252</v>
      </c>
      <c r="K34" s="199" t="s">
        <v>1435</v>
      </c>
      <c r="L34" s="407" t="n">
        <v>29020</v>
      </c>
      <c r="M34" s="407" t="n">
        <v>15660</v>
      </c>
      <c r="N34" s="408" t="n">
        <v>14.5</v>
      </c>
      <c r="O34" s="407" t="n">
        <v>13360</v>
      </c>
      <c r="P34" s="407" t="n">
        <v>11422.8</v>
      </c>
      <c r="Q34" s="234" t="n">
        <v>2023</v>
      </c>
      <c r="R34" s="234"/>
      <c r="S34" s="248" t="n">
        <v>45078</v>
      </c>
      <c r="T34" s="407" t="n">
        <f aca="false">Таблица18[[#This Row],[Вес нетто]]-Таблица18[[#This Row],[Зачетный вес]]</f>
        <v>1937.2</v>
      </c>
      <c r="U34" s="409" t="n">
        <f aca="false">Таблица18[[#This Row],[Отход]]/Таблица18[[#This Row],[Вес нетто]]</f>
        <v>0.145</v>
      </c>
      <c r="V34" s="234" t="n">
        <f aca="false">MONTH(Таблица18[[#This Row],[Дата акта]])</f>
        <v>6</v>
      </c>
      <c r="W34" s="234" t="n">
        <v>1</v>
      </c>
      <c r="X34" s="248" t="n">
        <f aca="false">DATE(1900,Таблица18[[#This Row],[Месяц]],Таблица18[[#This Row],[Число]])</f>
        <v>153</v>
      </c>
      <c r="Y34" s="234"/>
      <c r="AF34" s="411"/>
      <c r="AG34" s="412"/>
    </row>
    <row r="35" s="410" customFormat="true" ht="15" hidden="true" customHeight="true" outlineLevel="0" collapsed="false">
      <c r="A35" s="199" t="s">
        <v>1489</v>
      </c>
      <c r="B35" s="199" t="s">
        <v>417</v>
      </c>
      <c r="C35" s="405" t="n">
        <v>124</v>
      </c>
      <c r="D35" s="406" t="n">
        <v>63345</v>
      </c>
      <c r="E35" s="199" t="s">
        <v>1432</v>
      </c>
      <c r="F35" s="199" t="s">
        <v>1464</v>
      </c>
      <c r="G35" s="199" t="s">
        <v>1447</v>
      </c>
      <c r="H35" s="199" t="s">
        <v>1434</v>
      </c>
      <c r="I35" s="199" t="s">
        <v>1434</v>
      </c>
      <c r="J35" s="199" t="s">
        <v>252</v>
      </c>
      <c r="K35" s="199" t="s">
        <v>1435</v>
      </c>
      <c r="L35" s="407" t="n">
        <v>30270</v>
      </c>
      <c r="M35" s="407" t="n">
        <v>14740</v>
      </c>
      <c r="N35" s="408" t="n">
        <v>15.5</v>
      </c>
      <c r="O35" s="407" t="n">
        <v>15530</v>
      </c>
      <c r="P35" s="407" t="n">
        <v>13122.8</v>
      </c>
      <c r="Q35" s="234" t="n">
        <v>2023</v>
      </c>
      <c r="R35" s="234"/>
      <c r="S35" s="248" t="n">
        <v>45078</v>
      </c>
      <c r="T35" s="407" t="n">
        <f aca="false">Таблица18[[#This Row],[Вес нетто]]-Таблица18[[#This Row],[Зачетный вес]]</f>
        <v>2407.2</v>
      </c>
      <c r="U35" s="409" t="n">
        <f aca="false">Таблица18[[#This Row],[Отход]]/Таблица18[[#This Row],[Вес нетто]]</f>
        <v>0.155003219575016</v>
      </c>
      <c r="V35" s="234" t="n">
        <f aca="false">MONTH(Таблица18[[#This Row],[Дата акта]])</f>
        <v>6</v>
      </c>
      <c r="W35" s="234" t="n">
        <v>1</v>
      </c>
      <c r="X35" s="248" t="n">
        <f aca="false">DATE(1900,Таблица18[[#This Row],[Месяц]],Таблица18[[#This Row],[Число]])</f>
        <v>153</v>
      </c>
      <c r="Y35" s="234"/>
      <c r="AF35" s="411"/>
      <c r="AG35" s="412"/>
    </row>
    <row r="36" s="410" customFormat="true" ht="15" hidden="true" customHeight="true" outlineLevel="0" collapsed="false">
      <c r="A36" s="199" t="s">
        <v>1490</v>
      </c>
      <c r="B36" s="199" t="s">
        <v>417</v>
      </c>
      <c r="C36" s="405" t="n">
        <v>125</v>
      </c>
      <c r="D36" s="406" t="n">
        <v>63344</v>
      </c>
      <c r="E36" s="199" t="s">
        <v>1432</v>
      </c>
      <c r="F36" s="199" t="s">
        <v>395</v>
      </c>
      <c r="G36" s="199" t="s">
        <v>566</v>
      </c>
      <c r="H36" s="199" t="s">
        <v>1434</v>
      </c>
      <c r="I36" s="199" t="s">
        <v>1434</v>
      </c>
      <c r="J36" s="199" t="s">
        <v>252</v>
      </c>
      <c r="K36" s="199" t="s">
        <v>1435</v>
      </c>
      <c r="L36" s="407" t="n">
        <v>30070</v>
      </c>
      <c r="M36" s="407" t="n">
        <v>14420</v>
      </c>
      <c r="N36" s="408" t="n">
        <v>14.5</v>
      </c>
      <c r="O36" s="407" t="n">
        <v>15650</v>
      </c>
      <c r="P36" s="407" t="n">
        <v>13380.7</v>
      </c>
      <c r="Q36" s="234" t="n">
        <v>2023</v>
      </c>
      <c r="R36" s="234"/>
      <c r="S36" s="248" t="n">
        <v>45078</v>
      </c>
      <c r="T36" s="407" t="n">
        <f aca="false">Таблица18[[#This Row],[Вес нетто]]-Таблица18[[#This Row],[Зачетный вес]]</f>
        <v>2269.3</v>
      </c>
      <c r="U36" s="409" t="n">
        <f aca="false">Таблица18[[#This Row],[Отход]]/Таблица18[[#This Row],[Вес нетто]]</f>
        <v>0.145003194888179</v>
      </c>
      <c r="V36" s="234" t="n">
        <f aca="false">MONTH(Таблица18[[#This Row],[Дата акта]])</f>
        <v>6</v>
      </c>
      <c r="W36" s="234" t="n">
        <v>1</v>
      </c>
      <c r="X36" s="248" t="n">
        <f aca="false">DATE(1900,Таблица18[[#This Row],[Месяц]],Таблица18[[#This Row],[Число]])</f>
        <v>153</v>
      </c>
      <c r="Y36" s="234"/>
      <c r="AF36" s="411"/>
      <c r="AG36" s="412"/>
    </row>
    <row r="37" s="410" customFormat="true" ht="15" hidden="true" customHeight="true" outlineLevel="0" collapsed="false">
      <c r="A37" s="199" t="s">
        <v>1491</v>
      </c>
      <c r="B37" s="199" t="s">
        <v>417</v>
      </c>
      <c r="C37" s="405" t="n">
        <v>126</v>
      </c>
      <c r="D37" s="406" t="n">
        <v>63343</v>
      </c>
      <c r="E37" s="199" t="s">
        <v>1432</v>
      </c>
      <c r="F37" s="199" t="s">
        <v>1492</v>
      </c>
      <c r="G37" s="199" t="s">
        <v>49</v>
      </c>
      <c r="H37" s="199" t="s">
        <v>1434</v>
      </c>
      <c r="I37" s="199" t="s">
        <v>1434</v>
      </c>
      <c r="J37" s="199" t="s">
        <v>252</v>
      </c>
      <c r="K37" s="199" t="s">
        <v>1435</v>
      </c>
      <c r="L37" s="407" t="n">
        <v>30170</v>
      </c>
      <c r="M37" s="407" t="n">
        <v>14890</v>
      </c>
      <c r="N37" s="408" t="n">
        <v>15.5</v>
      </c>
      <c r="O37" s="407" t="n">
        <v>15280</v>
      </c>
      <c r="P37" s="407" t="n">
        <v>12911.6</v>
      </c>
      <c r="Q37" s="234" t="n">
        <v>2023</v>
      </c>
      <c r="R37" s="234"/>
      <c r="S37" s="248" t="n">
        <v>45079</v>
      </c>
      <c r="T37" s="407" t="n">
        <f aca="false">Таблица18[[#This Row],[Вес нетто]]-Таблица18[[#This Row],[Зачетный вес]]</f>
        <v>2368.4</v>
      </c>
      <c r="U37" s="409" t="n">
        <f aca="false">Таблица18[[#This Row],[Отход]]/Таблица18[[#This Row],[Вес нетто]]</f>
        <v>0.155</v>
      </c>
      <c r="V37" s="234" t="n">
        <f aca="false">MONTH(Таблица18[[#This Row],[Дата акта]])</f>
        <v>6</v>
      </c>
      <c r="W37" s="234" t="n">
        <v>2</v>
      </c>
      <c r="X37" s="248" t="n">
        <f aca="false">DATE(1900,Таблица18[[#This Row],[Месяц]],Таблица18[[#This Row],[Число]])</f>
        <v>154</v>
      </c>
      <c r="Y37" s="234"/>
      <c r="AF37" s="411"/>
      <c r="AG37" s="412"/>
    </row>
    <row r="38" s="410" customFormat="true" ht="15" hidden="true" customHeight="true" outlineLevel="0" collapsed="false">
      <c r="A38" s="199" t="s">
        <v>1493</v>
      </c>
      <c r="B38" s="199" t="s">
        <v>417</v>
      </c>
      <c r="C38" s="405" t="n">
        <v>127</v>
      </c>
      <c r="D38" s="406" t="n">
        <v>63346</v>
      </c>
      <c r="E38" s="199" t="s">
        <v>1432</v>
      </c>
      <c r="F38" s="199" t="s">
        <v>55</v>
      </c>
      <c r="G38" s="199" t="s">
        <v>56</v>
      </c>
      <c r="H38" s="199" t="s">
        <v>1434</v>
      </c>
      <c r="I38" s="199" t="s">
        <v>1434</v>
      </c>
      <c r="J38" s="199" t="s">
        <v>252</v>
      </c>
      <c r="K38" s="199" t="s">
        <v>1435</v>
      </c>
      <c r="L38" s="407" t="n">
        <v>29980</v>
      </c>
      <c r="M38" s="407" t="n">
        <v>14480</v>
      </c>
      <c r="N38" s="408" t="n">
        <v>14.5</v>
      </c>
      <c r="O38" s="407" t="n">
        <v>15500</v>
      </c>
      <c r="P38" s="407" t="n">
        <v>13252.5</v>
      </c>
      <c r="Q38" s="234" t="n">
        <v>2023</v>
      </c>
      <c r="R38" s="234"/>
      <c r="S38" s="248" t="n">
        <v>45079</v>
      </c>
      <c r="T38" s="407" t="n">
        <f aca="false">Таблица18[[#This Row],[Вес нетто]]-Таблица18[[#This Row],[Зачетный вес]]</f>
        <v>2247.5</v>
      </c>
      <c r="U38" s="409" t="n">
        <f aca="false">Таблица18[[#This Row],[Отход]]/Таблица18[[#This Row],[Вес нетто]]</f>
        <v>0.145</v>
      </c>
      <c r="V38" s="234" t="n">
        <f aca="false">MONTH(Таблица18[[#This Row],[Дата акта]])</f>
        <v>6</v>
      </c>
      <c r="W38" s="234" t="n">
        <v>2</v>
      </c>
      <c r="X38" s="248" t="n">
        <f aca="false">DATE(1900,Таблица18[[#This Row],[Месяц]],Таблица18[[#This Row],[Число]])</f>
        <v>154</v>
      </c>
      <c r="Y38" s="234"/>
      <c r="AF38" s="411"/>
      <c r="AG38" s="412"/>
    </row>
    <row r="39" s="410" customFormat="true" ht="15" hidden="true" customHeight="true" outlineLevel="0" collapsed="false">
      <c r="A39" s="199" t="s">
        <v>1494</v>
      </c>
      <c r="B39" s="199" t="s">
        <v>417</v>
      </c>
      <c r="C39" s="405" t="n">
        <v>128</v>
      </c>
      <c r="D39" s="406" t="n">
        <v>63347</v>
      </c>
      <c r="E39" s="199" t="s">
        <v>1432</v>
      </c>
      <c r="F39" s="199" t="s">
        <v>1439</v>
      </c>
      <c r="G39" s="199" t="s">
        <v>1440</v>
      </c>
      <c r="H39" s="199" t="s">
        <v>1434</v>
      </c>
      <c r="I39" s="199" t="s">
        <v>1434</v>
      </c>
      <c r="J39" s="199" t="s">
        <v>252</v>
      </c>
      <c r="K39" s="199" t="s">
        <v>1435</v>
      </c>
      <c r="L39" s="407" t="n">
        <v>28610</v>
      </c>
      <c r="M39" s="407" t="n">
        <v>13290</v>
      </c>
      <c r="N39" s="408" t="n">
        <v>12.5</v>
      </c>
      <c r="O39" s="407" t="n">
        <v>15320</v>
      </c>
      <c r="P39" s="407" t="n">
        <v>13405</v>
      </c>
      <c r="Q39" s="234" t="n">
        <v>2023</v>
      </c>
      <c r="R39" s="234"/>
      <c r="S39" s="248" t="n">
        <v>45079</v>
      </c>
      <c r="T39" s="407" t="n">
        <f aca="false">Таблица18[[#This Row],[Вес нетто]]-Таблица18[[#This Row],[Зачетный вес]]</f>
        <v>1915</v>
      </c>
      <c r="U39" s="409" t="n">
        <f aca="false">Таблица18[[#This Row],[Отход]]/Таблица18[[#This Row],[Вес нетто]]</f>
        <v>0.125</v>
      </c>
      <c r="V39" s="234" t="n">
        <f aca="false">MONTH(Таблица18[[#This Row],[Дата акта]])</f>
        <v>6</v>
      </c>
      <c r="W39" s="234" t="n">
        <v>2</v>
      </c>
      <c r="X39" s="248" t="n">
        <f aca="false">DATE(1900,Таблица18[[#This Row],[Месяц]],Таблица18[[#This Row],[Число]])</f>
        <v>154</v>
      </c>
      <c r="Y39" s="234"/>
      <c r="AF39" s="411"/>
      <c r="AG39" s="412"/>
    </row>
    <row r="40" s="410" customFormat="true" ht="15" hidden="true" customHeight="true" outlineLevel="0" collapsed="false">
      <c r="A40" s="199" t="s">
        <v>1495</v>
      </c>
      <c r="B40" s="199" t="s">
        <v>417</v>
      </c>
      <c r="C40" s="405" t="n">
        <v>129</v>
      </c>
      <c r="D40" s="406" t="n">
        <v>63348</v>
      </c>
      <c r="E40" s="199" t="s">
        <v>1432</v>
      </c>
      <c r="F40" s="199" t="s">
        <v>1476</v>
      </c>
      <c r="G40" s="199" t="s">
        <v>1478</v>
      </c>
      <c r="H40" s="199" t="s">
        <v>1434</v>
      </c>
      <c r="I40" s="199" t="s">
        <v>1434</v>
      </c>
      <c r="J40" s="199" t="s">
        <v>252</v>
      </c>
      <c r="K40" s="199" t="s">
        <v>1435</v>
      </c>
      <c r="L40" s="407" t="n">
        <v>27730</v>
      </c>
      <c r="M40" s="407" t="n">
        <v>14380</v>
      </c>
      <c r="N40" s="408" t="n">
        <v>6.5</v>
      </c>
      <c r="O40" s="407" t="n">
        <v>13350</v>
      </c>
      <c r="P40" s="407" t="n">
        <v>12482.2</v>
      </c>
      <c r="Q40" s="234" t="n">
        <v>2023</v>
      </c>
      <c r="R40" s="234"/>
      <c r="S40" s="248" t="n">
        <v>45079</v>
      </c>
      <c r="T40" s="407" t="n">
        <f aca="false">Таблица18[[#This Row],[Вес нетто]]-Таблица18[[#This Row],[Зачетный вес]]</f>
        <v>867.799999999999</v>
      </c>
      <c r="U40" s="409" t="n">
        <f aca="false">Таблица18[[#This Row],[Отход]]/Таблица18[[#This Row],[Вес нетто]]</f>
        <v>0.065003745318352</v>
      </c>
      <c r="V40" s="234" t="n">
        <f aca="false">MONTH(Таблица18[[#This Row],[Дата акта]])</f>
        <v>6</v>
      </c>
      <c r="W40" s="234" t="n">
        <v>2</v>
      </c>
      <c r="X40" s="248" t="n">
        <f aca="false">DATE(1900,Таблица18[[#This Row],[Месяц]],Таблица18[[#This Row],[Число]])</f>
        <v>154</v>
      </c>
      <c r="Y40" s="234"/>
      <c r="AF40" s="411"/>
      <c r="AG40" s="412"/>
    </row>
    <row r="41" s="410" customFormat="true" ht="15" hidden="true" customHeight="true" outlineLevel="0" collapsed="false">
      <c r="A41" s="199" t="s">
        <v>1496</v>
      </c>
      <c r="B41" s="199" t="s">
        <v>417</v>
      </c>
      <c r="C41" s="405" t="n">
        <v>130</v>
      </c>
      <c r="D41" s="406" t="n">
        <v>1</v>
      </c>
      <c r="E41" s="199" t="s">
        <v>422</v>
      </c>
      <c r="F41" s="199" t="s">
        <v>380</v>
      </c>
      <c r="G41" s="199" t="s">
        <v>381</v>
      </c>
      <c r="H41" s="199" t="s">
        <v>1497</v>
      </c>
      <c r="I41" s="199" t="s">
        <v>1497</v>
      </c>
      <c r="J41" s="199" t="s">
        <v>252</v>
      </c>
      <c r="K41" s="199" t="s">
        <v>1435</v>
      </c>
      <c r="L41" s="407" t="n">
        <v>16410</v>
      </c>
      <c r="M41" s="407" t="n">
        <v>9650</v>
      </c>
      <c r="N41" s="408" t="n">
        <v>8</v>
      </c>
      <c r="O41" s="407" t="n">
        <v>6760</v>
      </c>
      <c r="P41" s="407" t="n">
        <v>6219.2</v>
      </c>
      <c r="Q41" s="234" t="n">
        <v>2023</v>
      </c>
      <c r="R41" s="234"/>
      <c r="S41" s="248" t="n">
        <v>45079</v>
      </c>
      <c r="T41" s="407" t="n">
        <f aca="false">Таблица18[[#This Row],[Вес нетто]]-Таблица18[[#This Row],[Зачетный вес]]</f>
        <v>540.8</v>
      </c>
      <c r="U41" s="409" t="n">
        <f aca="false">Таблица18[[#This Row],[Отход]]/Таблица18[[#This Row],[Вес нетто]]</f>
        <v>0.08</v>
      </c>
      <c r="V41" s="234" t="n">
        <f aca="false">MONTH(Таблица18[[#This Row],[Дата акта]])</f>
        <v>6</v>
      </c>
      <c r="W41" s="234" t="n">
        <v>2</v>
      </c>
      <c r="X41" s="248" t="n">
        <f aca="false">DATE(1900,Таблица18[[#This Row],[Месяц]],Таблица18[[#This Row],[Число]])</f>
        <v>154</v>
      </c>
      <c r="Y41" s="234"/>
      <c r="AF41" s="411"/>
      <c r="AG41" s="412"/>
    </row>
    <row r="42" s="410" customFormat="true" ht="15" hidden="true" customHeight="true" outlineLevel="0" collapsed="false">
      <c r="A42" s="199" t="s">
        <v>1498</v>
      </c>
      <c r="B42" s="199" t="s">
        <v>417</v>
      </c>
      <c r="C42" s="405" t="n">
        <v>131</v>
      </c>
      <c r="D42" s="406" t="n">
        <v>63333</v>
      </c>
      <c r="E42" s="199" t="s">
        <v>1432</v>
      </c>
      <c r="F42" s="199" t="s">
        <v>1476</v>
      </c>
      <c r="G42" s="199" t="s">
        <v>368</v>
      </c>
      <c r="H42" s="199" t="s">
        <v>1434</v>
      </c>
      <c r="I42" s="199" t="s">
        <v>1434</v>
      </c>
      <c r="J42" s="199" t="s">
        <v>252</v>
      </c>
      <c r="K42" s="199" t="s">
        <v>1435</v>
      </c>
      <c r="L42" s="407" t="n">
        <v>27780</v>
      </c>
      <c r="M42" s="407" t="n">
        <v>14280</v>
      </c>
      <c r="N42" s="408" t="n">
        <v>15.5</v>
      </c>
      <c r="O42" s="407" t="n">
        <v>13500</v>
      </c>
      <c r="P42" s="407" t="n">
        <v>11407.5</v>
      </c>
      <c r="Q42" s="234" t="n">
        <v>2023</v>
      </c>
      <c r="R42" s="234"/>
      <c r="S42" s="248" t="n">
        <v>45079</v>
      </c>
      <c r="T42" s="407" t="n">
        <f aca="false">Таблица18[[#This Row],[Вес нетто]]-Таблица18[[#This Row],[Зачетный вес]]</f>
        <v>2092.5</v>
      </c>
      <c r="U42" s="409" t="n">
        <f aca="false">Таблица18[[#This Row],[Отход]]/Таблица18[[#This Row],[Вес нетто]]</f>
        <v>0.155</v>
      </c>
      <c r="V42" s="234" t="n">
        <f aca="false">MONTH(Таблица18[[#This Row],[Дата акта]])</f>
        <v>6</v>
      </c>
      <c r="W42" s="234" t="n">
        <v>2</v>
      </c>
      <c r="X42" s="248" t="n">
        <f aca="false">DATE(1900,Таблица18[[#This Row],[Месяц]],Таблица18[[#This Row],[Число]])</f>
        <v>154</v>
      </c>
      <c r="Y42" s="234"/>
      <c r="AF42" s="411"/>
      <c r="AG42" s="412"/>
    </row>
    <row r="43" s="410" customFormat="true" ht="15" hidden="true" customHeight="true" outlineLevel="0" collapsed="false">
      <c r="A43" s="199" t="s">
        <v>1499</v>
      </c>
      <c r="B43" s="199" t="s">
        <v>417</v>
      </c>
      <c r="C43" s="405" t="n">
        <v>132</v>
      </c>
      <c r="D43" s="406" t="n">
        <v>63332</v>
      </c>
      <c r="E43" s="199" t="s">
        <v>1432</v>
      </c>
      <c r="F43" s="199" t="s">
        <v>1474</v>
      </c>
      <c r="G43" s="199" t="s">
        <v>370</v>
      </c>
      <c r="H43" s="199" t="s">
        <v>1434</v>
      </c>
      <c r="I43" s="199" t="s">
        <v>1434</v>
      </c>
      <c r="J43" s="199" t="s">
        <v>252</v>
      </c>
      <c r="K43" s="199" t="s">
        <v>1435</v>
      </c>
      <c r="L43" s="407" t="n">
        <v>27190</v>
      </c>
      <c r="M43" s="407" t="n">
        <v>13940</v>
      </c>
      <c r="N43" s="408" t="n">
        <v>9.5</v>
      </c>
      <c r="O43" s="407" t="n">
        <v>13250</v>
      </c>
      <c r="P43" s="407" t="n">
        <v>11991.2</v>
      </c>
      <c r="Q43" s="234" t="n">
        <v>2023</v>
      </c>
      <c r="R43" s="234"/>
      <c r="S43" s="248" t="n">
        <v>45079</v>
      </c>
      <c r="T43" s="407" t="n">
        <f aca="false">Таблица18[[#This Row],[Вес нетто]]-Таблица18[[#This Row],[Зачетный вес]]</f>
        <v>1258.8</v>
      </c>
      <c r="U43" s="409" t="n">
        <f aca="false">Таблица18[[#This Row],[Отход]]/Таблица18[[#This Row],[Вес нетто]]</f>
        <v>0.0950037735849056</v>
      </c>
      <c r="V43" s="234" t="n">
        <f aca="false">MONTH(Таблица18[[#This Row],[Дата акта]])</f>
        <v>6</v>
      </c>
      <c r="W43" s="234" t="n">
        <v>2</v>
      </c>
      <c r="X43" s="248" t="n">
        <f aca="false">DATE(1900,Таблица18[[#This Row],[Месяц]],Таблица18[[#This Row],[Число]])</f>
        <v>154</v>
      </c>
      <c r="Y43" s="234"/>
      <c r="AF43" s="411"/>
      <c r="AG43" s="412"/>
    </row>
    <row r="44" s="410" customFormat="true" ht="15" hidden="true" customHeight="true" outlineLevel="0" collapsed="false">
      <c r="A44" s="199" t="s">
        <v>1500</v>
      </c>
      <c r="B44" s="199" t="s">
        <v>417</v>
      </c>
      <c r="C44" s="405" t="n">
        <v>133</v>
      </c>
      <c r="D44" s="406" t="n">
        <v>2</v>
      </c>
      <c r="E44" s="199" t="s">
        <v>422</v>
      </c>
      <c r="F44" s="199" t="s">
        <v>380</v>
      </c>
      <c r="G44" s="199" t="s">
        <v>381</v>
      </c>
      <c r="H44" s="199" t="s">
        <v>1497</v>
      </c>
      <c r="I44" s="199" t="s">
        <v>1497</v>
      </c>
      <c r="J44" s="199" t="s">
        <v>252</v>
      </c>
      <c r="K44" s="199" t="s">
        <v>1435</v>
      </c>
      <c r="L44" s="407" t="n">
        <v>16430</v>
      </c>
      <c r="M44" s="407" t="n">
        <v>9640</v>
      </c>
      <c r="N44" s="408" t="n">
        <v>9</v>
      </c>
      <c r="O44" s="407" t="n">
        <v>6790</v>
      </c>
      <c r="P44" s="407" t="n">
        <v>6178.9</v>
      </c>
      <c r="Q44" s="234" t="n">
        <v>2023</v>
      </c>
      <c r="R44" s="234"/>
      <c r="S44" s="248" t="n">
        <v>45079</v>
      </c>
      <c r="T44" s="407" t="n">
        <f aca="false">Таблица18[[#This Row],[Вес нетто]]-Таблица18[[#This Row],[Зачетный вес]]</f>
        <v>611.1</v>
      </c>
      <c r="U44" s="409" t="n">
        <f aca="false">Таблица18[[#This Row],[Отход]]/Таблица18[[#This Row],[Вес нетто]]</f>
        <v>0.0900000000000001</v>
      </c>
      <c r="V44" s="234" t="n">
        <f aca="false">MONTH(Таблица18[[#This Row],[Дата акта]])</f>
        <v>6</v>
      </c>
      <c r="W44" s="234" t="n">
        <v>2</v>
      </c>
      <c r="X44" s="248" t="n">
        <f aca="false">DATE(1900,Таблица18[[#This Row],[Месяц]],Таблица18[[#This Row],[Число]])</f>
        <v>154</v>
      </c>
      <c r="Y44" s="234"/>
      <c r="AF44" s="411"/>
      <c r="AG44" s="412"/>
    </row>
    <row r="45" s="410" customFormat="true" ht="15" hidden="true" customHeight="true" outlineLevel="0" collapsed="false">
      <c r="A45" s="199" t="s">
        <v>1501</v>
      </c>
      <c r="B45" s="199" t="s">
        <v>417</v>
      </c>
      <c r="C45" s="405" t="n">
        <v>134</v>
      </c>
      <c r="D45" s="406" t="n">
        <v>63351</v>
      </c>
      <c r="E45" s="199" t="s">
        <v>1432</v>
      </c>
      <c r="F45" s="199" t="s">
        <v>1454</v>
      </c>
      <c r="G45" s="199" t="s">
        <v>1455</v>
      </c>
      <c r="H45" s="199" t="s">
        <v>1434</v>
      </c>
      <c r="I45" s="199" t="s">
        <v>1434</v>
      </c>
      <c r="J45" s="199" t="s">
        <v>252</v>
      </c>
      <c r="K45" s="199" t="s">
        <v>1435</v>
      </c>
      <c r="L45" s="407" t="n">
        <v>27950</v>
      </c>
      <c r="M45" s="407" t="n">
        <v>14490</v>
      </c>
      <c r="N45" s="408" t="n">
        <v>8.5</v>
      </c>
      <c r="O45" s="407" t="n">
        <v>13460</v>
      </c>
      <c r="P45" s="407" t="n">
        <v>12315.9</v>
      </c>
      <c r="Q45" s="234" t="n">
        <v>2023</v>
      </c>
      <c r="R45" s="234"/>
      <c r="S45" s="248" t="n">
        <v>45079</v>
      </c>
      <c r="T45" s="407" t="n">
        <f aca="false">Таблица18[[#This Row],[Вес нетто]]-Таблица18[[#This Row],[Зачетный вес]]</f>
        <v>1144.1</v>
      </c>
      <c r="U45" s="409" t="n">
        <f aca="false">Таблица18[[#This Row],[Отход]]/Таблица18[[#This Row],[Вес нетто]]</f>
        <v>0.085</v>
      </c>
      <c r="V45" s="234" t="n">
        <f aca="false">MONTH(Таблица18[[#This Row],[Дата акта]])</f>
        <v>6</v>
      </c>
      <c r="W45" s="234" t="n">
        <v>2</v>
      </c>
      <c r="X45" s="248" t="n">
        <f aca="false">DATE(1900,Таблица18[[#This Row],[Месяц]],Таблица18[[#This Row],[Число]])</f>
        <v>154</v>
      </c>
      <c r="Y45" s="234"/>
      <c r="AF45" s="411"/>
      <c r="AG45" s="412"/>
    </row>
    <row r="46" s="410" customFormat="true" ht="15" hidden="true" customHeight="true" outlineLevel="0" collapsed="false">
      <c r="A46" s="199" t="s">
        <v>1502</v>
      </c>
      <c r="B46" s="199" t="s">
        <v>417</v>
      </c>
      <c r="C46" s="405" t="n">
        <v>135</v>
      </c>
      <c r="D46" s="413" t="n">
        <v>63352</v>
      </c>
      <c r="E46" s="199" t="s">
        <v>1432</v>
      </c>
      <c r="F46" s="199" t="s">
        <v>457</v>
      </c>
      <c r="G46" s="199" t="s">
        <v>366</v>
      </c>
      <c r="H46" s="199" t="s">
        <v>1434</v>
      </c>
      <c r="I46" s="199" t="s">
        <v>1434</v>
      </c>
      <c r="J46" s="199" t="s">
        <v>252</v>
      </c>
      <c r="K46" s="199" t="s">
        <v>1435</v>
      </c>
      <c r="L46" s="407" t="n">
        <v>33310</v>
      </c>
      <c r="M46" s="407" t="n">
        <v>17310</v>
      </c>
      <c r="N46" s="408" t="n">
        <v>10.5</v>
      </c>
      <c r="O46" s="407" t="n">
        <v>16000</v>
      </c>
      <c r="P46" s="407" t="n">
        <v>14320</v>
      </c>
      <c r="Q46" s="234" t="n">
        <v>2023</v>
      </c>
      <c r="R46" s="234"/>
      <c r="S46" s="248" t="n">
        <v>45079</v>
      </c>
      <c r="T46" s="407" t="n">
        <f aca="false">Таблица18[[#This Row],[Вес нетто]]-Таблица18[[#This Row],[Зачетный вес]]</f>
        <v>1680</v>
      </c>
      <c r="U46" s="409" t="n">
        <f aca="false">Таблица18[[#This Row],[Отход]]/Таблица18[[#This Row],[Вес нетто]]</f>
        <v>0.105</v>
      </c>
      <c r="V46" s="234" t="n">
        <f aca="false">MONTH(Таблица18[[#This Row],[Дата акта]])</f>
        <v>6</v>
      </c>
      <c r="W46" s="234" t="n">
        <v>2</v>
      </c>
      <c r="X46" s="248" t="n">
        <f aca="false">DATE(1900,Таблица18[[#This Row],[Месяц]],Таблица18[[#This Row],[Число]])</f>
        <v>154</v>
      </c>
      <c r="Y46" s="234"/>
      <c r="AF46" s="411"/>
      <c r="AG46" s="412"/>
    </row>
    <row r="47" s="410" customFormat="true" ht="15" hidden="true" customHeight="true" outlineLevel="0" collapsed="false">
      <c r="A47" s="199" t="s">
        <v>1503</v>
      </c>
      <c r="B47" s="199" t="s">
        <v>417</v>
      </c>
      <c r="C47" s="405" t="n">
        <v>136</v>
      </c>
      <c r="D47" s="413" t="n">
        <v>63354</v>
      </c>
      <c r="E47" s="199" t="s">
        <v>1432</v>
      </c>
      <c r="F47" s="199" t="s">
        <v>1433</v>
      </c>
      <c r="G47" s="199" t="s">
        <v>377</v>
      </c>
      <c r="H47" s="199" t="s">
        <v>1434</v>
      </c>
      <c r="I47" s="199" t="s">
        <v>1434</v>
      </c>
      <c r="J47" s="199" t="s">
        <v>252</v>
      </c>
      <c r="K47" s="199" t="s">
        <v>1435</v>
      </c>
      <c r="L47" s="407" t="n">
        <v>27730</v>
      </c>
      <c r="M47" s="407" t="n">
        <v>14420</v>
      </c>
      <c r="N47" s="408" t="n">
        <v>10.5</v>
      </c>
      <c r="O47" s="407" t="n">
        <v>13310</v>
      </c>
      <c r="P47" s="407" t="n">
        <v>11912.4</v>
      </c>
      <c r="Q47" s="234" t="n">
        <v>2023</v>
      </c>
      <c r="R47" s="234"/>
      <c r="S47" s="248" t="n">
        <v>45079</v>
      </c>
      <c r="T47" s="407" t="n">
        <f aca="false">Таблица18[[#This Row],[Вес нетто]]-Таблица18[[#This Row],[Зачетный вес]]</f>
        <v>1397.6</v>
      </c>
      <c r="U47" s="409" t="n">
        <f aca="false">Таблица18[[#This Row],[Отход]]/Таблица18[[#This Row],[Вес нетто]]</f>
        <v>0.105003756574005</v>
      </c>
      <c r="V47" s="234" t="n">
        <f aca="false">MONTH(Таблица18[[#This Row],[Дата акта]])</f>
        <v>6</v>
      </c>
      <c r="W47" s="234" t="n">
        <v>2</v>
      </c>
      <c r="X47" s="248" t="n">
        <f aca="false">DATE(1900,Таблица18[[#This Row],[Месяц]],Таблица18[[#This Row],[Число]])</f>
        <v>154</v>
      </c>
      <c r="Y47" s="234"/>
      <c r="AF47" s="411"/>
      <c r="AG47" s="412"/>
    </row>
    <row r="48" s="410" customFormat="true" ht="15" hidden="true" customHeight="true" outlineLevel="0" collapsed="false">
      <c r="A48" s="199" t="s">
        <v>1504</v>
      </c>
      <c r="B48" s="199" t="s">
        <v>417</v>
      </c>
      <c r="C48" s="405" t="n">
        <v>137</v>
      </c>
      <c r="D48" s="406" t="n">
        <v>63353</v>
      </c>
      <c r="E48" s="199" t="s">
        <v>1432</v>
      </c>
      <c r="F48" s="199" t="s">
        <v>1485</v>
      </c>
      <c r="G48" s="199" t="s">
        <v>431</v>
      </c>
      <c r="H48" s="199" t="s">
        <v>1434</v>
      </c>
      <c r="I48" s="199" t="s">
        <v>1434</v>
      </c>
      <c r="J48" s="199" t="s">
        <v>252</v>
      </c>
      <c r="K48" s="199" t="s">
        <v>1435</v>
      </c>
      <c r="L48" s="407" t="n">
        <v>38600</v>
      </c>
      <c r="M48" s="407" t="n">
        <v>20770</v>
      </c>
      <c r="N48" s="408" t="n">
        <v>7.5</v>
      </c>
      <c r="O48" s="407" t="n">
        <v>17830</v>
      </c>
      <c r="P48" s="407" t="n">
        <v>16492.7</v>
      </c>
      <c r="Q48" s="234" t="n">
        <v>2023</v>
      </c>
      <c r="R48" s="234"/>
      <c r="S48" s="248" t="n">
        <v>45079</v>
      </c>
      <c r="T48" s="407" t="n">
        <f aca="false">Таблица18[[#This Row],[Вес нетто]]-Таблица18[[#This Row],[Зачетный вес]]</f>
        <v>1337.3</v>
      </c>
      <c r="U48" s="409" t="n">
        <f aca="false">Таблица18[[#This Row],[Отход]]/Таблица18[[#This Row],[Вес нетто]]</f>
        <v>0.0750028042624789</v>
      </c>
      <c r="V48" s="234" t="n">
        <f aca="false">MONTH(Таблица18[[#This Row],[Дата акта]])</f>
        <v>6</v>
      </c>
      <c r="W48" s="234" t="n">
        <v>2</v>
      </c>
      <c r="X48" s="248" t="n">
        <f aca="false">DATE(1900,Таблица18[[#This Row],[Месяц]],Таблица18[[#This Row],[Число]])</f>
        <v>154</v>
      </c>
      <c r="Y48" s="234"/>
      <c r="AF48" s="411"/>
      <c r="AG48" s="412"/>
    </row>
    <row r="49" s="410" customFormat="true" ht="15" hidden="true" customHeight="true" outlineLevel="0" collapsed="false">
      <c r="A49" s="199" t="s">
        <v>1505</v>
      </c>
      <c r="B49" s="199" t="s">
        <v>417</v>
      </c>
      <c r="C49" s="405" t="n">
        <v>138</v>
      </c>
      <c r="D49" s="406" t="n">
        <v>3</v>
      </c>
      <c r="E49" s="199" t="s">
        <v>422</v>
      </c>
      <c r="F49" s="199" t="s">
        <v>380</v>
      </c>
      <c r="G49" s="199" t="s">
        <v>381</v>
      </c>
      <c r="H49" s="199" t="s">
        <v>1497</v>
      </c>
      <c r="I49" s="199" t="s">
        <v>1497</v>
      </c>
      <c r="J49" s="199" t="s">
        <v>252</v>
      </c>
      <c r="K49" s="199" t="s">
        <v>1435</v>
      </c>
      <c r="L49" s="407" t="n">
        <v>16430</v>
      </c>
      <c r="M49" s="407" t="n">
        <v>9630</v>
      </c>
      <c r="N49" s="408" t="n">
        <v>12</v>
      </c>
      <c r="O49" s="407" t="n">
        <v>6800</v>
      </c>
      <c r="P49" s="407" t="n">
        <v>5984</v>
      </c>
      <c r="Q49" s="234" t="n">
        <v>2023</v>
      </c>
      <c r="R49" s="234"/>
      <c r="S49" s="248" t="n">
        <v>45080</v>
      </c>
      <c r="T49" s="407" t="n">
        <f aca="false">Таблица18[[#This Row],[Вес нетто]]-Таблица18[[#This Row],[Зачетный вес]]</f>
        <v>816</v>
      </c>
      <c r="U49" s="409" t="n">
        <f aca="false">Таблица18[[#This Row],[Отход]]/Таблица18[[#This Row],[Вес нетто]]</f>
        <v>0.12</v>
      </c>
      <c r="V49" s="234" t="n">
        <f aca="false">MONTH(Таблица18[[#This Row],[Дата акта]])</f>
        <v>6</v>
      </c>
      <c r="W49" s="234" t="n">
        <v>3</v>
      </c>
      <c r="X49" s="248" t="n">
        <f aca="false">DATE(1900,Таблица18[[#This Row],[Месяц]],Таблица18[[#This Row],[Число]])</f>
        <v>155</v>
      </c>
      <c r="Y49" s="234"/>
      <c r="AF49" s="411"/>
      <c r="AG49" s="412"/>
    </row>
    <row r="50" s="410" customFormat="true" ht="15" hidden="true" customHeight="true" outlineLevel="0" collapsed="false">
      <c r="A50" s="199" t="s">
        <v>1506</v>
      </c>
      <c r="B50" s="199" t="s">
        <v>417</v>
      </c>
      <c r="C50" s="405" t="n">
        <v>139</v>
      </c>
      <c r="D50" s="406" t="n">
        <v>63357</v>
      </c>
      <c r="E50" s="199" t="s">
        <v>1432</v>
      </c>
      <c r="F50" s="199" t="s">
        <v>1449</v>
      </c>
      <c r="G50" s="199" t="s">
        <v>704</v>
      </c>
      <c r="H50" s="199" t="s">
        <v>1434</v>
      </c>
      <c r="I50" s="199" t="s">
        <v>1434</v>
      </c>
      <c r="J50" s="199" t="s">
        <v>252</v>
      </c>
      <c r="K50" s="199" t="s">
        <v>1435</v>
      </c>
      <c r="L50" s="407" t="n">
        <v>27700</v>
      </c>
      <c r="M50" s="407" t="n">
        <v>14500</v>
      </c>
      <c r="N50" s="408" t="n">
        <v>8.5</v>
      </c>
      <c r="O50" s="407" t="n">
        <v>13200</v>
      </c>
      <c r="P50" s="407" t="n">
        <v>12078</v>
      </c>
      <c r="Q50" s="234" t="n">
        <v>2023</v>
      </c>
      <c r="R50" s="234"/>
      <c r="S50" s="248" t="n">
        <v>45080</v>
      </c>
      <c r="T50" s="407" t="n">
        <f aca="false">Таблица18[[#This Row],[Вес нетто]]-Таблица18[[#This Row],[Зачетный вес]]</f>
        <v>1122</v>
      </c>
      <c r="U50" s="409" t="n">
        <f aca="false">Таблица18[[#This Row],[Отход]]/Таблица18[[#This Row],[Вес нетто]]</f>
        <v>0.085</v>
      </c>
      <c r="V50" s="234" t="n">
        <f aca="false">MONTH(Таблица18[[#This Row],[Дата акта]])</f>
        <v>6</v>
      </c>
      <c r="W50" s="234" t="n">
        <v>3</v>
      </c>
      <c r="X50" s="248" t="n">
        <f aca="false">DATE(1900,Таблица18[[#This Row],[Месяц]],Таблица18[[#This Row],[Число]])</f>
        <v>155</v>
      </c>
      <c r="Y50" s="234"/>
      <c r="AF50" s="411"/>
      <c r="AG50" s="412"/>
    </row>
    <row r="51" s="410" customFormat="true" ht="15" hidden="true" customHeight="true" outlineLevel="0" collapsed="false">
      <c r="A51" s="199" t="s">
        <v>1507</v>
      </c>
      <c r="B51" s="199" t="s">
        <v>417</v>
      </c>
      <c r="C51" s="405" t="n">
        <v>140</v>
      </c>
      <c r="D51" s="406" t="n">
        <v>63358</v>
      </c>
      <c r="E51" s="199" t="s">
        <v>1432</v>
      </c>
      <c r="F51" s="199" t="s">
        <v>1508</v>
      </c>
      <c r="G51" s="199" t="s">
        <v>426</v>
      </c>
      <c r="H51" s="199" t="s">
        <v>1434</v>
      </c>
      <c r="I51" s="199" t="s">
        <v>1434</v>
      </c>
      <c r="J51" s="199" t="s">
        <v>252</v>
      </c>
      <c r="K51" s="199" t="s">
        <v>1435</v>
      </c>
      <c r="L51" s="407" t="n">
        <v>27170</v>
      </c>
      <c r="M51" s="407" t="n">
        <v>13890</v>
      </c>
      <c r="N51" s="408" t="n">
        <v>10.5</v>
      </c>
      <c r="O51" s="407" t="n">
        <v>13280</v>
      </c>
      <c r="P51" s="407" t="n">
        <v>11885.6</v>
      </c>
      <c r="Q51" s="234" t="n">
        <v>2023</v>
      </c>
      <c r="R51" s="234"/>
      <c r="S51" s="248" t="n">
        <v>45080</v>
      </c>
      <c r="T51" s="407" t="n">
        <f aca="false">Таблица18[[#This Row],[Вес нетто]]-Таблица18[[#This Row],[Зачетный вес]]</f>
        <v>1394.4</v>
      </c>
      <c r="U51" s="409" t="n">
        <f aca="false">Таблица18[[#This Row],[Отход]]/Таблица18[[#This Row],[Вес нетто]]</f>
        <v>0.105</v>
      </c>
      <c r="V51" s="234" t="n">
        <f aca="false">MONTH(Таблица18[[#This Row],[Дата акта]])</f>
        <v>6</v>
      </c>
      <c r="W51" s="234" t="n">
        <v>3</v>
      </c>
      <c r="X51" s="248" t="n">
        <f aca="false">DATE(1900,Таблица18[[#This Row],[Месяц]],Таблица18[[#This Row],[Число]])</f>
        <v>155</v>
      </c>
      <c r="Y51" s="234"/>
      <c r="AF51" s="411"/>
      <c r="AG51" s="412"/>
    </row>
    <row r="52" s="410" customFormat="true" ht="15" hidden="true" customHeight="true" outlineLevel="0" collapsed="false">
      <c r="A52" s="199" t="s">
        <v>1509</v>
      </c>
      <c r="B52" s="199" t="s">
        <v>417</v>
      </c>
      <c r="C52" s="405" t="n">
        <v>141</v>
      </c>
      <c r="D52" s="406" t="n">
        <v>4</v>
      </c>
      <c r="E52" s="199" t="s">
        <v>422</v>
      </c>
      <c r="F52" s="199" t="s">
        <v>380</v>
      </c>
      <c r="G52" s="199" t="s">
        <v>381</v>
      </c>
      <c r="H52" s="199" t="s">
        <v>1497</v>
      </c>
      <c r="I52" s="199" t="s">
        <v>1497</v>
      </c>
      <c r="J52" s="199" t="s">
        <v>252</v>
      </c>
      <c r="K52" s="199" t="s">
        <v>1435</v>
      </c>
      <c r="L52" s="407" t="n">
        <v>14120</v>
      </c>
      <c r="M52" s="407" t="n">
        <v>9630</v>
      </c>
      <c r="N52" s="408" t="n">
        <v>13</v>
      </c>
      <c r="O52" s="407" t="n">
        <v>4490</v>
      </c>
      <c r="P52" s="407" t="n">
        <v>3906.3</v>
      </c>
      <c r="Q52" s="234" t="n">
        <v>2023</v>
      </c>
      <c r="R52" s="234"/>
      <c r="S52" s="248" t="n">
        <v>45080</v>
      </c>
      <c r="T52" s="407" t="n">
        <f aca="false">Таблица18[[#This Row],[Вес нетто]]-Таблица18[[#This Row],[Зачетный вес]]</f>
        <v>583.7</v>
      </c>
      <c r="U52" s="409" t="n">
        <f aca="false">Таблица18[[#This Row],[Отход]]/Таблица18[[#This Row],[Вес нетто]]</f>
        <v>0.13</v>
      </c>
      <c r="V52" s="234" t="n">
        <f aca="false">MONTH(Таблица18[[#This Row],[Дата акта]])</f>
        <v>6</v>
      </c>
      <c r="W52" s="234" t="n">
        <v>3</v>
      </c>
      <c r="X52" s="248" t="n">
        <f aca="false">DATE(1900,Таблица18[[#This Row],[Месяц]],Таблица18[[#This Row],[Число]])</f>
        <v>155</v>
      </c>
      <c r="Y52" s="234"/>
      <c r="AF52" s="411"/>
      <c r="AG52" s="412"/>
    </row>
    <row r="53" s="410" customFormat="true" ht="15" hidden="true" customHeight="true" outlineLevel="0" collapsed="false">
      <c r="A53" s="199" t="s">
        <v>1510</v>
      </c>
      <c r="B53" s="199" t="s">
        <v>417</v>
      </c>
      <c r="C53" s="405" t="n">
        <v>142</v>
      </c>
      <c r="D53" s="406" t="n">
        <v>63359</v>
      </c>
      <c r="E53" s="199" t="s">
        <v>1432</v>
      </c>
      <c r="F53" s="199" t="s">
        <v>1439</v>
      </c>
      <c r="G53" s="199" t="s">
        <v>1440</v>
      </c>
      <c r="H53" s="199" t="s">
        <v>1434</v>
      </c>
      <c r="I53" s="199" t="s">
        <v>1434</v>
      </c>
      <c r="J53" s="199" t="s">
        <v>252</v>
      </c>
      <c r="K53" s="199" t="s">
        <v>1435</v>
      </c>
      <c r="L53" s="407" t="n">
        <v>26280</v>
      </c>
      <c r="M53" s="407" t="n">
        <v>13190</v>
      </c>
      <c r="N53" s="408" t="n">
        <v>12.5</v>
      </c>
      <c r="O53" s="407" t="n">
        <v>13090</v>
      </c>
      <c r="P53" s="407" t="n">
        <v>11453.7</v>
      </c>
      <c r="Q53" s="234" t="n">
        <v>2023</v>
      </c>
      <c r="R53" s="234"/>
      <c r="S53" s="248" t="n">
        <v>45080</v>
      </c>
      <c r="T53" s="407" t="n">
        <f aca="false">Таблица18[[#This Row],[Вес нетто]]-Таблица18[[#This Row],[Зачетный вес]]</f>
        <v>1636.3</v>
      </c>
      <c r="U53" s="409" t="n">
        <f aca="false">Таблица18[[#This Row],[Отход]]/Таблица18[[#This Row],[Вес нетто]]</f>
        <v>0.125003819709702</v>
      </c>
      <c r="V53" s="234" t="n">
        <f aca="false">MONTH(Таблица18[[#This Row],[Дата акта]])</f>
        <v>6</v>
      </c>
      <c r="W53" s="234" t="n">
        <v>3</v>
      </c>
      <c r="X53" s="248" t="n">
        <f aca="false">DATE(1900,Таблица18[[#This Row],[Месяц]],Таблица18[[#This Row],[Число]])</f>
        <v>155</v>
      </c>
      <c r="Y53" s="234"/>
      <c r="AF53" s="411"/>
      <c r="AG53" s="412"/>
    </row>
    <row r="54" s="410" customFormat="true" ht="15" hidden="true" customHeight="true" outlineLevel="0" collapsed="false">
      <c r="A54" s="199" t="s">
        <v>1511</v>
      </c>
      <c r="B54" s="199" t="s">
        <v>417</v>
      </c>
      <c r="C54" s="405" t="n">
        <v>143</v>
      </c>
      <c r="D54" s="406" t="n">
        <v>63360</v>
      </c>
      <c r="E54" s="199" t="s">
        <v>1432</v>
      </c>
      <c r="F54" s="199" t="s">
        <v>1488</v>
      </c>
      <c r="G54" s="199" t="s">
        <v>1444</v>
      </c>
      <c r="H54" s="199" t="s">
        <v>1434</v>
      </c>
      <c r="I54" s="199" t="s">
        <v>1434</v>
      </c>
      <c r="J54" s="199" t="s">
        <v>252</v>
      </c>
      <c r="K54" s="199" t="s">
        <v>1435</v>
      </c>
      <c r="L54" s="407" t="n">
        <v>28590</v>
      </c>
      <c r="M54" s="407" t="n">
        <v>15460</v>
      </c>
      <c r="N54" s="408" t="n">
        <v>13.5</v>
      </c>
      <c r="O54" s="407" t="n">
        <v>13130</v>
      </c>
      <c r="P54" s="407" t="n">
        <v>11357.4</v>
      </c>
      <c r="Q54" s="234" t="n">
        <v>2023</v>
      </c>
      <c r="R54" s="234"/>
      <c r="S54" s="248" t="n">
        <v>45080</v>
      </c>
      <c r="T54" s="407" t="n">
        <f aca="false">Таблица18[[#This Row],[Вес нетто]]-Таблица18[[#This Row],[Зачетный вес]]</f>
        <v>1772.6</v>
      </c>
      <c r="U54" s="409" t="n">
        <f aca="false">Таблица18[[#This Row],[Отход]]/Таблица18[[#This Row],[Вес нетто]]</f>
        <v>0.135003808073115</v>
      </c>
      <c r="V54" s="234" t="n">
        <f aca="false">MONTH(Таблица18[[#This Row],[Дата акта]])</f>
        <v>6</v>
      </c>
      <c r="W54" s="234" t="n">
        <v>3</v>
      </c>
      <c r="X54" s="248" t="n">
        <f aca="false">DATE(1900,Таблица18[[#This Row],[Месяц]],Таблица18[[#This Row],[Число]])</f>
        <v>155</v>
      </c>
      <c r="Y54" s="234"/>
      <c r="AF54" s="411"/>
      <c r="AG54" s="412"/>
    </row>
    <row r="55" s="410" customFormat="true" ht="15" hidden="true" customHeight="true" outlineLevel="0" collapsed="false">
      <c r="A55" s="199" t="s">
        <v>1512</v>
      </c>
      <c r="B55" s="199" t="s">
        <v>417</v>
      </c>
      <c r="C55" s="405" t="n">
        <v>144</v>
      </c>
      <c r="D55" s="406" t="n">
        <v>5</v>
      </c>
      <c r="E55" s="199" t="s">
        <v>422</v>
      </c>
      <c r="F55" s="199" t="s">
        <v>376</v>
      </c>
      <c r="G55" s="199" t="s">
        <v>377</v>
      </c>
      <c r="H55" s="199" t="s">
        <v>1513</v>
      </c>
      <c r="I55" s="199" t="s">
        <v>1513</v>
      </c>
      <c r="J55" s="199" t="s">
        <v>252</v>
      </c>
      <c r="K55" s="199" t="s">
        <v>1435</v>
      </c>
      <c r="L55" s="407" t="n">
        <v>16630</v>
      </c>
      <c r="M55" s="407" t="n">
        <v>9740</v>
      </c>
      <c r="N55" s="408" t="n">
        <v>14</v>
      </c>
      <c r="O55" s="407" t="n">
        <v>6890</v>
      </c>
      <c r="P55" s="407" t="n">
        <v>5925.4</v>
      </c>
      <c r="Q55" s="234" t="n">
        <v>2023</v>
      </c>
      <c r="R55" s="234"/>
      <c r="S55" s="248" t="n">
        <v>45080</v>
      </c>
      <c r="T55" s="407" t="n">
        <f aca="false">Таблица18[[#This Row],[Вес нетто]]-Таблица18[[#This Row],[Зачетный вес]]</f>
        <v>964.6</v>
      </c>
      <c r="U55" s="409" t="n">
        <f aca="false">Таблица18[[#This Row],[Отход]]/Таблица18[[#This Row],[Вес нетто]]</f>
        <v>0.14</v>
      </c>
      <c r="V55" s="234" t="n">
        <f aca="false">MONTH(Таблица18[[#This Row],[Дата акта]])</f>
        <v>6</v>
      </c>
      <c r="W55" s="234" t="n">
        <v>3</v>
      </c>
      <c r="X55" s="248" t="n">
        <f aca="false">DATE(1900,Таблица18[[#This Row],[Месяц]],Таблица18[[#This Row],[Число]])</f>
        <v>155</v>
      </c>
      <c r="Y55" s="234"/>
      <c r="AF55" s="411"/>
      <c r="AG55" s="412"/>
    </row>
    <row r="56" s="410" customFormat="true" ht="15" hidden="true" customHeight="true" outlineLevel="0" collapsed="false">
      <c r="A56" s="199" t="s">
        <v>1514</v>
      </c>
      <c r="B56" s="199" t="s">
        <v>417</v>
      </c>
      <c r="C56" s="405" t="n">
        <v>145</v>
      </c>
      <c r="D56" s="406" t="n">
        <v>63363</v>
      </c>
      <c r="E56" s="199" t="s">
        <v>1432</v>
      </c>
      <c r="F56" s="199" t="s">
        <v>55</v>
      </c>
      <c r="G56" s="199" t="s">
        <v>56</v>
      </c>
      <c r="H56" s="199" t="s">
        <v>1434</v>
      </c>
      <c r="I56" s="199" t="s">
        <v>1434</v>
      </c>
      <c r="J56" s="199" t="s">
        <v>252</v>
      </c>
      <c r="K56" s="199" t="s">
        <v>1435</v>
      </c>
      <c r="L56" s="407" t="n">
        <v>27700</v>
      </c>
      <c r="M56" s="407" t="n">
        <v>14450</v>
      </c>
      <c r="N56" s="408" t="n">
        <v>14.5</v>
      </c>
      <c r="O56" s="407" t="n">
        <v>13250</v>
      </c>
      <c r="P56" s="407" t="n">
        <v>11328.7</v>
      </c>
      <c r="Q56" s="234" t="n">
        <v>2023</v>
      </c>
      <c r="R56" s="234"/>
      <c r="S56" s="248" t="n">
        <v>45080</v>
      </c>
      <c r="T56" s="407" t="n">
        <f aca="false">Таблица18[[#This Row],[Вес нетто]]-Таблица18[[#This Row],[Зачетный вес]]</f>
        <v>1921.3</v>
      </c>
      <c r="U56" s="409" t="n">
        <f aca="false">Таблица18[[#This Row],[Отход]]/Таблица18[[#This Row],[Вес нетто]]</f>
        <v>0.145003773584906</v>
      </c>
      <c r="V56" s="234" t="n">
        <f aca="false">MONTH(Таблица18[[#This Row],[Дата акта]])</f>
        <v>6</v>
      </c>
      <c r="W56" s="234" t="n">
        <v>3</v>
      </c>
      <c r="X56" s="248" t="n">
        <f aca="false">DATE(1900,Таблица18[[#This Row],[Месяц]],Таблица18[[#This Row],[Число]])</f>
        <v>155</v>
      </c>
      <c r="Y56" s="234"/>
      <c r="AF56" s="411"/>
      <c r="AG56" s="412"/>
    </row>
    <row r="57" s="410" customFormat="true" ht="15" hidden="true" customHeight="true" outlineLevel="0" collapsed="false">
      <c r="A57" s="199" t="s">
        <v>1515</v>
      </c>
      <c r="B57" s="199" t="s">
        <v>417</v>
      </c>
      <c r="C57" s="405" t="n">
        <v>146</v>
      </c>
      <c r="D57" s="406" t="n">
        <v>63361</v>
      </c>
      <c r="E57" s="199" t="s">
        <v>1432</v>
      </c>
      <c r="F57" s="199" t="s">
        <v>395</v>
      </c>
      <c r="G57" s="199" t="s">
        <v>566</v>
      </c>
      <c r="H57" s="199" t="s">
        <v>1434</v>
      </c>
      <c r="I57" s="199" t="s">
        <v>1434</v>
      </c>
      <c r="J57" s="199" t="s">
        <v>1516</v>
      </c>
      <c r="K57" s="199" t="s">
        <v>1435</v>
      </c>
      <c r="L57" s="407" t="n">
        <v>27640</v>
      </c>
      <c r="M57" s="407" t="n">
        <v>14370</v>
      </c>
      <c r="N57" s="408" t="n">
        <v>14.5</v>
      </c>
      <c r="O57" s="407" t="n">
        <v>13270</v>
      </c>
      <c r="P57" s="407" t="n">
        <v>11345.8</v>
      </c>
      <c r="Q57" s="234" t="n">
        <v>2023</v>
      </c>
      <c r="R57" s="234"/>
      <c r="S57" s="248" t="n">
        <v>45080</v>
      </c>
      <c r="T57" s="407" t="n">
        <f aca="false">Таблица18[[#This Row],[Вес нетто]]-Таблица18[[#This Row],[Зачетный вес]]</f>
        <v>1924.2</v>
      </c>
      <c r="U57" s="409" t="n">
        <f aca="false">Таблица18[[#This Row],[Отход]]/Таблица18[[#This Row],[Вес нетто]]</f>
        <v>0.145003767897513</v>
      </c>
      <c r="V57" s="234" t="n">
        <f aca="false">MONTH(Таблица18[[#This Row],[Дата акта]])</f>
        <v>6</v>
      </c>
      <c r="W57" s="234" t="n">
        <v>3</v>
      </c>
      <c r="X57" s="248" t="n">
        <f aca="false">DATE(1900,Таблица18[[#This Row],[Месяц]],Таблица18[[#This Row],[Число]])</f>
        <v>155</v>
      </c>
      <c r="Y57" s="234"/>
      <c r="AF57" s="411"/>
      <c r="AG57" s="412"/>
    </row>
    <row r="58" s="410" customFormat="true" ht="15" hidden="true" customHeight="true" outlineLevel="0" collapsed="false">
      <c r="A58" s="199" t="s">
        <v>1517</v>
      </c>
      <c r="B58" s="199" t="s">
        <v>417</v>
      </c>
      <c r="C58" s="405" t="n">
        <v>147</v>
      </c>
      <c r="D58" s="406" t="n">
        <v>6</v>
      </c>
      <c r="E58" s="199" t="s">
        <v>422</v>
      </c>
      <c r="F58" s="199" t="s">
        <v>376</v>
      </c>
      <c r="G58" s="199" t="s">
        <v>377</v>
      </c>
      <c r="H58" s="199" t="s">
        <v>1513</v>
      </c>
      <c r="I58" s="199" t="s">
        <v>1513</v>
      </c>
      <c r="J58" s="199" t="s">
        <v>252</v>
      </c>
      <c r="K58" s="199" t="s">
        <v>1435</v>
      </c>
      <c r="L58" s="407" t="n">
        <v>14370</v>
      </c>
      <c r="M58" s="407" t="n">
        <v>9730</v>
      </c>
      <c r="N58" s="408" t="n">
        <v>15</v>
      </c>
      <c r="O58" s="407" t="n">
        <v>4640</v>
      </c>
      <c r="P58" s="407" t="n">
        <v>3944</v>
      </c>
      <c r="Q58" s="234" t="n">
        <v>2023</v>
      </c>
      <c r="R58" s="234"/>
      <c r="S58" s="248" t="n">
        <v>45080</v>
      </c>
      <c r="T58" s="407" t="n">
        <f aca="false">Таблица18[[#This Row],[Вес нетто]]-Таблица18[[#This Row],[Зачетный вес]]</f>
        <v>696</v>
      </c>
      <c r="U58" s="409" t="n">
        <f aca="false">Таблица18[[#This Row],[Отход]]/Таблица18[[#This Row],[Вес нетто]]</f>
        <v>0.15</v>
      </c>
      <c r="V58" s="234" t="n">
        <f aca="false">MONTH(Таблица18[[#This Row],[Дата акта]])</f>
        <v>6</v>
      </c>
      <c r="W58" s="234" t="n">
        <v>3</v>
      </c>
      <c r="X58" s="248" t="n">
        <f aca="false">DATE(1900,Таблица18[[#This Row],[Месяц]],Таблица18[[#This Row],[Число]])</f>
        <v>155</v>
      </c>
      <c r="Y58" s="234"/>
      <c r="AF58" s="411"/>
      <c r="AG58" s="412"/>
    </row>
    <row r="59" s="410" customFormat="true" ht="15" hidden="true" customHeight="true" outlineLevel="0" collapsed="false">
      <c r="A59" s="199" t="s">
        <v>1518</v>
      </c>
      <c r="B59" s="199" t="s">
        <v>417</v>
      </c>
      <c r="C59" s="405" t="n">
        <v>148</v>
      </c>
      <c r="D59" s="406" t="n">
        <v>63362</v>
      </c>
      <c r="E59" s="199" t="s">
        <v>1432</v>
      </c>
      <c r="F59" s="199" t="s">
        <v>1519</v>
      </c>
      <c r="G59" s="199" t="s">
        <v>49</v>
      </c>
      <c r="H59" s="199" t="s">
        <v>1434</v>
      </c>
      <c r="I59" s="199" t="s">
        <v>1434</v>
      </c>
      <c r="J59" s="199" t="s">
        <v>1516</v>
      </c>
      <c r="K59" s="199" t="s">
        <v>1435</v>
      </c>
      <c r="L59" s="407" t="n">
        <v>28040</v>
      </c>
      <c r="M59" s="407" t="n">
        <v>14860</v>
      </c>
      <c r="N59" s="408" t="n">
        <v>14.5</v>
      </c>
      <c r="O59" s="407" t="n">
        <v>13180</v>
      </c>
      <c r="P59" s="407" t="n">
        <v>11268.9</v>
      </c>
      <c r="Q59" s="234" t="n">
        <v>2023</v>
      </c>
      <c r="R59" s="234"/>
      <c r="S59" s="248" t="n">
        <v>45080</v>
      </c>
      <c r="T59" s="407" t="n">
        <f aca="false">Таблица18[[#This Row],[Вес нетто]]-Таблица18[[#This Row],[Зачетный вес]]</f>
        <v>1911.1</v>
      </c>
      <c r="U59" s="409" t="n">
        <f aca="false">Таблица18[[#This Row],[Отход]]/Таблица18[[#This Row],[Вес нетто]]</f>
        <v>0.145</v>
      </c>
      <c r="V59" s="234" t="n">
        <f aca="false">MONTH(Таблица18[[#This Row],[Дата акта]])</f>
        <v>6</v>
      </c>
      <c r="W59" s="234" t="n">
        <v>3</v>
      </c>
      <c r="X59" s="248" t="n">
        <f aca="false">DATE(1900,Таблица18[[#This Row],[Месяц]],Таблица18[[#This Row],[Число]])</f>
        <v>155</v>
      </c>
      <c r="Y59" s="234"/>
      <c r="AF59" s="411"/>
      <c r="AG59" s="412"/>
    </row>
    <row r="60" s="410" customFormat="true" ht="15" hidden="true" customHeight="true" outlineLevel="0" collapsed="false">
      <c r="A60" s="199" t="s">
        <v>1520</v>
      </c>
      <c r="B60" s="199" t="s">
        <v>746</v>
      </c>
      <c r="C60" s="405" t="n">
        <v>149</v>
      </c>
      <c r="D60" s="406" t="n">
        <v>63364</v>
      </c>
      <c r="E60" s="199" t="s">
        <v>1432</v>
      </c>
      <c r="F60" s="199" t="s">
        <v>371</v>
      </c>
      <c r="G60" s="199" t="s">
        <v>372</v>
      </c>
      <c r="H60" s="199" t="s">
        <v>1434</v>
      </c>
      <c r="I60" s="199" t="s">
        <v>1434</v>
      </c>
      <c r="J60" s="199" t="s">
        <v>1516</v>
      </c>
      <c r="K60" s="199" t="s">
        <v>1435</v>
      </c>
      <c r="L60" s="407" t="n">
        <v>28380</v>
      </c>
      <c r="M60" s="407" t="n">
        <v>15020</v>
      </c>
      <c r="N60" s="408" t="n">
        <v>12.5</v>
      </c>
      <c r="O60" s="407" t="n">
        <v>13360</v>
      </c>
      <c r="P60" s="407" t="n">
        <v>11690</v>
      </c>
      <c r="Q60" s="234" t="n">
        <v>2023</v>
      </c>
      <c r="R60" s="234"/>
      <c r="S60" s="248" t="n">
        <v>45080</v>
      </c>
      <c r="T60" s="407" t="n">
        <f aca="false">Таблица18[[#This Row],[Вес нетто]]-Таблица18[[#This Row],[Зачетный вес]]</f>
        <v>1670</v>
      </c>
      <c r="U60" s="409" t="n">
        <f aca="false">Таблица18[[#This Row],[Отход]]/Таблица18[[#This Row],[Вес нетто]]</f>
        <v>0.125</v>
      </c>
      <c r="V60" s="234" t="n">
        <f aca="false">MONTH(Таблица18[[#This Row],[Дата акта]])</f>
        <v>6</v>
      </c>
      <c r="W60" s="234" t="n">
        <v>3</v>
      </c>
      <c r="X60" s="248" t="n">
        <f aca="false">DATE(1900,Таблица18[[#This Row],[Месяц]],Таблица18[[#This Row],[Число]])</f>
        <v>155</v>
      </c>
      <c r="Y60" s="234"/>
      <c r="AF60" s="411"/>
      <c r="AG60" s="412"/>
    </row>
    <row r="61" s="410" customFormat="true" ht="15" hidden="true" customHeight="true" outlineLevel="0" collapsed="false">
      <c r="A61" s="199" t="s">
        <v>1521</v>
      </c>
      <c r="B61" s="199" t="s">
        <v>417</v>
      </c>
      <c r="C61" s="405" t="n">
        <v>150</v>
      </c>
      <c r="D61" s="406" t="n">
        <v>7</v>
      </c>
      <c r="E61" s="199" t="s">
        <v>422</v>
      </c>
      <c r="F61" s="199" t="s">
        <v>1433</v>
      </c>
      <c r="G61" s="199" t="s">
        <v>377</v>
      </c>
      <c r="H61" s="199" t="s">
        <v>1513</v>
      </c>
      <c r="I61" s="199" t="s">
        <v>1513</v>
      </c>
      <c r="J61" s="199" t="s">
        <v>252</v>
      </c>
      <c r="K61" s="199" t="s">
        <v>1435</v>
      </c>
      <c r="L61" s="407" t="n">
        <v>16720</v>
      </c>
      <c r="M61" s="407" t="n">
        <v>9740</v>
      </c>
      <c r="N61" s="408" t="n">
        <v>12</v>
      </c>
      <c r="O61" s="407" t="n">
        <v>6980</v>
      </c>
      <c r="P61" s="407" t="n">
        <v>6142.4</v>
      </c>
      <c r="Q61" s="234" t="n">
        <v>2023</v>
      </c>
      <c r="R61" s="234"/>
      <c r="S61" s="248" t="n">
        <v>45080</v>
      </c>
      <c r="T61" s="407" t="n">
        <f aca="false">Таблица18[[#This Row],[Вес нетто]]-Таблица18[[#This Row],[Зачетный вес]]</f>
        <v>837.6</v>
      </c>
      <c r="U61" s="409" t="n">
        <f aca="false">Таблица18[[#This Row],[Отход]]/Таблица18[[#This Row],[Вес нетто]]</f>
        <v>0.12</v>
      </c>
      <c r="V61" s="234" t="n">
        <f aca="false">MONTH(Таблица18[[#This Row],[Дата акта]])</f>
        <v>6</v>
      </c>
      <c r="W61" s="234" t="n">
        <v>3</v>
      </c>
      <c r="X61" s="248" t="n">
        <f aca="false">DATE(1900,Таблица18[[#This Row],[Месяц]],Таблица18[[#This Row],[Число]])</f>
        <v>155</v>
      </c>
      <c r="Y61" s="234"/>
      <c r="AF61" s="411"/>
      <c r="AG61" s="412"/>
    </row>
    <row r="62" s="410" customFormat="true" ht="15" hidden="true" customHeight="true" outlineLevel="0" collapsed="false">
      <c r="A62" s="199" t="s">
        <v>1522</v>
      </c>
      <c r="B62" s="199" t="s">
        <v>746</v>
      </c>
      <c r="C62" s="405" t="n">
        <v>151</v>
      </c>
      <c r="D62" s="406" t="n">
        <v>63365</v>
      </c>
      <c r="E62" s="199" t="s">
        <v>1432</v>
      </c>
      <c r="F62" s="199" t="s">
        <v>1523</v>
      </c>
      <c r="G62" s="199" t="s">
        <v>1447</v>
      </c>
      <c r="H62" s="199" t="s">
        <v>1434</v>
      </c>
      <c r="I62" s="199" t="s">
        <v>1434</v>
      </c>
      <c r="J62" s="199" t="s">
        <v>1516</v>
      </c>
      <c r="K62" s="199" t="s">
        <v>1435</v>
      </c>
      <c r="L62" s="407" t="n">
        <v>28100</v>
      </c>
      <c r="M62" s="407" t="n">
        <v>14670</v>
      </c>
      <c r="N62" s="408" t="n">
        <v>11.5</v>
      </c>
      <c r="O62" s="407" t="n">
        <v>13430</v>
      </c>
      <c r="P62" s="407" t="n">
        <v>11885.5</v>
      </c>
      <c r="Q62" s="234" t="n">
        <v>2023</v>
      </c>
      <c r="R62" s="234"/>
      <c r="S62" s="248" t="n">
        <v>45080</v>
      </c>
      <c r="T62" s="407" t="n">
        <f aca="false">Таблица18[[#This Row],[Вес нетто]]-Таблица18[[#This Row],[Зачетный вес]]</f>
        <v>1544.5</v>
      </c>
      <c r="U62" s="409" t="n">
        <f aca="false">Таблица18[[#This Row],[Отход]]/Таблица18[[#This Row],[Вес нетто]]</f>
        <v>0.115003723008191</v>
      </c>
      <c r="V62" s="234" t="n">
        <f aca="false">MONTH(Таблица18[[#This Row],[Дата акта]])</f>
        <v>6</v>
      </c>
      <c r="W62" s="234" t="n">
        <v>3</v>
      </c>
      <c r="X62" s="248" t="n">
        <f aca="false">DATE(1900,Таблица18[[#This Row],[Месяц]],Таблица18[[#This Row],[Число]])</f>
        <v>155</v>
      </c>
      <c r="Y62" s="234"/>
      <c r="AF62" s="411"/>
      <c r="AG62" s="412"/>
    </row>
    <row r="63" s="410" customFormat="true" ht="15" hidden="true" customHeight="true" outlineLevel="0" collapsed="false">
      <c r="A63" s="199" t="s">
        <v>1524</v>
      </c>
      <c r="B63" s="199" t="s">
        <v>746</v>
      </c>
      <c r="C63" s="405" t="n">
        <v>152</v>
      </c>
      <c r="D63" s="406" t="n">
        <v>63366</v>
      </c>
      <c r="E63" s="199" t="s">
        <v>1432</v>
      </c>
      <c r="F63" s="199" t="s">
        <v>359</v>
      </c>
      <c r="G63" s="199" t="s">
        <v>426</v>
      </c>
      <c r="H63" s="199" t="s">
        <v>1434</v>
      </c>
      <c r="I63" s="199" t="s">
        <v>1434</v>
      </c>
      <c r="J63" s="199" t="s">
        <v>1516</v>
      </c>
      <c r="K63" s="199" t="s">
        <v>1435</v>
      </c>
      <c r="L63" s="407" t="n">
        <v>27270</v>
      </c>
      <c r="M63" s="407" t="n">
        <v>13890</v>
      </c>
      <c r="N63" s="408" t="n">
        <v>11.5</v>
      </c>
      <c r="O63" s="407" t="n">
        <v>13380</v>
      </c>
      <c r="P63" s="407" t="n">
        <v>11841.3</v>
      </c>
      <c r="Q63" s="234" t="n">
        <v>2023</v>
      </c>
      <c r="R63" s="234"/>
      <c r="S63" s="248" t="n">
        <v>45080</v>
      </c>
      <c r="T63" s="407" t="n">
        <f aca="false">Таблица18[[#This Row],[Вес нетто]]-Таблица18[[#This Row],[Зачетный вес]]</f>
        <v>1538.7</v>
      </c>
      <c r="U63" s="409" t="n">
        <f aca="false">Таблица18[[#This Row],[Отход]]/Таблица18[[#This Row],[Вес нетто]]</f>
        <v>0.115</v>
      </c>
      <c r="V63" s="234" t="n">
        <f aca="false">MONTH(Таблица18[[#This Row],[Дата акта]])</f>
        <v>6</v>
      </c>
      <c r="W63" s="234" t="n">
        <v>3</v>
      </c>
      <c r="X63" s="248" t="n">
        <f aca="false">DATE(1900,Таблица18[[#This Row],[Месяц]],Таблица18[[#This Row],[Число]])</f>
        <v>155</v>
      </c>
      <c r="Y63" s="234"/>
      <c r="AF63" s="411"/>
      <c r="AG63" s="412"/>
    </row>
    <row r="64" s="410" customFormat="true" ht="15" hidden="true" customHeight="true" outlineLevel="0" collapsed="false">
      <c r="A64" s="199" t="s">
        <v>1525</v>
      </c>
      <c r="B64" s="199" t="s">
        <v>746</v>
      </c>
      <c r="C64" s="405" t="n">
        <v>153</v>
      </c>
      <c r="D64" s="406" t="n">
        <v>63367</v>
      </c>
      <c r="E64" s="199" t="s">
        <v>1432</v>
      </c>
      <c r="F64" s="199" t="s">
        <v>1476</v>
      </c>
      <c r="G64" s="199" t="s">
        <v>1478</v>
      </c>
      <c r="H64" s="199" t="s">
        <v>1434</v>
      </c>
      <c r="I64" s="199" t="s">
        <v>1434</v>
      </c>
      <c r="J64" s="199" t="s">
        <v>1516</v>
      </c>
      <c r="K64" s="199" t="s">
        <v>1435</v>
      </c>
      <c r="L64" s="407" t="n">
        <v>27530</v>
      </c>
      <c r="M64" s="407" t="n">
        <v>14230</v>
      </c>
      <c r="N64" s="408" t="n">
        <v>9.5</v>
      </c>
      <c r="O64" s="407" t="n">
        <v>13300</v>
      </c>
      <c r="P64" s="407" t="n">
        <v>12036.5</v>
      </c>
      <c r="Q64" s="234" t="n">
        <v>2023</v>
      </c>
      <c r="R64" s="234"/>
      <c r="S64" s="248" t="n">
        <v>45080</v>
      </c>
      <c r="T64" s="407" t="n">
        <f aca="false">Таблица18[[#This Row],[Вес нетто]]-Таблица18[[#This Row],[Зачетный вес]]</f>
        <v>1263.5</v>
      </c>
      <c r="U64" s="409" t="n">
        <f aca="false">Таблица18[[#This Row],[Отход]]/Таблица18[[#This Row],[Вес нетто]]</f>
        <v>0.095</v>
      </c>
      <c r="V64" s="234" t="n">
        <f aca="false">MONTH(Таблица18[[#This Row],[Дата акта]])</f>
        <v>6</v>
      </c>
      <c r="W64" s="234" t="n">
        <v>3</v>
      </c>
      <c r="X64" s="248" t="n">
        <f aca="false">DATE(1900,Таблица18[[#This Row],[Месяц]],Таблица18[[#This Row],[Число]])</f>
        <v>155</v>
      </c>
      <c r="Y64" s="234"/>
      <c r="AF64" s="411"/>
      <c r="AG64" s="412"/>
    </row>
    <row r="65" s="410" customFormat="true" ht="15" hidden="true" customHeight="true" outlineLevel="0" collapsed="false">
      <c r="A65" s="199" t="s">
        <v>1526</v>
      </c>
      <c r="B65" s="199" t="s">
        <v>746</v>
      </c>
      <c r="C65" s="405" t="n">
        <v>154</v>
      </c>
      <c r="D65" s="406" t="n">
        <v>63368</v>
      </c>
      <c r="E65" s="199" t="s">
        <v>1432</v>
      </c>
      <c r="F65" s="199" t="s">
        <v>457</v>
      </c>
      <c r="G65" s="199" t="s">
        <v>366</v>
      </c>
      <c r="H65" s="199" t="s">
        <v>1434</v>
      </c>
      <c r="I65" s="199" t="s">
        <v>1434</v>
      </c>
      <c r="J65" s="199" t="s">
        <v>252</v>
      </c>
      <c r="K65" s="199" t="s">
        <v>1435</v>
      </c>
      <c r="L65" s="407" t="n">
        <v>33160</v>
      </c>
      <c r="M65" s="407" t="n">
        <v>17310</v>
      </c>
      <c r="N65" s="408" t="n">
        <v>10.5</v>
      </c>
      <c r="O65" s="407" t="n">
        <v>15850</v>
      </c>
      <c r="P65" s="407" t="n">
        <v>14185.7</v>
      </c>
      <c r="Q65" s="234" t="n">
        <v>2023</v>
      </c>
      <c r="R65" s="234"/>
      <c r="S65" s="248" t="n">
        <v>45080</v>
      </c>
      <c r="T65" s="407" t="n">
        <f aca="false">Таблица18[[#This Row],[Вес нетто]]-Таблица18[[#This Row],[Зачетный вес]]</f>
        <v>1664.3</v>
      </c>
      <c r="U65" s="409" t="n">
        <f aca="false">Таблица18[[#This Row],[Отход]]/Таблица18[[#This Row],[Вес нетто]]</f>
        <v>0.105003154574132</v>
      </c>
      <c r="V65" s="234" t="n">
        <f aca="false">MONTH(Таблица18[[#This Row],[Дата акта]])</f>
        <v>6</v>
      </c>
      <c r="W65" s="234" t="n">
        <v>3</v>
      </c>
      <c r="X65" s="248" t="n">
        <f aca="false">DATE(1900,Таблица18[[#This Row],[Месяц]],Таблица18[[#This Row],[Число]])</f>
        <v>155</v>
      </c>
      <c r="Y65" s="234"/>
      <c r="AF65" s="411"/>
      <c r="AG65" s="412"/>
    </row>
    <row r="66" s="410" customFormat="true" ht="15" hidden="true" customHeight="true" outlineLevel="0" collapsed="false">
      <c r="A66" s="199" t="s">
        <v>1527</v>
      </c>
      <c r="B66" s="199" t="s">
        <v>746</v>
      </c>
      <c r="C66" s="405" t="n">
        <v>155</v>
      </c>
      <c r="D66" s="406" t="n">
        <v>63369</v>
      </c>
      <c r="E66" s="199" t="s">
        <v>1432</v>
      </c>
      <c r="F66" s="199" t="s">
        <v>1439</v>
      </c>
      <c r="G66" s="199" t="s">
        <v>1440</v>
      </c>
      <c r="H66" s="199" t="s">
        <v>1434</v>
      </c>
      <c r="I66" s="199" t="s">
        <v>1434</v>
      </c>
      <c r="J66" s="199" t="s">
        <v>1516</v>
      </c>
      <c r="K66" s="199" t="s">
        <v>1435</v>
      </c>
      <c r="L66" s="407" t="n">
        <v>26490</v>
      </c>
      <c r="M66" s="407" t="n">
        <v>13180</v>
      </c>
      <c r="N66" s="408" t="n">
        <v>11.5</v>
      </c>
      <c r="O66" s="407" t="n">
        <v>13310</v>
      </c>
      <c r="P66" s="407" t="n">
        <v>11779.3</v>
      </c>
      <c r="Q66" s="234" t="n">
        <v>2023</v>
      </c>
      <c r="R66" s="234"/>
      <c r="S66" s="248" t="n">
        <v>45080</v>
      </c>
      <c r="T66" s="407" t="n">
        <f aca="false">Таблица18[[#This Row],[Вес нетто]]-Таблица18[[#This Row],[Зачетный вес]]</f>
        <v>1530.7</v>
      </c>
      <c r="U66" s="409" t="n">
        <f aca="false">Таблица18[[#This Row],[Отход]]/Таблица18[[#This Row],[Вес нетто]]</f>
        <v>0.115003756574005</v>
      </c>
      <c r="V66" s="234" t="n">
        <f aca="false">MONTH(Таблица18[[#This Row],[Дата акта]])</f>
        <v>6</v>
      </c>
      <c r="W66" s="234" t="n">
        <v>3</v>
      </c>
      <c r="X66" s="248" t="n">
        <f aca="false">DATE(1900,Таблица18[[#This Row],[Месяц]],Таблица18[[#This Row],[Число]])</f>
        <v>155</v>
      </c>
      <c r="Y66" s="234"/>
      <c r="AF66" s="411"/>
      <c r="AG66" s="412"/>
    </row>
    <row r="67" s="410" customFormat="true" ht="15" hidden="true" customHeight="true" outlineLevel="0" collapsed="false">
      <c r="A67" s="199" t="s">
        <v>1528</v>
      </c>
      <c r="B67" s="199" t="s">
        <v>746</v>
      </c>
      <c r="C67" s="405" t="n">
        <v>156</v>
      </c>
      <c r="D67" s="406" t="n">
        <v>63370</v>
      </c>
      <c r="E67" s="199" t="s">
        <v>1432</v>
      </c>
      <c r="F67" s="199" t="s">
        <v>1485</v>
      </c>
      <c r="G67" s="199" t="s">
        <v>431</v>
      </c>
      <c r="H67" s="199" t="s">
        <v>1434</v>
      </c>
      <c r="I67" s="199" t="s">
        <v>1434</v>
      </c>
      <c r="J67" s="199" t="s">
        <v>1516</v>
      </c>
      <c r="K67" s="199" t="s">
        <v>1435</v>
      </c>
      <c r="L67" s="407" t="n">
        <v>38650</v>
      </c>
      <c r="M67" s="407" t="n">
        <v>21010</v>
      </c>
      <c r="N67" s="408" t="n">
        <v>8.5</v>
      </c>
      <c r="O67" s="407" t="n">
        <v>17640</v>
      </c>
      <c r="P67" s="407" t="n">
        <v>16140.6</v>
      </c>
      <c r="Q67" s="234" t="n">
        <v>2023</v>
      </c>
      <c r="R67" s="234"/>
      <c r="S67" s="248" t="n">
        <v>45081</v>
      </c>
      <c r="T67" s="407" t="n">
        <f aca="false">Таблица18[[#This Row],[Вес нетто]]-Таблица18[[#This Row],[Зачетный вес]]</f>
        <v>1499.4</v>
      </c>
      <c r="U67" s="409" t="n">
        <f aca="false">Таблица18[[#This Row],[Отход]]/Таблица18[[#This Row],[Вес нетто]]</f>
        <v>0.085</v>
      </c>
      <c r="V67" s="234" t="n">
        <f aca="false">MONTH(Таблица18[[#This Row],[Дата акта]])</f>
        <v>6</v>
      </c>
      <c r="W67" s="234" t="n">
        <v>4</v>
      </c>
      <c r="X67" s="248" t="n">
        <f aca="false">DATE(1900,Таблица18[[#This Row],[Месяц]],Таблица18[[#This Row],[Число]])</f>
        <v>156</v>
      </c>
      <c r="Y67" s="234"/>
      <c r="AF67" s="411"/>
      <c r="AG67" s="412"/>
    </row>
    <row r="68" s="410" customFormat="true" ht="15" hidden="true" customHeight="true" outlineLevel="0" collapsed="false">
      <c r="A68" s="199" t="s">
        <v>1529</v>
      </c>
      <c r="B68" s="199" t="s">
        <v>746</v>
      </c>
      <c r="C68" s="405" t="n">
        <v>157</v>
      </c>
      <c r="D68" s="406" t="n">
        <v>63372</v>
      </c>
      <c r="E68" s="199" t="s">
        <v>1432</v>
      </c>
      <c r="F68" s="199" t="s">
        <v>1454</v>
      </c>
      <c r="G68" s="199" t="s">
        <v>1455</v>
      </c>
      <c r="H68" s="199" t="s">
        <v>1434</v>
      </c>
      <c r="I68" s="199" t="s">
        <v>1434</v>
      </c>
      <c r="J68" s="199" t="s">
        <v>252</v>
      </c>
      <c r="K68" s="199" t="s">
        <v>1435</v>
      </c>
      <c r="L68" s="407" t="n">
        <v>27740</v>
      </c>
      <c r="M68" s="407" t="n">
        <v>14400</v>
      </c>
      <c r="N68" s="408" t="n">
        <v>13.5</v>
      </c>
      <c r="O68" s="407" t="n">
        <v>13340</v>
      </c>
      <c r="P68" s="407" t="n">
        <v>11539.1</v>
      </c>
      <c r="Q68" s="234" t="n">
        <v>2023</v>
      </c>
      <c r="R68" s="234"/>
      <c r="S68" s="248" t="n">
        <v>45081</v>
      </c>
      <c r="T68" s="407" t="n">
        <f aca="false">Таблица18[[#This Row],[Вес нетто]]-Таблица18[[#This Row],[Зачетный вес]]</f>
        <v>1800.9</v>
      </c>
      <c r="U68" s="409" t="n">
        <f aca="false">Таблица18[[#This Row],[Отход]]/Таблица18[[#This Row],[Вес нетто]]</f>
        <v>0.135</v>
      </c>
      <c r="V68" s="234" t="n">
        <f aca="false">MONTH(Таблица18[[#This Row],[Дата акта]])</f>
        <v>6</v>
      </c>
      <c r="W68" s="234" t="n">
        <v>4</v>
      </c>
      <c r="X68" s="248" t="n">
        <f aca="false">DATE(1900,Таблица18[[#This Row],[Месяц]],Таблица18[[#This Row],[Число]])</f>
        <v>156</v>
      </c>
      <c r="Y68" s="234"/>
      <c r="AF68" s="411"/>
      <c r="AG68" s="412"/>
    </row>
    <row r="69" s="410" customFormat="true" ht="15" hidden="true" customHeight="true" outlineLevel="0" collapsed="false">
      <c r="A69" s="199" t="s">
        <v>1530</v>
      </c>
      <c r="B69" s="199" t="s">
        <v>746</v>
      </c>
      <c r="C69" s="405" t="n">
        <v>158</v>
      </c>
      <c r="D69" s="406" t="n">
        <v>63373</v>
      </c>
      <c r="E69" s="199" t="s">
        <v>1432</v>
      </c>
      <c r="F69" s="199" t="s">
        <v>395</v>
      </c>
      <c r="G69" s="199" t="s">
        <v>566</v>
      </c>
      <c r="H69" s="199" t="s">
        <v>1434</v>
      </c>
      <c r="I69" s="199" t="s">
        <v>1434</v>
      </c>
      <c r="J69" s="199" t="s">
        <v>1516</v>
      </c>
      <c r="K69" s="199" t="s">
        <v>1435</v>
      </c>
      <c r="L69" s="407" t="n">
        <v>27840</v>
      </c>
      <c r="M69" s="407" t="n">
        <v>14390</v>
      </c>
      <c r="N69" s="408" t="n">
        <v>14.5</v>
      </c>
      <c r="O69" s="407" t="n">
        <v>13450</v>
      </c>
      <c r="P69" s="407" t="n">
        <v>11499.7</v>
      </c>
      <c r="Q69" s="234" t="n">
        <v>2023</v>
      </c>
      <c r="R69" s="234"/>
      <c r="S69" s="248" t="n">
        <v>45081</v>
      </c>
      <c r="T69" s="407" t="n">
        <f aca="false">Таблица18[[#This Row],[Вес нетто]]-Таблица18[[#This Row],[Зачетный вес]]</f>
        <v>1950.3</v>
      </c>
      <c r="U69" s="409" t="n">
        <f aca="false">Таблица18[[#This Row],[Отход]]/Таблица18[[#This Row],[Вес нетто]]</f>
        <v>0.145003717472119</v>
      </c>
      <c r="V69" s="234" t="n">
        <f aca="false">MONTH(Таблица18[[#This Row],[Дата акта]])</f>
        <v>6</v>
      </c>
      <c r="W69" s="234" t="n">
        <v>4</v>
      </c>
      <c r="X69" s="248" t="n">
        <f aca="false">DATE(1900,Таблица18[[#This Row],[Месяц]],Таблица18[[#This Row],[Число]])</f>
        <v>156</v>
      </c>
      <c r="Y69" s="234"/>
      <c r="AF69" s="411"/>
      <c r="AG69" s="412"/>
    </row>
    <row r="70" s="410" customFormat="true" ht="15" hidden="true" customHeight="true" outlineLevel="0" collapsed="false">
      <c r="A70" s="199" t="s">
        <v>1531</v>
      </c>
      <c r="B70" s="199" t="s">
        <v>746</v>
      </c>
      <c r="C70" s="405" t="n">
        <v>159</v>
      </c>
      <c r="D70" s="406" t="n">
        <v>63374</v>
      </c>
      <c r="E70" s="199" t="s">
        <v>1432</v>
      </c>
      <c r="F70" s="199" t="s">
        <v>1492</v>
      </c>
      <c r="G70" s="199" t="s">
        <v>49</v>
      </c>
      <c r="H70" s="199" t="s">
        <v>1434</v>
      </c>
      <c r="I70" s="199" t="s">
        <v>1434</v>
      </c>
      <c r="J70" s="199" t="s">
        <v>1516</v>
      </c>
      <c r="K70" s="199" t="s">
        <v>1435</v>
      </c>
      <c r="L70" s="407" t="n">
        <v>28690</v>
      </c>
      <c r="M70" s="407" t="n">
        <v>14880</v>
      </c>
      <c r="N70" s="408" t="n">
        <v>12.5</v>
      </c>
      <c r="O70" s="407" t="n">
        <v>13810</v>
      </c>
      <c r="P70" s="407" t="n">
        <v>12083.7</v>
      </c>
      <c r="Q70" s="234" t="n">
        <v>2023</v>
      </c>
      <c r="R70" s="234"/>
      <c r="S70" s="248" t="n">
        <v>45081</v>
      </c>
      <c r="T70" s="407" t="n">
        <f aca="false">Таблица18[[#This Row],[Вес нетто]]-Таблица18[[#This Row],[Зачетный вес]]</f>
        <v>1726.3</v>
      </c>
      <c r="U70" s="409" t="n">
        <f aca="false">Таблица18[[#This Row],[Отход]]/Таблица18[[#This Row],[Вес нетто]]</f>
        <v>0.125003620564808</v>
      </c>
      <c r="V70" s="234" t="n">
        <f aca="false">MONTH(Таблица18[[#This Row],[Дата акта]])</f>
        <v>6</v>
      </c>
      <c r="W70" s="234" t="n">
        <v>4</v>
      </c>
      <c r="X70" s="248" t="n">
        <f aca="false">DATE(1900,Таблица18[[#This Row],[Месяц]],Таблица18[[#This Row],[Число]])</f>
        <v>156</v>
      </c>
      <c r="Y70" s="234"/>
      <c r="AF70" s="411"/>
      <c r="AG70" s="412"/>
    </row>
    <row r="71" s="410" customFormat="true" ht="15" hidden="true" customHeight="true" outlineLevel="0" collapsed="false">
      <c r="A71" s="199" t="s">
        <v>1532</v>
      </c>
      <c r="B71" s="199" t="s">
        <v>417</v>
      </c>
      <c r="C71" s="405" t="n">
        <v>160</v>
      </c>
      <c r="D71" s="406" t="n">
        <v>4</v>
      </c>
      <c r="E71" s="199" t="s">
        <v>422</v>
      </c>
      <c r="F71" s="199" t="s">
        <v>380</v>
      </c>
      <c r="G71" s="199" t="s">
        <v>381</v>
      </c>
      <c r="H71" s="199" t="s">
        <v>1497</v>
      </c>
      <c r="I71" s="199" t="s">
        <v>1497</v>
      </c>
      <c r="J71" s="199" t="s">
        <v>252</v>
      </c>
      <c r="K71" s="199" t="s">
        <v>1435</v>
      </c>
      <c r="L71" s="407" t="n">
        <v>16590</v>
      </c>
      <c r="M71" s="407" t="n">
        <v>9580</v>
      </c>
      <c r="N71" s="408" t="n">
        <v>14</v>
      </c>
      <c r="O71" s="407" t="n">
        <v>7010</v>
      </c>
      <c r="P71" s="407" t="n">
        <v>6028.6</v>
      </c>
      <c r="Q71" s="234" t="n">
        <v>2023</v>
      </c>
      <c r="R71" s="234"/>
      <c r="S71" s="248" t="n">
        <v>45081</v>
      </c>
      <c r="T71" s="407" t="n">
        <f aca="false">Таблица18[[#This Row],[Вес нетто]]-Таблица18[[#This Row],[Зачетный вес]]</f>
        <v>981.4</v>
      </c>
      <c r="U71" s="409" t="n">
        <f aca="false">Таблица18[[#This Row],[Отход]]/Таблица18[[#This Row],[Вес нетто]]</f>
        <v>0.14</v>
      </c>
      <c r="V71" s="234" t="n">
        <f aca="false">MONTH(Таблица18[[#This Row],[Дата акта]])</f>
        <v>6</v>
      </c>
      <c r="W71" s="234" t="n">
        <v>4</v>
      </c>
      <c r="X71" s="248" t="n">
        <f aca="false">DATE(1900,Таблица18[[#This Row],[Месяц]],Таблица18[[#This Row],[Число]])</f>
        <v>156</v>
      </c>
      <c r="Y71" s="234"/>
      <c r="AF71" s="411"/>
      <c r="AG71" s="412"/>
    </row>
    <row r="72" s="410" customFormat="true" ht="15" hidden="true" customHeight="true" outlineLevel="0" collapsed="false">
      <c r="A72" s="199" t="s">
        <v>1533</v>
      </c>
      <c r="B72" s="199" t="s">
        <v>417</v>
      </c>
      <c r="C72" s="405" t="n">
        <v>161</v>
      </c>
      <c r="D72" s="406" t="n">
        <v>9</v>
      </c>
      <c r="E72" s="199" t="s">
        <v>422</v>
      </c>
      <c r="F72" s="199" t="s">
        <v>1464</v>
      </c>
      <c r="G72" s="199" t="s">
        <v>1447</v>
      </c>
      <c r="H72" s="199" t="s">
        <v>1513</v>
      </c>
      <c r="I72" s="199" t="s">
        <v>1513</v>
      </c>
      <c r="J72" s="199" t="s">
        <v>252</v>
      </c>
      <c r="K72" s="199" t="s">
        <v>1435</v>
      </c>
      <c r="L72" s="407" t="n">
        <v>23990</v>
      </c>
      <c r="M72" s="407" t="n">
        <v>14680</v>
      </c>
      <c r="N72" s="408" t="n">
        <v>14</v>
      </c>
      <c r="O72" s="407" t="n">
        <v>9310</v>
      </c>
      <c r="P72" s="407" t="n">
        <v>8006.6</v>
      </c>
      <c r="Q72" s="234" t="n">
        <v>2023</v>
      </c>
      <c r="R72" s="234"/>
      <c r="S72" s="248" t="n">
        <v>45081</v>
      </c>
      <c r="T72" s="407" t="n">
        <f aca="false">Таблица18[[#This Row],[Вес нетто]]-Таблица18[[#This Row],[Зачетный вес]]</f>
        <v>1303.4</v>
      </c>
      <c r="U72" s="409" t="n">
        <f aca="false">Таблица18[[#This Row],[Отход]]/Таблица18[[#This Row],[Вес нетто]]</f>
        <v>0.14</v>
      </c>
      <c r="V72" s="234" t="n">
        <f aca="false">MONTH(Таблица18[[#This Row],[Дата акта]])</f>
        <v>6</v>
      </c>
      <c r="W72" s="234" t="n">
        <v>4</v>
      </c>
      <c r="X72" s="248" t="n">
        <f aca="false">DATE(1900,Таблица18[[#This Row],[Месяц]],Таблица18[[#This Row],[Число]])</f>
        <v>156</v>
      </c>
      <c r="Y72" s="234"/>
      <c r="AF72" s="411"/>
      <c r="AG72" s="412"/>
    </row>
    <row r="73" s="410" customFormat="true" ht="15" hidden="true" customHeight="true" outlineLevel="0" collapsed="false">
      <c r="A73" s="199" t="s">
        <v>1534</v>
      </c>
      <c r="B73" s="199" t="s">
        <v>417</v>
      </c>
      <c r="C73" s="405" t="n">
        <v>162</v>
      </c>
      <c r="D73" s="406" t="n">
        <v>10</v>
      </c>
      <c r="E73" s="199" t="s">
        <v>422</v>
      </c>
      <c r="F73" s="199" t="s">
        <v>380</v>
      </c>
      <c r="G73" s="199" t="s">
        <v>381</v>
      </c>
      <c r="H73" s="199" t="s">
        <v>1513</v>
      </c>
      <c r="I73" s="199" t="s">
        <v>1513</v>
      </c>
      <c r="J73" s="199" t="s">
        <v>252</v>
      </c>
      <c r="K73" s="199" t="s">
        <v>1435</v>
      </c>
      <c r="L73" s="407" t="n">
        <v>17180</v>
      </c>
      <c r="M73" s="407" t="n">
        <v>9580</v>
      </c>
      <c r="N73" s="408" t="n">
        <v>14.5</v>
      </c>
      <c r="O73" s="407" t="n">
        <v>7600</v>
      </c>
      <c r="P73" s="407" t="n">
        <v>6498</v>
      </c>
      <c r="Q73" s="234" t="n">
        <v>2023</v>
      </c>
      <c r="R73" s="234"/>
      <c r="S73" s="248" t="n">
        <v>45081</v>
      </c>
      <c r="T73" s="407" t="n">
        <f aca="false">Таблица18[[#This Row],[Вес нетто]]-Таблица18[[#This Row],[Зачетный вес]]</f>
        <v>1102</v>
      </c>
      <c r="U73" s="409" t="n">
        <f aca="false">Таблица18[[#This Row],[Отход]]/Таблица18[[#This Row],[Вес нетто]]</f>
        <v>0.145</v>
      </c>
      <c r="V73" s="234" t="n">
        <f aca="false">MONTH(Таблица18[[#This Row],[Дата акта]])</f>
        <v>6</v>
      </c>
      <c r="W73" s="234" t="n">
        <v>4</v>
      </c>
      <c r="X73" s="248" t="n">
        <f aca="false">DATE(1900,Таблица18[[#This Row],[Месяц]],Таблица18[[#This Row],[Число]])</f>
        <v>156</v>
      </c>
      <c r="Y73" s="234"/>
      <c r="AF73" s="411"/>
      <c r="AG73" s="412"/>
    </row>
    <row r="74" s="410" customFormat="true" ht="15" hidden="true" customHeight="true" outlineLevel="0" collapsed="false">
      <c r="A74" s="199" t="s">
        <v>1535</v>
      </c>
      <c r="B74" s="199" t="s">
        <v>417</v>
      </c>
      <c r="C74" s="405" t="n">
        <v>163</v>
      </c>
      <c r="D74" s="406" t="n">
        <v>11</v>
      </c>
      <c r="E74" s="199" t="s">
        <v>422</v>
      </c>
      <c r="F74" s="199" t="s">
        <v>1446</v>
      </c>
      <c r="G74" s="199" t="s">
        <v>1447</v>
      </c>
      <c r="H74" s="199" t="s">
        <v>126</v>
      </c>
      <c r="I74" s="199" t="s">
        <v>126</v>
      </c>
      <c r="J74" s="199" t="s">
        <v>252</v>
      </c>
      <c r="K74" s="199" t="s">
        <v>1435</v>
      </c>
      <c r="L74" s="407" t="n">
        <v>16630</v>
      </c>
      <c r="M74" s="407" t="n">
        <v>9750</v>
      </c>
      <c r="N74" s="408" t="n">
        <v>14.5</v>
      </c>
      <c r="O74" s="407" t="n">
        <v>6880</v>
      </c>
      <c r="P74" s="407" t="n">
        <v>5882.4</v>
      </c>
      <c r="Q74" s="234" t="n">
        <v>2023</v>
      </c>
      <c r="R74" s="234"/>
      <c r="S74" s="248" t="n">
        <v>45081</v>
      </c>
      <c r="T74" s="407" t="n">
        <f aca="false">Таблица18[[#This Row],[Вес нетто]]-Таблица18[[#This Row],[Зачетный вес]]</f>
        <v>997.6</v>
      </c>
      <c r="U74" s="409" t="n">
        <f aca="false">Таблица18[[#This Row],[Отход]]/Таблица18[[#This Row],[Вес нетто]]</f>
        <v>0.145</v>
      </c>
      <c r="V74" s="234" t="n">
        <f aca="false">MONTH(Таблица18[[#This Row],[Дата акта]])</f>
        <v>6</v>
      </c>
      <c r="W74" s="234" t="n">
        <v>4</v>
      </c>
      <c r="X74" s="248" t="n">
        <f aca="false">DATE(1900,Таблица18[[#This Row],[Месяц]],Таблица18[[#This Row],[Число]])</f>
        <v>156</v>
      </c>
      <c r="Y74" s="234"/>
      <c r="AF74" s="411"/>
      <c r="AG74" s="412"/>
    </row>
    <row r="75" s="410" customFormat="true" ht="15" hidden="true" customHeight="true" outlineLevel="0" collapsed="false">
      <c r="A75" s="199" t="s">
        <v>1536</v>
      </c>
      <c r="B75" s="199" t="s">
        <v>417</v>
      </c>
      <c r="C75" s="405" t="n">
        <v>164</v>
      </c>
      <c r="D75" s="406" t="n">
        <v>12</v>
      </c>
      <c r="E75" s="199" t="s">
        <v>422</v>
      </c>
      <c r="F75" s="199" t="s">
        <v>380</v>
      </c>
      <c r="G75" s="199" t="s">
        <v>381</v>
      </c>
      <c r="H75" s="199" t="s">
        <v>126</v>
      </c>
      <c r="I75" s="199" t="s">
        <v>126</v>
      </c>
      <c r="J75" s="199" t="s">
        <v>252</v>
      </c>
      <c r="K75" s="199" t="s">
        <v>1435</v>
      </c>
      <c r="L75" s="407" t="n">
        <v>16260</v>
      </c>
      <c r="M75" s="407" t="n">
        <v>9570</v>
      </c>
      <c r="N75" s="408" t="n">
        <v>13</v>
      </c>
      <c r="O75" s="407" t="n">
        <v>6690</v>
      </c>
      <c r="P75" s="407" t="n">
        <v>5820.3</v>
      </c>
      <c r="Q75" s="234" t="n">
        <v>2023</v>
      </c>
      <c r="R75" s="234"/>
      <c r="S75" s="248" t="n">
        <v>45081</v>
      </c>
      <c r="T75" s="407" t="n">
        <f aca="false">Таблица18[[#This Row],[Вес нетто]]-Таблица18[[#This Row],[Зачетный вес]]</f>
        <v>869.7</v>
      </c>
      <c r="U75" s="409" t="n">
        <f aca="false">Таблица18[[#This Row],[Отход]]/Таблица18[[#This Row],[Вес нетто]]</f>
        <v>0.13</v>
      </c>
      <c r="V75" s="234" t="n">
        <f aca="false">MONTH(Таблица18[[#This Row],[Дата акта]])</f>
        <v>6</v>
      </c>
      <c r="W75" s="234" t="n">
        <v>4</v>
      </c>
      <c r="X75" s="248" t="n">
        <f aca="false">DATE(1900,Таблица18[[#This Row],[Месяц]],Таблица18[[#This Row],[Число]])</f>
        <v>156</v>
      </c>
      <c r="Y75" s="234"/>
      <c r="AF75" s="411"/>
      <c r="AG75" s="412"/>
    </row>
    <row r="76" s="410" customFormat="true" ht="15" hidden="true" customHeight="true" outlineLevel="0" collapsed="false">
      <c r="A76" s="199" t="s">
        <v>1537</v>
      </c>
      <c r="B76" s="199" t="s">
        <v>417</v>
      </c>
      <c r="C76" s="405" t="n">
        <v>165</v>
      </c>
      <c r="D76" s="406" t="n">
        <v>13</v>
      </c>
      <c r="E76" s="199" t="s">
        <v>422</v>
      </c>
      <c r="F76" s="199" t="s">
        <v>1446</v>
      </c>
      <c r="G76" s="199" t="s">
        <v>1447</v>
      </c>
      <c r="H76" s="199" t="s">
        <v>126</v>
      </c>
      <c r="I76" s="199" t="s">
        <v>126</v>
      </c>
      <c r="J76" s="199" t="s">
        <v>252</v>
      </c>
      <c r="K76" s="199" t="s">
        <v>1435</v>
      </c>
      <c r="L76" s="407" t="n">
        <v>16430</v>
      </c>
      <c r="M76" s="407" t="n">
        <v>9730</v>
      </c>
      <c r="N76" s="408" t="n">
        <v>13</v>
      </c>
      <c r="O76" s="407" t="n">
        <v>6700</v>
      </c>
      <c r="P76" s="407" t="n">
        <v>5829</v>
      </c>
      <c r="Q76" s="234" t="n">
        <v>2023</v>
      </c>
      <c r="R76" s="234"/>
      <c r="S76" s="248" t="n">
        <v>45082</v>
      </c>
      <c r="T76" s="407" t="n">
        <f aca="false">Таблица18[[#This Row],[Вес нетто]]-Таблица18[[#This Row],[Зачетный вес]]</f>
        <v>871</v>
      </c>
      <c r="U76" s="409" t="n">
        <f aca="false">Таблица18[[#This Row],[Отход]]/Таблица18[[#This Row],[Вес нетто]]</f>
        <v>0.13</v>
      </c>
      <c r="V76" s="234" t="n">
        <f aca="false">MONTH(Таблица18[[#This Row],[Дата акта]])</f>
        <v>6</v>
      </c>
      <c r="W76" s="234" t="n">
        <v>5</v>
      </c>
      <c r="X76" s="248" t="n">
        <f aca="false">DATE(1900,Таблица18[[#This Row],[Месяц]],Таблица18[[#This Row],[Число]])</f>
        <v>157</v>
      </c>
      <c r="Y76" s="234"/>
      <c r="AF76" s="411"/>
      <c r="AG76" s="412"/>
    </row>
    <row r="77" s="410" customFormat="true" ht="15" hidden="true" customHeight="true" outlineLevel="0" collapsed="false">
      <c r="A77" s="199" t="s">
        <v>1538</v>
      </c>
      <c r="B77" s="199" t="s">
        <v>417</v>
      </c>
      <c r="C77" s="405" t="n">
        <v>166</v>
      </c>
      <c r="D77" s="406" t="n">
        <v>14</v>
      </c>
      <c r="E77" s="199" t="s">
        <v>422</v>
      </c>
      <c r="F77" s="199" t="s">
        <v>380</v>
      </c>
      <c r="G77" s="199" t="s">
        <v>381</v>
      </c>
      <c r="H77" s="199" t="s">
        <v>126</v>
      </c>
      <c r="I77" s="199" t="s">
        <v>126</v>
      </c>
      <c r="J77" s="199" t="s">
        <v>252</v>
      </c>
      <c r="K77" s="199" t="s">
        <v>1435</v>
      </c>
      <c r="L77" s="407" t="n">
        <v>16300</v>
      </c>
      <c r="M77" s="407" t="n">
        <v>9550</v>
      </c>
      <c r="N77" s="408" t="n">
        <v>12.5</v>
      </c>
      <c r="O77" s="407" t="n">
        <v>6750</v>
      </c>
      <c r="P77" s="407" t="n">
        <v>5906.2</v>
      </c>
      <c r="Q77" s="234" t="n">
        <v>2023</v>
      </c>
      <c r="R77" s="234"/>
      <c r="S77" s="248" t="n">
        <v>45082</v>
      </c>
      <c r="T77" s="407" t="n">
        <f aca="false">Таблица18[[#This Row],[Вес нетто]]-Таблица18[[#This Row],[Зачетный вес]]</f>
        <v>843.8</v>
      </c>
      <c r="U77" s="409" t="n">
        <f aca="false">Таблица18[[#This Row],[Отход]]/Таблица18[[#This Row],[Вес нетто]]</f>
        <v>0.125007407407407</v>
      </c>
      <c r="V77" s="234" t="n">
        <f aca="false">MONTH(Таблица18[[#This Row],[Дата акта]])</f>
        <v>6</v>
      </c>
      <c r="W77" s="234" t="n">
        <v>5</v>
      </c>
      <c r="X77" s="248" t="n">
        <f aca="false">DATE(1900,Таблица18[[#This Row],[Месяц]],Таблица18[[#This Row],[Число]])</f>
        <v>157</v>
      </c>
      <c r="Y77" s="234"/>
      <c r="AF77" s="411"/>
      <c r="AG77" s="412"/>
    </row>
    <row r="78" s="410" customFormat="true" ht="15" hidden="true" customHeight="true" outlineLevel="0" collapsed="false">
      <c r="A78" s="199" t="s">
        <v>1539</v>
      </c>
      <c r="B78" s="199" t="s">
        <v>417</v>
      </c>
      <c r="C78" s="405" t="n">
        <v>167</v>
      </c>
      <c r="D78" s="406" t="n">
        <v>15</v>
      </c>
      <c r="E78" s="199" t="s">
        <v>422</v>
      </c>
      <c r="F78" s="199" t="s">
        <v>1540</v>
      </c>
      <c r="G78" s="199" t="s">
        <v>1447</v>
      </c>
      <c r="H78" s="199" t="s">
        <v>126</v>
      </c>
      <c r="I78" s="199" t="s">
        <v>126</v>
      </c>
      <c r="J78" s="199" t="s">
        <v>252</v>
      </c>
      <c r="K78" s="199" t="s">
        <v>1435</v>
      </c>
      <c r="L78" s="407" t="n">
        <v>16660</v>
      </c>
      <c r="M78" s="407" t="n">
        <v>9740</v>
      </c>
      <c r="N78" s="408" t="n">
        <v>13.5</v>
      </c>
      <c r="O78" s="407" t="n">
        <v>6920</v>
      </c>
      <c r="P78" s="407" t="n">
        <v>5985.8</v>
      </c>
      <c r="Q78" s="234" t="n">
        <v>2023</v>
      </c>
      <c r="R78" s="234"/>
      <c r="S78" s="248" t="n">
        <v>45082</v>
      </c>
      <c r="T78" s="407" t="n">
        <f aca="false">Таблица18[[#This Row],[Вес нетто]]-Таблица18[[#This Row],[Зачетный вес]]</f>
        <v>934.2</v>
      </c>
      <c r="U78" s="409" t="n">
        <f aca="false">Таблица18[[#This Row],[Отход]]/Таблица18[[#This Row],[Вес нетто]]</f>
        <v>0.135</v>
      </c>
      <c r="V78" s="234" t="n">
        <f aca="false">MONTH(Таблица18[[#This Row],[Дата акта]])</f>
        <v>6</v>
      </c>
      <c r="W78" s="234" t="n">
        <v>5</v>
      </c>
      <c r="X78" s="248" t="n">
        <f aca="false">DATE(1900,Таблица18[[#This Row],[Месяц]],Таблица18[[#This Row],[Число]])</f>
        <v>157</v>
      </c>
      <c r="Y78" s="234"/>
      <c r="AF78" s="411"/>
      <c r="AG78" s="412"/>
    </row>
    <row r="79" s="410" customFormat="true" ht="15" hidden="true" customHeight="true" outlineLevel="0" collapsed="false">
      <c r="A79" s="199" t="s">
        <v>1541</v>
      </c>
      <c r="B79" s="199" t="s">
        <v>417</v>
      </c>
      <c r="C79" s="405" t="n">
        <v>168</v>
      </c>
      <c r="D79" s="406" t="n">
        <v>16</v>
      </c>
      <c r="E79" s="199" t="s">
        <v>422</v>
      </c>
      <c r="F79" s="199" t="s">
        <v>380</v>
      </c>
      <c r="G79" s="199" t="s">
        <v>381</v>
      </c>
      <c r="H79" s="199" t="s">
        <v>126</v>
      </c>
      <c r="I79" s="199" t="s">
        <v>126</v>
      </c>
      <c r="J79" s="199" t="s">
        <v>252</v>
      </c>
      <c r="K79" s="199" t="s">
        <v>1435</v>
      </c>
      <c r="L79" s="407" t="n">
        <v>16050</v>
      </c>
      <c r="M79" s="407" t="n">
        <v>9540</v>
      </c>
      <c r="N79" s="408" t="n">
        <v>14</v>
      </c>
      <c r="O79" s="407" t="n">
        <v>6510</v>
      </c>
      <c r="P79" s="407" t="n">
        <v>5598.6</v>
      </c>
      <c r="Q79" s="234" t="n">
        <v>2023</v>
      </c>
      <c r="R79" s="234"/>
      <c r="S79" s="248" t="n">
        <v>45082</v>
      </c>
      <c r="T79" s="407" t="n">
        <f aca="false">Таблица18[[#This Row],[Вес нетто]]-Таблица18[[#This Row],[Зачетный вес]]</f>
        <v>911.4</v>
      </c>
      <c r="U79" s="409" t="n">
        <f aca="false">Таблица18[[#This Row],[Отход]]/Таблица18[[#This Row],[Вес нетто]]</f>
        <v>0.14</v>
      </c>
      <c r="V79" s="234" t="n">
        <f aca="false">MONTH(Таблица18[[#This Row],[Дата акта]])</f>
        <v>6</v>
      </c>
      <c r="W79" s="234" t="n">
        <v>5</v>
      </c>
      <c r="X79" s="248" t="n">
        <f aca="false">DATE(1900,Таблица18[[#This Row],[Месяц]],Таблица18[[#This Row],[Число]])</f>
        <v>157</v>
      </c>
      <c r="Y79" s="234"/>
      <c r="AF79" s="411"/>
      <c r="AG79" s="412"/>
    </row>
    <row r="80" s="410" customFormat="true" ht="15" hidden="true" customHeight="true" outlineLevel="0" collapsed="false">
      <c r="A80" s="199" t="s">
        <v>1542</v>
      </c>
      <c r="B80" s="199" t="s">
        <v>417</v>
      </c>
      <c r="C80" s="405" t="n">
        <v>169</v>
      </c>
      <c r="D80" s="406" t="n">
        <v>17</v>
      </c>
      <c r="E80" s="199" t="s">
        <v>422</v>
      </c>
      <c r="F80" s="199" t="s">
        <v>1433</v>
      </c>
      <c r="G80" s="199" t="s">
        <v>377</v>
      </c>
      <c r="H80" s="199" t="s">
        <v>126</v>
      </c>
      <c r="I80" s="199" t="s">
        <v>126</v>
      </c>
      <c r="J80" s="199" t="s">
        <v>252</v>
      </c>
      <c r="K80" s="199" t="s">
        <v>1435</v>
      </c>
      <c r="L80" s="407" t="n">
        <v>16490</v>
      </c>
      <c r="M80" s="407" t="n">
        <v>9730</v>
      </c>
      <c r="N80" s="408" t="n">
        <v>14</v>
      </c>
      <c r="O80" s="407" t="n">
        <v>6760</v>
      </c>
      <c r="P80" s="407" t="n">
        <v>5813.6</v>
      </c>
      <c r="Q80" s="234" t="n">
        <v>2023</v>
      </c>
      <c r="R80" s="234"/>
      <c r="S80" s="248" t="n">
        <v>45082</v>
      </c>
      <c r="T80" s="407" t="n">
        <f aca="false">Таблица18[[#This Row],[Вес нетто]]-Таблица18[[#This Row],[Зачетный вес]]</f>
        <v>946.4</v>
      </c>
      <c r="U80" s="409" t="n">
        <f aca="false">Таблица18[[#This Row],[Отход]]/Таблица18[[#This Row],[Вес нетто]]</f>
        <v>0.14</v>
      </c>
      <c r="V80" s="234" t="n">
        <f aca="false">MONTH(Таблица18[[#This Row],[Дата акта]])</f>
        <v>6</v>
      </c>
      <c r="W80" s="234" t="n">
        <v>5</v>
      </c>
      <c r="X80" s="248" t="n">
        <f aca="false">DATE(1900,Таблица18[[#This Row],[Месяц]],Таблица18[[#This Row],[Число]])</f>
        <v>157</v>
      </c>
      <c r="Y80" s="234"/>
      <c r="AF80" s="411"/>
      <c r="AG80" s="412"/>
    </row>
    <row r="81" s="410" customFormat="true" ht="15" hidden="true" customHeight="true" outlineLevel="0" collapsed="false">
      <c r="A81" s="199" t="s">
        <v>1543</v>
      </c>
      <c r="B81" s="199" t="s">
        <v>417</v>
      </c>
      <c r="C81" s="405" t="n">
        <v>170</v>
      </c>
      <c r="D81" s="406" t="n">
        <v>18</v>
      </c>
      <c r="E81" s="199" t="s">
        <v>422</v>
      </c>
      <c r="F81" s="199" t="s">
        <v>359</v>
      </c>
      <c r="G81" s="199" t="s">
        <v>426</v>
      </c>
      <c r="H81" s="199" t="s">
        <v>126</v>
      </c>
      <c r="I81" s="199" t="s">
        <v>126</v>
      </c>
      <c r="J81" s="199" t="s">
        <v>252</v>
      </c>
      <c r="K81" s="199" t="s">
        <v>1435</v>
      </c>
      <c r="L81" s="407" t="n">
        <v>13940</v>
      </c>
      <c r="M81" s="407" t="n">
        <v>9420</v>
      </c>
      <c r="N81" s="408" t="n">
        <v>14</v>
      </c>
      <c r="O81" s="407" t="n">
        <v>4520</v>
      </c>
      <c r="P81" s="407" t="n">
        <v>3887.2</v>
      </c>
      <c r="Q81" s="234" t="n">
        <v>2023</v>
      </c>
      <c r="R81" s="234"/>
      <c r="S81" s="248" t="n">
        <v>45082</v>
      </c>
      <c r="T81" s="407" t="n">
        <f aca="false">Таблица18[[#This Row],[Вес нетто]]-Таблица18[[#This Row],[Зачетный вес]]</f>
        <v>632.8</v>
      </c>
      <c r="U81" s="409" t="n">
        <f aca="false">Таблица18[[#This Row],[Отход]]/Таблица18[[#This Row],[Вес нетто]]</f>
        <v>0.14</v>
      </c>
      <c r="V81" s="234" t="n">
        <f aca="false">MONTH(Таблица18[[#This Row],[Дата акта]])</f>
        <v>6</v>
      </c>
      <c r="W81" s="234" t="n">
        <v>5</v>
      </c>
      <c r="X81" s="248" t="n">
        <f aca="false">DATE(1900,Таблица18[[#This Row],[Месяц]],Таблица18[[#This Row],[Число]])</f>
        <v>157</v>
      </c>
      <c r="Y81" s="234"/>
      <c r="AF81" s="411"/>
      <c r="AG81" s="412"/>
    </row>
    <row r="82" s="410" customFormat="true" ht="15" hidden="true" customHeight="true" outlineLevel="0" collapsed="false">
      <c r="A82" s="199" t="s">
        <v>1544</v>
      </c>
      <c r="B82" s="199" t="s">
        <v>746</v>
      </c>
      <c r="C82" s="405" t="n">
        <v>172</v>
      </c>
      <c r="D82" s="406" t="n">
        <v>63376</v>
      </c>
      <c r="E82" s="199" t="s">
        <v>1432</v>
      </c>
      <c r="F82" s="199" t="s">
        <v>1449</v>
      </c>
      <c r="G82" s="199" t="s">
        <v>704</v>
      </c>
      <c r="H82" s="199" t="s">
        <v>1434</v>
      </c>
      <c r="I82" s="199" t="s">
        <v>1434</v>
      </c>
      <c r="J82" s="199" t="s">
        <v>1516</v>
      </c>
      <c r="K82" s="199" t="s">
        <v>1435</v>
      </c>
      <c r="L82" s="407" t="n">
        <v>27670</v>
      </c>
      <c r="M82" s="407" t="n">
        <v>14520</v>
      </c>
      <c r="N82" s="408" t="n">
        <v>13.5</v>
      </c>
      <c r="O82" s="407" t="n">
        <v>13150</v>
      </c>
      <c r="P82" s="407" t="n">
        <v>11374.7</v>
      </c>
      <c r="Q82" s="234" t="n">
        <v>2023</v>
      </c>
      <c r="R82" s="234"/>
      <c r="S82" s="248" t="n">
        <v>45082</v>
      </c>
      <c r="T82" s="407" t="n">
        <f aca="false">Таблица18[[#This Row],[Вес нетто]]-Таблица18[[#This Row],[Зачетный вес]]</f>
        <v>1775.3</v>
      </c>
      <c r="U82" s="409" t="n">
        <f aca="false">Таблица18[[#This Row],[Отход]]/Таблица18[[#This Row],[Вес нетто]]</f>
        <v>0.135003802281369</v>
      </c>
      <c r="V82" s="234" t="n">
        <f aca="false">MONTH(Таблица18[[#This Row],[Дата акта]])</f>
        <v>6</v>
      </c>
      <c r="W82" s="234" t="n">
        <v>5</v>
      </c>
      <c r="X82" s="248" t="n">
        <f aca="false">DATE(1900,Таблица18[[#This Row],[Месяц]],Таблица18[[#This Row],[Число]])</f>
        <v>157</v>
      </c>
      <c r="Y82" s="234"/>
      <c r="AF82" s="411"/>
      <c r="AG82" s="412"/>
    </row>
    <row r="83" s="410" customFormat="true" ht="15" hidden="true" customHeight="true" outlineLevel="0" collapsed="false">
      <c r="A83" s="199" t="s">
        <v>1545</v>
      </c>
      <c r="B83" s="199" t="s">
        <v>746</v>
      </c>
      <c r="C83" s="405" t="n">
        <v>173</v>
      </c>
      <c r="D83" s="406" t="n">
        <v>63381</v>
      </c>
      <c r="E83" s="199" t="s">
        <v>1432</v>
      </c>
      <c r="F83" s="199" t="s">
        <v>55</v>
      </c>
      <c r="G83" s="199" t="s">
        <v>56</v>
      </c>
      <c r="H83" s="199" t="s">
        <v>1434</v>
      </c>
      <c r="I83" s="199" t="s">
        <v>1434</v>
      </c>
      <c r="J83" s="199" t="s">
        <v>1516</v>
      </c>
      <c r="K83" s="199" t="s">
        <v>1435</v>
      </c>
      <c r="L83" s="407" t="n">
        <v>27700</v>
      </c>
      <c r="M83" s="407" t="n">
        <v>14500</v>
      </c>
      <c r="N83" s="408" t="n">
        <v>8.5</v>
      </c>
      <c r="O83" s="407" t="n">
        <v>13200</v>
      </c>
      <c r="P83" s="407" t="n">
        <v>12078</v>
      </c>
      <c r="Q83" s="234" t="n">
        <v>2023</v>
      </c>
      <c r="R83" s="234"/>
      <c r="S83" s="248" t="n">
        <v>45082</v>
      </c>
      <c r="T83" s="407" t="n">
        <f aca="false">Таблица18[[#This Row],[Вес нетто]]-Таблица18[[#This Row],[Зачетный вес]]</f>
        <v>1122</v>
      </c>
      <c r="U83" s="409" t="n">
        <f aca="false">Таблица18[[#This Row],[Отход]]/Таблица18[[#This Row],[Вес нетто]]</f>
        <v>0.085</v>
      </c>
      <c r="V83" s="234" t="n">
        <f aca="false">MONTH(Таблица18[[#This Row],[Дата акта]])</f>
        <v>6</v>
      </c>
      <c r="W83" s="234" t="n">
        <v>5</v>
      </c>
      <c r="X83" s="248" t="n">
        <f aca="false">DATE(1900,Таблица18[[#This Row],[Месяц]],Таблица18[[#This Row],[Число]])</f>
        <v>157</v>
      </c>
      <c r="Y83" s="234"/>
      <c r="AF83" s="411"/>
      <c r="AG83" s="412"/>
    </row>
    <row r="84" s="410" customFormat="true" ht="15" hidden="true" customHeight="true" outlineLevel="0" collapsed="false">
      <c r="A84" s="199" t="s">
        <v>1546</v>
      </c>
      <c r="B84" s="199" t="s">
        <v>417</v>
      </c>
      <c r="C84" s="405" t="n">
        <v>174</v>
      </c>
      <c r="D84" s="406" t="n">
        <v>19</v>
      </c>
      <c r="E84" s="199" t="s">
        <v>422</v>
      </c>
      <c r="F84" s="199" t="s">
        <v>1433</v>
      </c>
      <c r="G84" s="199" t="s">
        <v>377</v>
      </c>
      <c r="H84" s="199" t="s">
        <v>126</v>
      </c>
      <c r="I84" s="199" t="s">
        <v>126</v>
      </c>
      <c r="J84" s="199" t="s">
        <v>252</v>
      </c>
      <c r="K84" s="199" t="s">
        <v>1435</v>
      </c>
      <c r="L84" s="407" t="n">
        <v>16460</v>
      </c>
      <c r="M84" s="407" t="n">
        <v>9700</v>
      </c>
      <c r="N84" s="408" t="n">
        <v>11.5</v>
      </c>
      <c r="O84" s="407" t="n">
        <v>6760</v>
      </c>
      <c r="P84" s="407" t="n">
        <v>5982.6</v>
      </c>
      <c r="Q84" s="234" t="n">
        <v>2023</v>
      </c>
      <c r="R84" s="234"/>
      <c r="S84" s="248" t="n">
        <v>45082</v>
      </c>
      <c r="T84" s="407" t="n">
        <f aca="false">Таблица18[[#This Row],[Вес нетто]]-Таблица18[[#This Row],[Зачетный вес]]</f>
        <v>777.4</v>
      </c>
      <c r="U84" s="409" t="n">
        <f aca="false">Таблица18[[#This Row],[Отход]]/Таблица18[[#This Row],[Вес нетто]]</f>
        <v>0.115</v>
      </c>
      <c r="V84" s="234" t="n">
        <f aca="false">MONTH(Таблица18[[#This Row],[Дата акта]])</f>
        <v>6</v>
      </c>
      <c r="W84" s="234" t="n">
        <v>5</v>
      </c>
      <c r="X84" s="248" t="n">
        <f aca="false">DATE(1900,Таблица18[[#This Row],[Месяц]],Таблица18[[#This Row],[Число]])</f>
        <v>157</v>
      </c>
      <c r="Y84" s="234"/>
      <c r="AF84" s="411"/>
      <c r="AG84" s="412"/>
    </row>
    <row r="85" s="410" customFormat="true" ht="15" hidden="true" customHeight="true" outlineLevel="0" collapsed="false">
      <c r="A85" s="199" t="s">
        <v>1547</v>
      </c>
      <c r="B85" s="199" t="s">
        <v>746</v>
      </c>
      <c r="C85" s="405" t="n">
        <v>175</v>
      </c>
      <c r="D85" s="406" t="n">
        <v>63382</v>
      </c>
      <c r="E85" s="199" t="s">
        <v>1432</v>
      </c>
      <c r="F85" s="199" t="s">
        <v>1548</v>
      </c>
      <c r="G85" s="199" t="s">
        <v>1549</v>
      </c>
      <c r="H85" s="199" t="s">
        <v>1434</v>
      </c>
      <c r="I85" s="199" t="s">
        <v>1434</v>
      </c>
      <c r="J85" s="199" t="s">
        <v>1516</v>
      </c>
      <c r="K85" s="199" t="s">
        <v>1435</v>
      </c>
      <c r="L85" s="407" t="n">
        <v>28060</v>
      </c>
      <c r="M85" s="407" t="n">
        <v>14960</v>
      </c>
      <c r="N85" s="408" t="n">
        <v>8.5</v>
      </c>
      <c r="O85" s="407" t="n">
        <v>13100</v>
      </c>
      <c r="P85" s="407" t="n">
        <v>11986.5</v>
      </c>
      <c r="Q85" s="234" t="n">
        <v>2023</v>
      </c>
      <c r="R85" s="234"/>
      <c r="S85" s="248" t="n">
        <v>45082</v>
      </c>
      <c r="T85" s="407" t="n">
        <f aca="false">Таблица18[[#This Row],[Вес нетто]]-Таблица18[[#This Row],[Зачетный вес]]</f>
        <v>1113.5</v>
      </c>
      <c r="U85" s="409" t="n">
        <f aca="false">Таблица18[[#This Row],[Отход]]/Таблица18[[#This Row],[Вес нетто]]</f>
        <v>0.085</v>
      </c>
      <c r="V85" s="234" t="n">
        <f aca="false">MONTH(Таблица18[[#This Row],[Дата акта]])</f>
        <v>6</v>
      </c>
      <c r="W85" s="234" t="n">
        <v>5</v>
      </c>
      <c r="X85" s="248" t="n">
        <f aca="false">DATE(1900,Таблица18[[#This Row],[Месяц]],Таблица18[[#This Row],[Число]])</f>
        <v>157</v>
      </c>
      <c r="Y85" s="234"/>
      <c r="AF85" s="411"/>
      <c r="AG85" s="412"/>
    </row>
    <row r="86" s="410" customFormat="true" ht="15" hidden="true" customHeight="true" outlineLevel="0" collapsed="false">
      <c r="A86" s="199" t="s">
        <v>1550</v>
      </c>
      <c r="B86" s="199" t="s">
        <v>746</v>
      </c>
      <c r="C86" s="405" t="n">
        <v>176</v>
      </c>
      <c r="D86" s="406" t="n">
        <v>63380</v>
      </c>
      <c r="E86" s="199" t="s">
        <v>1432</v>
      </c>
      <c r="F86" s="199" t="s">
        <v>1476</v>
      </c>
      <c r="G86" s="199" t="s">
        <v>368</v>
      </c>
      <c r="H86" s="199" t="s">
        <v>1434</v>
      </c>
      <c r="I86" s="199" t="s">
        <v>1434</v>
      </c>
      <c r="J86" s="199" t="s">
        <v>1516</v>
      </c>
      <c r="K86" s="199" t="s">
        <v>1435</v>
      </c>
      <c r="L86" s="407" t="n">
        <v>27480</v>
      </c>
      <c r="M86" s="407" t="n">
        <v>14250</v>
      </c>
      <c r="N86" s="408" t="n">
        <v>7.5</v>
      </c>
      <c r="O86" s="407" t="n">
        <v>13230</v>
      </c>
      <c r="P86" s="407" t="n">
        <v>12237.7</v>
      </c>
      <c r="Q86" s="234" t="n">
        <v>2023</v>
      </c>
      <c r="R86" s="234"/>
      <c r="S86" s="248" t="n">
        <v>45082</v>
      </c>
      <c r="T86" s="407" t="n">
        <f aca="false">Таблица18[[#This Row],[Вес нетто]]-Таблица18[[#This Row],[Зачетный вес]]</f>
        <v>992.299999999999</v>
      </c>
      <c r="U86" s="409" t="n">
        <f aca="false">Таблица18[[#This Row],[Отход]]/Таблица18[[#This Row],[Вес нетто]]</f>
        <v>0.0750037792894935</v>
      </c>
      <c r="V86" s="234" t="n">
        <f aca="false">MONTH(Таблица18[[#This Row],[Дата акта]])</f>
        <v>6</v>
      </c>
      <c r="W86" s="234" t="n">
        <v>5</v>
      </c>
      <c r="X86" s="248" t="n">
        <f aca="false">DATE(1900,Таблица18[[#This Row],[Месяц]],Таблица18[[#This Row],[Число]])</f>
        <v>157</v>
      </c>
      <c r="Y86" s="234"/>
      <c r="AF86" s="411"/>
      <c r="AG86" s="412"/>
    </row>
    <row r="87" s="410" customFormat="true" ht="15" hidden="true" customHeight="true" outlineLevel="0" collapsed="false">
      <c r="A87" s="199" t="s">
        <v>1551</v>
      </c>
      <c r="B87" s="199" t="s">
        <v>746</v>
      </c>
      <c r="C87" s="405" t="n">
        <v>177</v>
      </c>
      <c r="D87" s="406" t="n">
        <v>63384</v>
      </c>
      <c r="E87" s="199" t="s">
        <v>1432</v>
      </c>
      <c r="F87" s="199" t="s">
        <v>371</v>
      </c>
      <c r="G87" s="199" t="s">
        <v>372</v>
      </c>
      <c r="H87" s="199" t="s">
        <v>1434</v>
      </c>
      <c r="I87" s="199" t="s">
        <v>1434</v>
      </c>
      <c r="J87" s="199" t="s">
        <v>1516</v>
      </c>
      <c r="K87" s="199" t="s">
        <v>1435</v>
      </c>
      <c r="L87" s="407" t="n">
        <v>28330</v>
      </c>
      <c r="M87" s="407" t="n">
        <v>15140</v>
      </c>
      <c r="N87" s="408" t="n">
        <v>10.5</v>
      </c>
      <c r="O87" s="407" t="n">
        <v>13190</v>
      </c>
      <c r="P87" s="407" t="n">
        <v>11805</v>
      </c>
      <c r="Q87" s="234" t="n">
        <v>2023</v>
      </c>
      <c r="R87" s="234"/>
      <c r="S87" s="248" t="n">
        <v>45082</v>
      </c>
      <c r="T87" s="407" t="n">
        <f aca="false">Таблица18[[#This Row],[Вес нетто]]-Таблица18[[#This Row],[Зачетный вес]]</f>
        <v>1385</v>
      </c>
      <c r="U87" s="409" t="n">
        <f aca="false">Таблица18[[#This Row],[Отход]]/Таблица18[[#This Row],[Вес нетто]]</f>
        <v>0.105003790750569</v>
      </c>
      <c r="V87" s="234" t="n">
        <f aca="false">MONTH(Таблица18[[#This Row],[Дата акта]])</f>
        <v>6</v>
      </c>
      <c r="W87" s="234" t="n">
        <v>5</v>
      </c>
      <c r="X87" s="248" t="n">
        <f aca="false">DATE(1900,Таблица18[[#This Row],[Месяц]],Таблица18[[#This Row],[Число]])</f>
        <v>157</v>
      </c>
      <c r="Y87" s="234"/>
      <c r="AF87" s="411"/>
      <c r="AG87" s="412"/>
    </row>
    <row r="88" s="410" customFormat="true" ht="15" hidden="true" customHeight="true" outlineLevel="0" collapsed="false">
      <c r="A88" s="199" t="s">
        <v>1552</v>
      </c>
      <c r="B88" s="199" t="s">
        <v>746</v>
      </c>
      <c r="C88" s="405" t="n">
        <v>179</v>
      </c>
      <c r="D88" s="406" t="n">
        <v>63385</v>
      </c>
      <c r="E88" s="199" t="s">
        <v>1432</v>
      </c>
      <c r="F88" s="199" t="s">
        <v>1488</v>
      </c>
      <c r="G88" s="199" t="s">
        <v>1444</v>
      </c>
      <c r="H88" s="199" t="s">
        <v>1434</v>
      </c>
      <c r="I88" s="199" t="s">
        <v>1434</v>
      </c>
      <c r="J88" s="199" t="s">
        <v>1516</v>
      </c>
      <c r="K88" s="199" t="s">
        <v>1435</v>
      </c>
      <c r="L88" s="407" t="n">
        <v>28950</v>
      </c>
      <c r="M88" s="407" t="n">
        <v>15670</v>
      </c>
      <c r="N88" s="408" t="n">
        <v>11.5</v>
      </c>
      <c r="O88" s="407" t="n">
        <v>13280</v>
      </c>
      <c r="P88" s="407" t="n">
        <v>11752.8</v>
      </c>
      <c r="Q88" s="234" t="n">
        <v>2023</v>
      </c>
      <c r="R88" s="234"/>
      <c r="S88" s="248" t="n">
        <v>45082</v>
      </c>
      <c r="T88" s="407" t="n">
        <f aca="false">Таблица18[[#This Row],[Вес нетто]]-Таблица18[[#This Row],[Зачетный вес]]</f>
        <v>1527.2</v>
      </c>
      <c r="U88" s="409" t="n">
        <f aca="false">Таблица18[[#This Row],[Отход]]/Таблица18[[#This Row],[Вес нетто]]</f>
        <v>0.115</v>
      </c>
      <c r="V88" s="234" t="n">
        <f aca="false">MONTH(Таблица18[[#This Row],[Дата акта]])</f>
        <v>6</v>
      </c>
      <c r="W88" s="234" t="n">
        <v>5</v>
      </c>
      <c r="X88" s="248" t="n">
        <f aca="false">DATE(1900,Таблица18[[#This Row],[Месяц]],Таблица18[[#This Row],[Число]])</f>
        <v>157</v>
      </c>
      <c r="Y88" s="234"/>
      <c r="AF88" s="411"/>
      <c r="AG88" s="412"/>
    </row>
    <row r="89" s="410" customFormat="true" ht="15" hidden="true" customHeight="true" outlineLevel="0" collapsed="false">
      <c r="A89" s="199" t="s">
        <v>1553</v>
      </c>
      <c r="B89" s="199" t="s">
        <v>746</v>
      </c>
      <c r="C89" s="405" t="n">
        <v>180</v>
      </c>
      <c r="D89" s="406" t="n">
        <v>63386</v>
      </c>
      <c r="E89" s="199" t="s">
        <v>1432</v>
      </c>
      <c r="F89" s="199" t="s">
        <v>359</v>
      </c>
      <c r="G89" s="199" t="s">
        <v>426</v>
      </c>
      <c r="H89" s="199" t="s">
        <v>1434</v>
      </c>
      <c r="I89" s="199" t="s">
        <v>1434</v>
      </c>
      <c r="J89" s="199" t="s">
        <v>1516</v>
      </c>
      <c r="K89" s="199" t="s">
        <v>1435</v>
      </c>
      <c r="L89" s="407" t="n">
        <v>27170</v>
      </c>
      <c r="M89" s="407" t="n">
        <v>13960</v>
      </c>
      <c r="N89" s="408" t="n">
        <v>9.5</v>
      </c>
      <c r="O89" s="407" t="n">
        <v>13210</v>
      </c>
      <c r="P89" s="407" t="n">
        <v>11955</v>
      </c>
      <c r="Q89" s="234" t="n">
        <v>2023</v>
      </c>
      <c r="R89" s="234"/>
      <c r="S89" s="248" t="n">
        <v>45082</v>
      </c>
      <c r="T89" s="407" t="n">
        <f aca="false">Таблица18[[#This Row],[Вес нетто]]-Таблица18[[#This Row],[Зачетный вес]]</f>
        <v>1255</v>
      </c>
      <c r="U89" s="409" t="n">
        <f aca="false">Таблица18[[#This Row],[Отход]]/Таблица18[[#This Row],[Вес нетто]]</f>
        <v>0.095003785011355</v>
      </c>
      <c r="V89" s="234" t="n">
        <f aca="false">MONTH(Таблица18[[#This Row],[Дата акта]])</f>
        <v>6</v>
      </c>
      <c r="W89" s="234" t="n">
        <v>5</v>
      </c>
      <c r="X89" s="248" t="n">
        <f aca="false">DATE(1900,Таблица18[[#This Row],[Месяц]],Таблица18[[#This Row],[Число]])</f>
        <v>157</v>
      </c>
      <c r="Y89" s="234"/>
      <c r="AF89" s="411"/>
      <c r="AG89" s="412"/>
    </row>
    <row r="90" s="410" customFormat="true" ht="15" hidden="true" customHeight="true" outlineLevel="0" collapsed="false">
      <c r="A90" s="199" t="s">
        <v>1554</v>
      </c>
      <c r="B90" s="199" t="s">
        <v>746</v>
      </c>
      <c r="C90" s="405" t="n">
        <v>181</v>
      </c>
      <c r="D90" s="406" t="n">
        <v>63387</v>
      </c>
      <c r="E90" s="199" t="s">
        <v>1432</v>
      </c>
      <c r="F90" s="199" t="s">
        <v>1454</v>
      </c>
      <c r="G90" s="199" t="s">
        <v>1455</v>
      </c>
      <c r="H90" s="199" t="s">
        <v>1434</v>
      </c>
      <c r="I90" s="199" t="s">
        <v>1434</v>
      </c>
      <c r="J90" s="199" t="s">
        <v>1516</v>
      </c>
      <c r="K90" s="199" t="s">
        <v>1435</v>
      </c>
      <c r="L90" s="407" t="n">
        <v>27510</v>
      </c>
      <c r="M90" s="407" t="n">
        <v>14290</v>
      </c>
      <c r="N90" s="408" t="n">
        <v>13.5</v>
      </c>
      <c r="O90" s="407" t="n">
        <v>13220</v>
      </c>
      <c r="P90" s="407" t="n">
        <v>11435.3</v>
      </c>
      <c r="Q90" s="234" t="n">
        <v>2023</v>
      </c>
      <c r="R90" s="234"/>
      <c r="S90" s="248" t="n">
        <v>45082</v>
      </c>
      <c r="T90" s="407" t="n">
        <f aca="false">Таблица18[[#This Row],[Вес нетто]]-Таблица18[[#This Row],[Зачетный вес]]</f>
        <v>1784.7</v>
      </c>
      <c r="U90" s="409" t="n">
        <f aca="false">Таблица18[[#This Row],[Отход]]/Таблица18[[#This Row],[Вес нетто]]</f>
        <v>0.135</v>
      </c>
      <c r="V90" s="234" t="n">
        <f aca="false">MONTH(Таблица18[[#This Row],[Дата акта]])</f>
        <v>6</v>
      </c>
      <c r="W90" s="234" t="n">
        <v>5</v>
      </c>
      <c r="X90" s="248" t="n">
        <f aca="false">DATE(1900,Таблица18[[#This Row],[Месяц]],Таблица18[[#This Row],[Число]])</f>
        <v>157</v>
      </c>
      <c r="Y90" s="234"/>
      <c r="AF90" s="411"/>
      <c r="AG90" s="412"/>
    </row>
    <row r="91" s="410" customFormat="true" ht="15" hidden="true" customHeight="true" outlineLevel="0" collapsed="false">
      <c r="A91" s="199" t="s">
        <v>1555</v>
      </c>
      <c r="B91" s="199" t="s">
        <v>746</v>
      </c>
      <c r="C91" s="405" t="n">
        <v>182</v>
      </c>
      <c r="D91" s="406" t="n">
        <v>63388</v>
      </c>
      <c r="E91" s="199" t="s">
        <v>1432</v>
      </c>
      <c r="F91" s="199" t="s">
        <v>1439</v>
      </c>
      <c r="G91" s="199" t="s">
        <v>1440</v>
      </c>
      <c r="H91" s="199" t="s">
        <v>1434</v>
      </c>
      <c r="I91" s="199" t="s">
        <v>1434</v>
      </c>
      <c r="J91" s="199" t="s">
        <v>1516</v>
      </c>
      <c r="K91" s="199" t="s">
        <v>1435</v>
      </c>
      <c r="L91" s="407" t="n">
        <v>26830</v>
      </c>
      <c r="M91" s="407" t="n">
        <v>13400</v>
      </c>
      <c r="N91" s="408" t="n">
        <v>11.5</v>
      </c>
      <c r="O91" s="407" t="n">
        <v>13430</v>
      </c>
      <c r="P91" s="407" t="n">
        <v>11885.5</v>
      </c>
      <c r="Q91" s="234" t="n">
        <v>2023</v>
      </c>
      <c r="R91" s="234"/>
      <c r="S91" s="248" t="n">
        <v>45082</v>
      </c>
      <c r="T91" s="407" t="n">
        <f aca="false">Таблица18[[#This Row],[Вес нетто]]-Таблица18[[#This Row],[Зачетный вес]]</f>
        <v>1544.5</v>
      </c>
      <c r="U91" s="409" t="n">
        <f aca="false">Таблица18[[#This Row],[Отход]]/Таблица18[[#This Row],[Вес нетто]]</f>
        <v>0.115003723008191</v>
      </c>
      <c r="V91" s="234" t="n">
        <f aca="false">MONTH(Таблица18[[#This Row],[Дата акта]])</f>
        <v>6</v>
      </c>
      <c r="W91" s="234" t="n">
        <v>5</v>
      </c>
      <c r="X91" s="248" t="n">
        <f aca="false">DATE(1900,Таблица18[[#This Row],[Месяц]],Таблица18[[#This Row],[Число]])</f>
        <v>157</v>
      </c>
      <c r="Y91" s="234"/>
      <c r="AF91" s="411"/>
      <c r="AG91" s="412"/>
    </row>
    <row r="92" s="410" customFormat="true" ht="15" hidden="true" customHeight="true" outlineLevel="0" collapsed="false">
      <c r="A92" s="199" t="s">
        <v>1556</v>
      </c>
      <c r="B92" s="199" t="s">
        <v>746</v>
      </c>
      <c r="C92" s="405" t="n">
        <v>183</v>
      </c>
      <c r="D92" s="406" t="n">
        <v>63390</v>
      </c>
      <c r="E92" s="199" t="s">
        <v>1432</v>
      </c>
      <c r="F92" s="199" t="s">
        <v>395</v>
      </c>
      <c r="G92" s="199" t="s">
        <v>566</v>
      </c>
      <c r="H92" s="199" t="s">
        <v>1434</v>
      </c>
      <c r="I92" s="199" t="s">
        <v>1434</v>
      </c>
      <c r="J92" s="199" t="s">
        <v>1516</v>
      </c>
      <c r="K92" s="199" t="s">
        <v>1435</v>
      </c>
      <c r="L92" s="407" t="n">
        <v>27670</v>
      </c>
      <c r="M92" s="407" t="n">
        <v>14410</v>
      </c>
      <c r="N92" s="408" t="n">
        <v>12.5</v>
      </c>
      <c r="O92" s="407" t="n">
        <v>13260</v>
      </c>
      <c r="P92" s="407" t="n">
        <v>11602.5</v>
      </c>
      <c r="Q92" s="234" t="n">
        <v>2023</v>
      </c>
      <c r="R92" s="234"/>
      <c r="S92" s="248" t="n">
        <v>45083</v>
      </c>
      <c r="T92" s="407" t="n">
        <f aca="false">Таблица18[[#This Row],[Вес нетто]]-Таблица18[[#This Row],[Зачетный вес]]</f>
        <v>1657.5</v>
      </c>
      <c r="U92" s="409" t="n">
        <f aca="false">Таблица18[[#This Row],[Отход]]/Таблица18[[#This Row],[Вес нетто]]</f>
        <v>0.125</v>
      </c>
      <c r="V92" s="234" t="n">
        <f aca="false">MONTH(Таблица18[[#This Row],[Дата акта]])</f>
        <v>6</v>
      </c>
      <c r="W92" s="234" t="n">
        <v>6</v>
      </c>
      <c r="X92" s="248" t="n">
        <f aca="false">DATE(1900,Таблица18[[#This Row],[Месяц]],Таблица18[[#This Row],[Число]])</f>
        <v>158</v>
      </c>
      <c r="Y92" s="234"/>
      <c r="AF92" s="411"/>
      <c r="AG92" s="412"/>
    </row>
    <row r="93" s="410" customFormat="true" ht="15" hidden="true" customHeight="true" outlineLevel="0" collapsed="false">
      <c r="A93" s="199" t="s">
        <v>1557</v>
      </c>
      <c r="B93" s="199" t="s">
        <v>746</v>
      </c>
      <c r="C93" s="405" t="n">
        <v>184</v>
      </c>
      <c r="D93" s="406" t="n">
        <v>63391</v>
      </c>
      <c r="E93" s="199" t="s">
        <v>1432</v>
      </c>
      <c r="F93" s="199" t="s">
        <v>1492</v>
      </c>
      <c r="G93" s="199" t="s">
        <v>49</v>
      </c>
      <c r="H93" s="199" t="s">
        <v>1434</v>
      </c>
      <c r="I93" s="199" t="s">
        <v>1434</v>
      </c>
      <c r="J93" s="199" t="s">
        <v>1516</v>
      </c>
      <c r="K93" s="199" t="s">
        <v>1435</v>
      </c>
      <c r="L93" s="407" t="n">
        <v>28080</v>
      </c>
      <c r="M93" s="407" t="n">
        <v>14880</v>
      </c>
      <c r="N93" s="408" t="n">
        <v>12.5</v>
      </c>
      <c r="O93" s="407" t="n">
        <v>13200</v>
      </c>
      <c r="P93" s="407" t="n">
        <v>11550</v>
      </c>
      <c r="Q93" s="234" t="n">
        <v>2023</v>
      </c>
      <c r="R93" s="234"/>
      <c r="S93" s="248" t="n">
        <v>45083</v>
      </c>
      <c r="T93" s="407" t="n">
        <f aca="false">Таблица18[[#This Row],[Вес нетто]]-Таблица18[[#This Row],[Зачетный вес]]</f>
        <v>1650</v>
      </c>
      <c r="U93" s="409" t="n">
        <f aca="false">Таблица18[[#This Row],[Отход]]/Таблица18[[#This Row],[Вес нетто]]</f>
        <v>0.125</v>
      </c>
      <c r="V93" s="234" t="n">
        <f aca="false">MONTH(Таблица18[[#This Row],[Дата акта]])</f>
        <v>6</v>
      </c>
      <c r="W93" s="234" t="n">
        <v>6</v>
      </c>
      <c r="X93" s="248" t="n">
        <f aca="false">DATE(1900,Таблица18[[#This Row],[Месяц]],Таблица18[[#This Row],[Число]])</f>
        <v>158</v>
      </c>
      <c r="Y93" s="234"/>
      <c r="AF93" s="411"/>
      <c r="AG93" s="412"/>
    </row>
    <row r="94" s="410" customFormat="true" ht="15" hidden="true" customHeight="true" outlineLevel="0" collapsed="false">
      <c r="A94" s="199" t="s">
        <v>1558</v>
      </c>
      <c r="B94" s="199" t="s">
        <v>417</v>
      </c>
      <c r="C94" s="405" t="n">
        <v>185</v>
      </c>
      <c r="D94" s="406" t="n">
        <v>20</v>
      </c>
      <c r="E94" s="199" t="s">
        <v>422</v>
      </c>
      <c r="F94" s="199" t="s">
        <v>380</v>
      </c>
      <c r="G94" s="199" t="s">
        <v>381</v>
      </c>
      <c r="H94" s="199" t="s">
        <v>126</v>
      </c>
      <c r="I94" s="199" t="s">
        <v>126</v>
      </c>
      <c r="J94" s="199" t="s">
        <v>1559</v>
      </c>
      <c r="K94" s="199" t="s">
        <v>1435</v>
      </c>
      <c r="L94" s="407" t="n">
        <v>16430</v>
      </c>
      <c r="M94" s="407" t="n">
        <v>9610</v>
      </c>
      <c r="N94" s="408" t="n">
        <v>12.5</v>
      </c>
      <c r="O94" s="407" t="n">
        <v>6820</v>
      </c>
      <c r="P94" s="407" t="n">
        <v>5967.5</v>
      </c>
      <c r="Q94" s="234" t="n">
        <v>2023</v>
      </c>
      <c r="R94" s="234"/>
      <c r="S94" s="248" t="n">
        <v>45083</v>
      </c>
      <c r="T94" s="407" t="n">
        <f aca="false">Таблица18[[#This Row],[Вес нетто]]-Таблица18[[#This Row],[Зачетный вес]]</f>
        <v>852.5</v>
      </c>
      <c r="U94" s="409" t="n">
        <f aca="false">Таблица18[[#This Row],[Отход]]/Таблица18[[#This Row],[Вес нетто]]</f>
        <v>0.125</v>
      </c>
      <c r="V94" s="234" t="n">
        <f aca="false">MONTH(Таблица18[[#This Row],[Дата акта]])</f>
        <v>6</v>
      </c>
      <c r="W94" s="234" t="n">
        <v>6</v>
      </c>
      <c r="X94" s="248" t="n">
        <f aca="false">DATE(1900,Таблица18[[#This Row],[Месяц]],Таблица18[[#This Row],[Число]])</f>
        <v>158</v>
      </c>
      <c r="Y94" s="234"/>
      <c r="AF94" s="411"/>
      <c r="AG94" s="412"/>
    </row>
    <row r="95" s="410" customFormat="true" ht="15" hidden="true" customHeight="true" outlineLevel="0" collapsed="false">
      <c r="A95" s="199" t="s">
        <v>1560</v>
      </c>
      <c r="B95" s="199" t="s">
        <v>746</v>
      </c>
      <c r="C95" s="405" t="n">
        <v>187</v>
      </c>
      <c r="D95" s="406" t="n">
        <v>63392</v>
      </c>
      <c r="E95" s="199" t="s">
        <v>1432</v>
      </c>
      <c r="F95" s="199" t="s">
        <v>1548</v>
      </c>
      <c r="G95" s="199" t="s">
        <v>1549</v>
      </c>
      <c r="H95" s="199" t="s">
        <v>1434</v>
      </c>
      <c r="I95" s="199" t="s">
        <v>1434</v>
      </c>
      <c r="J95" s="199" t="s">
        <v>1516</v>
      </c>
      <c r="K95" s="199" t="s">
        <v>1435</v>
      </c>
      <c r="L95" s="407" t="n">
        <v>28070</v>
      </c>
      <c r="M95" s="407" t="n">
        <v>14850</v>
      </c>
      <c r="N95" s="408" t="n">
        <v>12.5</v>
      </c>
      <c r="O95" s="407" t="n">
        <v>13220</v>
      </c>
      <c r="P95" s="407" t="n">
        <v>11567.5</v>
      </c>
      <c r="Q95" s="234" t="n">
        <v>2023</v>
      </c>
      <c r="R95" s="234"/>
      <c r="S95" s="248" t="n">
        <v>45083</v>
      </c>
      <c r="T95" s="407" t="n">
        <f aca="false">Таблица18[[#This Row],[Вес нетто]]-Таблица18[[#This Row],[Зачетный вес]]</f>
        <v>1652.5</v>
      </c>
      <c r="U95" s="409" t="n">
        <f aca="false">Таблица18[[#This Row],[Отход]]/Таблица18[[#This Row],[Вес нетто]]</f>
        <v>0.125</v>
      </c>
      <c r="V95" s="234" t="n">
        <f aca="false">MONTH(Таблица18[[#This Row],[Дата акта]])</f>
        <v>6</v>
      </c>
      <c r="W95" s="234" t="n">
        <v>6</v>
      </c>
      <c r="X95" s="248" t="n">
        <f aca="false">DATE(1900,Таблица18[[#This Row],[Месяц]],Таблица18[[#This Row],[Число]])</f>
        <v>158</v>
      </c>
      <c r="Y95" s="234"/>
      <c r="AF95" s="411"/>
      <c r="AG95" s="412"/>
    </row>
    <row r="96" s="410" customFormat="true" ht="15" hidden="true" customHeight="true" outlineLevel="0" collapsed="false">
      <c r="A96" s="199" t="s">
        <v>1561</v>
      </c>
      <c r="B96" s="199" t="s">
        <v>746</v>
      </c>
      <c r="C96" s="405" t="n">
        <v>188</v>
      </c>
      <c r="D96" s="406" t="n">
        <v>63393</v>
      </c>
      <c r="E96" s="199" t="s">
        <v>1432</v>
      </c>
      <c r="F96" s="199" t="s">
        <v>371</v>
      </c>
      <c r="G96" s="199" t="s">
        <v>372</v>
      </c>
      <c r="H96" s="199" t="s">
        <v>1434</v>
      </c>
      <c r="I96" s="199" t="s">
        <v>1434</v>
      </c>
      <c r="J96" s="199" t="s">
        <v>1516</v>
      </c>
      <c r="K96" s="199" t="s">
        <v>1435</v>
      </c>
      <c r="L96" s="407" t="n">
        <v>28260</v>
      </c>
      <c r="M96" s="407" t="n">
        <v>15010</v>
      </c>
      <c r="N96" s="408" t="n">
        <v>11.5</v>
      </c>
      <c r="O96" s="407" t="n">
        <v>13250</v>
      </c>
      <c r="P96" s="407" t="n">
        <v>11726.2</v>
      </c>
      <c r="Q96" s="234" t="n">
        <v>2023</v>
      </c>
      <c r="R96" s="234"/>
      <c r="S96" s="248" t="n">
        <v>45083</v>
      </c>
      <c r="T96" s="407" t="n">
        <f aca="false">Таблица18[[#This Row],[Вес нетто]]-Таблица18[[#This Row],[Зачетный вес]]</f>
        <v>1523.8</v>
      </c>
      <c r="U96" s="409" t="n">
        <f aca="false">Таблица18[[#This Row],[Отход]]/Таблица18[[#This Row],[Вес нетто]]</f>
        <v>0.115003773584906</v>
      </c>
      <c r="V96" s="234" t="n">
        <f aca="false">MONTH(Таблица18[[#This Row],[Дата акта]])</f>
        <v>6</v>
      </c>
      <c r="W96" s="234" t="n">
        <v>6</v>
      </c>
      <c r="X96" s="248" t="n">
        <f aca="false">DATE(1900,Таблица18[[#This Row],[Месяц]],Таблица18[[#This Row],[Число]])</f>
        <v>158</v>
      </c>
      <c r="Y96" s="234"/>
      <c r="AF96" s="411"/>
      <c r="AG96" s="412"/>
    </row>
    <row r="97" s="410" customFormat="true" ht="15" hidden="true" customHeight="true" outlineLevel="0" collapsed="false">
      <c r="A97" s="199" t="s">
        <v>1562</v>
      </c>
      <c r="B97" s="199" t="s">
        <v>417</v>
      </c>
      <c r="C97" s="405" t="n">
        <v>189</v>
      </c>
      <c r="D97" s="406" t="n">
        <v>21</v>
      </c>
      <c r="E97" s="199" t="s">
        <v>422</v>
      </c>
      <c r="F97" s="199" t="s">
        <v>380</v>
      </c>
      <c r="G97" s="199" t="s">
        <v>381</v>
      </c>
      <c r="H97" s="199" t="s">
        <v>126</v>
      </c>
      <c r="I97" s="199" t="s">
        <v>126</v>
      </c>
      <c r="J97" s="199" t="s">
        <v>252</v>
      </c>
      <c r="K97" s="199" t="s">
        <v>1435</v>
      </c>
      <c r="L97" s="407" t="n">
        <v>16280</v>
      </c>
      <c r="M97" s="407" t="n">
        <v>9590</v>
      </c>
      <c r="N97" s="408" t="n">
        <v>11.5</v>
      </c>
      <c r="O97" s="407" t="n">
        <v>6690</v>
      </c>
      <c r="P97" s="407" t="n">
        <v>5920.6</v>
      </c>
      <c r="Q97" s="234" t="n">
        <v>2023</v>
      </c>
      <c r="R97" s="234"/>
      <c r="S97" s="248" t="n">
        <v>45083</v>
      </c>
      <c r="T97" s="407" t="n">
        <f aca="false">Таблица18[[#This Row],[Вес нетто]]-Таблица18[[#This Row],[Зачетный вес]]</f>
        <v>769.4</v>
      </c>
      <c r="U97" s="409" t="n">
        <f aca="false">Таблица18[[#This Row],[Отход]]/Таблица18[[#This Row],[Вес нетто]]</f>
        <v>0.115007473841555</v>
      </c>
      <c r="V97" s="234" t="n">
        <f aca="false">MONTH(Таблица18[[#This Row],[Дата акта]])</f>
        <v>6</v>
      </c>
      <c r="W97" s="234" t="n">
        <v>6</v>
      </c>
      <c r="X97" s="248" t="n">
        <f aca="false">DATE(1900,Таблица18[[#This Row],[Месяц]],Таблица18[[#This Row],[Число]])</f>
        <v>158</v>
      </c>
      <c r="Y97" s="234"/>
      <c r="AF97" s="411"/>
      <c r="AG97" s="412"/>
    </row>
    <row r="98" s="410" customFormat="true" ht="15" hidden="true" customHeight="true" outlineLevel="0" collapsed="false">
      <c r="A98" s="199" t="s">
        <v>1563</v>
      </c>
      <c r="B98" s="199" t="s">
        <v>417</v>
      </c>
      <c r="C98" s="405" t="n">
        <v>190</v>
      </c>
      <c r="D98" s="406" t="n">
        <v>63394</v>
      </c>
      <c r="E98" s="199" t="s">
        <v>1432</v>
      </c>
      <c r="F98" s="199" t="s">
        <v>1488</v>
      </c>
      <c r="G98" s="199" t="s">
        <v>1444</v>
      </c>
      <c r="H98" s="199" t="s">
        <v>1434</v>
      </c>
      <c r="I98" s="199" t="s">
        <v>1434</v>
      </c>
      <c r="J98" s="199" t="s">
        <v>1516</v>
      </c>
      <c r="K98" s="199" t="s">
        <v>1435</v>
      </c>
      <c r="L98" s="407" t="n">
        <v>28920</v>
      </c>
      <c r="M98" s="407" t="n">
        <v>15530</v>
      </c>
      <c r="N98" s="408" t="n">
        <v>11.5</v>
      </c>
      <c r="O98" s="407" t="n">
        <v>13390</v>
      </c>
      <c r="P98" s="407" t="n">
        <v>11850.1</v>
      </c>
      <c r="Q98" s="234" t="n">
        <v>2023</v>
      </c>
      <c r="R98" s="234"/>
      <c r="S98" s="248" t="n">
        <v>45083</v>
      </c>
      <c r="T98" s="407" t="n">
        <f aca="false">Таблица18[[#This Row],[Вес нетто]]-Таблица18[[#This Row],[Зачетный вес]]</f>
        <v>1539.9</v>
      </c>
      <c r="U98" s="409" t="n">
        <f aca="false">Таблица18[[#This Row],[Отход]]/Таблица18[[#This Row],[Вес нетто]]</f>
        <v>0.115003734129948</v>
      </c>
      <c r="V98" s="234" t="n">
        <f aca="false">MONTH(Таблица18[[#This Row],[Дата акта]])</f>
        <v>6</v>
      </c>
      <c r="W98" s="234" t="n">
        <v>6</v>
      </c>
      <c r="X98" s="248" t="n">
        <f aca="false">DATE(1900,Таблица18[[#This Row],[Месяц]],Таблица18[[#This Row],[Число]])</f>
        <v>158</v>
      </c>
      <c r="Y98" s="234"/>
      <c r="AF98" s="411"/>
      <c r="AG98" s="412"/>
    </row>
    <row r="99" s="410" customFormat="true" ht="15" hidden="true" customHeight="true" outlineLevel="0" collapsed="false">
      <c r="A99" s="199" t="s">
        <v>1564</v>
      </c>
      <c r="B99" s="199" t="s">
        <v>417</v>
      </c>
      <c r="C99" s="405" t="n">
        <v>191</v>
      </c>
      <c r="D99" s="406" t="n">
        <v>63395</v>
      </c>
      <c r="E99" s="199" t="s">
        <v>1432</v>
      </c>
      <c r="F99" s="199" t="s">
        <v>457</v>
      </c>
      <c r="G99" s="199" t="s">
        <v>366</v>
      </c>
      <c r="H99" s="199" t="s">
        <v>1434</v>
      </c>
      <c r="I99" s="199" t="s">
        <v>1434</v>
      </c>
      <c r="J99" s="199" t="s">
        <v>1516</v>
      </c>
      <c r="K99" s="199" t="s">
        <v>1435</v>
      </c>
      <c r="L99" s="407" t="n">
        <v>32800</v>
      </c>
      <c r="M99" s="407" t="n">
        <v>17360</v>
      </c>
      <c r="N99" s="408" t="n">
        <v>12.5</v>
      </c>
      <c r="O99" s="407" t="n">
        <v>15440</v>
      </c>
      <c r="P99" s="407" t="n">
        <v>13510</v>
      </c>
      <c r="Q99" s="234" t="n">
        <v>2023</v>
      </c>
      <c r="R99" s="234"/>
      <c r="S99" s="248" t="n">
        <v>45083</v>
      </c>
      <c r="T99" s="407" t="n">
        <f aca="false">Таблица18[[#This Row],[Вес нетто]]-Таблица18[[#This Row],[Зачетный вес]]</f>
        <v>1930</v>
      </c>
      <c r="U99" s="409" t="n">
        <f aca="false">Таблица18[[#This Row],[Отход]]/Таблица18[[#This Row],[Вес нетто]]</f>
        <v>0.125</v>
      </c>
      <c r="V99" s="234" t="n">
        <f aca="false">MONTH(Таблица18[[#This Row],[Дата акта]])</f>
        <v>6</v>
      </c>
      <c r="W99" s="234" t="n">
        <v>6</v>
      </c>
      <c r="X99" s="248" t="n">
        <f aca="false">DATE(1900,Таблица18[[#This Row],[Месяц]],Таблица18[[#This Row],[Число]])</f>
        <v>158</v>
      </c>
      <c r="Y99" s="234"/>
      <c r="AF99" s="411"/>
      <c r="AG99" s="412"/>
    </row>
    <row r="100" s="410" customFormat="true" ht="15" hidden="true" customHeight="true" outlineLevel="0" collapsed="false">
      <c r="A100" s="199" t="s">
        <v>1565</v>
      </c>
      <c r="B100" s="199" t="s">
        <v>417</v>
      </c>
      <c r="C100" s="405" t="n">
        <v>192</v>
      </c>
      <c r="D100" s="406" t="n">
        <v>22</v>
      </c>
      <c r="E100" s="199" t="s">
        <v>422</v>
      </c>
      <c r="F100" s="199" t="s">
        <v>380</v>
      </c>
      <c r="G100" s="199" t="s">
        <v>381</v>
      </c>
      <c r="H100" s="199" t="s">
        <v>94</v>
      </c>
      <c r="I100" s="199" t="s">
        <v>94</v>
      </c>
      <c r="J100" s="199" t="s">
        <v>252</v>
      </c>
      <c r="K100" s="199" t="s">
        <v>1435</v>
      </c>
      <c r="L100" s="407" t="n">
        <v>16460</v>
      </c>
      <c r="M100" s="407" t="n">
        <v>9580</v>
      </c>
      <c r="N100" s="408" t="n">
        <v>11.5</v>
      </c>
      <c r="O100" s="407" t="n">
        <v>6880</v>
      </c>
      <c r="P100" s="407" t="n">
        <v>6088.8</v>
      </c>
      <c r="Q100" s="234" t="n">
        <v>2023</v>
      </c>
      <c r="R100" s="234"/>
      <c r="S100" s="248" t="n">
        <v>45083</v>
      </c>
      <c r="T100" s="407" t="n">
        <f aca="false">Таблица18[[#This Row],[Вес нетто]]-Таблица18[[#This Row],[Зачетный вес]]</f>
        <v>791.2</v>
      </c>
      <c r="U100" s="409" t="n">
        <f aca="false">Таблица18[[#This Row],[Отход]]/Таблица18[[#This Row],[Вес нетто]]</f>
        <v>0.115</v>
      </c>
      <c r="V100" s="234" t="n">
        <f aca="false">MONTH(Таблица18[[#This Row],[Дата акта]])</f>
        <v>6</v>
      </c>
      <c r="W100" s="234" t="n">
        <v>6</v>
      </c>
      <c r="X100" s="248" t="n">
        <f aca="false">DATE(1900,Таблица18[[#This Row],[Месяц]],Таблица18[[#This Row],[Число]])</f>
        <v>158</v>
      </c>
      <c r="Y100" s="234"/>
      <c r="AF100" s="411"/>
      <c r="AG100" s="412"/>
    </row>
    <row r="101" s="410" customFormat="true" ht="15" hidden="true" customHeight="true" outlineLevel="0" collapsed="false">
      <c r="A101" s="199" t="s">
        <v>1566</v>
      </c>
      <c r="B101" s="199" t="s">
        <v>746</v>
      </c>
      <c r="C101" s="405" t="n">
        <v>193</v>
      </c>
      <c r="D101" s="406" t="n">
        <v>63370</v>
      </c>
      <c r="E101" s="199" t="s">
        <v>1432</v>
      </c>
      <c r="F101" s="199" t="s">
        <v>1485</v>
      </c>
      <c r="G101" s="199" t="s">
        <v>431</v>
      </c>
      <c r="H101" s="199" t="s">
        <v>1434</v>
      </c>
      <c r="I101" s="199" t="s">
        <v>1434</v>
      </c>
      <c r="J101" s="199" t="s">
        <v>1516</v>
      </c>
      <c r="K101" s="199" t="s">
        <v>1435</v>
      </c>
      <c r="L101" s="407" t="n">
        <v>38700</v>
      </c>
      <c r="M101" s="407" t="n">
        <v>20810</v>
      </c>
      <c r="N101" s="408" t="n">
        <v>7.5</v>
      </c>
      <c r="O101" s="407" t="n">
        <v>17890</v>
      </c>
      <c r="P101" s="407" t="n">
        <v>16548.2</v>
      </c>
      <c r="Q101" s="234" t="n">
        <v>2023</v>
      </c>
      <c r="R101" s="234"/>
      <c r="S101" s="248" t="n">
        <v>45083</v>
      </c>
      <c r="T101" s="407" t="n">
        <f aca="false">Таблица18[[#This Row],[Вес нетто]]-Таблица18[[#This Row],[Зачетный вес]]</f>
        <v>1341.8</v>
      </c>
      <c r="U101" s="409" t="n">
        <f aca="false">Таблица18[[#This Row],[Отход]]/Таблица18[[#This Row],[Вес нетто]]</f>
        <v>0.0750027948574622</v>
      </c>
      <c r="V101" s="234" t="n">
        <f aca="false">MONTH(Таблица18[[#This Row],[Дата акта]])</f>
        <v>6</v>
      </c>
      <c r="W101" s="234" t="n">
        <v>6</v>
      </c>
      <c r="X101" s="248" t="n">
        <f aca="false">DATE(1900,Таблица18[[#This Row],[Месяц]],Таблица18[[#This Row],[Число]])</f>
        <v>158</v>
      </c>
      <c r="Y101" s="234"/>
      <c r="AF101" s="411"/>
      <c r="AG101" s="412"/>
    </row>
    <row r="102" s="410" customFormat="true" ht="15" hidden="true" customHeight="true" outlineLevel="0" collapsed="false">
      <c r="A102" s="199" t="s">
        <v>1567</v>
      </c>
      <c r="B102" s="199" t="s">
        <v>746</v>
      </c>
      <c r="C102" s="405" t="n">
        <v>194</v>
      </c>
      <c r="D102" s="406" t="n">
        <v>63397</v>
      </c>
      <c r="E102" s="199" t="s">
        <v>1432</v>
      </c>
      <c r="F102" s="199" t="s">
        <v>1523</v>
      </c>
      <c r="G102" s="199" t="s">
        <v>1447</v>
      </c>
      <c r="H102" s="199" t="s">
        <v>1434</v>
      </c>
      <c r="I102" s="199" t="s">
        <v>1434</v>
      </c>
      <c r="J102" s="199" t="s">
        <v>1516</v>
      </c>
      <c r="K102" s="199" t="s">
        <v>1435</v>
      </c>
      <c r="L102" s="407" t="n">
        <v>30230</v>
      </c>
      <c r="M102" s="407" t="n">
        <v>14630</v>
      </c>
      <c r="N102" s="408" t="n">
        <v>8.5</v>
      </c>
      <c r="O102" s="407" t="n">
        <v>15600</v>
      </c>
      <c r="P102" s="407" t="n">
        <v>14274</v>
      </c>
      <c r="Q102" s="234" t="n">
        <v>2023</v>
      </c>
      <c r="R102" s="234"/>
      <c r="S102" s="248" t="n">
        <v>45083</v>
      </c>
      <c r="T102" s="407" t="n">
        <f aca="false">Таблица18[[#This Row],[Вес нетто]]-Таблица18[[#This Row],[Зачетный вес]]</f>
        <v>1326</v>
      </c>
      <c r="U102" s="409" t="n">
        <f aca="false">Таблица18[[#This Row],[Отход]]/Таблица18[[#This Row],[Вес нетто]]</f>
        <v>0.085</v>
      </c>
      <c r="V102" s="234" t="n">
        <f aca="false">MONTH(Таблица18[[#This Row],[Дата акта]])</f>
        <v>6</v>
      </c>
      <c r="W102" s="234" t="n">
        <v>6</v>
      </c>
      <c r="X102" s="248" t="n">
        <f aca="false">DATE(1900,Таблица18[[#This Row],[Месяц]],Таблица18[[#This Row],[Число]])</f>
        <v>158</v>
      </c>
      <c r="Y102" s="234"/>
      <c r="AF102" s="411"/>
      <c r="AG102" s="412"/>
    </row>
    <row r="103" s="410" customFormat="true" ht="15" hidden="true" customHeight="true" outlineLevel="0" collapsed="false">
      <c r="A103" s="199" t="s">
        <v>1568</v>
      </c>
      <c r="B103" s="199" t="s">
        <v>746</v>
      </c>
      <c r="C103" s="405" t="n">
        <v>195</v>
      </c>
      <c r="D103" s="406" t="n">
        <v>63398</v>
      </c>
      <c r="E103" s="199" t="s">
        <v>1432</v>
      </c>
      <c r="F103" s="199" t="s">
        <v>359</v>
      </c>
      <c r="G103" s="199" t="s">
        <v>426</v>
      </c>
      <c r="H103" s="199" t="s">
        <v>1569</v>
      </c>
      <c r="I103" s="199" t="s">
        <v>1569</v>
      </c>
      <c r="J103" s="199" t="s">
        <v>1516</v>
      </c>
      <c r="K103" s="199" t="s">
        <v>1435</v>
      </c>
      <c r="L103" s="407" t="n">
        <v>29420</v>
      </c>
      <c r="M103" s="407" t="n">
        <v>13870</v>
      </c>
      <c r="N103" s="408" t="n">
        <v>8.5</v>
      </c>
      <c r="O103" s="407" t="n">
        <v>15550</v>
      </c>
      <c r="P103" s="407" t="n">
        <v>14228.2</v>
      </c>
      <c r="Q103" s="234" t="n">
        <v>2023</v>
      </c>
      <c r="R103" s="234"/>
      <c r="S103" s="248" t="n">
        <v>45083</v>
      </c>
      <c r="T103" s="407" t="n">
        <f aca="false">Таблица18[[#This Row],[Вес нетто]]-Таблица18[[#This Row],[Зачетный вес]]</f>
        <v>1321.8</v>
      </c>
      <c r="U103" s="409" t="n">
        <f aca="false">Таблица18[[#This Row],[Отход]]/Таблица18[[#This Row],[Вес нетто]]</f>
        <v>0.0850032154340836</v>
      </c>
      <c r="V103" s="234" t="n">
        <f aca="false">MONTH(Таблица18[[#This Row],[Дата акта]])</f>
        <v>6</v>
      </c>
      <c r="W103" s="234" t="n">
        <v>6</v>
      </c>
      <c r="X103" s="248" t="n">
        <f aca="false">DATE(1900,Таблица18[[#This Row],[Месяц]],Таблица18[[#This Row],[Число]])</f>
        <v>158</v>
      </c>
      <c r="Y103" s="234"/>
      <c r="AF103" s="411"/>
      <c r="AG103" s="412"/>
    </row>
    <row r="104" s="410" customFormat="true" ht="15" hidden="true" customHeight="true" outlineLevel="0" collapsed="false">
      <c r="A104" s="199" t="s">
        <v>1570</v>
      </c>
      <c r="B104" s="199" t="s">
        <v>417</v>
      </c>
      <c r="C104" s="405" t="n">
        <v>197</v>
      </c>
      <c r="D104" s="406" t="n">
        <v>23</v>
      </c>
      <c r="E104" s="199" t="s">
        <v>422</v>
      </c>
      <c r="F104" s="199" t="s">
        <v>380</v>
      </c>
      <c r="G104" s="199" t="s">
        <v>381</v>
      </c>
      <c r="H104" s="199" t="s">
        <v>94</v>
      </c>
      <c r="I104" s="199" t="s">
        <v>94</v>
      </c>
      <c r="J104" s="199" t="s">
        <v>252</v>
      </c>
      <c r="K104" s="199" t="s">
        <v>1435</v>
      </c>
      <c r="L104" s="407" t="n">
        <v>16220</v>
      </c>
      <c r="M104" s="407" t="n">
        <v>9570</v>
      </c>
      <c r="N104" s="408" t="n">
        <v>12.5</v>
      </c>
      <c r="O104" s="407" t="n">
        <v>6650</v>
      </c>
      <c r="P104" s="407" t="n">
        <v>5818.7</v>
      </c>
      <c r="Q104" s="234" t="n">
        <v>2023</v>
      </c>
      <c r="R104" s="234"/>
      <c r="S104" s="248" t="n">
        <v>45083</v>
      </c>
      <c r="T104" s="407" t="n">
        <f aca="false">Таблица18[[#This Row],[Вес нетто]]-Таблица18[[#This Row],[Зачетный вес]]</f>
        <v>831.3</v>
      </c>
      <c r="U104" s="409" t="n">
        <f aca="false">Таблица18[[#This Row],[Отход]]/Таблица18[[#This Row],[Вес нетто]]</f>
        <v>0.125007518796993</v>
      </c>
      <c r="V104" s="234" t="n">
        <f aca="false">MONTH(Таблица18[[#This Row],[Дата акта]])</f>
        <v>6</v>
      </c>
      <c r="W104" s="234" t="n">
        <v>6</v>
      </c>
      <c r="X104" s="248" t="n">
        <f aca="false">DATE(1900,Таблица18[[#This Row],[Месяц]],Таблица18[[#This Row],[Число]])</f>
        <v>158</v>
      </c>
      <c r="Y104" s="234"/>
      <c r="AF104" s="411"/>
      <c r="AG104" s="412"/>
    </row>
    <row r="105" s="410" customFormat="true" ht="15" hidden="true" customHeight="true" outlineLevel="0" collapsed="false">
      <c r="A105" s="199" t="s">
        <v>1571</v>
      </c>
      <c r="B105" s="199" t="s">
        <v>746</v>
      </c>
      <c r="C105" s="405" t="n">
        <v>198</v>
      </c>
      <c r="D105" s="406" t="n">
        <v>63399</v>
      </c>
      <c r="E105" s="199" t="s">
        <v>1432</v>
      </c>
      <c r="F105" s="199" t="s">
        <v>1476</v>
      </c>
      <c r="G105" s="199" t="s">
        <v>1478</v>
      </c>
      <c r="H105" s="199" t="s">
        <v>1569</v>
      </c>
      <c r="I105" s="199" t="s">
        <v>1569</v>
      </c>
      <c r="J105" s="199" t="s">
        <v>1516</v>
      </c>
      <c r="K105" s="199" t="s">
        <v>1435</v>
      </c>
      <c r="L105" s="407" t="n">
        <v>29860</v>
      </c>
      <c r="M105" s="407" t="n">
        <v>14350</v>
      </c>
      <c r="N105" s="408" t="n">
        <v>9.5</v>
      </c>
      <c r="O105" s="407" t="n">
        <v>15510</v>
      </c>
      <c r="P105" s="407" t="n">
        <v>14036.5</v>
      </c>
      <c r="Q105" s="234" t="n">
        <v>2023</v>
      </c>
      <c r="R105" s="234"/>
      <c r="S105" s="248" t="n">
        <v>45083</v>
      </c>
      <c r="T105" s="407" t="n">
        <f aca="false">Таблица18[[#This Row],[Вес нетто]]-Таблица18[[#This Row],[Зачетный вес]]</f>
        <v>1473.5</v>
      </c>
      <c r="U105" s="409" t="n">
        <f aca="false">Таблица18[[#This Row],[Отход]]/Таблица18[[#This Row],[Вес нетто]]</f>
        <v>0.095003223726628</v>
      </c>
      <c r="V105" s="234" t="n">
        <f aca="false">MONTH(Таблица18[[#This Row],[Дата акта]])</f>
        <v>6</v>
      </c>
      <c r="W105" s="234" t="n">
        <v>6</v>
      </c>
      <c r="X105" s="248" t="n">
        <f aca="false">DATE(1900,Таблица18[[#This Row],[Месяц]],Таблица18[[#This Row],[Число]])</f>
        <v>158</v>
      </c>
      <c r="Y105" s="234"/>
      <c r="AF105" s="411"/>
      <c r="AG105" s="412"/>
    </row>
    <row r="106" s="410" customFormat="true" ht="15" hidden="true" customHeight="true" outlineLevel="0" collapsed="false">
      <c r="A106" s="199" t="s">
        <v>1572</v>
      </c>
      <c r="B106" s="199" t="s">
        <v>746</v>
      </c>
      <c r="C106" s="405" t="n">
        <v>200</v>
      </c>
      <c r="D106" s="406" t="n">
        <v>63400</v>
      </c>
      <c r="E106" s="199" t="s">
        <v>1432</v>
      </c>
      <c r="F106" s="199" t="s">
        <v>1439</v>
      </c>
      <c r="G106" s="199" t="s">
        <v>1440</v>
      </c>
      <c r="H106" s="199" t="s">
        <v>1569</v>
      </c>
      <c r="I106" s="199" t="s">
        <v>1569</v>
      </c>
      <c r="J106" s="199" t="s">
        <v>1516</v>
      </c>
      <c r="K106" s="199" t="s">
        <v>1435</v>
      </c>
      <c r="L106" s="407" t="n">
        <v>28950</v>
      </c>
      <c r="M106" s="407" t="n">
        <v>13270</v>
      </c>
      <c r="N106" s="408" t="n">
        <v>12.5</v>
      </c>
      <c r="O106" s="407" t="n">
        <v>15680</v>
      </c>
      <c r="P106" s="407" t="n">
        <v>13720</v>
      </c>
      <c r="Q106" s="234" t="n">
        <v>2023</v>
      </c>
      <c r="R106" s="234"/>
      <c r="S106" s="248" t="n">
        <v>45084</v>
      </c>
      <c r="T106" s="407" t="n">
        <f aca="false">Таблица18[[#This Row],[Вес нетто]]-Таблица18[[#This Row],[Зачетный вес]]</f>
        <v>1960</v>
      </c>
      <c r="U106" s="409" t="n">
        <f aca="false">Таблица18[[#This Row],[Отход]]/Таблица18[[#This Row],[Вес нетто]]</f>
        <v>0.125</v>
      </c>
      <c r="V106" s="234" t="n">
        <f aca="false">MONTH(Таблица18[[#This Row],[Дата акта]])</f>
        <v>6</v>
      </c>
      <c r="W106" s="234" t="n">
        <v>7</v>
      </c>
      <c r="X106" s="248" t="n">
        <f aca="false">DATE(1900,Таблица18[[#This Row],[Месяц]],Таблица18[[#This Row],[Число]])</f>
        <v>159</v>
      </c>
      <c r="Y106" s="234"/>
      <c r="AF106" s="411"/>
      <c r="AG106" s="412"/>
    </row>
    <row r="107" s="410" customFormat="true" ht="15" hidden="true" customHeight="true" outlineLevel="0" collapsed="false">
      <c r="A107" s="199" t="s">
        <v>1573</v>
      </c>
      <c r="B107" s="199" t="s">
        <v>746</v>
      </c>
      <c r="C107" s="405" t="n">
        <v>201</v>
      </c>
      <c r="D107" s="406" t="n">
        <v>63401</v>
      </c>
      <c r="E107" s="199" t="s">
        <v>1432</v>
      </c>
      <c r="F107" s="199" t="s">
        <v>1492</v>
      </c>
      <c r="G107" s="199" t="s">
        <v>49</v>
      </c>
      <c r="H107" s="199" t="s">
        <v>1569</v>
      </c>
      <c r="I107" s="199" t="s">
        <v>1569</v>
      </c>
      <c r="J107" s="199" t="s">
        <v>68</v>
      </c>
      <c r="K107" s="199" t="s">
        <v>1435</v>
      </c>
      <c r="L107" s="407" t="n">
        <v>30270</v>
      </c>
      <c r="M107" s="407" t="n">
        <v>14920</v>
      </c>
      <c r="N107" s="408" t="n">
        <v>7.5</v>
      </c>
      <c r="O107" s="407" t="n">
        <v>15350</v>
      </c>
      <c r="P107" s="407" t="n">
        <v>14198.7</v>
      </c>
      <c r="Q107" s="234" t="n">
        <v>2023</v>
      </c>
      <c r="R107" s="234"/>
      <c r="S107" s="248" t="n">
        <v>45084</v>
      </c>
      <c r="T107" s="407" t="n">
        <f aca="false">Таблица18[[#This Row],[Вес нетто]]-Таблица18[[#This Row],[Зачетный вес]]</f>
        <v>1151.3</v>
      </c>
      <c r="U107" s="409" t="n">
        <f aca="false">Таблица18[[#This Row],[Отход]]/Таблица18[[#This Row],[Вес нетто]]</f>
        <v>0.0750032573289902</v>
      </c>
      <c r="V107" s="234" t="n">
        <f aca="false">MONTH(Таблица18[[#This Row],[Дата акта]])</f>
        <v>6</v>
      </c>
      <c r="W107" s="234" t="n">
        <v>7</v>
      </c>
      <c r="X107" s="248" t="n">
        <f aca="false">DATE(1900,Таблица18[[#This Row],[Месяц]],Таблица18[[#This Row],[Число]])</f>
        <v>159</v>
      </c>
      <c r="Y107" s="234"/>
      <c r="AF107" s="411"/>
      <c r="AG107" s="412"/>
    </row>
    <row r="108" s="410" customFormat="true" ht="15" hidden="true" customHeight="true" outlineLevel="0" collapsed="false">
      <c r="A108" s="199" t="s">
        <v>1574</v>
      </c>
      <c r="B108" s="199" t="s">
        <v>746</v>
      </c>
      <c r="C108" s="405" t="n">
        <v>202</v>
      </c>
      <c r="D108" s="406" t="n">
        <v>3402</v>
      </c>
      <c r="E108" s="199" t="s">
        <v>1432</v>
      </c>
      <c r="F108" s="199" t="s">
        <v>1474</v>
      </c>
      <c r="G108" s="199" t="s">
        <v>370</v>
      </c>
      <c r="H108" s="199" t="s">
        <v>1569</v>
      </c>
      <c r="I108" s="199" t="s">
        <v>1569</v>
      </c>
      <c r="J108" s="199" t="s">
        <v>68</v>
      </c>
      <c r="K108" s="199" t="s">
        <v>1435</v>
      </c>
      <c r="L108" s="407" t="n">
        <v>29480</v>
      </c>
      <c r="M108" s="407" t="n">
        <v>14000</v>
      </c>
      <c r="N108" s="408" t="n">
        <v>7.5</v>
      </c>
      <c r="O108" s="407" t="n">
        <v>15480</v>
      </c>
      <c r="P108" s="407" t="n">
        <v>14319</v>
      </c>
      <c r="Q108" s="234" t="n">
        <v>2023</v>
      </c>
      <c r="R108" s="234"/>
      <c r="S108" s="248" t="n">
        <v>45084</v>
      </c>
      <c r="T108" s="407" t="n">
        <f aca="false">Таблица18[[#This Row],[Вес нетто]]-Таблица18[[#This Row],[Зачетный вес]]</f>
        <v>1161</v>
      </c>
      <c r="U108" s="409" t="n">
        <f aca="false">Таблица18[[#This Row],[Отход]]/Таблица18[[#This Row],[Вес нетто]]</f>
        <v>0.075</v>
      </c>
      <c r="V108" s="234" t="n">
        <f aca="false">MONTH(Таблица18[[#This Row],[Дата акта]])</f>
        <v>6</v>
      </c>
      <c r="W108" s="234" t="n">
        <v>7</v>
      </c>
      <c r="X108" s="248" t="n">
        <f aca="false">DATE(1900,Таблица18[[#This Row],[Месяц]],Таблица18[[#This Row],[Число]])</f>
        <v>159</v>
      </c>
      <c r="Y108" s="234"/>
      <c r="AF108" s="411"/>
      <c r="AG108" s="412"/>
    </row>
    <row r="109" s="410" customFormat="true" ht="15" hidden="true" customHeight="true" outlineLevel="0" collapsed="false">
      <c r="A109" s="199" t="s">
        <v>1575</v>
      </c>
      <c r="B109" s="199" t="s">
        <v>746</v>
      </c>
      <c r="C109" s="405" t="n">
        <v>203</v>
      </c>
      <c r="D109" s="406" t="n">
        <v>63403</v>
      </c>
      <c r="E109" s="199" t="s">
        <v>1432</v>
      </c>
      <c r="F109" s="199" t="s">
        <v>1576</v>
      </c>
      <c r="G109" s="199" t="s">
        <v>1455</v>
      </c>
      <c r="H109" s="199" t="s">
        <v>1569</v>
      </c>
      <c r="I109" s="199" t="s">
        <v>1569</v>
      </c>
      <c r="J109" s="199" t="s">
        <v>68</v>
      </c>
      <c r="K109" s="199" t="s">
        <v>1435</v>
      </c>
      <c r="L109" s="407" t="n">
        <v>29960</v>
      </c>
      <c r="M109" s="407" t="n">
        <v>14240</v>
      </c>
      <c r="N109" s="408" t="n">
        <v>11.5</v>
      </c>
      <c r="O109" s="407" t="n">
        <v>15720</v>
      </c>
      <c r="P109" s="407" t="n">
        <v>13912.2</v>
      </c>
      <c r="Q109" s="234" t="n">
        <v>2023</v>
      </c>
      <c r="R109" s="234"/>
      <c r="S109" s="248" t="n">
        <v>45084</v>
      </c>
      <c r="T109" s="407" t="n">
        <f aca="false">Таблица18[[#This Row],[Вес нетто]]-Таблица18[[#This Row],[Зачетный вес]]</f>
        <v>1807.8</v>
      </c>
      <c r="U109" s="409" t="n">
        <f aca="false">Таблица18[[#This Row],[Отход]]/Таблица18[[#This Row],[Вес нетто]]</f>
        <v>0.115</v>
      </c>
      <c r="V109" s="234" t="n">
        <f aca="false">MONTH(Таблица18[[#This Row],[Дата акта]])</f>
        <v>6</v>
      </c>
      <c r="W109" s="234" t="n">
        <v>7</v>
      </c>
      <c r="X109" s="248" t="n">
        <f aca="false">DATE(1900,Таблица18[[#This Row],[Месяц]],Таблица18[[#This Row],[Число]])</f>
        <v>159</v>
      </c>
      <c r="Y109" s="234"/>
      <c r="AF109" s="411"/>
      <c r="AG109" s="412"/>
    </row>
    <row r="110" s="410" customFormat="true" ht="15" hidden="true" customHeight="true" outlineLevel="0" collapsed="false">
      <c r="A110" s="199" t="s">
        <v>1577</v>
      </c>
      <c r="B110" s="199" t="s">
        <v>746</v>
      </c>
      <c r="C110" s="405" t="n">
        <v>204</v>
      </c>
      <c r="D110" s="406" t="n">
        <v>63404</v>
      </c>
      <c r="E110" s="199" t="s">
        <v>1432</v>
      </c>
      <c r="F110" s="199" t="s">
        <v>371</v>
      </c>
      <c r="G110" s="199" t="s">
        <v>372</v>
      </c>
      <c r="H110" s="199" t="s">
        <v>1569</v>
      </c>
      <c r="I110" s="199" t="s">
        <v>1569</v>
      </c>
      <c r="J110" s="199" t="s">
        <v>68</v>
      </c>
      <c r="K110" s="199" t="s">
        <v>1435</v>
      </c>
      <c r="L110" s="407" t="n">
        <v>30680</v>
      </c>
      <c r="M110" s="407" t="n">
        <v>15010</v>
      </c>
      <c r="N110" s="408" t="n">
        <v>9.5</v>
      </c>
      <c r="O110" s="407" t="n">
        <v>15670</v>
      </c>
      <c r="P110" s="407" t="n">
        <v>14181.3</v>
      </c>
      <c r="Q110" s="234" t="n">
        <v>2023</v>
      </c>
      <c r="R110" s="234"/>
      <c r="S110" s="248" t="n">
        <v>45084</v>
      </c>
      <c r="T110" s="407" t="n">
        <f aca="false">Таблица18[[#This Row],[Вес нетто]]-Таблица18[[#This Row],[Зачетный вес]]</f>
        <v>1488.7</v>
      </c>
      <c r="U110" s="409" t="n">
        <f aca="false">Таблица18[[#This Row],[Отход]]/Таблица18[[#This Row],[Вес нетто]]</f>
        <v>0.0950031908104659</v>
      </c>
      <c r="V110" s="234" t="n">
        <f aca="false">MONTH(Таблица18[[#This Row],[Дата акта]])</f>
        <v>6</v>
      </c>
      <c r="W110" s="234" t="n">
        <v>7</v>
      </c>
      <c r="X110" s="248" t="n">
        <f aca="false">DATE(1900,Таблица18[[#This Row],[Месяц]],Таблица18[[#This Row],[Число]])</f>
        <v>159</v>
      </c>
      <c r="Y110" s="234"/>
      <c r="AF110" s="411"/>
      <c r="AG110" s="412"/>
    </row>
    <row r="111" s="410" customFormat="true" ht="15" hidden="true" customHeight="true" outlineLevel="0" collapsed="false">
      <c r="A111" s="199" t="s">
        <v>1578</v>
      </c>
      <c r="B111" s="199" t="s">
        <v>746</v>
      </c>
      <c r="C111" s="405" t="n">
        <v>205</v>
      </c>
      <c r="D111" s="406" t="n">
        <v>63405</v>
      </c>
      <c r="E111" s="199" t="s">
        <v>1432</v>
      </c>
      <c r="F111" s="199" t="s">
        <v>1488</v>
      </c>
      <c r="G111" s="199" t="s">
        <v>1444</v>
      </c>
      <c r="H111" s="199" t="s">
        <v>1569</v>
      </c>
      <c r="I111" s="199" t="s">
        <v>1569</v>
      </c>
      <c r="J111" s="199" t="s">
        <v>68</v>
      </c>
      <c r="K111" s="199" t="s">
        <v>1435</v>
      </c>
      <c r="L111" s="407" t="n">
        <v>31600</v>
      </c>
      <c r="M111" s="407" t="n">
        <v>21970</v>
      </c>
      <c r="N111" s="408" t="n">
        <v>9.5</v>
      </c>
      <c r="O111" s="407" t="n">
        <v>9630</v>
      </c>
      <c r="P111" s="407" t="n">
        <v>8715.1</v>
      </c>
      <c r="Q111" s="234" t="n">
        <v>2023</v>
      </c>
      <c r="R111" s="234"/>
      <c r="S111" s="248" t="n">
        <v>45084</v>
      </c>
      <c r="T111" s="407" t="n">
        <f aca="false">Таблица18[[#This Row],[Вес нетто]]-Таблица18[[#This Row],[Зачетный вес]]</f>
        <v>914.9</v>
      </c>
      <c r="U111" s="409" t="n">
        <f aca="false">Таблица18[[#This Row],[Отход]]/Таблица18[[#This Row],[Вес нетто]]</f>
        <v>0.0950051921079958</v>
      </c>
      <c r="V111" s="234" t="n">
        <f aca="false">MONTH(Таблица18[[#This Row],[Дата акта]])</f>
        <v>6</v>
      </c>
      <c r="W111" s="234" t="n">
        <v>7</v>
      </c>
      <c r="X111" s="248" t="n">
        <f aca="false">DATE(1900,Таблица18[[#This Row],[Месяц]],Таблица18[[#This Row],[Число]])</f>
        <v>159</v>
      </c>
      <c r="Y111" s="234"/>
      <c r="AF111" s="411"/>
      <c r="AG111" s="412"/>
    </row>
    <row r="112" s="410" customFormat="true" ht="15" hidden="true" customHeight="true" outlineLevel="0" collapsed="false">
      <c r="A112" s="199" t="s">
        <v>1579</v>
      </c>
      <c r="B112" s="199" t="s">
        <v>746</v>
      </c>
      <c r="C112" s="405" t="n">
        <v>207</v>
      </c>
      <c r="D112" s="406" t="n">
        <v>63406</v>
      </c>
      <c r="E112" s="199" t="s">
        <v>1432</v>
      </c>
      <c r="F112" s="199" t="s">
        <v>457</v>
      </c>
      <c r="G112" s="199" t="s">
        <v>366</v>
      </c>
      <c r="H112" s="199" t="s">
        <v>1569</v>
      </c>
      <c r="I112" s="199" t="s">
        <v>1569</v>
      </c>
      <c r="J112" s="199" t="s">
        <v>68</v>
      </c>
      <c r="K112" s="199" t="s">
        <v>1435</v>
      </c>
      <c r="L112" s="407" t="n">
        <v>32750</v>
      </c>
      <c r="M112" s="407" t="n">
        <v>23920</v>
      </c>
      <c r="N112" s="408" t="n">
        <v>10.5</v>
      </c>
      <c r="O112" s="407" t="n">
        <v>8830</v>
      </c>
      <c r="P112" s="407" t="n">
        <v>7902.8</v>
      </c>
      <c r="Q112" s="234" t="n">
        <v>2023</v>
      </c>
      <c r="R112" s="234"/>
      <c r="S112" s="248" t="n">
        <v>45084</v>
      </c>
      <c r="T112" s="407" t="n">
        <f aca="false">Таблица18[[#This Row],[Вес нетто]]-Таблица18[[#This Row],[Зачетный вес]]</f>
        <v>927.2</v>
      </c>
      <c r="U112" s="409" t="n">
        <f aca="false">Таблица18[[#This Row],[Отход]]/Таблица18[[#This Row],[Вес нетто]]</f>
        <v>0.105005662514156</v>
      </c>
      <c r="V112" s="234" t="n">
        <f aca="false">MONTH(Таблица18[[#This Row],[Дата акта]])</f>
        <v>6</v>
      </c>
      <c r="W112" s="234" t="n">
        <v>7</v>
      </c>
      <c r="X112" s="248" t="n">
        <f aca="false">DATE(1900,Таблица18[[#This Row],[Месяц]],Таблица18[[#This Row],[Число]])</f>
        <v>159</v>
      </c>
      <c r="Y112" s="234"/>
      <c r="AF112" s="411"/>
      <c r="AG112" s="412"/>
    </row>
    <row r="113" s="410" customFormat="true" ht="15" hidden="true" customHeight="true" outlineLevel="0" collapsed="false">
      <c r="A113" s="199" t="s">
        <v>1580</v>
      </c>
      <c r="B113" s="199" t="s">
        <v>886</v>
      </c>
      <c r="C113" s="405" t="n">
        <v>209</v>
      </c>
      <c r="D113" s="406" t="n">
        <v>63408</v>
      </c>
      <c r="E113" s="199" t="s">
        <v>1432</v>
      </c>
      <c r="F113" s="199" t="s">
        <v>1476</v>
      </c>
      <c r="G113" s="199" t="s">
        <v>368</v>
      </c>
      <c r="H113" s="199" t="s">
        <v>1569</v>
      </c>
      <c r="I113" s="199" t="s">
        <v>1569</v>
      </c>
      <c r="J113" s="199" t="s">
        <v>68</v>
      </c>
      <c r="K113" s="199" t="s">
        <v>1435</v>
      </c>
      <c r="L113" s="407" t="n">
        <v>30000</v>
      </c>
      <c r="M113" s="234"/>
      <c r="N113" s="408" t="n">
        <v>10.5</v>
      </c>
      <c r="O113" s="407" t="n">
        <v>15660</v>
      </c>
      <c r="P113" s="407" t="n">
        <v>14015.7</v>
      </c>
      <c r="Q113" s="234" t="n">
        <v>2023</v>
      </c>
      <c r="R113" s="234"/>
      <c r="S113" s="248" t="n">
        <v>45084</v>
      </c>
      <c r="T113" s="407" t="n">
        <f aca="false">Таблица18[[#This Row],[Вес нетто]]-Таблица18[[#This Row],[Зачетный вес]]</f>
        <v>1644.3</v>
      </c>
      <c r="U113" s="409" t="n">
        <f aca="false">Таблица18[[#This Row],[Отход]]/Таблица18[[#This Row],[Вес нетто]]</f>
        <v>0.105</v>
      </c>
      <c r="V113" s="234" t="n">
        <f aca="false">MONTH(Таблица18[[#This Row],[Дата акта]])</f>
        <v>6</v>
      </c>
      <c r="W113" s="234" t="n">
        <v>7</v>
      </c>
      <c r="X113" s="248" t="n">
        <f aca="false">DATE(1900,Таблица18[[#This Row],[Месяц]],Таблица18[[#This Row],[Число]])</f>
        <v>159</v>
      </c>
      <c r="Y113" s="234"/>
      <c r="AF113" s="411"/>
      <c r="AG113" s="412"/>
    </row>
    <row r="114" s="410" customFormat="true" ht="15" hidden="true" customHeight="true" outlineLevel="0" collapsed="false">
      <c r="A114" s="199" t="s">
        <v>1581</v>
      </c>
      <c r="B114" s="199" t="s">
        <v>746</v>
      </c>
      <c r="C114" s="405" t="n">
        <v>210</v>
      </c>
      <c r="D114" s="406" t="n">
        <v>63409</v>
      </c>
      <c r="E114" s="199" t="s">
        <v>1432</v>
      </c>
      <c r="F114" s="199" t="s">
        <v>1523</v>
      </c>
      <c r="G114" s="199" t="s">
        <v>1447</v>
      </c>
      <c r="H114" s="199" t="s">
        <v>1569</v>
      </c>
      <c r="I114" s="199" t="s">
        <v>1569</v>
      </c>
      <c r="J114" s="199" t="s">
        <v>68</v>
      </c>
      <c r="K114" s="199" t="s">
        <v>1435</v>
      </c>
      <c r="L114" s="407" t="n">
        <v>29890</v>
      </c>
      <c r="M114" s="407" t="n">
        <v>14620</v>
      </c>
      <c r="N114" s="408" t="n">
        <v>9.5</v>
      </c>
      <c r="O114" s="407" t="n">
        <v>15270</v>
      </c>
      <c r="P114" s="407" t="n">
        <v>13819.3</v>
      </c>
      <c r="Q114" s="234" t="n">
        <v>2023</v>
      </c>
      <c r="R114" s="234"/>
      <c r="S114" s="248" t="n">
        <v>45085</v>
      </c>
      <c r="T114" s="407" t="n">
        <f aca="false">Таблица18[[#This Row],[Вес нетто]]-Таблица18[[#This Row],[Зачетный вес]]</f>
        <v>1450.7</v>
      </c>
      <c r="U114" s="409" t="n">
        <f aca="false">Таблица18[[#This Row],[Отход]]/Таблица18[[#This Row],[Вес нетто]]</f>
        <v>0.0950032743942371</v>
      </c>
      <c r="V114" s="234" t="n">
        <f aca="false">MONTH(Таблица18[[#This Row],[Дата акта]])</f>
        <v>6</v>
      </c>
      <c r="W114" s="234" t="n">
        <v>8</v>
      </c>
      <c r="X114" s="248" t="n">
        <f aca="false">DATE(1900,Таблица18[[#This Row],[Месяц]],Таблица18[[#This Row],[Число]])</f>
        <v>160</v>
      </c>
      <c r="Y114" s="234"/>
      <c r="AF114" s="411"/>
      <c r="AG114" s="412"/>
    </row>
    <row r="115" s="410" customFormat="true" ht="15" hidden="true" customHeight="true" outlineLevel="0" collapsed="false">
      <c r="A115" s="199" t="s">
        <v>1582</v>
      </c>
      <c r="B115" s="199" t="s">
        <v>746</v>
      </c>
      <c r="C115" s="405" t="n">
        <v>211</v>
      </c>
      <c r="D115" s="406" t="n">
        <v>63410</v>
      </c>
      <c r="E115" s="199" t="s">
        <v>1432</v>
      </c>
      <c r="F115" s="199" t="s">
        <v>359</v>
      </c>
      <c r="G115" s="199" t="s">
        <v>426</v>
      </c>
      <c r="H115" s="199" t="s">
        <v>1569</v>
      </c>
      <c r="I115" s="199" t="s">
        <v>1569</v>
      </c>
      <c r="J115" s="199" t="s">
        <v>68</v>
      </c>
      <c r="K115" s="199" t="s">
        <v>1435</v>
      </c>
      <c r="L115" s="407" t="n">
        <v>29360</v>
      </c>
      <c r="M115" s="407" t="n">
        <v>13980</v>
      </c>
      <c r="N115" s="408" t="n">
        <v>10.5</v>
      </c>
      <c r="O115" s="407" t="n">
        <v>15380</v>
      </c>
      <c r="P115" s="407" t="n">
        <v>13765.1</v>
      </c>
      <c r="Q115" s="234" t="n">
        <v>2023</v>
      </c>
      <c r="R115" s="234"/>
      <c r="S115" s="248" t="n">
        <v>45085</v>
      </c>
      <c r="T115" s="407" t="n">
        <f aca="false">Таблица18[[#This Row],[Вес нетто]]-Таблица18[[#This Row],[Зачетный вес]]</f>
        <v>1614.9</v>
      </c>
      <c r="U115" s="409" t="n">
        <f aca="false">Таблица18[[#This Row],[Отход]]/Таблица18[[#This Row],[Вес нетто]]</f>
        <v>0.105</v>
      </c>
      <c r="V115" s="234" t="n">
        <f aca="false">MONTH(Таблица18[[#This Row],[Дата акта]])</f>
        <v>6</v>
      </c>
      <c r="W115" s="234" t="n">
        <v>8</v>
      </c>
      <c r="X115" s="248" t="n">
        <f aca="false">DATE(1900,Таблица18[[#This Row],[Месяц]],Таблица18[[#This Row],[Число]])</f>
        <v>160</v>
      </c>
      <c r="Y115" s="234"/>
      <c r="AF115" s="411"/>
      <c r="AG115" s="412"/>
    </row>
    <row r="116" s="410" customFormat="true" ht="15" hidden="true" customHeight="true" outlineLevel="0" collapsed="false">
      <c r="A116" s="199" t="s">
        <v>1583</v>
      </c>
      <c r="B116" s="199" t="s">
        <v>746</v>
      </c>
      <c r="C116" s="405" t="n">
        <v>212</v>
      </c>
      <c r="D116" s="406" t="n">
        <v>63411</v>
      </c>
      <c r="E116" s="199" t="s">
        <v>1432</v>
      </c>
      <c r="F116" s="199" t="s">
        <v>55</v>
      </c>
      <c r="G116" s="199" t="s">
        <v>56</v>
      </c>
      <c r="H116" s="199" t="s">
        <v>1569</v>
      </c>
      <c r="I116" s="199" t="s">
        <v>1569</v>
      </c>
      <c r="J116" s="199" t="s">
        <v>68</v>
      </c>
      <c r="K116" s="199" t="s">
        <v>1435</v>
      </c>
      <c r="L116" s="407" t="n">
        <v>29650</v>
      </c>
      <c r="M116" s="407" t="n">
        <v>14360</v>
      </c>
      <c r="N116" s="408" t="n">
        <v>11.5</v>
      </c>
      <c r="O116" s="407" t="n">
        <v>15290</v>
      </c>
      <c r="P116" s="407" t="n">
        <v>13531.6</v>
      </c>
      <c r="Q116" s="234" t="n">
        <v>2023</v>
      </c>
      <c r="R116" s="234"/>
      <c r="S116" s="248" t="n">
        <v>45085</v>
      </c>
      <c r="T116" s="407" t="n">
        <f aca="false">Таблица18[[#This Row],[Вес нетто]]-Таблица18[[#This Row],[Зачетный вес]]</f>
        <v>1758.4</v>
      </c>
      <c r="U116" s="409" t="n">
        <f aca="false">Таблица18[[#This Row],[Отход]]/Таблица18[[#This Row],[Вес нетто]]</f>
        <v>0.115003270111184</v>
      </c>
      <c r="V116" s="234" t="n">
        <f aca="false">MONTH(Таблица18[[#This Row],[Дата акта]])</f>
        <v>6</v>
      </c>
      <c r="W116" s="234" t="n">
        <v>8</v>
      </c>
      <c r="X116" s="248" t="n">
        <f aca="false">DATE(1900,Таблица18[[#This Row],[Месяц]],Таблица18[[#This Row],[Число]])</f>
        <v>160</v>
      </c>
      <c r="Y116" s="234"/>
      <c r="AF116" s="411"/>
      <c r="AG116" s="412"/>
    </row>
    <row r="117" s="410" customFormat="true" ht="15" hidden="true" customHeight="true" outlineLevel="0" collapsed="false">
      <c r="A117" s="199" t="s">
        <v>1584</v>
      </c>
      <c r="B117" s="199" t="s">
        <v>746</v>
      </c>
      <c r="C117" s="405" t="n">
        <v>213</v>
      </c>
      <c r="D117" s="406" t="n">
        <v>63412</v>
      </c>
      <c r="E117" s="199" t="s">
        <v>1432</v>
      </c>
      <c r="F117" s="199" t="s">
        <v>1439</v>
      </c>
      <c r="G117" s="199" t="s">
        <v>1440</v>
      </c>
      <c r="H117" s="199" t="s">
        <v>1569</v>
      </c>
      <c r="I117" s="199" t="s">
        <v>1569</v>
      </c>
      <c r="J117" s="199" t="s">
        <v>68</v>
      </c>
      <c r="K117" s="199" t="s">
        <v>1435</v>
      </c>
      <c r="L117" s="407" t="n">
        <v>28810</v>
      </c>
      <c r="M117" s="407" t="n">
        <v>13370</v>
      </c>
      <c r="N117" s="408" t="n">
        <v>6.5</v>
      </c>
      <c r="O117" s="407" t="n">
        <v>15440</v>
      </c>
      <c r="P117" s="407" t="n">
        <v>14436.4</v>
      </c>
      <c r="Q117" s="234" t="n">
        <v>2023</v>
      </c>
      <c r="R117" s="234"/>
      <c r="S117" s="248" t="n">
        <v>45085</v>
      </c>
      <c r="T117" s="407" t="n">
        <f aca="false">Таблица18[[#This Row],[Вес нетто]]-Таблица18[[#This Row],[Зачетный вес]]</f>
        <v>1003.6</v>
      </c>
      <c r="U117" s="409" t="n">
        <f aca="false">Таблица18[[#This Row],[Отход]]/Таблица18[[#This Row],[Вес нетто]]</f>
        <v>0.065</v>
      </c>
      <c r="V117" s="234" t="n">
        <f aca="false">MONTH(Таблица18[[#This Row],[Дата акта]])</f>
        <v>6</v>
      </c>
      <c r="W117" s="234" t="n">
        <v>8</v>
      </c>
      <c r="X117" s="248" t="n">
        <f aca="false">DATE(1900,Таблица18[[#This Row],[Месяц]],Таблица18[[#This Row],[Число]])</f>
        <v>160</v>
      </c>
      <c r="Y117" s="234"/>
      <c r="AF117" s="411"/>
      <c r="AG117" s="412"/>
    </row>
    <row r="118" s="410" customFormat="true" ht="15" hidden="true" customHeight="true" outlineLevel="0" collapsed="false">
      <c r="A118" s="199" t="s">
        <v>1585</v>
      </c>
      <c r="B118" s="199" t="s">
        <v>746</v>
      </c>
      <c r="C118" s="405" t="n">
        <v>214</v>
      </c>
      <c r="D118" s="406" t="n">
        <v>1</v>
      </c>
      <c r="E118" s="199" t="s">
        <v>422</v>
      </c>
      <c r="F118" s="199" t="s">
        <v>1586</v>
      </c>
      <c r="G118" s="199" t="s">
        <v>1444</v>
      </c>
      <c r="H118" s="199"/>
      <c r="I118" s="199" t="s">
        <v>1587</v>
      </c>
      <c r="J118" s="199"/>
      <c r="K118" s="199" t="s">
        <v>1435</v>
      </c>
      <c r="L118" s="407" t="n">
        <v>21620</v>
      </c>
      <c r="M118" s="407" t="n">
        <v>15600</v>
      </c>
      <c r="N118" s="408" t="n">
        <v>9.5</v>
      </c>
      <c r="O118" s="407" t="n">
        <v>6020</v>
      </c>
      <c r="P118" s="407" t="n">
        <v>5448.1</v>
      </c>
      <c r="Q118" s="234" t="n">
        <v>2023</v>
      </c>
      <c r="R118" s="234"/>
      <c r="S118" s="248" t="n">
        <v>45085</v>
      </c>
      <c r="T118" s="407" t="n">
        <f aca="false">Таблица18[[#This Row],[Вес нетто]]-Таблица18[[#This Row],[Зачетный вес]]</f>
        <v>571.9</v>
      </c>
      <c r="U118" s="409" t="n">
        <f aca="false">Таблица18[[#This Row],[Отход]]/Таблица18[[#This Row],[Вес нетто]]</f>
        <v>0.095</v>
      </c>
      <c r="V118" s="234" t="n">
        <f aca="false">MONTH(Таблица18[[#This Row],[Дата акта]])</f>
        <v>6</v>
      </c>
      <c r="W118" s="234" t="n">
        <v>8</v>
      </c>
      <c r="X118" s="248" t="n">
        <f aca="false">DATE(1900,Таблица18[[#This Row],[Месяц]],Таблица18[[#This Row],[Число]])</f>
        <v>160</v>
      </c>
      <c r="Y118" s="234" t="s">
        <v>1587</v>
      </c>
      <c r="AF118" s="411"/>
      <c r="AG118" s="412"/>
    </row>
    <row r="119" s="410" customFormat="true" ht="15" hidden="true" customHeight="true" outlineLevel="0" collapsed="false">
      <c r="A119" s="199" t="s">
        <v>1588</v>
      </c>
      <c r="B119" s="199" t="s">
        <v>746</v>
      </c>
      <c r="C119" s="405" t="n">
        <v>215</v>
      </c>
      <c r="D119" s="406" t="n">
        <v>1</v>
      </c>
      <c r="E119" s="199" t="s">
        <v>422</v>
      </c>
      <c r="F119" s="199" t="s">
        <v>457</v>
      </c>
      <c r="G119" s="199" t="s">
        <v>366</v>
      </c>
      <c r="H119" s="199"/>
      <c r="I119" s="199" t="s">
        <v>1587</v>
      </c>
      <c r="J119" s="199"/>
      <c r="K119" s="199" t="s">
        <v>1435</v>
      </c>
      <c r="L119" s="407" t="n">
        <v>23610</v>
      </c>
      <c r="M119" s="407" t="n">
        <v>17180</v>
      </c>
      <c r="N119" s="408" t="n">
        <v>10.5</v>
      </c>
      <c r="O119" s="407" t="n">
        <v>6430</v>
      </c>
      <c r="P119" s="407" t="n">
        <v>5754.8</v>
      </c>
      <c r="Q119" s="234" t="n">
        <v>2023</v>
      </c>
      <c r="R119" s="234"/>
      <c r="S119" s="248" t="n">
        <v>45085</v>
      </c>
      <c r="T119" s="407" t="n">
        <f aca="false">Таблица18[[#This Row],[Вес нетто]]-Таблица18[[#This Row],[Зачетный вес]]</f>
        <v>675.2</v>
      </c>
      <c r="U119" s="409" t="n">
        <f aca="false">Таблица18[[#This Row],[Отход]]/Таблица18[[#This Row],[Вес нетто]]</f>
        <v>0.105007776049767</v>
      </c>
      <c r="V119" s="234" t="n">
        <f aca="false">MONTH(Таблица18[[#This Row],[Дата акта]])</f>
        <v>6</v>
      </c>
      <c r="W119" s="234" t="n">
        <v>8</v>
      </c>
      <c r="X119" s="248" t="n">
        <f aca="false">DATE(1900,Таблица18[[#This Row],[Месяц]],Таблица18[[#This Row],[Число]])</f>
        <v>160</v>
      </c>
      <c r="Y119" s="234" t="s">
        <v>1587</v>
      </c>
      <c r="AF119" s="411"/>
      <c r="AG119" s="412"/>
    </row>
    <row r="120" s="410" customFormat="true" ht="15" hidden="true" customHeight="true" outlineLevel="0" collapsed="false">
      <c r="A120" s="199" t="s">
        <v>1589</v>
      </c>
      <c r="B120" s="199" t="s">
        <v>417</v>
      </c>
      <c r="C120" s="405" t="n">
        <v>216</v>
      </c>
      <c r="D120" s="406" t="n">
        <v>23</v>
      </c>
      <c r="E120" s="199" t="s">
        <v>422</v>
      </c>
      <c r="F120" s="199" t="s">
        <v>380</v>
      </c>
      <c r="G120" s="199" t="s">
        <v>381</v>
      </c>
      <c r="H120" s="199" t="s">
        <v>94</v>
      </c>
      <c r="I120" s="199" t="s">
        <v>94</v>
      </c>
      <c r="J120" s="199" t="s">
        <v>252</v>
      </c>
      <c r="K120" s="199" t="s">
        <v>1435</v>
      </c>
      <c r="L120" s="407" t="n">
        <v>16290</v>
      </c>
      <c r="M120" s="407" t="n">
        <v>9530</v>
      </c>
      <c r="N120" s="408" t="n">
        <v>12.5</v>
      </c>
      <c r="O120" s="407" t="n">
        <v>6760</v>
      </c>
      <c r="P120" s="407" t="n">
        <v>5915</v>
      </c>
      <c r="Q120" s="234" t="n">
        <v>2023</v>
      </c>
      <c r="R120" s="234"/>
      <c r="S120" s="248" t="n">
        <v>45085</v>
      </c>
      <c r="T120" s="407" t="n">
        <f aca="false">Таблица18[[#This Row],[Вес нетто]]-Таблица18[[#This Row],[Зачетный вес]]</f>
        <v>845</v>
      </c>
      <c r="U120" s="409" t="n">
        <f aca="false">Таблица18[[#This Row],[Отход]]/Таблица18[[#This Row],[Вес нетто]]</f>
        <v>0.125</v>
      </c>
      <c r="V120" s="234" t="n">
        <f aca="false">MONTH(Таблица18[[#This Row],[Дата акта]])</f>
        <v>6</v>
      </c>
      <c r="W120" s="234" t="n">
        <v>8</v>
      </c>
      <c r="X120" s="248" t="n">
        <f aca="false">DATE(1900,Таблица18[[#This Row],[Месяц]],Таблица18[[#This Row],[Число]])</f>
        <v>160</v>
      </c>
      <c r="Y120" s="234"/>
      <c r="AF120" s="411"/>
      <c r="AG120" s="412"/>
    </row>
    <row r="121" s="410" customFormat="true" ht="15" hidden="true" customHeight="true" outlineLevel="0" collapsed="false">
      <c r="A121" s="199" t="s">
        <v>1590</v>
      </c>
      <c r="B121" s="199" t="s">
        <v>746</v>
      </c>
      <c r="C121" s="405" t="n">
        <v>217</v>
      </c>
      <c r="D121" s="199" t="s">
        <v>1591</v>
      </c>
      <c r="E121" s="199" t="s">
        <v>1432</v>
      </c>
      <c r="F121" s="199" t="s">
        <v>1485</v>
      </c>
      <c r="G121" s="199" t="s">
        <v>431</v>
      </c>
      <c r="H121" s="199" t="s">
        <v>1569</v>
      </c>
      <c r="I121" s="199" t="s">
        <v>1569</v>
      </c>
      <c r="J121" s="199" t="s">
        <v>68</v>
      </c>
      <c r="K121" s="199" t="s">
        <v>1435</v>
      </c>
      <c r="L121" s="407" t="n">
        <v>37760</v>
      </c>
      <c r="M121" s="407" t="n">
        <v>20900</v>
      </c>
      <c r="N121" s="408" t="n">
        <v>100</v>
      </c>
      <c r="O121" s="407" t="n">
        <v>16860</v>
      </c>
      <c r="P121" s="234"/>
      <c r="Q121" s="234" t="n">
        <v>2023</v>
      </c>
      <c r="R121" s="234"/>
      <c r="S121" s="248" t="n">
        <v>45084</v>
      </c>
      <c r="T121" s="407" t="n">
        <f aca="false">Таблица18[[#This Row],[Вес нетто]]-Таблица18[[#This Row],[Зачетный вес]]</f>
        <v>16860</v>
      </c>
      <c r="U121" s="409" t="n">
        <f aca="false">Таблица18[[#This Row],[Отход]]/Таблица18[[#This Row],[Вес нетто]]</f>
        <v>1</v>
      </c>
      <c r="V121" s="234" t="n">
        <f aca="false">MONTH(Таблица18[[#This Row],[Дата акта]])</f>
        <v>6</v>
      </c>
      <c r="W121" s="234" t="n">
        <v>7</v>
      </c>
      <c r="X121" s="248" t="n">
        <f aca="false">DATE(1900,Таблица18[[#This Row],[Месяц]],Таблица18[[#This Row],[Число]])</f>
        <v>159</v>
      </c>
      <c r="Y121" s="234"/>
      <c r="AF121" s="411"/>
      <c r="AG121" s="412"/>
    </row>
    <row r="122" s="410" customFormat="true" ht="15" hidden="true" customHeight="true" outlineLevel="0" collapsed="false">
      <c r="A122" s="199" t="s">
        <v>1592</v>
      </c>
      <c r="B122" s="199" t="s">
        <v>746</v>
      </c>
      <c r="C122" s="405" t="n">
        <v>218</v>
      </c>
      <c r="D122" s="406" t="n">
        <v>63414</v>
      </c>
      <c r="E122" s="199" t="s">
        <v>1432</v>
      </c>
      <c r="F122" s="199" t="s">
        <v>1476</v>
      </c>
      <c r="G122" s="199" t="s">
        <v>1478</v>
      </c>
      <c r="H122" s="199" t="s">
        <v>1569</v>
      </c>
      <c r="I122" s="199" t="s">
        <v>1569</v>
      </c>
      <c r="J122" s="199" t="s">
        <v>68</v>
      </c>
      <c r="K122" s="199" t="s">
        <v>1435</v>
      </c>
      <c r="L122" s="407" t="n">
        <v>29640</v>
      </c>
      <c r="M122" s="407" t="n">
        <v>14280</v>
      </c>
      <c r="N122" s="408" t="n">
        <v>7.5</v>
      </c>
      <c r="O122" s="407" t="n">
        <v>15360</v>
      </c>
      <c r="P122" s="407" t="n">
        <v>14208</v>
      </c>
      <c r="Q122" s="234" t="n">
        <v>2023</v>
      </c>
      <c r="R122" s="234"/>
      <c r="S122" s="248" t="n">
        <v>45085</v>
      </c>
      <c r="T122" s="407" t="n">
        <f aca="false">Таблица18[[#This Row],[Вес нетто]]-Таблица18[[#This Row],[Зачетный вес]]</f>
        <v>1152</v>
      </c>
      <c r="U122" s="409" t="n">
        <f aca="false">Таблица18[[#This Row],[Отход]]/Таблица18[[#This Row],[Вес нетто]]</f>
        <v>0.075</v>
      </c>
      <c r="V122" s="234" t="n">
        <f aca="false">MONTH(Таблица18[[#This Row],[Дата акта]])</f>
        <v>6</v>
      </c>
      <c r="W122" s="234" t="n">
        <v>8</v>
      </c>
      <c r="X122" s="248" t="n">
        <f aca="false">DATE(1900,Таблица18[[#This Row],[Месяц]],Таблица18[[#This Row],[Число]])</f>
        <v>160</v>
      </c>
      <c r="Y122" s="234"/>
      <c r="AF122" s="411"/>
      <c r="AG122" s="412"/>
    </row>
    <row r="123" s="410" customFormat="true" ht="15" hidden="true" customHeight="true" outlineLevel="0" collapsed="false">
      <c r="A123" s="199" t="s">
        <v>1593</v>
      </c>
      <c r="B123" s="199" t="s">
        <v>746</v>
      </c>
      <c r="C123" s="405" t="n">
        <v>219</v>
      </c>
      <c r="D123" s="406" t="n">
        <v>63415</v>
      </c>
      <c r="E123" s="199" t="s">
        <v>1432</v>
      </c>
      <c r="F123" s="199" t="s">
        <v>1576</v>
      </c>
      <c r="G123" s="199" t="s">
        <v>1455</v>
      </c>
      <c r="H123" s="199" t="s">
        <v>1569</v>
      </c>
      <c r="I123" s="199" t="s">
        <v>1569</v>
      </c>
      <c r="J123" s="199" t="s">
        <v>68</v>
      </c>
      <c r="K123" s="199" t="s">
        <v>1435</v>
      </c>
      <c r="L123" s="407" t="n">
        <v>29750</v>
      </c>
      <c r="M123" s="407" t="n">
        <v>14220</v>
      </c>
      <c r="N123" s="408" t="n">
        <v>8.5</v>
      </c>
      <c r="O123" s="407" t="n">
        <v>15530</v>
      </c>
      <c r="P123" s="407" t="n">
        <v>14209.9</v>
      </c>
      <c r="Q123" s="234" t="n">
        <v>2023</v>
      </c>
      <c r="R123" s="234"/>
      <c r="S123" s="248" t="n">
        <v>45085</v>
      </c>
      <c r="T123" s="407" t="n">
        <f aca="false">Таблица18[[#This Row],[Вес нетто]]-Таблица18[[#This Row],[Зачетный вес]]</f>
        <v>1320.1</v>
      </c>
      <c r="U123" s="409" t="n">
        <f aca="false">Таблица18[[#This Row],[Отход]]/Таблица18[[#This Row],[Вес нетто]]</f>
        <v>0.0850032195750161</v>
      </c>
      <c r="V123" s="234" t="n">
        <f aca="false">MONTH(Таблица18[[#This Row],[Дата акта]])</f>
        <v>6</v>
      </c>
      <c r="W123" s="234" t="n">
        <v>8</v>
      </c>
      <c r="X123" s="248" t="n">
        <f aca="false">DATE(1900,Таблица18[[#This Row],[Месяц]],Таблица18[[#This Row],[Число]])</f>
        <v>160</v>
      </c>
      <c r="Y123" s="234"/>
      <c r="AF123" s="411"/>
      <c r="AG123" s="412"/>
    </row>
    <row r="124" s="410" customFormat="true" ht="15" hidden="true" customHeight="true" outlineLevel="0" collapsed="false">
      <c r="A124" s="199" t="s">
        <v>1594</v>
      </c>
      <c r="B124" s="199" t="s">
        <v>746</v>
      </c>
      <c r="C124" s="405" t="n">
        <v>220</v>
      </c>
      <c r="D124" s="406" t="n">
        <v>36416</v>
      </c>
      <c r="E124" s="199" t="s">
        <v>1432</v>
      </c>
      <c r="F124" s="199" t="s">
        <v>1492</v>
      </c>
      <c r="G124" s="199" t="s">
        <v>49</v>
      </c>
      <c r="H124" s="199" t="s">
        <v>1569</v>
      </c>
      <c r="I124" s="199" t="s">
        <v>1569</v>
      </c>
      <c r="J124" s="199" t="s">
        <v>68</v>
      </c>
      <c r="K124" s="199" t="s">
        <v>1435</v>
      </c>
      <c r="L124" s="407" t="n">
        <v>30820</v>
      </c>
      <c r="M124" s="407" t="n">
        <v>14860</v>
      </c>
      <c r="N124" s="408" t="n">
        <v>7.5</v>
      </c>
      <c r="O124" s="407" t="n">
        <v>15960</v>
      </c>
      <c r="P124" s="407" t="n">
        <v>14763</v>
      </c>
      <c r="Q124" s="234" t="n">
        <v>2023</v>
      </c>
      <c r="R124" s="234"/>
      <c r="S124" s="248" t="n">
        <v>45085</v>
      </c>
      <c r="T124" s="407" t="n">
        <f aca="false">Таблица18[[#This Row],[Вес нетто]]-Таблица18[[#This Row],[Зачетный вес]]</f>
        <v>1197</v>
      </c>
      <c r="U124" s="409" t="n">
        <f aca="false">Таблица18[[#This Row],[Отход]]/Таблица18[[#This Row],[Вес нетто]]</f>
        <v>0.075</v>
      </c>
      <c r="V124" s="234" t="n">
        <f aca="false">MONTH(Таблица18[[#This Row],[Дата акта]])</f>
        <v>6</v>
      </c>
      <c r="W124" s="234" t="n">
        <v>8</v>
      </c>
      <c r="X124" s="248" t="n">
        <f aca="false">DATE(1900,Таблица18[[#This Row],[Месяц]],Таблица18[[#This Row],[Число]])</f>
        <v>160</v>
      </c>
      <c r="Y124" s="234"/>
      <c r="AF124" s="411"/>
      <c r="AG124" s="412"/>
    </row>
    <row r="125" s="410" customFormat="true" ht="15" hidden="true" customHeight="true" outlineLevel="0" collapsed="false">
      <c r="A125" s="199" t="s">
        <v>1595</v>
      </c>
      <c r="B125" s="199" t="s">
        <v>746</v>
      </c>
      <c r="C125" s="405" t="n">
        <v>222</v>
      </c>
      <c r="D125" s="406" t="n">
        <v>27</v>
      </c>
      <c r="E125" s="199" t="s">
        <v>422</v>
      </c>
      <c r="F125" s="199" t="s">
        <v>380</v>
      </c>
      <c r="G125" s="199" t="s">
        <v>381</v>
      </c>
      <c r="H125" s="199" t="s">
        <v>94</v>
      </c>
      <c r="I125" s="199" t="s">
        <v>94</v>
      </c>
      <c r="J125" s="199" t="s">
        <v>252</v>
      </c>
      <c r="K125" s="199" t="s">
        <v>1435</v>
      </c>
      <c r="L125" s="407" t="n">
        <v>16200</v>
      </c>
      <c r="M125" s="407" t="n">
        <v>9510</v>
      </c>
      <c r="N125" s="408" t="n">
        <v>10.5</v>
      </c>
      <c r="O125" s="407" t="n">
        <v>6690</v>
      </c>
      <c r="P125" s="407" t="n">
        <v>5987.5</v>
      </c>
      <c r="Q125" s="234" t="n">
        <v>2023</v>
      </c>
      <c r="R125" s="234"/>
      <c r="S125" s="248" t="n">
        <v>45085</v>
      </c>
      <c r="T125" s="407" t="n">
        <f aca="false">Таблица18[[#This Row],[Вес нетто]]-Таблица18[[#This Row],[Зачетный вес]]</f>
        <v>702.5</v>
      </c>
      <c r="U125" s="409" t="n">
        <f aca="false">Таблица18[[#This Row],[Отход]]/Таблица18[[#This Row],[Вес нетто]]</f>
        <v>0.105007473841555</v>
      </c>
      <c r="V125" s="234" t="n">
        <f aca="false">MONTH(Таблица18[[#This Row],[Дата акта]])</f>
        <v>6</v>
      </c>
      <c r="W125" s="234" t="n">
        <v>8</v>
      </c>
      <c r="X125" s="248" t="n">
        <f aca="false">DATE(1900,Таблица18[[#This Row],[Месяц]],Таблица18[[#This Row],[Число]])</f>
        <v>160</v>
      </c>
      <c r="Y125" s="234"/>
      <c r="AF125" s="411"/>
      <c r="AG125" s="412"/>
    </row>
    <row r="126" s="410" customFormat="true" ht="15" hidden="true" customHeight="true" outlineLevel="0" collapsed="false">
      <c r="A126" s="199" t="s">
        <v>1596</v>
      </c>
      <c r="B126" s="199" t="s">
        <v>746</v>
      </c>
      <c r="C126" s="405" t="n">
        <v>223</v>
      </c>
      <c r="D126" s="406" t="n">
        <v>63417</v>
      </c>
      <c r="E126" s="199" t="s">
        <v>1432</v>
      </c>
      <c r="F126" s="199" t="s">
        <v>1449</v>
      </c>
      <c r="G126" s="199" t="s">
        <v>704</v>
      </c>
      <c r="H126" s="199" t="s">
        <v>1569</v>
      </c>
      <c r="I126" s="199" t="s">
        <v>1569</v>
      </c>
      <c r="J126" s="199" t="s">
        <v>68</v>
      </c>
      <c r="K126" s="199" t="s">
        <v>1435</v>
      </c>
      <c r="L126" s="407" t="n">
        <v>30460</v>
      </c>
      <c r="M126" s="407" t="n">
        <v>14500</v>
      </c>
      <c r="N126" s="408" t="n">
        <v>6.5</v>
      </c>
      <c r="O126" s="407" t="n">
        <v>15960</v>
      </c>
      <c r="P126" s="407" t="n">
        <v>14922.6</v>
      </c>
      <c r="Q126" s="234" t="n">
        <v>2023</v>
      </c>
      <c r="R126" s="234"/>
      <c r="S126" s="248" t="n">
        <v>45085</v>
      </c>
      <c r="T126" s="407" t="n">
        <f aca="false">Таблица18[[#This Row],[Вес нетто]]-Таблица18[[#This Row],[Зачетный вес]]</f>
        <v>1037.4</v>
      </c>
      <c r="U126" s="409" t="n">
        <f aca="false">Таблица18[[#This Row],[Отход]]/Таблица18[[#This Row],[Вес нетто]]</f>
        <v>0.065</v>
      </c>
      <c r="V126" s="234" t="n">
        <f aca="false">MONTH(Таблица18[[#This Row],[Дата акта]])</f>
        <v>6</v>
      </c>
      <c r="W126" s="234" t="n">
        <v>8</v>
      </c>
      <c r="X126" s="248" t="n">
        <f aca="false">DATE(1900,Таблица18[[#This Row],[Месяц]],Таблица18[[#This Row],[Число]])</f>
        <v>160</v>
      </c>
      <c r="Y126" s="234"/>
      <c r="AF126" s="411"/>
      <c r="AG126" s="412"/>
    </row>
    <row r="127" s="410" customFormat="true" ht="15" hidden="true" customHeight="true" outlineLevel="0" collapsed="false">
      <c r="A127" s="199" t="s">
        <v>1597</v>
      </c>
      <c r="B127" s="199" t="s">
        <v>746</v>
      </c>
      <c r="C127" s="405" t="n">
        <v>224</v>
      </c>
      <c r="D127" s="406" t="n">
        <v>26</v>
      </c>
      <c r="E127" s="199" t="s">
        <v>422</v>
      </c>
      <c r="F127" s="199" t="s">
        <v>359</v>
      </c>
      <c r="G127" s="199" t="s">
        <v>426</v>
      </c>
      <c r="H127" s="199" t="s">
        <v>94</v>
      </c>
      <c r="I127" s="199" t="s">
        <v>94</v>
      </c>
      <c r="J127" s="199" t="s">
        <v>252</v>
      </c>
      <c r="K127" s="199" t="s">
        <v>1435</v>
      </c>
      <c r="L127" s="407" t="n">
        <v>27560</v>
      </c>
      <c r="M127" s="407" t="n">
        <v>13950</v>
      </c>
      <c r="N127" s="408" t="n">
        <v>8.5</v>
      </c>
      <c r="O127" s="407" t="n">
        <v>13610</v>
      </c>
      <c r="P127" s="407" t="n">
        <v>12453.1</v>
      </c>
      <c r="Q127" s="234" t="n">
        <v>2023</v>
      </c>
      <c r="R127" s="234"/>
      <c r="S127" s="248" t="n">
        <v>45085</v>
      </c>
      <c r="T127" s="407" t="n">
        <f aca="false">Таблица18[[#This Row],[Вес нетто]]-Таблица18[[#This Row],[Зачетный вес]]</f>
        <v>1156.9</v>
      </c>
      <c r="U127" s="409" t="n">
        <f aca="false">Таблица18[[#This Row],[Отход]]/Таблица18[[#This Row],[Вес нетто]]</f>
        <v>0.0850036737692873</v>
      </c>
      <c r="V127" s="234" t="n">
        <f aca="false">MONTH(Таблица18[[#This Row],[Дата акта]])</f>
        <v>6</v>
      </c>
      <c r="W127" s="234" t="n">
        <v>8</v>
      </c>
      <c r="X127" s="248" t="n">
        <f aca="false">DATE(1900,Таблица18[[#This Row],[Месяц]],Таблица18[[#This Row],[Число]])</f>
        <v>160</v>
      </c>
      <c r="Y127" s="234"/>
      <c r="AF127" s="411"/>
      <c r="AG127" s="412"/>
    </row>
    <row r="128" s="410" customFormat="true" ht="15" hidden="true" customHeight="true" outlineLevel="0" collapsed="false">
      <c r="A128" s="199" t="s">
        <v>1598</v>
      </c>
      <c r="B128" s="199" t="s">
        <v>746</v>
      </c>
      <c r="C128" s="405" t="n">
        <v>225</v>
      </c>
      <c r="D128" s="406" t="n">
        <v>63418</v>
      </c>
      <c r="E128" s="199" t="s">
        <v>1432</v>
      </c>
      <c r="F128" s="199" t="s">
        <v>1474</v>
      </c>
      <c r="G128" s="199" t="s">
        <v>1599</v>
      </c>
      <c r="H128" s="199" t="s">
        <v>1569</v>
      </c>
      <c r="I128" s="199" t="s">
        <v>1569</v>
      </c>
      <c r="J128" s="199" t="s">
        <v>68</v>
      </c>
      <c r="K128" s="199" t="s">
        <v>1435</v>
      </c>
      <c r="L128" s="407" t="n">
        <v>29720</v>
      </c>
      <c r="M128" s="407" t="n">
        <v>13850</v>
      </c>
      <c r="N128" s="408" t="n">
        <v>6.5</v>
      </c>
      <c r="O128" s="407" t="n">
        <v>15870</v>
      </c>
      <c r="P128" s="407" t="n">
        <v>14838.4</v>
      </c>
      <c r="Q128" s="234" t="n">
        <v>2023</v>
      </c>
      <c r="R128" s="234"/>
      <c r="S128" s="248" t="n">
        <v>45085</v>
      </c>
      <c r="T128" s="407" t="n">
        <f aca="false">Таблица18[[#This Row],[Вес нетто]]-Таблица18[[#This Row],[Зачетный вес]]</f>
        <v>1031.6</v>
      </c>
      <c r="U128" s="409" t="n">
        <f aca="false">Таблица18[[#This Row],[Отход]]/Таблица18[[#This Row],[Вес нетто]]</f>
        <v>0.0650031505986138</v>
      </c>
      <c r="V128" s="234" t="n">
        <f aca="false">MONTH(Таблица18[[#This Row],[Дата акта]])</f>
        <v>6</v>
      </c>
      <c r="W128" s="234" t="n">
        <v>8</v>
      </c>
      <c r="X128" s="248" t="n">
        <f aca="false">DATE(1900,Таблица18[[#This Row],[Месяц]],Таблица18[[#This Row],[Число]])</f>
        <v>160</v>
      </c>
      <c r="Y128" s="234"/>
      <c r="AF128" s="411"/>
      <c r="AG128" s="412"/>
    </row>
    <row r="129" s="410" customFormat="true" ht="15" hidden="true" customHeight="true" outlineLevel="0" collapsed="false">
      <c r="A129" s="199" t="s">
        <v>1600</v>
      </c>
      <c r="B129" s="199" t="s">
        <v>746</v>
      </c>
      <c r="C129" s="405" t="n">
        <v>226</v>
      </c>
      <c r="D129" s="406" t="n">
        <v>24</v>
      </c>
      <c r="E129" s="199" t="s">
        <v>422</v>
      </c>
      <c r="F129" s="199" t="s">
        <v>380</v>
      </c>
      <c r="G129" s="199" t="s">
        <v>381</v>
      </c>
      <c r="H129" s="199" t="s">
        <v>94</v>
      </c>
      <c r="I129" s="199" t="s">
        <v>94</v>
      </c>
      <c r="J129" s="199" t="s">
        <v>252</v>
      </c>
      <c r="K129" s="199" t="s">
        <v>1435</v>
      </c>
      <c r="L129" s="407" t="n">
        <v>27820</v>
      </c>
      <c r="M129" s="407" t="n">
        <v>14170</v>
      </c>
      <c r="N129" s="408" t="n">
        <v>6.5</v>
      </c>
      <c r="O129" s="407" t="n">
        <v>13650</v>
      </c>
      <c r="P129" s="407" t="n">
        <v>12762.7</v>
      </c>
      <c r="Q129" s="234" t="n">
        <v>2023</v>
      </c>
      <c r="R129" s="234"/>
      <c r="S129" s="248" t="n">
        <v>45085</v>
      </c>
      <c r="T129" s="407" t="n">
        <f aca="false">Таблица18[[#This Row],[Вес нетто]]-Таблица18[[#This Row],[Зачетный вес]]</f>
        <v>887.299999999999</v>
      </c>
      <c r="U129" s="409" t="n">
        <f aca="false">Таблица18[[#This Row],[Отход]]/Таблица18[[#This Row],[Вес нетто]]</f>
        <v>0.065003663003663</v>
      </c>
      <c r="V129" s="234" t="n">
        <f aca="false">MONTH(Таблица18[[#This Row],[Дата акта]])</f>
        <v>6</v>
      </c>
      <c r="W129" s="234" t="n">
        <v>8</v>
      </c>
      <c r="X129" s="248" t="n">
        <f aca="false">DATE(1900,Таблица18[[#This Row],[Месяц]],Таблица18[[#This Row],[Число]])</f>
        <v>160</v>
      </c>
      <c r="Y129" s="234"/>
      <c r="AF129" s="411"/>
      <c r="AG129" s="412"/>
    </row>
    <row r="130" s="410" customFormat="true" ht="15" hidden="true" customHeight="true" outlineLevel="0" collapsed="false">
      <c r="A130" s="199" t="s">
        <v>1601</v>
      </c>
      <c r="B130" s="199" t="s">
        <v>746</v>
      </c>
      <c r="C130" s="405" t="n">
        <v>227</v>
      </c>
      <c r="D130" s="406" t="n">
        <v>28</v>
      </c>
      <c r="E130" s="199" t="s">
        <v>422</v>
      </c>
      <c r="F130" s="199" t="s">
        <v>359</v>
      </c>
      <c r="G130" s="199" t="s">
        <v>426</v>
      </c>
      <c r="H130" s="199" t="s">
        <v>94</v>
      </c>
      <c r="I130" s="199" t="s">
        <v>94</v>
      </c>
      <c r="J130" s="199" t="s">
        <v>252</v>
      </c>
      <c r="K130" s="199" t="s">
        <v>1435</v>
      </c>
      <c r="L130" s="407" t="n">
        <v>27450</v>
      </c>
      <c r="M130" s="407" t="n">
        <v>13950</v>
      </c>
      <c r="N130" s="408" t="n">
        <v>7.5</v>
      </c>
      <c r="O130" s="407" t="n">
        <v>13500</v>
      </c>
      <c r="P130" s="407" t="n">
        <v>12487.5</v>
      </c>
      <c r="Q130" s="234" t="n">
        <v>2023</v>
      </c>
      <c r="R130" s="234"/>
      <c r="S130" s="248" t="n">
        <v>45086</v>
      </c>
      <c r="T130" s="407" t="n">
        <f aca="false">Таблица18[[#This Row],[Вес нетто]]-Таблица18[[#This Row],[Зачетный вес]]</f>
        <v>1012.5</v>
      </c>
      <c r="U130" s="409" t="n">
        <f aca="false">Таблица18[[#This Row],[Отход]]/Таблица18[[#This Row],[Вес нетто]]</f>
        <v>0.075</v>
      </c>
      <c r="V130" s="234" t="n">
        <f aca="false">MONTH(Таблица18[[#This Row],[Дата акта]])</f>
        <v>6</v>
      </c>
      <c r="W130" s="234" t="n">
        <v>9</v>
      </c>
      <c r="X130" s="248" t="n">
        <f aca="false">DATE(1900,Таблица18[[#This Row],[Месяц]],Таблица18[[#This Row],[Число]])</f>
        <v>161</v>
      </c>
      <c r="Y130" s="234"/>
      <c r="AF130" s="411"/>
      <c r="AG130" s="412"/>
    </row>
    <row r="131" s="410" customFormat="true" ht="15" hidden="true" customHeight="true" outlineLevel="0" collapsed="false">
      <c r="A131" s="199" t="s">
        <v>1602</v>
      </c>
      <c r="B131" s="199" t="s">
        <v>746</v>
      </c>
      <c r="C131" s="405" t="n">
        <v>228</v>
      </c>
      <c r="D131" s="406" t="n">
        <v>29</v>
      </c>
      <c r="E131" s="199" t="s">
        <v>422</v>
      </c>
      <c r="F131" s="199" t="s">
        <v>380</v>
      </c>
      <c r="G131" s="199" t="s">
        <v>381</v>
      </c>
      <c r="H131" s="199" t="s">
        <v>94</v>
      </c>
      <c r="I131" s="199" t="s">
        <v>94</v>
      </c>
      <c r="J131" s="199" t="s">
        <v>252</v>
      </c>
      <c r="K131" s="199" t="s">
        <v>1435</v>
      </c>
      <c r="L131" s="407" t="n">
        <v>27660</v>
      </c>
      <c r="M131" s="407" t="n">
        <v>14150</v>
      </c>
      <c r="N131" s="408" t="n">
        <v>5.5</v>
      </c>
      <c r="O131" s="407" t="n">
        <v>13510</v>
      </c>
      <c r="P131" s="407" t="n">
        <v>12766.9</v>
      </c>
      <c r="Q131" s="234" t="n">
        <v>2023</v>
      </c>
      <c r="R131" s="234"/>
      <c r="S131" s="248" t="n">
        <v>45086</v>
      </c>
      <c r="T131" s="407" t="n">
        <f aca="false">Таблица18[[#This Row],[Вес нетто]]-Таблица18[[#This Row],[Зачетный вес]]</f>
        <v>743.1</v>
      </c>
      <c r="U131" s="409" t="n">
        <f aca="false">Таблица18[[#This Row],[Отход]]/Таблица18[[#This Row],[Вес нетто]]</f>
        <v>0.0550037009622502</v>
      </c>
      <c r="V131" s="234" t="n">
        <f aca="false">MONTH(Таблица18[[#This Row],[Дата акта]])</f>
        <v>6</v>
      </c>
      <c r="W131" s="234" t="n">
        <v>9</v>
      </c>
      <c r="X131" s="248" t="n">
        <f aca="false">DATE(1900,Таблица18[[#This Row],[Месяц]],Таблица18[[#This Row],[Число]])</f>
        <v>161</v>
      </c>
      <c r="Y131" s="234"/>
      <c r="AF131" s="411"/>
      <c r="AG131" s="412"/>
    </row>
    <row r="132" s="410" customFormat="true" ht="15" hidden="true" customHeight="true" outlineLevel="0" collapsed="false">
      <c r="A132" s="199" t="s">
        <v>1603</v>
      </c>
      <c r="B132" s="199" t="s">
        <v>746</v>
      </c>
      <c r="C132" s="405" t="n">
        <v>229</v>
      </c>
      <c r="D132" s="406" t="n">
        <v>30</v>
      </c>
      <c r="E132" s="199" t="s">
        <v>422</v>
      </c>
      <c r="F132" s="199" t="s">
        <v>1523</v>
      </c>
      <c r="G132" s="199" t="s">
        <v>1447</v>
      </c>
      <c r="H132" s="199" t="s">
        <v>94</v>
      </c>
      <c r="I132" s="199" t="s">
        <v>94</v>
      </c>
      <c r="J132" s="199" t="s">
        <v>252</v>
      </c>
      <c r="K132" s="199" t="s">
        <v>1435</v>
      </c>
      <c r="L132" s="407" t="n">
        <v>27860</v>
      </c>
      <c r="M132" s="407" t="n">
        <v>14590</v>
      </c>
      <c r="N132" s="408" t="n">
        <v>7.5</v>
      </c>
      <c r="O132" s="407" t="n">
        <v>13270</v>
      </c>
      <c r="P132" s="407" t="n">
        <v>12274.7</v>
      </c>
      <c r="Q132" s="234" t="n">
        <v>2023</v>
      </c>
      <c r="R132" s="234"/>
      <c r="S132" s="248" t="n">
        <v>45086</v>
      </c>
      <c r="T132" s="407" t="n">
        <f aca="false">Таблица18[[#This Row],[Вес нетто]]-Таблица18[[#This Row],[Зачетный вес]]</f>
        <v>995.299999999999</v>
      </c>
      <c r="U132" s="409" t="n">
        <f aca="false">Таблица18[[#This Row],[Отход]]/Таблица18[[#This Row],[Вес нетто]]</f>
        <v>0.0750037678975131</v>
      </c>
      <c r="V132" s="234" t="n">
        <f aca="false">MONTH(Таблица18[[#This Row],[Дата акта]])</f>
        <v>6</v>
      </c>
      <c r="W132" s="234" t="n">
        <v>9</v>
      </c>
      <c r="X132" s="248" t="n">
        <f aca="false">DATE(1900,Таблица18[[#This Row],[Месяц]],Таблица18[[#This Row],[Число]])</f>
        <v>161</v>
      </c>
      <c r="Y132" s="234"/>
      <c r="AF132" s="411"/>
      <c r="AG132" s="412"/>
    </row>
    <row r="133" s="410" customFormat="true" ht="15" hidden="true" customHeight="true" outlineLevel="0" collapsed="false">
      <c r="A133" s="199" t="s">
        <v>1604</v>
      </c>
      <c r="B133" s="199" t="s">
        <v>746</v>
      </c>
      <c r="C133" s="405" t="n">
        <v>233</v>
      </c>
      <c r="D133" s="406" t="n">
        <v>19</v>
      </c>
      <c r="E133" s="199" t="s">
        <v>422</v>
      </c>
      <c r="F133" s="199" t="s">
        <v>1433</v>
      </c>
      <c r="G133" s="199" t="s">
        <v>377</v>
      </c>
      <c r="H133" s="199" t="s">
        <v>94</v>
      </c>
      <c r="I133" s="199" t="s">
        <v>94</v>
      </c>
      <c r="J133" s="199" t="s">
        <v>252</v>
      </c>
      <c r="K133" s="199" t="s">
        <v>1435</v>
      </c>
      <c r="L133" s="407" t="n">
        <v>27680</v>
      </c>
      <c r="M133" s="407" t="n">
        <v>14320</v>
      </c>
      <c r="N133" s="408" t="n">
        <v>8.5</v>
      </c>
      <c r="O133" s="407" t="n">
        <v>13360</v>
      </c>
      <c r="P133" s="407" t="n">
        <v>12224.4</v>
      </c>
      <c r="Q133" s="234" t="n">
        <v>2023</v>
      </c>
      <c r="R133" s="234"/>
      <c r="S133" s="248" t="n">
        <v>45086</v>
      </c>
      <c r="T133" s="407" t="n">
        <f aca="false">Таблица18[[#This Row],[Вес нетто]]-Таблица18[[#This Row],[Зачетный вес]]</f>
        <v>1135.6</v>
      </c>
      <c r="U133" s="409" t="n">
        <f aca="false">Таблица18[[#This Row],[Отход]]/Таблица18[[#This Row],[Вес нетто]]</f>
        <v>0.085</v>
      </c>
      <c r="V133" s="234" t="n">
        <f aca="false">MONTH(Таблица18[[#This Row],[Дата акта]])</f>
        <v>6</v>
      </c>
      <c r="W133" s="234" t="n">
        <v>9</v>
      </c>
      <c r="X133" s="248" t="n">
        <f aca="false">DATE(1900,Таблица18[[#This Row],[Месяц]],Таблица18[[#This Row],[Число]])</f>
        <v>161</v>
      </c>
      <c r="Y133" s="234"/>
      <c r="AF133" s="411"/>
      <c r="AG133" s="412"/>
    </row>
    <row r="134" s="410" customFormat="true" ht="15" hidden="true" customHeight="true" outlineLevel="0" collapsed="false">
      <c r="A134" s="199" t="s">
        <v>1605</v>
      </c>
      <c r="B134" s="199" t="s">
        <v>746</v>
      </c>
      <c r="C134" s="405" t="n">
        <v>234</v>
      </c>
      <c r="D134" s="406" t="n">
        <v>32</v>
      </c>
      <c r="E134" s="199" t="s">
        <v>422</v>
      </c>
      <c r="F134" s="199" t="s">
        <v>1460</v>
      </c>
      <c r="G134" s="199" t="s">
        <v>1444</v>
      </c>
      <c r="H134" s="199" t="s">
        <v>94</v>
      </c>
      <c r="I134" s="199" t="s">
        <v>94</v>
      </c>
      <c r="J134" s="199" t="s">
        <v>252</v>
      </c>
      <c r="K134" s="199" t="s">
        <v>1435</v>
      </c>
      <c r="L134" s="407" t="n">
        <v>29000</v>
      </c>
      <c r="M134" s="407" t="n">
        <v>15560</v>
      </c>
      <c r="N134" s="408" t="n">
        <v>7.5</v>
      </c>
      <c r="O134" s="407" t="n">
        <v>13440</v>
      </c>
      <c r="P134" s="407" t="n">
        <v>12432</v>
      </c>
      <c r="Q134" s="234" t="n">
        <v>2023</v>
      </c>
      <c r="R134" s="234"/>
      <c r="S134" s="248" t="n">
        <v>45086</v>
      </c>
      <c r="T134" s="407" t="n">
        <f aca="false">Таблица18[[#This Row],[Вес нетто]]-Таблица18[[#This Row],[Зачетный вес]]</f>
        <v>1008</v>
      </c>
      <c r="U134" s="409" t="n">
        <f aca="false">Таблица18[[#This Row],[Отход]]/Таблица18[[#This Row],[Вес нетто]]</f>
        <v>0.075</v>
      </c>
      <c r="V134" s="234" t="n">
        <f aca="false">MONTH(Таблица18[[#This Row],[Дата акта]])</f>
        <v>6</v>
      </c>
      <c r="W134" s="234" t="n">
        <v>9</v>
      </c>
      <c r="X134" s="248" t="n">
        <f aca="false">DATE(1900,Таблица18[[#This Row],[Месяц]],Таблица18[[#This Row],[Число]])</f>
        <v>161</v>
      </c>
      <c r="Y134" s="234"/>
      <c r="AF134" s="411"/>
      <c r="AG134" s="412"/>
    </row>
    <row r="135" s="410" customFormat="true" ht="15" hidden="true" customHeight="true" outlineLevel="0" collapsed="false">
      <c r="A135" s="199" t="s">
        <v>1606</v>
      </c>
      <c r="B135" s="199" t="s">
        <v>746</v>
      </c>
      <c r="C135" s="405" t="n">
        <v>235</v>
      </c>
      <c r="D135" s="406" t="n">
        <v>33</v>
      </c>
      <c r="E135" s="199" t="s">
        <v>422</v>
      </c>
      <c r="F135" s="199" t="s">
        <v>1476</v>
      </c>
      <c r="G135" s="199" t="s">
        <v>368</v>
      </c>
      <c r="H135" s="199" t="s">
        <v>94</v>
      </c>
      <c r="I135" s="199" t="s">
        <v>94</v>
      </c>
      <c r="J135" s="199" t="s">
        <v>252</v>
      </c>
      <c r="K135" s="199" t="s">
        <v>1435</v>
      </c>
      <c r="L135" s="407" t="n">
        <v>27960</v>
      </c>
      <c r="M135" s="407" t="n">
        <v>14440</v>
      </c>
      <c r="N135" s="408" t="n">
        <v>7.5</v>
      </c>
      <c r="O135" s="407" t="n">
        <v>13520</v>
      </c>
      <c r="P135" s="407" t="n">
        <v>12506</v>
      </c>
      <c r="Q135" s="234" t="n">
        <v>2023</v>
      </c>
      <c r="R135" s="234"/>
      <c r="S135" s="248" t="n">
        <v>45086</v>
      </c>
      <c r="T135" s="407" t="n">
        <f aca="false">Таблица18[[#This Row],[Вес нетто]]-Таблица18[[#This Row],[Зачетный вес]]</f>
        <v>1014</v>
      </c>
      <c r="U135" s="409" t="n">
        <f aca="false">Таблица18[[#This Row],[Отход]]/Таблица18[[#This Row],[Вес нетто]]</f>
        <v>0.075</v>
      </c>
      <c r="V135" s="234" t="n">
        <f aca="false">MONTH(Таблица18[[#This Row],[Дата акта]])</f>
        <v>6</v>
      </c>
      <c r="W135" s="234" t="n">
        <v>9</v>
      </c>
      <c r="X135" s="248" t="n">
        <f aca="false">DATE(1900,Таблица18[[#This Row],[Месяц]],Таблица18[[#This Row],[Число]])</f>
        <v>161</v>
      </c>
      <c r="Y135" s="234"/>
      <c r="AF135" s="411"/>
      <c r="AG135" s="412"/>
    </row>
    <row r="136" s="410" customFormat="true" ht="15" hidden="true" customHeight="true" outlineLevel="0" collapsed="false">
      <c r="A136" s="199" t="s">
        <v>1607</v>
      </c>
      <c r="B136" s="199" t="s">
        <v>886</v>
      </c>
      <c r="C136" s="405" t="n">
        <v>237</v>
      </c>
      <c r="D136" s="406" t="n">
        <v>34</v>
      </c>
      <c r="E136" s="199" t="s">
        <v>422</v>
      </c>
      <c r="F136" s="199" t="s">
        <v>1523</v>
      </c>
      <c r="G136" s="199" t="s">
        <v>1447</v>
      </c>
      <c r="H136" s="199" t="s">
        <v>94</v>
      </c>
      <c r="I136" s="199" t="s">
        <v>94</v>
      </c>
      <c r="J136" s="199" t="s">
        <v>252</v>
      </c>
      <c r="K136" s="199" t="s">
        <v>1435</v>
      </c>
      <c r="L136" s="407" t="n">
        <v>28250</v>
      </c>
      <c r="M136" s="407" t="n">
        <v>14660</v>
      </c>
      <c r="N136" s="408" t="n">
        <v>7.5</v>
      </c>
      <c r="O136" s="407" t="n">
        <v>13590</v>
      </c>
      <c r="P136" s="407" t="n">
        <v>12570.7</v>
      </c>
      <c r="Q136" s="234" t="n">
        <v>2023</v>
      </c>
      <c r="R136" s="234"/>
      <c r="S136" s="248" t="n">
        <v>45086</v>
      </c>
      <c r="T136" s="407" t="n">
        <f aca="false">Таблица18[[#This Row],[Вес нетто]]-Таблица18[[#This Row],[Зачетный вес]]</f>
        <v>1019.3</v>
      </c>
      <c r="U136" s="409" t="n">
        <f aca="false">Таблица18[[#This Row],[Отход]]/Таблица18[[#This Row],[Вес нетто]]</f>
        <v>0.0750036791758646</v>
      </c>
      <c r="V136" s="234" t="n">
        <f aca="false">MONTH(Таблица18[[#This Row],[Дата акта]])</f>
        <v>6</v>
      </c>
      <c r="W136" s="234" t="n">
        <v>9</v>
      </c>
      <c r="X136" s="248" t="n">
        <f aca="false">DATE(1900,Таблица18[[#This Row],[Месяц]],Таблица18[[#This Row],[Число]])</f>
        <v>161</v>
      </c>
      <c r="Y136" s="234"/>
      <c r="AF136" s="411"/>
      <c r="AG136" s="412"/>
    </row>
    <row r="137" s="410" customFormat="true" ht="15" hidden="true" customHeight="true" outlineLevel="0" collapsed="false">
      <c r="A137" s="199" t="s">
        <v>1608</v>
      </c>
      <c r="B137" s="199" t="s">
        <v>417</v>
      </c>
      <c r="C137" s="405" t="n">
        <v>239</v>
      </c>
      <c r="D137" s="406" t="n">
        <v>36</v>
      </c>
      <c r="E137" s="199" t="s">
        <v>422</v>
      </c>
      <c r="F137" s="199" t="s">
        <v>1433</v>
      </c>
      <c r="G137" s="199" t="s">
        <v>377</v>
      </c>
      <c r="H137" s="199" t="s">
        <v>1513</v>
      </c>
      <c r="I137" s="199" t="s">
        <v>1513</v>
      </c>
      <c r="J137" s="199" t="s">
        <v>252</v>
      </c>
      <c r="K137" s="199" t="s">
        <v>1435</v>
      </c>
      <c r="L137" s="407" t="n">
        <v>28500</v>
      </c>
      <c r="M137" s="407" t="n">
        <v>14300</v>
      </c>
      <c r="N137" s="408" t="n">
        <v>11.5</v>
      </c>
      <c r="O137" s="407" t="n">
        <v>14200</v>
      </c>
      <c r="P137" s="407" t="n">
        <v>12567</v>
      </c>
      <c r="Q137" s="234" t="n">
        <v>2023</v>
      </c>
      <c r="R137" s="234"/>
      <c r="S137" s="248" t="n">
        <v>45086</v>
      </c>
      <c r="T137" s="407" t="n">
        <f aca="false">Таблица18[[#This Row],[Вес нетто]]-Таблица18[[#This Row],[Зачетный вес]]</f>
        <v>1633</v>
      </c>
      <c r="U137" s="409" t="n">
        <f aca="false">Таблица18[[#This Row],[Отход]]/Таблица18[[#This Row],[Вес нетто]]</f>
        <v>0.115</v>
      </c>
      <c r="V137" s="234" t="n">
        <f aca="false">MONTH(Таблица18[[#This Row],[Дата акта]])</f>
        <v>6</v>
      </c>
      <c r="W137" s="234" t="n">
        <v>9</v>
      </c>
      <c r="X137" s="248" t="n">
        <f aca="false">DATE(1900,Таблица18[[#This Row],[Месяц]],Таблица18[[#This Row],[Число]])</f>
        <v>161</v>
      </c>
      <c r="Y137" s="234"/>
      <c r="AF137" s="411"/>
      <c r="AG137" s="412"/>
    </row>
    <row r="138" s="410" customFormat="true" ht="15" hidden="true" customHeight="true" outlineLevel="0" collapsed="false">
      <c r="A138" s="199" t="s">
        <v>1609</v>
      </c>
      <c r="B138" s="199" t="s">
        <v>746</v>
      </c>
      <c r="C138" s="405" t="n">
        <v>240</v>
      </c>
      <c r="D138" s="406" t="n">
        <v>37</v>
      </c>
      <c r="E138" s="199" t="s">
        <v>422</v>
      </c>
      <c r="F138" s="199" t="s">
        <v>1488</v>
      </c>
      <c r="G138" s="199" t="s">
        <v>1444</v>
      </c>
      <c r="H138" s="199" t="s">
        <v>94</v>
      </c>
      <c r="I138" s="199" t="s">
        <v>94</v>
      </c>
      <c r="J138" s="199" t="s">
        <v>252</v>
      </c>
      <c r="K138" s="199" t="s">
        <v>1435</v>
      </c>
      <c r="L138" s="407" t="n">
        <v>28980</v>
      </c>
      <c r="M138" s="407" t="n">
        <v>15550</v>
      </c>
      <c r="N138" s="408" t="n">
        <v>7.5</v>
      </c>
      <c r="O138" s="407" t="n">
        <v>13430</v>
      </c>
      <c r="P138" s="407" t="n">
        <v>12422.7</v>
      </c>
      <c r="Q138" s="234" t="n">
        <v>2023</v>
      </c>
      <c r="R138" s="234"/>
      <c r="S138" s="248" t="n">
        <v>45086</v>
      </c>
      <c r="T138" s="407" t="n">
        <f aca="false">Таблица18[[#This Row],[Вес нетто]]-Таблица18[[#This Row],[Зачетный вес]]</f>
        <v>1007.3</v>
      </c>
      <c r="U138" s="409" t="n">
        <f aca="false">Таблица18[[#This Row],[Отход]]/Таблица18[[#This Row],[Вес нетто]]</f>
        <v>0.0750037230081906</v>
      </c>
      <c r="V138" s="234" t="n">
        <f aca="false">MONTH(Таблица18[[#This Row],[Дата акта]])</f>
        <v>6</v>
      </c>
      <c r="W138" s="234" t="n">
        <v>9</v>
      </c>
      <c r="X138" s="248" t="n">
        <f aca="false">DATE(1900,Таблица18[[#This Row],[Месяц]],Таблица18[[#This Row],[Число]])</f>
        <v>161</v>
      </c>
      <c r="Y138" s="234"/>
      <c r="AF138" s="411"/>
      <c r="AG138" s="412"/>
    </row>
    <row r="139" s="410" customFormat="true" ht="15" hidden="true" customHeight="true" outlineLevel="0" collapsed="false">
      <c r="A139" s="199" t="s">
        <v>1610</v>
      </c>
      <c r="B139" s="199" t="s">
        <v>417</v>
      </c>
      <c r="C139" s="405" t="n">
        <v>241</v>
      </c>
      <c r="D139" s="406" t="n">
        <v>38</v>
      </c>
      <c r="E139" s="199" t="s">
        <v>422</v>
      </c>
      <c r="F139" s="199" t="s">
        <v>367</v>
      </c>
      <c r="G139" s="199" t="s">
        <v>368</v>
      </c>
      <c r="H139" s="199" t="s">
        <v>1513</v>
      </c>
      <c r="I139" s="199" t="s">
        <v>1513</v>
      </c>
      <c r="J139" s="199" t="s">
        <v>252</v>
      </c>
      <c r="K139" s="199" t="s">
        <v>1435</v>
      </c>
      <c r="L139" s="407" t="n">
        <v>28750</v>
      </c>
      <c r="M139" s="407" t="n">
        <v>14430</v>
      </c>
      <c r="N139" s="408" t="n">
        <v>11.5</v>
      </c>
      <c r="O139" s="407" t="n">
        <v>14320</v>
      </c>
      <c r="P139" s="407" t="n">
        <v>12673.2</v>
      </c>
      <c r="Q139" s="234" t="n">
        <v>2023</v>
      </c>
      <c r="R139" s="234"/>
      <c r="S139" s="248" t="n">
        <v>45086</v>
      </c>
      <c r="T139" s="407" t="n">
        <f aca="false">Таблица18[[#This Row],[Вес нетто]]-Таблица18[[#This Row],[Зачетный вес]]</f>
        <v>1646.8</v>
      </c>
      <c r="U139" s="409" t="n">
        <f aca="false">Таблица18[[#This Row],[Отход]]/Таблица18[[#This Row],[Вес нетто]]</f>
        <v>0.115</v>
      </c>
      <c r="V139" s="234" t="n">
        <f aca="false">MONTH(Таблица18[[#This Row],[Дата акта]])</f>
        <v>6</v>
      </c>
      <c r="W139" s="234" t="n">
        <v>9</v>
      </c>
      <c r="X139" s="248" t="n">
        <f aca="false">DATE(1900,Таблица18[[#This Row],[Месяц]],Таблица18[[#This Row],[Число]])</f>
        <v>161</v>
      </c>
      <c r="Y139" s="234"/>
      <c r="AF139" s="411"/>
      <c r="AG139" s="412"/>
    </row>
    <row r="140" s="410" customFormat="true" ht="15" hidden="true" customHeight="true" outlineLevel="0" collapsed="false">
      <c r="A140" s="199" t="s">
        <v>1611</v>
      </c>
      <c r="B140" s="199" t="s">
        <v>417</v>
      </c>
      <c r="C140" s="405" t="n">
        <v>246</v>
      </c>
      <c r="D140" s="406" t="n">
        <v>40</v>
      </c>
      <c r="E140" s="199" t="s">
        <v>422</v>
      </c>
      <c r="F140" s="199" t="s">
        <v>1433</v>
      </c>
      <c r="G140" s="199" t="s">
        <v>377</v>
      </c>
      <c r="H140" s="199" t="s">
        <v>1513</v>
      </c>
      <c r="I140" s="199" t="s">
        <v>1513</v>
      </c>
      <c r="J140" s="199" t="s">
        <v>252</v>
      </c>
      <c r="K140" s="199" t="s">
        <v>1435</v>
      </c>
      <c r="L140" s="407" t="n">
        <v>28080</v>
      </c>
      <c r="M140" s="407" t="n">
        <v>14300</v>
      </c>
      <c r="N140" s="408" t="n">
        <v>15.5</v>
      </c>
      <c r="O140" s="407" t="n">
        <v>13780</v>
      </c>
      <c r="P140" s="407" t="n">
        <v>11644.1</v>
      </c>
      <c r="Q140" s="234" t="n">
        <v>2023</v>
      </c>
      <c r="R140" s="234"/>
      <c r="S140" s="248" t="n">
        <v>45086</v>
      </c>
      <c r="T140" s="407" t="n">
        <f aca="false">Таблица18[[#This Row],[Вес нетто]]-Таблица18[[#This Row],[Зачетный вес]]</f>
        <v>2135.9</v>
      </c>
      <c r="U140" s="409" t="n">
        <f aca="false">Таблица18[[#This Row],[Отход]]/Таблица18[[#This Row],[Вес нетто]]</f>
        <v>0.155</v>
      </c>
      <c r="V140" s="234" t="n">
        <f aca="false">MONTH(Таблица18[[#This Row],[Дата акта]])</f>
        <v>6</v>
      </c>
      <c r="W140" s="234" t="n">
        <v>9</v>
      </c>
      <c r="X140" s="248" t="n">
        <f aca="false">DATE(1900,Таблица18[[#This Row],[Месяц]],Таблица18[[#This Row],[Число]])</f>
        <v>161</v>
      </c>
      <c r="Y140" s="234"/>
      <c r="AF140" s="411"/>
      <c r="AG140" s="412"/>
    </row>
    <row r="141" s="410" customFormat="true" ht="15" hidden="true" customHeight="true" outlineLevel="0" collapsed="false">
      <c r="A141" s="199" t="s">
        <v>1612</v>
      </c>
      <c r="B141" s="199" t="s">
        <v>746</v>
      </c>
      <c r="C141" s="405" t="n">
        <v>247</v>
      </c>
      <c r="D141" s="406" t="n">
        <v>41</v>
      </c>
      <c r="E141" s="199" t="s">
        <v>422</v>
      </c>
      <c r="F141" s="199" t="s">
        <v>1488</v>
      </c>
      <c r="G141" s="199" t="s">
        <v>1444</v>
      </c>
      <c r="H141" s="199" t="s">
        <v>94</v>
      </c>
      <c r="I141" s="199" t="s">
        <v>94</v>
      </c>
      <c r="J141" s="199" t="s">
        <v>252</v>
      </c>
      <c r="K141" s="199" t="s">
        <v>1435</v>
      </c>
      <c r="L141" s="407" t="n">
        <v>28670</v>
      </c>
      <c r="M141" s="407" t="n">
        <v>15530</v>
      </c>
      <c r="N141" s="408" t="n">
        <v>13.5</v>
      </c>
      <c r="O141" s="407" t="n">
        <v>13140</v>
      </c>
      <c r="P141" s="407" t="n">
        <v>11366.1</v>
      </c>
      <c r="Q141" s="234" t="n">
        <v>2023</v>
      </c>
      <c r="R141" s="234"/>
      <c r="S141" s="248" t="n">
        <v>45086</v>
      </c>
      <c r="T141" s="407" t="n">
        <f aca="false">Таблица18[[#This Row],[Вес нетто]]-Таблица18[[#This Row],[Зачетный вес]]</f>
        <v>1773.9</v>
      </c>
      <c r="U141" s="409" t="n">
        <f aca="false">Таблица18[[#This Row],[Отход]]/Таблица18[[#This Row],[Вес нетто]]</f>
        <v>0.135</v>
      </c>
      <c r="V141" s="234" t="n">
        <f aca="false">MONTH(Таблица18[[#This Row],[Дата акта]])</f>
        <v>6</v>
      </c>
      <c r="W141" s="234" t="n">
        <v>9</v>
      </c>
      <c r="X141" s="248" t="n">
        <f aca="false">DATE(1900,Таблица18[[#This Row],[Месяц]],Таблица18[[#This Row],[Число]])</f>
        <v>161</v>
      </c>
      <c r="Y141" s="234"/>
      <c r="AF141" s="411"/>
      <c r="AG141" s="412"/>
    </row>
    <row r="142" s="410" customFormat="true" ht="15" hidden="true" customHeight="true" outlineLevel="0" collapsed="false">
      <c r="A142" s="199" t="s">
        <v>1613</v>
      </c>
      <c r="B142" s="199" t="s">
        <v>417</v>
      </c>
      <c r="C142" s="405" t="n">
        <v>248</v>
      </c>
      <c r="D142" s="406" t="n">
        <v>42</v>
      </c>
      <c r="E142" s="199" t="s">
        <v>422</v>
      </c>
      <c r="F142" s="199" t="s">
        <v>367</v>
      </c>
      <c r="G142" s="199" t="s">
        <v>368</v>
      </c>
      <c r="H142" s="199" t="s">
        <v>1513</v>
      </c>
      <c r="I142" s="199" t="s">
        <v>1513</v>
      </c>
      <c r="J142" s="199" t="s">
        <v>252</v>
      </c>
      <c r="K142" s="199" t="s">
        <v>1435</v>
      </c>
      <c r="L142" s="407" t="n">
        <v>28270</v>
      </c>
      <c r="M142" s="407" t="n">
        <v>14420</v>
      </c>
      <c r="N142" s="408" t="n">
        <v>14.5</v>
      </c>
      <c r="O142" s="407" t="n">
        <v>13850</v>
      </c>
      <c r="P142" s="407" t="n">
        <v>11841.7</v>
      </c>
      <c r="Q142" s="234" t="n">
        <v>2023</v>
      </c>
      <c r="R142" s="234"/>
      <c r="S142" s="248" t="n">
        <v>45087</v>
      </c>
      <c r="T142" s="407" t="n">
        <f aca="false">Таблица18[[#This Row],[Вес нетто]]-Таблица18[[#This Row],[Зачетный вес]]</f>
        <v>2008.3</v>
      </c>
      <c r="U142" s="409" t="n">
        <f aca="false">Таблица18[[#This Row],[Отход]]/Таблица18[[#This Row],[Вес нетто]]</f>
        <v>0.145003610108303</v>
      </c>
      <c r="V142" s="234" t="n">
        <f aca="false">MONTH(Таблица18[[#This Row],[Дата акта]])</f>
        <v>6</v>
      </c>
      <c r="W142" s="234" t="n">
        <v>10</v>
      </c>
      <c r="X142" s="248" t="n">
        <f aca="false">DATE(1900,Таблица18[[#This Row],[Месяц]],Таблица18[[#This Row],[Число]])</f>
        <v>162</v>
      </c>
      <c r="Y142" s="234"/>
      <c r="AF142" s="411"/>
      <c r="AG142" s="412"/>
    </row>
    <row r="143" s="410" customFormat="true" ht="15" hidden="true" customHeight="true" outlineLevel="0" collapsed="false">
      <c r="A143" s="199" t="s">
        <v>1614</v>
      </c>
      <c r="B143" s="199" t="s">
        <v>417</v>
      </c>
      <c r="C143" s="405" t="n">
        <v>249</v>
      </c>
      <c r="D143" s="406" t="n">
        <v>43</v>
      </c>
      <c r="E143" s="199" t="s">
        <v>422</v>
      </c>
      <c r="F143" s="199" t="s">
        <v>1433</v>
      </c>
      <c r="G143" s="199" t="s">
        <v>377</v>
      </c>
      <c r="H143" s="199" t="s">
        <v>1513</v>
      </c>
      <c r="I143" s="199" t="s">
        <v>1513</v>
      </c>
      <c r="J143" s="199" t="s">
        <v>252</v>
      </c>
      <c r="K143" s="199" t="s">
        <v>1435</v>
      </c>
      <c r="L143" s="407" t="n">
        <v>28240</v>
      </c>
      <c r="M143" s="407" t="n">
        <v>14300</v>
      </c>
      <c r="N143" s="408" t="n">
        <v>14.5</v>
      </c>
      <c r="O143" s="407" t="n">
        <v>13940</v>
      </c>
      <c r="P143" s="407" t="n">
        <v>11918.7</v>
      </c>
      <c r="Q143" s="234" t="n">
        <v>2023</v>
      </c>
      <c r="R143" s="234"/>
      <c r="S143" s="248" t="n">
        <v>45087</v>
      </c>
      <c r="T143" s="407" t="n">
        <f aca="false">Таблица18[[#This Row],[Вес нетто]]-Таблица18[[#This Row],[Зачетный вес]]</f>
        <v>2021.3</v>
      </c>
      <c r="U143" s="409" t="n">
        <f aca="false">Таблица18[[#This Row],[Отход]]/Таблица18[[#This Row],[Вес нетто]]</f>
        <v>0.145</v>
      </c>
      <c r="V143" s="234" t="n">
        <f aca="false">MONTH(Таблица18[[#This Row],[Дата акта]])</f>
        <v>6</v>
      </c>
      <c r="W143" s="234" t="n">
        <v>10</v>
      </c>
      <c r="X143" s="248" t="n">
        <f aca="false">DATE(1900,Таблица18[[#This Row],[Месяц]],Таблица18[[#This Row],[Число]])</f>
        <v>162</v>
      </c>
      <c r="Y143" s="234"/>
      <c r="AF143" s="411"/>
      <c r="AG143" s="412"/>
    </row>
    <row r="144" s="410" customFormat="true" ht="15" hidden="true" customHeight="true" outlineLevel="0" collapsed="false">
      <c r="A144" s="199" t="s">
        <v>1615</v>
      </c>
      <c r="B144" s="199" t="s">
        <v>746</v>
      </c>
      <c r="C144" s="405" t="n">
        <v>250</v>
      </c>
      <c r="D144" s="406" t="n">
        <v>44</v>
      </c>
      <c r="E144" s="199" t="s">
        <v>422</v>
      </c>
      <c r="F144" s="199" t="s">
        <v>1488</v>
      </c>
      <c r="G144" s="199" t="s">
        <v>1444</v>
      </c>
      <c r="H144" s="199" t="s">
        <v>94</v>
      </c>
      <c r="I144" s="199" t="s">
        <v>94</v>
      </c>
      <c r="J144" s="199" t="s">
        <v>1559</v>
      </c>
      <c r="K144" s="199" t="s">
        <v>1435</v>
      </c>
      <c r="L144" s="407" t="n">
        <v>28730</v>
      </c>
      <c r="M144" s="407" t="n">
        <v>15510</v>
      </c>
      <c r="N144" s="408" t="n">
        <v>10.5</v>
      </c>
      <c r="O144" s="407" t="n">
        <v>13220</v>
      </c>
      <c r="P144" s="407" t="n">
        <v>11831.9</v>
      </c>
      <c r="Q144" s="234" t="n">
        <v>2023</v>
      </c>
      <c r="R144" s="234"/>
      <c r="S144" s="248" t="n">
        <v>45087</v>
      </c>
      <c r="T144" s="407" t="n">
        <f aca="false">Таблица18[[#This Row],[Вес нетто]]-Таблица18[[#This Row],[Зачетный вес]]</f>
        <v>1388.1</v>
      </c>
      <c r="U144" s="409" t="n">
        <f aca="false">Таблица18[[#This Row],[Отход]]/Таблица18[[#This Row],[Вес нетто]]</f>
        <v>0.105</v>
      </c>
      <c r="V144" s="234" t="n">
        <f aca="false">MONTH(Таблица18[[#This Row],[Дата акта]])</f>
        <v>6</v>
      </c>
      <c r="W144" s="234" t="n">
        <v>10</v>
      </c>
      <c r="X144" s="248" t="n">
        <f aca="false">DATE(1900,Таблица18[[#This Row],[Месяц]],Таблица18[[#This Row],[Число]])</f>
        <v>162</v>
      </c>
      <c r="Y144" s="234"/>
      <c r="AF144" s="411"/>
      <c r="AG144" s="412"/>
    </row>
    <row r="145" s="410" customFormat="true" ht="15" hidden="true" customHeight="true" outlineLevel="0" collapsed="false">
      <c r="A145" s="199" t="s">
        <v>1616</v>
      </c>
      <c r="B145" s="199" t="s">
        <v>746</v>
      </c>
      <c r="C145" s="405" t="n">
        <v>252</v>
      </c>
      <c r="D145" s="406" t="n">
        <v>45</v>
      </c>
      <c r="E145" s="199" t="s">
        <v>422</v>
      </c>
      <c r="F145" s="199" t="s">
        <v>367</v>
      </c>
      <c r="G145" s="199" t="s">
        <v>368</v>
      </c>
      <c r="H145" s="199" t="s">
        <v>1497</v>
      </c>
      <c r="I145" s="199" t="s">
        <v>1497</v>
      </c>
      <c r="J145" s="199" t="s">
        <v>252</v>
      </c>
      <c r="K145" s="199" t="s">
        <v>1435</v>
      </c>
      <c r="L145" s="407" t="n">
        <v>28020</v>
      </c>
      <c r="M145" s="407" t="n">
        <v>14400</v>
      </c>
      <c r="N145" s="408" t="n">
        <v>11.5</v>
      </c>
      <c r="O145" s="407" t="n">
        <v>13620</v>
      </c>
      <c r="P145" s="407" t="n">
        <v>12053.7</v>
      </c>
      <c r="Q145" s="234" t="n">
        <v>2023</v>
      </c>
      <c r="R145" s="234"/>
      <c r="S145" s="248" t="n">
        <v>45087</v>
      </c>
      <c r="T145" s="407" t="n">
        <f aca="false">Таблица18[[#This Row],[Вес нетто]]-Таблица18[[#This Row],[Зачетный вес]]</f>
        <v>1566.3</v>
      </c>
      <c r="U145" s="409" t="n">
        <f aca="false">Таблица18[[#This Row],[Отход]]/Таблица18[[#This Row],[Вес нетто]]</f>
        <v>0.115</v>
      </c>
      <c r="V145" s="234" t="n">
        <f aca="false">MONTH(Таблица18[[#This Row],[Дата акта]])</f>
        <v>6</v>
      </c>
      <c r="W145" s="234" t="n">
        <v>10</v>
      </c>
      <c r="X145" s="248" t="n">
        <f aca="false">DATE(1900,Таблица18[[#This Row],[Месяц]],Таблица18[[#This Row],[Число]])</f>
        <v>162</v>
      </c>
      <c r="Y145" s="234"/>
      <c r="AF145" s="411"/>
      <c r="AG145" s="412"/>
    </row>
    <row r="146" s="410" customFormat="true" ht="15" hidden="true" customHeight="true" outlineLevel="0" collapsed="false">
      <c r="A146" s="199" t="s">
        <v>1617</v>
      </c>
      <c r="B146" s="199" t="s">
        <v>746</v>
      </c>
      <c r="C146" s="405" t="n">
        <v>253</v>
      </c>
      <c r="D146" s="406" t="n">
        <v>46</v>
      </c>
      <c r="E146" s="199" t="s">
        <v>422</v>
      </c>
      <c r="F146" s="199" t="s">
        <v>1433</v>
      </c>
      <c r="G146" s="199" t="s">
        <v>377</v>
      </c>
      <c r="H146" s="199" t="s">
        <v>1497</v>
      </c>
      <c r="I146" s="199" t="s">
        <v>1497</v>
      </c>
      <c r="J146" s="199" t="s">
        <v>252</v>
      </c>
      <c r="K146" s="199" t="s">
        <v>1435</v>
      </c>
      <c r="L146" s="407" t="n">
        <v>20470</v>
      </c>
      <c r="M146" s="407" t="n">
        <v>14270</v>
      </c>
      <c r="N146" s="408" t="n">
        <v>12.5</v>
      </c>
      <c r="O146" s="407" t="n">
        <v>6200</v>
      </c>
      <c r="P146" s="407" t="n">
        <v>5425</v>
      </c>
      <c r="Q146" s="234" t="n">
        <v>2023</v>
      </c>
      <c r="R146" s="234"/>
      <c r="S146" s="248" t="n">
        <v>45087</v>
      </c>
      <c r="T146" s="407" t="n">
        <f aca="false">Таблица18[[#This Row],[Вес нетто]]-Таблица18[[#This Row],[Зачетный вес]]</f>
        <v>775</v>
      </c>
      <c r="U146" s="409" t="n">
        <f aca="false">Таблица18[[#This Row],[Отход]]/Таблица18[[#This Row],[Вес нетто]]</f>
        <v>0.125</v>
      </c>
      <c r="V146" s="234" t="n">
        <f aca="false">MONTH(Таблица18[[#This Row],[Дата акта]])</f>
        <v>6</v>
      </c>
      <c r="W146" s="234" t="n">
        <v>10</v>
      </c>
      <c r="X146" s="248" t="n">
        <f aca="false">DATE(1900,Таблица18[[#This Row],[Месяц]],Таблица18[[#This Row],[Число]])</f>
        <v>162</v>
      </c>
      <c r="Y146" s="234"/>
      <c r="AF146" s="411"/>
      <c r="AG146" s="412"/>
    </row>
    <row r="147" s="410" customFormat="true" ht="15" hidden="true" customHeight="true" outlineLevel="0" collapsed="false">
      <c r="A147" s="199" t="s">
        <v>1618</v>
      </c>
      <c r="B147" s="199" t="s">
        <v>746</v>
      </c>
      <c r="C147" s="405" t="n">
        <v>255</v>
      </c>
      <c r="D147" s="406" t="n">
        <v>47</v>
      </c>
      <c r="E147" s="199" t="s">
        <v>422</v>
      </c>
      <c r="F147" s="199" t="s">
        <v>1576</v>
      </c>
      <c r="G147" s="199" t="s">
        <v>1455</v>
      </c>
      <c r="H147" s="199" t="s">
        <v>94</v>
      </c>
      <c r="I147" s="199" t="s">
        <v>94</v>
      </c>
      <c r="J147" s="199" t="s">
        <v>1559</v>
      </c>
      <c r="K147" s="199" t="s">
        <v>1435</v>
      </c>
      <c r="L147" s="407" t="n">
        <v>27760</v>
      </c>
      <c r="M147" s="407" t="n">
        <v>14200</v>
      </c>
      <c r="N147" s="408" t="n">
        <v>11.5</v>
      </c>
      <c r="O147" s="407" t="n">
        <v>13560</v>
      </c>
      <c r="P147" s="407" t="n">
        <v>12000.6</v>
      </c>
      <c r="Q147" s="234" t="n">
        <v>2023</v>
      </c>
      <c r="R147" s="234"/>
      <c r="S147" s="248" t="n">
        <v>45087</v>
      </c>
      <c r="T147" s="407" t="n">
        <f aca="false">Таблица18[[#This Row],[Вес нетто]]-Таблица18[[#This Row],[Зачетный вес]]</f>
        <v>1559.4</v>
      </c>
      <c r="U147" s="409" t="n">
        <f aca="false">Таблица18[[#This Row],[Отход]]/Таблица18[[#This Row],[Вес нетто]]</f>
        <v>0.115</v>
      </c>
      <c r="V147" s="234" t="n">
        <f aca="false">MONTH(Таблица18[[#This Row],[Дата акта]])</f>
        <v>6</v>
      </c>
      <c r="W147" s="234" t="n">
        <v>10</v>
      </c>
      <c r="X147" s="248" t="n">
        <f aca="false">DATE(1900,Таблица18[[#This Row],[Месяц]],Таблица18[[#This Row],[Число]])</f>
        <v>162</v>
      </c>
      <c r="Y147" s="234"/>
      <c r="AF147" s="411"/>
      <c r="AG147" s="412"/>
    </row>
    <row r="148" s="410" customFormat="true" ht="15" hidden="true" customHeight="true" outlineLevel="0" collapsed="false">
      <c r="A148" s="199" t="s">
        <v>1619</v>
      </c>
      <c r="B148" s="199" t="s">
        <v>746</v>
      </c>
      <c r="C148" s="405" t="n">
        <v>256</v>
      </c>
      <c r="D148" s="406" t="n">
        <v>48</v>
      </c>
      <c r="E148" s="199" t="s">
        <v>422</v>
      </c>
      <c r="F148" s="199" t="s">
        <v>1439</v>
      </c>
      <c r="G148" s="199" t="s">
        <v>1440</v>
      </c>
      <c r="H148" s="199" t="s">
        <v>94</v>
      </c>
      <c r="I148" s="199" t="s">
        <v>94</v>
      </c>
      <c r="J148" s="199" t="s">
        <v>1559</v>
      </c>
      <c r="K148" s="199" t="s">
        <v>1435</v>
      </c>
      <c r="L148" s="407" t="n">
        <v>26910</v>
      </c>
      <c r="M148" s="407" t="n">
        <v>13340</v>
      </c>
      <c r="N148" s="408" t="n">
        <v>11.5</v>
      </c>
      <c r="O148" s="407" t="n">
        <v>13570</v>
      </c>
      <c r="P148" s="407" t="n">
        <v>12009.4</v>
      </c>
      <c r="Q148" s="234" t="n">
        <v>2023</v>
      </c>
      <c r="R148" s="234"/>
      <c r="S148" s="248" t="n">
        <v>45087</v>
      </c>
      <c r="T148" s="407" t="n">
        <f aca="false">Таблица18[[#This Row],[Вес нетто]]-Таблица18[[#This Row],[Зачетный вес]]</f>
        <v>1560.6</v>
      </c>
      <c r="U148" s="409" t="n">
        <f aca="false">Таблица18[[#This Row],[Отход]]/Таблица18[[#This Row],[Вес нетто]]</f>
        <v>0.115003684598379</v>
      </c>
      <c r="V148" s="234" t="n">
        <f aca="false">MONTH(Таблица18[[#This Row],[Дата акта]])</f>
        <v>6</v>
      </c>
      <c r="W148" s="234" t="n">
        <v>10</v>
      </c>
      <c r="X148" s="248" t="n">
        <f aca="false">DATE(1900,Таблица18[[#This Row],[Месяц]],Таблица18[[#This Row],[Число]])</f>
        <v>162</v>
      </c>
      <c r="Y148" s="234"/>
      <c r="AF148" s="411"/>
      <c r="AG148" s="412"/>
    </row>
    <row r="149" s="410" customFormat="true" ht="15" hidden="true" customHeight="true" outlineLevel="0" collapsed="false">
      <c r="A149" s="199" t="s">
        <v>1620</v>
      </c>
      <c r="B149" s="199" t="s">
        <v>746</v>
      </c>
      <c r="C149" s="405" t="n">
        <v>257</v>
      </c>
      <c r="D149" s="406" t="n">
        <v>49</v>
      </c>
      <c r="E149" s="199" t="s">
        <v>422</v>
      </c>
      <c r="F149" s="199" t="s">
        <v>371</v>
      </c>
      <c r="G149" s="199" t="s">
        <v>372</v>
      </c>
      <c r="H149" s="199" t="s">
        <v>94</v>
      </c>
      <c r="I149" s="199" t="s">
        <v>94</v>
      </c>
      <c r="J149" s="199" t="s">
        <v>1559</v>
      </c>
      <c r="K149" s="199" t="s">
        <v>1435</v>
      </c>
      <c r="L149" s="407" t="n">
        <v>28730</v>
      </c>
      <c r="M149" s="407" t="n">
        <v>14980</v>
      </c>
      <c r="N149" s="408" t="n">
        <v>10.5</v>
      </c>
      <c r="O149" s="407" t="n">
        <v>13750</v>
      </c>
      <c r="P149" s="407" t="n">
        <v>12306.2</v>
      </c>
      <c r="Q149" s="234" t="n">
        <v>2023</v>
      </c>
      <c r="R149" s="234"/>
      <c r="S149" s="248" t="n">
        <v>45087</v>
      </c>
      <c r="T149" s="407" t="n">
        <f aca="false">Таблица18[[#This Row],[Вес нетто]]-Таблица18[[#This Row],[Зачетный вес]]</f>
        <v>1443.8</v>
      </c>
      <c r="U149" s="409" t="n">
        <f aca="false">Таблица18[[#This Row],[Отход]]/Таблица18[[#This Row],[Вес нетто]]</f>
        <v>0.105003636363636</v>
      </c>
      <c r="V149" s="234" t="n">
        <f aca="false">MONTH(Таблица18[[#This Row],[Дата акта]])</f>
        <v>6</v>
      </c>
      <c r="W149" s="234" t="n">
        <v>10</v>
      </c>
      <c r="X149" s="248" t="n">
        <f aca="false">DATE(1900,Таблица18[[#This Row],[Месяц]],Таблица18[[#This Row],[Число]])</f>
        <v>162</v>
      </c>
      <c r="Y149" s="234"/>
      <c r="AF149" s="411"/>
      <c r="AG149" s="412"/>
    </row>
    <row r="150" s="410" customFormat="true" ht="15" hidden="true" customHeight="true" outlineLevel="0" collapsed="false">
      <c r="A150" s="199" t="s">
        <v>1621</v>
      </c>
      <c r="B150" s="199" t="s">
        <v>746</v>
      </c>
      <c r="C150" s="405" t="n">
        <v>258</v>
      </c>
      <c r="D150" s="406" t="n">
        <v>50</v>
      </c>
      <c r="E150" s="199" t="s">
        <v>422</v>
      </c>
      <c r="F150" s="199" t="s">
        <v>457</v>
      </c>
      <c r="G150" s="199" t="s">
        <v>366</v>
      </c>
      <c r="H150" s="199" t="s">
        <v>94</v>
      </c>
      <c r="I150" s="199" t="s">
        <v>94</v>
      </c>
      <c r="J150" s="199" t="s">
        <v>1559</v>
      </c>
      <c r="K150" s="199" t="s">
        <v>1435</v>
      </c>
      <c r="L150" s="407" t="n">
        <v>33440</v>
      </c>
      <c r="M150" s="407" t="n">
        <v>17420</v>
      </c>
      <c r="N150" s="408" t="n">
        <v>10.5</v>
      </c>
      <c r="O150" s="407" t="n">
        <v>16020</v>
      </c>
      <c r="P150" s="407" t="n">
        <v>14337.9</v>
      </c>
      <c r="Q150" s="234" t="n">
        <v>2023</v>
      </c>
      <c r="R150" s="234"/>
      <c r="S150" s="248" t="n">
        <v>45087</v>
      </c>
      <c r="T150" s="407" t="n">
        <f aca="false">Таблица18[[#This Row],[Вес нетто]]-Таблица18[[#This Row],[Зачетный вес]]</f>
        <v>1682.1</v>
      </c>
      <c r="U150" s="409" t="n">
        <f aca="false">Таблица18[[#This Row],[Отход]]/Таблица18[[#This Row],[Вес нетто]]</f>
        <v>0.105</v>
      </c>
      <c r="V150" s="234" t="n">
        <f aca="false">MONTH(Таблица18[[#This Row],[Дата акта]])</f>
        <v>6</v>
      </c>
      <c r="W150" s="234" t="n">
        <v>10</v>
      </c>
      <c r="X150" s="248" t="n">
        <f aca="false">DATE(1900,Таблица18[[#This Row],[Месяц]],Таблица18[[#This Row],[Число]])</f>
        <v>162</v>
      </c>
      <c r="Y150" s="234"/>
      <c r="AF150" s="411"/>
      <c r="AG150" s="412"/>
    </row>
    <row r="151" s="410" customFormat="true" ht="15" hidden="true" customHeight="true" outlineLevel="0" collapsed="false">
      <c r="A151" s="199" t="s">
        <v>1622</v>
      </c>
      <c r="B151" s="199" t="s">
        <v>746</v>
      </c>
      <c r="C151" s="405" t="n">
        <v>259</v>
      </c>
      <c r="D151" s="406" t="n">
        <v>51</v>
      </c>
      <c r="E151" s="199" t="s">
        <v>422</v>
      </c>
      <c r="F151" s="199" t="s">
        <v>1576</v>
      </c>
      <c r="G151" s="199" t="s">
        <v>1455</v>
      </c>
      <c r="H151" s="199" t="s">
        <v>94</v>
      </c>
      <c r="I151" s="199" t="s">
        <v>94</v>
      </c>
      <c r="J151" s="199" t="s">
        <v>1559</v>
      </c>
      <c r="K151" s="199" t="s">
        <v>1435</v>
      </c>
      <c r="L151" s="407" t="n">
        <v>28100</v>
      </c>
      <c r="M151" s="407" t="n">
        <v>21010</v>
      </c>
      <c r="N151" s="408" t="n">
        <v>29.5</v>
      </c>
      <c r="O151" s="407" t="n">
        <v>7090</v>
      </c>
      <c r="P151" s="407" t="n">
        <v>4998.5</v>
      </c>
      <c r="Q151" s="234" t="n">
        <v>2023</v>
      </c>
      <c r="R151" s="234"/>
      <c r="S151" s="248" t="n">
        <v>45087</v>
      </c>
      <c r="T151" s="407" t="n">
        <f aca="false">Таблица18[[#This Row],[Вес нетто]]-Таблица18[[#This Row],[Зачетный вес]]</f>
        <v>2091.5</v>
      </c>
      <c r="U151" s="409" t="n">
        <f aca="false">Таблица18[[#This Row],[Отход]]/Таблица18[[#This Row],[Вес нетто]]</f>
        <v>0.294992947813822</v>
      </c>
      <c r="V151" s="234" t="n">
        <f aca="false">MONTH(Таблица18[[#This Row],[Дата акта]])</f>
        <v>6</v>
      </c>
      <c r="W151" s="234" t="n">
        <v>10</v>
      </c>
      <c r="X151" s="248" t="n">
        <f aca="false">DATE(1900,Таблица18[[#This Row],[Месяц]],Таблица18[[#This Row],[Число]])</f>
        <v>162</v>
      </c>
      <c r="Y151" s="234"/>
      <c r="AF151" s="411"/>
      <c r="AG151" s="412"/>
    </row>
    <row r="152" s="410" customFormat="true" ht="15" hidden="true" customHeight="true" outlineLevel="0" collapsed="false">
      <c r="A152" s="199" t="s">
        <v>1623</v>
      </c>
      <c r="B152" s="199" t="s">
        <v>746</v>
      </c>
      <c r="C152" s="405" t="n">
        <v>259</v>
      </c>
      <c r="D152" s="406" t="n">
        <v>51</v>
      </c>
      <c r="E152" s="199" t="s">
        <v>422</v>
      </c>
      <c r="F152" s="199" t="s">
        <v>1576</v>
      </c>
      <c r="G152" s="199" t="s">
        <v>1455</v>
      </c>
      <c r="H152" s="199" t="s">
        <v>94</v>
      </c>
      <c r="I152" s="199" t="s">
        <v>94</v>
      </c>
      <c r="J152" s="199" t="s">
        <v>252</v>
      </c>
      <c r="K152" s="199" t="s">
        <v>1435</v>
      </c>
      <c r="L152" s="407" t="n">
        <v>21010</v>
      </c>
      <c r="M152" s="407" t="n">
        <v>14190</v>
      </c>
      <c r="N152" s="408" t="n">
        <v>29.5</v>
      </c>
      <c r="O152" s="407" t="n">
        <v>6820</v>
      </c>
      <c r="P152" s="407" t="n">
        <v>4808.1</v>
      </c>
      <c r="Q152" s="234" t="n">
        <v>2023</v>
      </c>
      <c r="R152" s="234"/>
      <c r="S152" s="248" t="n">
        <v>45087</v>
      </c>
      <c r="T152" s="407" t="n">
        <f aca="false">Таблица18[[#This Row],[Вес нетто]]-Таблица18[[#This Row],[Зачетный вес]]</f>
        <v>2011.9</v>
      </c>
      <c r="U152" s="409" t="n">
        <f aca="false">Таблица18[[#This Row],[Отход]]/Таблица18[[#This Row],[Вес нетто]]</f>
        <v>0.295</v>
      </c>
      <c r="V152" s="234" t="n">
        <f aca="false">MONTH(Таблица18[[#This Row],[Дата акта]])</f>
        <v>6</v>
      </c>
      <c r="W152" s="234" t="n">
        <v>10</v>
      </c>
      <c r="X152" s="248" t="n">
        <f aca="false">DATE(1900,Таблица18[[#This Row],[Месяц]],Таблица18[[#This Row],[Число]])</f>
        <v>162</v>
      </c>
      <c r="Y152" s="234"/>
      <c r="AF152" s="411"/>
      <c r="AG152" s="412"/>
    </row>
    <row r="153" s="410" customFormat="true" ht="15" hidden="true" customHeight="true" outlineLevel="0" collapsed="false">
      <c r="A153" s="199" t="s">
        <v>1624</v>
      </c>
      <c r="B153" s="199" t="s">
        <v>746</v>
      </c>
      <c r="C153" s="405" t="n">
        <v>260</v>
      </c>
      <c r="D153" s="406" t="n">
        <v>52</v>
      </c>
      <c r="E153" s="199" t="s">
        <v>422</v>
      </c>
      <c r="F153" s="199" t="s">
        <v>1439</v>
      </c>
      <c r="G153" s="199" t="s">
        <v>1440</v>
      </c>
      <c r="H153" s="199" t="s">
        <v>94</v>
      </c>
      <c r="I153" s="199" t="s">
        <v>94</v>
      </c>
      <c r="J153" s="199" t="s">
        <v>1559</v>
      </c>
      <c r="K153" s="199" t="s">
        <v>1435</v>
      </c>
      <c r="L153" s="407" t="n">
        <v>27220</v>
      </c>
      <c r="M153" s="407" t="n">
        <v>13330</v>
      </c>
      <c r="N153" s="408" t="n">
        <v>9.5</v>
      </c>
      <c r="O153" s="407" t="n">
        <v>13890</v>
      </c>
      <c r="P153" s="407" t="n">
        <v>12570.4</v>
      </c>
      <c r="Q153" s="234" t="n">
        <v>2023</v>
      </c>
      <c r="R153" s="234"/>
      <c r="S153" s="248" t="n">
        <v>45087</v>
      </c>
      <c r="T153" s="407" t="n">
        <f aca="false">Таблица18[[#This Row],[Вес нетто]]-Таблица18[[#This Row],[Зачетный вес]]</f>
        <v>1319.6</v>
      </c>
      <c r="U153" s="409" t="n">
        <f aca="false">Таблица18[[#This Row],[Отход]]/Таблица18[[#This Row],[Вес нетто]]</f>
        <v>0.0950035997120231</v>
      </c>
      <c r="V153" s="234" t="n">
        <f aca="false">MONTH(Таблица18[[#This Row],[Дата акта]])</f>
        <v>6</v>
      </c>
      <c r="W153" s="234" t="n">
        <v>10</v>
      </c>
      <c r="X153" s="248" t="n">
        <f aca="false">DATE(1900,Таблица18[[#This Row],[Месяц]],Таблица18[[#This Row],[Число]])</f>
        <v>162</v>
      </c>
      <c r="Y153" s="234"/>
      <c r="AF153" s="411"/>
      <c r="AG153" s="412"/>
    </row>
    <row r="154" s="410" customFormat="true" ht="15" hidden="true" customHeight="true" outlineLevel="0" collapsed="false">
      <c r="A154" s="199" t="s">
        <v>1625</v>
      </c>
      <c r="B154" s="199" t="s">
        <v>746</v>
      </c>
      <c r="C154" s="405" t="n">
        <v>261</v>
      </c>
      <c r="D154" s="406" t="n">
        <v>53</v>
      </c>
      <c r="E154" s="199" t="s">
        <v>422</v>
      </c>
      <c r="F154" s="199" t="s">
        <v>371</v>
      </c>
      <c r="G154" s="199" t="s">
        <v>372</v>
      </c>
      <c r="H154" s="199" t="s">
        <v>94</v>
      </c>
      <c r="I154" s="199" t="s">
        <v>94</v>
      </c>
      <c r="J154" s="199" t="s">
        <v>1559</v>
      </c>
      <c r="K154" s="199" t="s">
        <v>1435</v>
      </c>
      <c r="L154" s="407" t="n">
        <v>28780</v>
      </c>
      <c r="M154" s="407" t="n">
        <v>14970</v>
      </c>
      <c r="N154" s="408" t="n">
        <v>9.5</v>
      </c>
      <c r="O154" s="407" t="n">
        <v>13810</v>
      </c>
      <c r="P154" s="407" t="n">
        <v>12498</v>
      </c>
      <c r="Q154" s="234" t="n">
        <v>2023</v>
      </c>
      <c r="R154" s="234"/>
      <c r="S154" s="248" t="n">
        <v>45087</v>
      </c>
      <c r="T154" s="407" t="n">
        <f aca="false">Таблица18[[#This Row],[Вес нетто]]-Таблица18[[#This Row],[Зачетный вес]]</f>
        <v>1312</v>
      </c>
      <c r="U154" s="409" t="n">
        <f aca="false">Таблица18[[#This Row],[Отход]]/Таблица18[[#This Row],[Вес нетто]]</f>
        <v>0.0950036205648081</v>
      </c>
      <c r="V154" s="234" t="n">
        <f aca="false">MONTH(Таблица18[[#This Row],[Дата акта]])</f>
        <v>6</v>
      </c>
      <c r="W154" s="234" t="n">
        <v>10</v>
      </c>
      <c r="X154" s="248" t="n">
        <f aca="false">DATE(1900,Таблица18[[#This Row],[Месяц]],Таблица18[[#This Row],[Число]])</f>
        <v>162</v>
      </c>
      <c r="Y154" s="234"/>
      <c r="AF154" s="411"/>
      <c r="AG154" s="412"/>
    </row>
    <row r="155" s="410" customFormat="true" ht="15" hidden="true" customHeight="true" outlineLevel="0" collapsed="false">
      <c r="A155" s="199" t="s">
        <v>1626</v>
      </c>
      <c r="B155" s="199" t="s">
        <v>746</v>
      </c>
      <c r="C155" s="405" t="n">
        <v>262</v>
      </c>
      <c r="D155" s="406" t="n">
        <v>54</v>
      </c>
      <c r="E155" s="199" t="s">
        <v>422</v>
      </c>
      <c r="F155" s="199" t="s">
        <v>457</v>
      </c>
      <c r="G155" s="199" t="s">
        <v>366</v>
      </c>
      <c r="H155" s="199" t="s">
        <v>94</v>
      </c>
      <c r="I155" s="199" t="s">
        <v>94</v>
      </c>
      <c r="J155" s="199" t="s">
        <v>1516</v>
      </c>
      <c r="K155" s="199" t="s">
        <v>1435</v>
      </c>
      <c r="L155" s="407" t="n">
        <v>33860</v>
      </c>
      <c r="M155" s="407" t="n">
        <v>17410</v>
      </c>
      <c r="N155" s="408" t="n">
        <v>15.5</v>
      </c>
      <c r="O155" s="407" t="n">
        <v>16450</v>
      </c>
      <c r="P155" s="407" t="n">
        <v>13900.2</v>
      </c>
      <c r="Q155" s="234" t="n">
        <v>2023</v>
      </c>
      <c r="R155" s="234"/>
      <c r="S155" s="248" t="n">
        <v>45088</v>
      </c>
      <c r="T155" s="407" t="n">
        <f aca="false">Таблица18[[#This Row],[Вес нетто]]-Таблица18[[#This Row],[Зачетный вес]]</f>
        <v>2549.8</v>
      </c>
      <c r="U155" s="409" t="n">
        <f aca="false">Таблица18[[#This Row],[Отход]]/Таблица18[[#This Row],[Вес нетто]]</f>
        <v>0.155003039513678</v>
      </c>
      <c r="V155" s="234" t="n">
        <f aca="false">MONTH(Таблица18[[#This Row],[Дата акта]])</f>
        <v>6</v>
      </c>
      <c r="W155" s="234" t="n">
        <v>11</v>
      </c>
      <c r="X155" s="248" t="n">
        <f aca="false">DATE(1900,Таблица18[[#This Row],[Месяц]],Таблица18[[#This Row],[Число]])</f>
        <v>163</v>
      </c>
      <c r="Y155" s="234"/>
      <c r="AF155" s="411"/>
      <c r="AG155" s="412"/>
    </row>
    <row r="156" s="410" customFormat="true" ht="15" hidden="true" customHeight="true" outlineLevel="0" collapsed="false">
      <c r="A156" s="199" t="s">
        <v>1627</v>
      </c>
      <c r="B156" s="199" t="s">
        <v>417</v>
      </c>
      <c r="C156" s="405" t="n">
        <v>264</v>
      </c>
      <c r="D156" s="406" t="n">
        <v>55</v>
      </c>
      <c r="E156" s="199" t="s">
        <v>422</v>
      </c>
      <c r="F156" s="199" t="s">
        <v>1576</v>
      </c>
      <c r="G156" s="199" t="s">
        <v>1455</v>
      </c>
      <c r="H156" s="199" t="s">
        <v>94</v>
      </c>
      <c r="I156" s="199" t="s">
        <v>94</v>
      </c>
      <c r="J156" s="199" t="s">
        <v>1516</v>
      </c>
      <c r="K156" s="199" t="s">
        <v>1435</v>
      </c>
      <c r="L156" s="407" t="n">
        <v>28150</v>
      </c>
      <c r="M156" s="407" t="n">
        <v>14180</v>
      </c>
      <c r="N156" s="408" t="n">
        <v>15.5</v>
      </c>
      <c r="O156" s="407" t="n">
        <v>13970</v>
      </c>
      <c r="P156" s="407" t="n">
        <v>11804.6</v>
      </c>
      <c r="Q156" s="234" t="n">
        <v>2023</v>
      </c>
      <c r="R156" s="234"/>
      <c r="S156" s="248" t="n">
        <v>45088</v>
      </c>
      <c r="T156" s="407" t="n">
        <f aca="false">Таблица18[[#This Row],[Вес нетто]]-Таблица18[[#This Row],[Зачетный вес]]</f>
        <v>2165.4</v>
      </c>
      <c r="U156" s="409" t="n">
        <f aca="false">Таблица18[[#This Row],[Отход]]/Таблица18[[#This Row],[Вес нетто]]</f>
        <v>0.155003579098067</v>
      </c>
      <c r="V156" s="234" t="n">
        <f aca="false">MONTH(Таблица18[[#This Row],[Дата акта]])</f>
        <v>6</v>
      </c>
      <c r="W156" s="234" t="n">
        <v>11</v>
      </c>
      <c r="X156" s="248" t="n">
        <f aca="false">DATE(1900,Таблица18[[#This Row],[Месяц]],Таблица18[[#This Row],[Число]])</f>
        <v>163</v>
      </c>
      <c r="Y156" s="234"/>
      <c r="AF156" s="411"/>
      <c r="AG156" s="412"/>
    </row>
    <row r="157" s="410" customFormat="true" ht="15" hidden="true" customHeight="true" outlineLevel="0" collapsed="false">
      <c r="A157" s="199" t="s">
        <v>1628</v>
      </c>
      <c r="B157" s="199" t="s">
        <v>417</v>
      </c>
      <c r="C157" s="405" t="n">
        <v>265</v>
      </c>
      <c r="D157" s="406" t="n">
        <v>56</v>
      </c>
      <c r="E157" s="199" t="s">
        <v>422</v>
      </c>
      <c r="F157" s="199" t="s">
        <v>371</v>
      </c>
      <c r="G157" s="199" t="s">
        <v>372</v>
      </c>
      <c r="H157" s="199" t="s">
        <v>94</v>
      </c>
      <c r="I157" s="199" t="s">
        <v>94</v>
      </c>
      <c r="J157" s="199" t="s">
        <v>1516</v>
      </c>
      <c r="K157" s="199" t="s">
        <v>1435</v>
      </c>
      <c r="L157" s="407" t="n">
        <v>28900</v>
      </c>
      <c r="M157" s="407" t="n">
        <v>15010</v>
      </c>
      <c r="N157" s="408" t="n">
        <v>16.5</v>
      </c>
      <c r="O157" s="407" t="n">
        <v>13890</v>
      </c>
      <c r="P157" s="407" t="n">
        <v>11598.1</v>
      </c>
      <c r="Q157" s="234" t="n">
        <v>2023</v>
      </c>
      <c r="R157" s="234"/>
      <c r="S157" s="248" t="n">
        <v>45088</v>
      </c>
      <c r="T157" s="407" t="n">
        <f aca="false">Таблица18[[#This Row],[Вес нетто]]-Таблица18[[#This Row],[Зачетный вес]]</f>
        <v>2291.9</v>
      </c>
      <c r="U157" s="409" t="n">
        <f aca="false">Таблица18[[#This Row],[Отход]]/Таблица18[[#This Row],[Вес нетто]]</f>
        <v>0.165003599712023</v>
      </c>
      <c r="V157" s="234" t="n">
        <f aca="false">MONTH(Таблица18[[#This Row],[Дата акта]])</f>
        <v>6</v>
      </c>
      <c r="W157" s="234" t="n">
        <v>11</v>
      </c>
      <c r="X157" s="248" t="n">
        <f aca="false">DATE(1900,Таблица18[[#This Row],[Месяц]],Таблица18[[#This Row],[Число]])</f>
        <v>163</v>
      </c>
      <c r="Y157" s="234"/>
      <c r="AF157" s="411"/>
      <c r="AG157" s="412"/>
    </row>
    <row r="158" s="410" customFormat="true" ht="15" hidden="true" customHeight="true" outlineLevel="0" collapsed="false">
      <c r="A158" s="199" t="s">
        <v>1629</v>
      </c>
      <c r="B158" s="199" t="s">
        <v>417</v>
      </c>
      <c r="C158" s="405" t="n">
        <v>266</v>
      </c>
      <c r="D158" s="406" t="n">
        <v>57</v>
      </c>
      <c r="E158" s="199" t="s">
        <v>422</v>
      </c>
      <c r="F158" s="199" t="s">
        <v>1439</v>
      </c>
      <c r="G158" s="199" t="s">
        <v>1440</v>
      </c>
      <c r="H158" s="199" t="s">
        <v>94</v>
      </c>
      <c r="I158" s="199" t="s">
        <v>94</v>
      </c>
      <c r="J158" s="199" t="s">
        <v>1516</v>
      </c>
      <c r="K158" s="199" t="s">
        <v>1435</v>
      </c>
      <c r="L158" s="407" t="n">
        <v>27010</v>
      </c>
      <c r="M158" s="407" t="n">
        <v>13320</v>
      </c>
      <c r="N158" s="408" t="n">
        <v>15.5</v>
      </c>
      <c r="O158" s="407" t="n">
        <v>13690</v>
      </c>
      <c r="P158" s="407" t="n">
        <v>11568</v>
      </c>
      <c r="Q158" s="234" t="n">
        <v>2023</v>
      </c>
      <c r="R158" s="234"/>
      <c r="S158" s="248" t="n">
        <v>45088</v>
      </c>
      <c r="T158" s="407" t="n">
        <f aca="false">Таблица18[[#This Row],[Вес нетто]]-Таблица18[[#This Row],[Зачетный вес]]</f>
        <v>2122</v>
      </c>
      <c r="U158" s="409" t="n">
        <f aca="false">Таблица18[[#This Row],[Отход]]/Таблица18[[#This Row],[Вес нетто]]</f>
        <v>0.15500365230095</v>
      </c>
      <c r="V158" s="234" t="n">
        <f aca="false">MONTH(Таблица18[[#This Row],[Дата акта]])</f>
        <v>6</v>
      </c>
      <c r="W158" s="234" t="n">
        <v>11</v>
      </c>
      <c r="X158" s="248" t="n">
        <f aca="false">DATE(1900,Таблица18[[#This Row],[Месяц]],Таблица18[[#This Row],[Число]])</f>
        <v>163</v>
      </c>
      <c r="Y158" s="234"/>
      <c r="AF158" s="411"/>
      <c r="AG158" s="412"/>
    </row>
    <row r="159" s="410" customFormat="true" ht="15" hidden="true" customHeight="true" outlineLevel="0" collapsed="false">
      <c r="A159" s="199" t="s">
        <v>1630</v>
      </c>
      <c r="B159" s="199" t="s">
        <v>417</v>
      </c>
      <c r="C159" s="405" t="n">
        <v>268</v>
      </c>
      <c r="D159" s="406" t="n">
        <v>58</v>
      </c>
      <c r="E159" s="199" t="s">
        <v>422</v>
      </c>
      <c r="F159" s="199" t="s">
        <v>457</v>
      </c>
      <c r="G159" s="199" t="s">
        <v>366</v>
      </c>
      <c r="H159" s="199" t="s">
        <v>94</v>
      </c>
      <c r="I159" s="199" t="s">
        <v>94</v>
      </c>
      <c r="J159" s="199" t="s">
        <v>1516</v>
      </c>
      <c r="K159" s="199" t="s">
        <v>1435</v>
      </c>
      <c r="L159" s="407" t="n">
        <v>33400</v>
      </c>
      <c r="M159" s="407" t="n">
        <v>17400</v>
      </c>
      <c r="N159" s="408" t="n">
        <v>16.5</v>
      </c>
      <c r="O159" s="407" t="n">
        <v>16000</v>
      </c>
      <c r="P159" s="407" t="n">
        <v>13360</v>
      </c>
      <c r="Q159" s="234" t="n">
        <v>2023</v>
      </c>
      <c r="R159" s="234"/>
      <c r="S159" s="248" t="n">
        <v>45088</v>
      </c>
      <c r="T159" s="407" t="n">
        <f aca="false">Таблица18[[#This Row],[Вес нетто]]-Таблица18[[#This Row],[Зачетный вес]]</f>
        <v>2640</v>
      </c>
      <c r="U159" s="409" t="n">
        <f aca="false">Таблица18[[#This Row],[Отход]]/Таблица18[[#This Row],[Вес нетто]]</f>
        <v>0.165</v>
      </c>
      <c r="V159" s="234" t="n">
        <f aca="false">MONTH(Таблица18[[#This Row],[Дата акта]])</f>
        <v>6</v>
      </c>
      <c r="W159" s="234" t="n">
        <v>11</v>
      </c>
      <c r="X159" s="248" t="n">
        <f aca="false">DATE(1900,Таблица18[[#This Row],[Месяц]],Таблица18[[#This Row],[Число]])</f>
        <v>163</v>
      </c>
      <c r="Y159" s="234"/>
      <c r="AF159" s="411"/>
      <c r="AG159" s="412"/>
    </row>
    <row r="160" s="410" customFormat="true" ht="15" hidden="true" customHeight="true" outlineLevel="0" collapsed="false">
      <c r="A160" s="199" t="s">
        <v>1631</v>
      </c>
      <c r="B160" s="199" t="s">
        <v>417</v>
      </c>
      <c r="C160" s="405" t="n">
        <v>269</v>
      </c>
      <c r="D160" s="406" t="n">
        <v>59</v>
      </c>
      <c r="E160" s="199" t="s">
        <v>422</v>
      </c>
      <c r="F160" s="199" t="s">
        <v>1576</v>
      </c>
      <c r="G160" s="199" t="s">
        <v>1455</v>
      </c>
      <c r="H160" s="199" t="s">
        <v>94</v>
      </c>
      <c r="I160" s="199" t="s">
        <v>94</v>
      </c>
      <c r="J160" s="199" t="s">
        <v>1516</v>
      </c>
      <c r="K160" s="199" t="s">
        <v>1435</v>
      </c>
      <c r="L160" s="407" t="n">
        <v>28020</v>
      </c>
      <c r="M160" s="407" t="n">
        <v>14170</v>
      </c>
      <c r="N160" s="408" t="n">
        <v>16.5</v>
      </c>
      <c r="O160" s="407" t="n">
        <v>13850</v>
      </c>
      <c r="P160" s="407" t="n">
        <v>11564.7</v>
      </c>
      <c r="Q160" s="234" t="n">
        <v>2023</v>
      </c>
      <c r="R160" s="234"/>
      <c r="S160" s="248" t="n">
        <v>45088</v>
      </c>
      <c r="T160" s="407" t="n">
        <f aca="false">Таблица18[[#This Row],[Вес нетто]]-Таблица18[[#This Row],[Зачетный вес]]</f>
        <v>2285.3</v>
      </c>
      <c r="U160" s="409" t="n">
        <f aca="false">Таблица18[[#This Row],[Отход]]/Таблица18[[#This Row],[Вес нетто]]</f>
        <v>0.165003610108303</v>
      </c>
      <c r="V160" s="234" t="n">
        <f aca="false">MONTH(Таблица18[[#This Row],[Дата акта]])</f>
        <v>6</v>
      </c>
      <c r="W160" s="234" t="n">
        <v>11</v>
      </c>
      <c r="X160" s="248" t="n">
        <f aca="false">DATE(1900,Таблица18[[#This Row],[Месяц]],Таблица18[[#This Row],[Число]])</f>
        <v>163</v>
      </c>
      <c r="Y160" s="234"/>
      <c r="AF160" s="411"/>
      <c r="AG160" s="412"/>
    </row>
    <row r="161" s="410" customFormat="true" ht="15" hidden="true" customHeight="true" outlineLevel="0" collapsed="false">
      <c r="A161" s="199" t="s">
        <v>1632</v>
      </c>
      <c r="B161" s="199" t="s">
        <v>417</v>
      </c>
      <c r="C161" s="405" t="n">
        <v>272</v>
      </c>
      <c r="D161" s="406" t="n">
        <v>60</v>
      </c>
      <c r="E161" s="199" t="s">
        <v>422</v>
      </c>
      <c r="F161" s="199" t="s">
        <v>1439</v>
      </c>
      <c r="G161" s="199" t="s">
        <v>1440</v>
      </c>
      <c r="H161" s="199" t="s">
        <v>94</v>
      </c>
      <c r="I161" s="199" t="s">
        <v>94</v>
      </c>
      <c r="J161" s="199" t="s">
        <v>1516</v>
      </c>
      <c r="K161" s="199" t="s">
        <v>1435</v>
      </c>
      <c r="L161" s="407" t="n">
        <v>26960</v>
      </c>
      <c r="M161" s="407" t="n">
        <v>13300</v>
      </c>
      <c r="N161" s="408" t="n">
        <v>16.5</v>
      </c>
      <c r="O161" s="407" t="n">
        <v>13660</v>
      </c>
      <c r="P161" s="407" t="n">
        <v>11406.1</v>
      </c>
      <c r="Q161" s="234" t="n">
        <v>2023</v>
      </c>
      <c r="R161" s="234"/>
      <c r="S161" s="248" t="n">
        <v>45088</v>
      </c>
      <c r="T161" s="407" t="n">
        <f aca="false">Таблица18[[#This Row],[Вес нетто]]-Таблица18[[#This Row],[Зачетный вес]]</f>
        <v>2253.9</v>
      </c>
      <c r="U161" s="409" t="n">
        <f aca="false">Таблица18[[#This Row],[Отход]]/Таблица18[[#This Row],[Вес нетто]]</f>
        <v>0.165</v>
      </c>
      <c r="V161" s="234" t="n">
        <f aca="false">MONTH(Таблица18[[#This Row],[Дата акта]])</f>
        <v>6</v>
      </c>
      <c r="W161" s="234" t="n">
        <v>11</v>
      </c>
      <c r="X161" s="248" t="n">
        <f aca="false">DATE(1900,Таблица18[[#This Row],[Месяц]],Таблица18[[#This Row],[Число]])</f>
        <v>163</v>
      </c>
      <c r="Y161" s="234"/>
      <c r="AF161" s="411"/>
      <c r="AG161" s="412"/>
    </row>
    <row r="162" s="410" customFormat="true" ht="15" hidden="true" customHeight="true" outlineLevel="0" collapsed="false">
      <c r="A162" s="199" t="s">
        <v>1633</v>
      </c>
      <c r="B162" s="199" t="s">
        <v>417</v>
      </c>
      <c r="C162" s="405" t="n">
        <v>273</v>
      </c>
      <c r="D162" s="406" t="n">
        <v>61</v>
      </c>
      <c r="E162" s="199" t="s">
        <v>422</v>
      </c>
      <c r="F162" s="199" t="s">
        <v>371</v>
      </c>
      <c r="G162" s="199" t="s">
        <v>372</v>
      </c>
      <c r="H162" s="199" t="s">
        <v>94</v>
      </c>
      <c r="I162" s="199" t="s">
        <v>94</v>
      </c>
      <c r="J162" s="199" t="s">
        <v>1516</v>
      </c>
      <c r="K162" s="199" t="s">
        <v>1435</v>
      </c>
      <c r="L162" s="407" t="n">
        <v>28570</v>
      </c>
      <c r="M162" s="407" t="n">
        <v>14990</v>
      </c>
      <c r="N162" s="408" t="n">
        <v>17.5</v>
      </c>
      <c r="O162" s="407" t="n">
        <v>13580</v>
      </c>
      <c r="P162" s="407" t="n">
        <v>11203.5</v>
      </c>
      <c r="Q162" s="234" t="n">
        <v>2023</v>
      </c>
      <c r="R162" s="234"/>
      <c r="S162" s="248" t="n">
        <v>45088</v>
      </c>
      <c r="T162" s="407" t="n">
        <f aca="false">Таблица18[[#This Row],[Вес нетто]]-Таблица18[[#This Row],[Зачетный вес]]</f>
        <v>2376.5</v>
      </c>
      <c r="U162" s="409" t="n">
        <f aca="false">Таблица18[[#This Row],[Отход]]/Таблица18[[#This Row],[Вес нетто]]</f>
        <v>0.175</v>
      </c>
      <c r="V162" s="234" t="n">
        <f aca="false">MONTH(Таблица18[[#This Row],[Дата акта]])</f>
        <v>6</v>
      </c>
      <c r="W162" s="234" t="n">
        <v>11</v>
      </c>
      <c r="X162" s="248" t="n">
        <f aca="false">DATE(1900,Таблица18[[#This Row],[Месяц]],Таблица18[[#This Row],[Число]])</f>
        <v>163</v>
      </c>
      <c r="Y162" s="234"/>
      <c r="AF162" s="411"/>
      <c r="AG162" s="412"/>
    </row>
    <row r="163" s="410" customFormat="true" ht="15" hidden="true" customHeight="true" outlineLevel="0" collapsed="false">
      <c r="A163" s="199" t="s">
        <v>1634</v>
      </c>
      <c r="B163" s="199" t="s">
        <v>417</v>
      </c>
      <c r="C163" s="405" t="n">
        <v>274</v>
      </c>
      <c r="D163" s="406" t="n">
        <v>62</v>
      </c>
      <c r="E163" s="199" t="s">
        <v>422</v>
      </c>
      <c r="F163" s="199" t="s">
        <v>457</v>
      </c>
      <c r="G163" s="199" t="s">
        <v>366</v>
      </c>
      <c r="H163" s="199" t="s">
        <v>94</v>
      </c>
      <c r="I163" s="199" t="s">
        <v>94</v>
      </c>
      <c r="J163" s="199" t="s">
        <v>1516</v>
      </c>
      <c r="K163" s="199" t="s">
        <v>1435</v>
      </c>
      <c r="L163" s="407" t="n">
        <v>33410</v>
      </c>
      <c r="M163" s="407" t="n">
        <v>17390</v>
      </c>
      <c r="N163" s="408" t="n">
        <v>15.5</v>
      </c>
      <c r="O163" s="407" t="n">
        <v>16020</v>
      </c>
      <c r="P163" s="407" t="n">
        <v>13536.9</v>
      </c>
      <c r="Q163" s="234" t="n">
        <v>2023</v>
      </c>
      <c r="R163" s="234"/>
      <c r="S163" s="248" t="n">
        <v>45088</v>
      </c>
      <c r="T163" s="407" t="n">
        <f aca="false">Таблица18[[#This Row],[Вес нетто]]-Таблица18[[#This Row],[Зачетный вес]]</f>
        <v>2483.1</v>
      </c>
      <c r="U163" s="409" t="n">
        <f aca="false">Таблица18[[#This Row],[Отход]]/Таблица18[[#This Row],[Вес нетто]]</f>
        <v>0.155</v>
      </c>
      <c r="V163" s="234" t="n">
        <f aca="false">MONTH(Таблица18[[#This Row],[Дата акта]])</f>
        <v>6</v>
      </c>
      <c r="W163" s="234" t="n">
        <v>11</v>
      </c>
      <c r="X163" s="248" t="n">
        <f aca="false">DATE(1900,Таблица18[[#This Row],[Месяц]],Таблица18[[#This Row],[Число]])</f>
        <v>163</v>
      </c>
      <c r="Y163" s="234"/>
      <c r="AF163" s="411"/>
      <c r="AG163" s="412"/>
    </row>
    <row r="164" s="410" customFormat="true" ht="15" hidden="true" customHeight="true" outlineLevel="0" collapsed="false">
      <c r="A164" s="199" t="s">
        <v>1635</v>
      </c>
      <c r="B164" s="199" t="s">
        <v>746</v>
      </c>
      <c r="C164" s="405" t="n">
        <v>275</v>
      </c>
      <c r="D164" s="406" t="n">
        <v>63</v>
      </c>
      <c r="E164" s="199" t="s">
        <v>422</v>
      </c>
      <c r="F164" s="199" t="s">
        <v>1449</v>
      </c>
      <c r="G164" s="199" t="s">
        <v>704</v>
      </c>
      <c r="H164" s="199" t="s">
        <v>94</v>
      </c>
      <c r="I164" s="199" t="s">
        <v>94</v>
      </c>
      <c r="J164" s="199" t="s">
        <v>1516</v>
      </c>
      <c r="K164" s="199" t="s">
        <v>1435</v>
      </c>
      <c r="L164" s="407" t="n">
        <v>27960</v>
      </c>
      <c r="M164" s="407" t="n">
        <v>14560</v>
      </c>
      <c r="N164" s="408" t="n">
        <v>15.5</v>
      </c>
      <c r="O164" s="407" t="n">
        <v>13400</v>
      </c>
      <c r="P164" s="407" t="n">
        <v>11323</v>
      </c>
      <c r="Q164" s="234" t="n">
        <v>2023</v>
      </c>
      <c r="R164" s="234"/>
      <c r="S164" s="248" t="n">
        <v>45088</v>
      </c>
      <c r="T164" s="407" t="n">
        <f aca="false">Таблица18[[#This Row],[Вес нетто]]-Таблица18[[#This Row],[Зачетный вес]]</f>
        <v>2077</v>
      </c>
      <c r="U164" s="409" t="n">
        <f aca="false">Таблица18[[#This Row],[Отход]]/Таблица18[[#This Row],[Вес нетто]]</f>
        <v>0.155</v>
      </c>
      <c r="V164" s="234" t="n">
        <f aca="false">MONTH(Таблица18[[#This Row],[Дата акта]])</f>
        <v>6</v>
      </c>
      <c r="W164" s="234" t="n">
        <v>11</v>
      </c>
      <c r="X164" s="248" t="n">
        <f aca="false">DATE(1900,Таблица18[[#This Row],[Месяц]],Таблица18[[#This Row],[Число]])</f>
        <v>163</v>
      </c>
      <c r="Y164" s="234"/>
      <c r="AF164" s="411"/>
      <c r="AG164" s="412"/>
    </row>
    <row r="165" s="410" customFormat="true" ht="15" hidden="true" customHeight="true" outlineLevel="0" collapsed="false">
      <c r="A165" s="199" t="s">
        <v>1636</v>
      </c>
      <c r="B165" s="199" t="s">
        <v>746</v>
      </c>
      <c r="C165" s="405" t="n">
        <v>276</v>
      </c>
      <c r="D165" s="406" t="n">
        <v>64</v>
      </c>
      <c r="E165" s="199" t="s">
        <v>422</v>
      </c>
      <c r="F165" s="199" t="s">
        <v>380</v>
      </c>
      <c r="G165" s="199" t="s">
        <v>381</v>
      </c>
      <c r="H165" s="199" t="s">
        <v>94</v>
      </c>
      <c r="I165" s="199" t="s">
        <v>94</v>
      </c>
      <c r="J165" s="199" t="s">
        <v>1516</v>
      </c>
      <c r="K165" s="199" t="s">
        <v>1435</v>
      </c>
      <c r="L165" s="407" t="n">
        <v>27880</v>
      </c>
      <c r="M165" s="407" t="n">
        <v>14240</v>
      </c>
      <c r="N165" s="408" t="n">
        <v>14.5</v>
      </c>
      <c r="O165" s="407" t="n">
        <v>13640</v>
      </c>
      <c r="P165" s="407" t="n">
        <v>11662.2</v>
      </c>
      <c r="Q165" s="234" t="n">
        <v>2023</v>
      </c>
      <c r="R165" s="234"/>
      <c r="S165" s="248" t="n">
        <v>45088</v>
      </c>
      <c r="T165" s="407" t="n">
        <f aca="false">Таблица18[[#This Row],[Вес нетто]]-Таблица18[[#This Row],[Зачетный вес]]</f>
        <v>1977.8</v>
      </c>
      <c r="U165" s="409" t="n">
        <f aca="false">Таблица18[[#This Row],[Отход]]/Таблица18[[#This Row],[Вес нетто]]</f>
        <v>0.145</v>
      </c>
      <c r="V165" s="234" t="n">
        <f aca="false">MONTH(Таблица18[[#This Row],[Дата акта]])</f>
        <v>6</v>
      </c>
      <c r="W165" s="234" t="n">
        <v>11</v>
      </c>
      <c r="X165" s="248" t="n">
        <f aca="false">DATE(1900,Таблица18[[#This Row],[Месяц]],Таблица18[[#This Row],[Число]])</f>
        <v>163</v>
      </c>
      <c r="Y165" s="234"/>
      <c r="AF165" s="411"/>
      <c r="AG165" s="412"/>
    </row>
    <row r="166" s="410" customFormat="true" ht="15" hidden="true" customHeight="true" outlineLevel="0" collapsed="false">
      <c r="A166" s="199" t="s">
        <v>1637</v>
      </c>
      <c r="B166" s="199" t="s">
        <v>417</v>
      </c>
      <c r="C166" s="405" t="n">
        <v>277</v>
      </c>
      <c r="D166" s="406" t="n">
        <v>65</v>
      </c>
      <c r="E166" s="199" t="s">
        <v>422</v>
      </c>
      <c r="F166" s="199" t="s">
        <v>1548</v>
      </c>
      <c r="G166" s="199" t="s">
        <v>1549</v>
      </c>
      <c r="H166" s="199" t="s">
        <v>94</v>
      </c>
      <c r="I166" s="199" t="s">
        <v>94</v>
      </c>
      <c r="J166" s="199" t="s">
        <v>1516</v>
      </c>
      <c r="K166" s="199" t="s">
        <v>1435</v>
      </c>
      <c r="L166" s="407" t="n">
        <v>28500</v>
      </c>
      <c r="M166" s="407" t="n">
        <v>15030</v>
      </c>
      <c r="N166" s="408" t="n">
        <v>18.5</v>
      </c>
      <c r="O166" s="407" t="n">
        <v>13470</v>
      </c>
      <c r="P166" s="407" t="n">
        <v>10978</v>
      </c>
      <c r="Q166" s="234" t="n">
        <v>2023</v>
      </c>
      <c r="R166" s="234"/>
      <c r="S166" s="248" t="n">
        <v>45088</v>
      </c>
      <c r="T166" s="407" t="n">
        <f aca="false">Таблица18[[#This Row],[Вес нетто]]-Таблица18[[#This Row],[Зачетный вес]]</f>
        <v>2492</v>
      </c>
      <c r="U166" s="409" t="n">
        <f aca="false">Таблица18[[#This Row],[Отход]]/Таблица18[[#This Row],[Вес нетто]]</f>
        <v>0.185003711952487</v>
      </c>
      <c r="V166" s="234" t="n">
        <f aca="false">MONTH(Таблица18[[#This Row],[Дата акта]])</f>
        <v>6</v>
      </c>
      <c r="W166" s="234" t="n">
        <v>11</v>
      </c>
      <c r="X166" s="248" t="n">
        <f aca="false">DATE(1900,Таблица18[[#This Row],[Месяц]],Таблица18[[#This Row],[Число]])</f>
        <v>163</v>
      </c>
      <c r="Y166" s="234"/>
      <c r="AF166" s="411"/>
      <c r="AG166" s="412"/>
    </row>
    <row r="167" s="410" customFormat="true" ht="15" hidden="true" customHeight="true" outlineLevel="0" collapsed="false">
      <c r="A167" s="199" t="s">
        <v>1638</v>
      </c>
      <c r="B167" s="199" t="s">
        <v>746</v>
      </c>
      <c r="C167" s="405" t="n">
        <v>278</v>
      </c>
      <c r="D167" s="406" t="n">
        <v>66</v>
      </c>
      <c r="E167" s="199" t="s">
        <v>422</v>
      </c>
      <c r="F167" s="199" t="s">
        <v>359</v>
      </c>
      <c r="G167" s="199" t="s">
        <v>426</v>
      </c>
      <c r="H167" s="199" t="s">
        <v>94</v>
      </c>
      <c r="I167" s="199" t="s">
        <v>94</v>
      </c>
      <c r="J167" s="199" t="s">
        <v>1516</v>
      </c>
      <c r="K167" s="199" t="s">
        <v>1435</v>
      </c>
      <c r="L167" s="407" t="n">
        <v>27520</v>
      </c>
      <c r="M167" s="407" t="n">
        <v>13920</v>
      </c>
      <c r="N167" s="408" t="n">
        <v>14.5</v>
      </c>
      <c r="O167" s="407" t="n">
        <v>13600</v>
      </c>
      <c r="P167" s="407" t="n">
        <v>11628</v>
      </c>
      <c r="Q167" s="234" t="n">
        <v>2023</v>
      </c>
      <c r="R167" s="234"/>
      <c r="S167" s="248" t="n">
        <v>45088</v>
      </c>
      <c r="T167" s="407" t="n">
        <f aca="false">Таблица18[[#This Row],[Вес нетто]]-Таблица18[[#This Row],[Зачетный вес]]</f>
        <v>1972</v>
      </c>
      <c r="U167" s="409" t="n">
        <f aca="false">Таблица18[[#This Row],[Отход]]/Таблица18[[#This Row],[Вес нетто]]</f>
        <v>0.145</v>
      </c>
      <c r="V167" s="234" t="n">
        <f aca="false">MONTH(Таблица18[[#This Row],[Дата акта]])</f>
        <v>6</v>
      </c>
      <c r="W167" s="234" t="n">
        <v>11</v>
      </c>
      <c r="X167" s="248" t="n">
        <f aca="false">DATE(1900,Таблица18[[#This Row],[Месяц]],Таблица18[[#This Row],[Число]])</f>
        <v>163</v>
      </c>
      <c r="Y167" s="234"/>
      <c r="AF167" s="411"/>
      <c r="AG167" s="412"/>
    </row>
    <row r="168" s="410" customFormat="true" ht="15" hidden="true" customHeight="true" outlineLevel="0" collapsed="false">
      <c r="A168" s="199" t="s">
        <v>1639</v>
      </c>
      <c r="B168" s="199" t="s">
        <v>746</v>
      </c>
      <c r="C168" s="405" t="n">
        <v>279</v>
      </c>
      <c r="D168" s="406" t="n">
        <v>67</v>
      </c>
      <c r="E168" s="199" t="s">
        <v>422</v>
      </c>
      <c r="F168" s="199" t="s">
        <v>1449</v>
      </c>
      <c r="G168" s="199" t="s">
        <v>704</v>
      </c>
      <c r="H168" s="199" t="s">
        <v>94</v>
      </c>
      <c r="I168" s="199" t="s">
        <v>94</v>
      </c>
      <c r="J168" s="199" t="s">
        <v>1516</v>
      </c>
      <c r="K168" s="199" t="s">
        <v>1435</v>
      </c>
      <c r="L168" s="407" t="n">
        <v>28170</v>
      </c>
      <c r="M168" s="407" t="n">
        <v>14550</v>
      </c>
      <c r="N168" s="408" t="n">
        <v>12.5</v>
      </c>
      <c r="O168" s="407" t="n">
        <v>13620</v>
      </c>
      <c r="P168" s="407" t="n">
        <v>11917.5</v>
      </c>
      <c r="Q168" s="234" t="n">
        <v>2023</v>
      </c>
      <c r="R168" s="234"/>
      <c r="S168" s="248" t="n">
        <v>45088</v>
      </c>
      <c r="T168" s="407" t="n">
        <f aca="false">Таблица18[[#This Row],[Вес нетто]]-Таблица18[[#This Row],[Зачетный вес]]</f>
        <v>1702.5</v>
      </c>
      <c r="U168" s="409" t="n">
        <f aca="false">Таблица18[[#This Row],[Отход]]/Таблица18[[#This Row],[Вес нетто]]</f>
        <v>0.125</v>
      </c>
      <c r="V168" s="234" t="n">
        <f aca="false">MONTH(Таблица18[[#This Row],[Дата акта]])</f>
        <v>6</v>
      </c>
      <c r="W168" s="234" t="n">
        <v>11</v>
      </c>
      <c r="X168" s="248" t="n">
        <f aca="false">DATE(1900,Таблица18[[#This Row],[Месяц]],Таблица18[[#This Row],[Число]])</f>
        <v>163</v>
      </c>
      <c r="Y168" s="234"/>
      <c r="AF168" s="411"/>
      <c r="AG168" s="412"/>
    </row>
    <row r="169" s="410" customFormat="true" ht="15" hidden="true" customHeight="true" outlineLevel="0" collapsed="false">
      <c r="A169" s="199" t="s">
        <v>1640</v>
      </c>
      <c r="B169" s="199" t="s">
        <v>746</v>
      </c>
      <c r="C169" s="405" t="n">
        <v>280</v>
      </c>
      <c r="D169" s="406" t="n">
        <v>68</v>
      </c>
      <c r="E169" s="199" t="s">
        <v>422</v>
      </c>
      <c r="F169" s="199" t="s">
        <v>380</v>
      </c>
      <c r="G169" s="199" t="s">
        <v>381</v>
      </c>
      <c r="H169" s="199" t="s">
        <v>94</v>
      </c>
      <c r="I169" s="199" t="s">
        <v>94</v>
      </c>
      <c r="J169" s="199" t="s">
        <v>1516</v>
      </c>
      <c r="K169" s="199" t="s">
        <v>1435</v>
      </c>
      <c r="L169" s="407" t="n">
        <v>27880</v>
      </c>
      <c r="M169" s="407" t="n">
        <v>14220</v>
      </c>
      <c r="N169" s="408" t="n">
        <v>14.5</v>
      </c>
      <c r="O169" s="407" t="n">
        <v>13660</v>
      </c>
      <c r="P169" s="407" t="n">
        <v>11679.3</v>
      </c>
      <c r="Q169" s="234" t="n">
        <v>2023</v>
      </c>
      <c r="R169" s="234"/>
      <c r="S169" s="248" t="n">
        <v>45088</v>
      </c>
      <c r="T169" s="407" t="n">
        <f aca="false">Таблица18[[#This Row],[Вес нетто]]-Таблица18[[#This Row],[Зачетный вес]]</f>
        <v>1980.7</v>
      </c>
      <c r="U169" s="409" t="n">
        <f aca="false">Таблица18[[#This Row],[Отход]]/Таблица18[[#This Row],[Вес нетто]]</f>
        <v>0.145</v>
      </c>
      <c r="V169" s="234" t="n">
        <f aca="false">MONTH(Таблица18[[#This Row],[Дата акта]])</f>
        <v>6</v>
      </c>
      <c r="W169" s="234" t="n">
        <v>11</v>
      </c>
      <c r="X169" s="248" t="n">
        <f aca="false">DATE(1900,Таблица18[[#This Row],[Месяц]],Таблица18[[#This Row],[Число]])</f>
        <v>163</v>
      </c>
      <c r="Y169" s="234"/>
      <c r="AF169" s="411"/>
      <c r="AG169" s="412"/>
    </row>
    <row r="170" s="410" customFormat="true" ht="15" hidden="true" customHeight="true" outlineLevel="0" collapsed="false">
      <c r="A170" s="199" t="s">
        <v>1641</v>
      </c>
      <c r="B170" s="199" t="s">
        <v>746</v>
      </c>
      <c r="C170" s="405" t="n">
        <v>281</v>
      </c>
      <c r="D170" s="406" t="n">
        <v>69</v>
      </c>
      <c r="E170" s="199" t="s">
        <v>422</v>
      </c>
      <c r="F170" s="199" t="s">
        <v>1548</v>
      </c>
      <c r="G170" s="199" t="s">
        <v>1549</v>
      </c>
      <c r="H170" s="199" t="s">
        <v>94</v>
      </c>
      <c r="I170" s="199" t="s">
        <v>94</v>
      </c>
      <c r="J170" s="199" t="s">
        <v>1516</v>
      </c>
      <c r="K170" s="199" t="s">
        <v>1435</v>
      </c>
      <c r="L170" s="407" t="n">
        <v>28700</v>
      </c>
      <c r="M170" s="407" t="n">
        <v>15010</v>
      </c>
      <c r="N170" s="408" t="n">
        <v>10.5</v>
      </c>
      <c r="O170" s="407" t="n">
        <v>13690</v>
      </c>
      <c r="P170" s="407" t="n">
        <v>12252.5</v>
      </c>
      <c r="Q170" s="234" t="n">
        <v>2023</v>
      </c>
      <c r="R170" s="234"/>
      <c r="S170" s="248" t="n">
        <v>45088</v>
      </c>
      <c r="T170" s="407" t="n">
        <f aca="false">Таблица18[[#This Row],[Вес нетто]]-Таблица18[[#This Row],[Зачетный вес]]</f>
        <v>1437.5</v>
      </c>
      <c r="U170" s="409" t="n">
        <f aca="false">Таблица18[[#This Row],[Отход]]/Таблица18[[#This Row],[Вес нетто]]</f>
        <v>0.10500365230095</v>
      </c>
      <c r="V170" s="234" t="n">
        <f aca="false">MONTH(Таблица18[[#This Row],[Дата акта]])</f>
        <v>6</v>
      </c>
      <c r="W170" s="234" t="n">
        <v>11</v>
      </c>
      <c r="X170" s="248" t="n">
        <f aca="false">DATE(1900,Таблица18[[#This Row],[Месяц]],Таблица18[[#This Row],[Число]])</f>
        <v>163</v>
      </c>
      <c r="Y170" s="234"/>
      <c r="AF170" s="411"/>
      <c r="AG170" s="412"/>
    </row>
    <row r="171" s="410" customFormat="true" ht="15" hidden="true" customHeight="true" outlineLevel="0" collapsed="false">
      <c r="A171" s="199" t="s">
        <v>1642</v>
      </c>
      <c r="B171" s="199" t="s">
        <v>417</v>
      </c>
      <c r="C171" s="405" t="n">
        <v>283</v>
      </c>
      <c r="D171" s="406" t="n">
        <v>71</v>
      </c>
      <c r="E171" s="199" t="s">
        <v>422</v>
      </c>
      <c r="F171" s="199" t="s">
        <v>359</v>
      </c>
      <c r="G171" s="199" t="s">
        <v>426</v>
      </c>
      <c r="H171" s="199" t="s">
        <v>94</v>
      </c>
      <c r="I171" s="199" t="s">
        <v>94</v>
      </c>
      <c r="J171" s="199" t="s">
        <v>68</v>
      </c>
      <c r="K171" s="199" t="s">
        <v>1435</v>
      </c>
      <c r="L171" s="407" t="n">
        <v>27950</v>
      </c>
      <c r="M171" s="407" t="n">
        <v>13930</v>
      </c>
      <c r="N171" s="408" t="n">
        <v>22.5</v>
      </c>
      <c r="O171" s="407" t="n">
        <v>14020</v>
      </c>
      <c r="P171" s="407" t="n">
        <v>10865.5</v>
      </c>
      <c r="Q171" s="234" t="n">
        <v>2023</v>
      </c>
      <c r="R171" s="234"/>
      <c r="S171" s="248" t="n">
        <v>45088</v>
      </c>
      <c r="T171" s="407" t="n">
        <f aca="false">Таблица18[[#This Row],[Вес нетто]]-Таблица18[[#This Row],[Зачетный вес]]</f>
        <v>3154.5</v>
      </c>
      <c r="U171" s="409" t="n">
        <f aca="false">Таблица18[[#This Row],[Отход]]/Таблица18[[#This Row],[Вес нетто]]</f>
        <v>0.225</v>
      </c>
      <c r="V171" s="234" t="n">
        <f aca="false">MONTH(Таблица18[[#This Row],[Дата акта]])</f>
        <v>6</v>
      </c>
      <c r="W171" s="234" t="n">
        <v>11</v>
      </c>
      <c r="X171" s="248" t="n">
        <f aca="false">DATE(1900,Таблица18[[#This Row],[Месяц]],Таблица18[[#This Row],[Число]])</f>
        <v>163</v>
      </c>
      <c r="Y171" s="234"/>
      <c r="AF171" s="411"/>
      <c r="AG171" s="412"/>
    </row>
    <row r="172" s="410" customFormat="true" ht="15" hidden="true" customHeight="true" outlineLevel="0" collapsed="false">
      <c r="A172" s="199" t="s">
        <v>1643</v>
      </c>
      <c r="B172" s="199" t="s">
        <v>417</v>
      </c>
      <c r="C172" s="405" t="n">
        <v>284</v>
      </c>
      <c r="D172" s="406" t="n">
        <v>72</v>
      </c>
      <c r="E172" s="199" t="s">
        <v>422</v>
      </c>
      <c r="F172" s="199" t="s">
        <v>1449</v>
      </c>
      <c r="G172" s="199" t="s">
        <v>704</v>
      </c>
      <c r="H172" s="199" t="s">
        <v>94</v>
      </c>
      <c r="I172" s="199" t="s">
        <v>94</v>
      </c>
      <c r="J172" s="199" t="s">
        <v>68</v>
      </c>
      <c r="K172" s="199" t="s">
        <v>1435</v>
      </c>
      <c r="L172" s="407" t="n">
        <v>28310</v>
      </c>
      <c r="M172" s="407" t="n">
        <v>14550</v>
      </c>
      <c r="N172" s="408" t="n">
        <v>22.5</v>
      </c>
      <c r="O172" s="407" t="n">
        <v>13760</v>
      </c>
      <c r="P172" s="407" t="n">
        <v>10664</v>
      </c>
      <c r="Q172" s="234" t="n">
        <v>2023</v>
      </c>
      <c r="R172" s="234"/>
      <c r="S172" s="248" t="n">
        <v>45088</v>
      </c>
      <c r="T172" s="407" t="n">
        <f aca="false">Таблица18[[#This Row],[Вес нетто]]-Таблица18[[#This Row],[Зачетный вес]]</f>
        <v>3096</v>
      </c>
      <c r="U172" s="409" t="n">
        <f aca="false">Таблица18[[#This Row],[Отход]]/Таблица18[[#This Row],[Вес нетто]]</f>
        <v>0.225</v>
      </c>
      <c r="V172" s="234" t="n">
        <f aca="false">MONTH(Таблица18[[#This Row],[Дата акта]])</f>
        <v>6</v>
      </c>
      <c r="W172" s="234" t="n">
        <v>11</v>
      </c>
      <c r="X172" s="248" t="n">
        <f aca="false">DATE(1900,Таблица18[[#This Row],[Месяц]],Таблица18[[#This Row],[Число]])</f>
        <v>163</v>
      </c>
      <c r="Y172" s="234"/>
      <c r="AF172" s="411"/>
      <c r="AG172" s="412"/>
    </row>
    <row r="173" s="410" customFormat="true" ht="15" hidden="true" customHeight="true" outlineLevel="0" collapsed="false">
      <c r="A173" s="199" t="s">
        <v>1644</v>
      </c>
      <c r="B173" s="199" t="s">
        <v>417</v>
      </c>
      <c r="C173" s="405" t="n">
        <v>286</v>
      </c>
      <c r="D173" s="406" t="n">
        <v>74</v>
      </c>
      <c r="E173" s="199" t="s">
        <v>422</v>
      </c>
      <c r="F173" s="199" t="s">
        <v>1548</v>
      </c>
      <c r="G173" s="199" t="s">
        <v>1549</v>
      </c>
      <c r="H173" s="199" t="s">
        <v>94</v>
      </c>
      <c r="I173" s="199" t="s">
        <v>94</v>
      </c>
      <c r="J173" s="199" t="s">
        <v>68</v>
      </c>
      <c r="K173" s="199" t="s">
        <v>1435</v>
      </c>
      <c r="L173" s="407" t="n">
        <v>28730</v>
      </c>
      <c r="M173" s="407" t="n">
        <v>15010</v>
      </c>
      <c r="N173" s="408" t="n">
        <v>22.5</v>
      </c>
      <c r="O173" s="407" t="n">
        <v>13720</v>
      </c>
      <c r="P173" s="407" t="n">
        <v>10633</v>
      </c>
      <c r="Q173" s="234" t="n">
        <v>2023</v>
      </c>
      <c r="R173" s="234"/>
      <c r="S173" s="248" t="n">
        <v>45088</v>
      </c>
      <c r="T173" s="407" t="n">
        <f aca="false">Таблица18[[#This Row],[Вес нетто]]-Таблица18[[#This Row],[Зачетный вес]]</f>
        <v>3087</v>
      </c>
      <c r="U173" s="409" t="n">
        <f aca="false">Таблица18[[#This Row],[Отход]]/Таблица18[[#This Row],[Вес нетто]]</f>
        <v>0.225</v>
      </c>
      <c r="V173" s="234" t="n">
        <f aca="false">MONTH(Таблица18[[#This Row],[Дата акта]])</f>
        <v>6</v>
      </c>
      <c r="W173" s="234" t="n">
        <v>11</v>
      </c>
      <c r="X173" s="248" t="n">
        <f aca="false">DATE(1900,Таблица18[[#This Row],[Месяц]],Таблица18[[#This Row],[Число]])</f>
        <v>163</v>
      </c>
      <c r="Y173" s="234"/>
      <c r="AF173" s="411"/>
      <c r="AG173" s="412"/>
    </row>
    <row r="174" s="410" customFormat="true" ht="15" hidden="true" customHeight="true" outlineLevel="0" collapsed="false">
      <c r="A174" s="199" t="s">
        <v>1645</v>
      </c>
      <c r="B174" s="199" t="s">
        <v>417</v>
      </c>
      <c r="C174" s="405" t="n">
        <v>288</v>
      </c>
      <c r="D174" s="406" t="n">
        <v>76</v>
      </c>
      <c r="E174" s="199" t="s">
        <v>422</v>
      </c>
      <c r="F174" s="199" t="s">
        <v>359</v>
      </c>
      <c r="G174" s="199" t="s">
        <v>426</v>
      </c>
      <c r="H174" s="199" t="s">
        <v>94</v>
      </c>
      <c r="I174" s="199" t="s">
        <v>94</v>
      </c>
      <c r="J174" s="199" t="s">
        <v>68</v>
      </c>
      <c r="K174" s="199" t="s">
        <v>1435</v>
      </c>
      <c r="L174" s="407" t="n">
        <v>27530</v>
      </c>
      <c r="M174" s="407" t="n">
        <v>14090</v>
      </c>
      <c r="N174" s="408" t="n">
        <v>23.5</v>
      </c>
      <c r="O174" s="407" t="n">
        <v>13440</v>
      </c>
      <c r="P174" s="407" t="n">
        <v>10281.6</v>
      </c>
      <c r="Q174" s="234" t="n">
        <v>2023</v>
      </c>
      <c r="R174" s="234"/>
      <c r="S174" s="248" t="n">
        <v>45089</v>
      </c>
      <c r="T174" s="407" t="n">
        <f aca="false">Таблица18[[#This Row],[Вес нетто]]-Таблица18[[#This Row],[Зачетный вес]]</f>
        <v>3158.4</v>
      </c>
      <c r="U174" s="409" t="n">
        <f aca="false">Таблица18[[#This Row],[Отход]]/Таблица18[[#This Row],[Вес нетто]]</f>
        <v>0.235</v>
      </c>
      <c r="V174" s="234" t="n">
        <f aca="false">MONTH(Таблица18[[#This Row],[Дата акта]])</f>
        <v>6</v>
      </c>
      <c r="W174" s="234" t="n">
        <v>12</v>
      </c>
      <c r="X174" s="248" t="n">
        <f aca="false">DATE(1900,Таблица18[[#This Row],[Месяц]],Таблица18[[#This Row],[Число]])</f>
        <v>164</v>
      </c>
      <c r="Y174" s="234"/>
      <c r="AF174" s="411"/>
      <c r="AG174" s="412"/>
    </row>
    <row r="175" s="410" customFormat="true" ht="15" hidden="true" customHeight="true" outlineLevel="0" collapsed="false">
      <c r="A175" s="199" t="s">
        <v>1646</v>
      </c>
      <c r="B175" s="199" t="s">
        <v>417</v>
      </c>
      <c r="C175" s="405" t="n">
        <v>289</v>
      </c>
      <c r="D175" s="406" t="n">
        <v>77</v>
      </c>
      <c r="E175" s="199" t="s">
        <v>422</v>
      </c>
      <c r="F175" s="199" t="s">
        <v>1449</v>
      </c>
      <c r="G175" s="199" t="s">
        <v>704</v>
      </c>
      <c r="H175" s="199" t="s">
        <v>94</v>
      </c>
      <c r="I175" s="199" t="s">
        <v>94</v>
      </c>
      <c r="J175" s="199" t="s">
        <v>68</v>
      </c>
      <c r="K175" s="199" t="s">
        <v>1435</v>
      </c>
      <c r="L175" s="407" t="n">
        <v>28130</v>
      </c>
      <c r="M175" s="407" t="n">
        <v>14550</v>
      </c>
      <c r="N175" s="408" t="n">
        <v>20.5</v>
      </c>
      <c r="O175" s="407" t="n">
        <v>13580</v>
      </c>
      <c r="P175" s="407" t="n">
        <v>10796.1</v>
      </c>
      <c r="Q175" s="234" t="n">
        <v>2023</v>
      </c>
      <c r="R175" s="234"/>
      <c r="S175" s="248" t="n">
        <v>45089</v>
      </c>
      <c r="T175" s="407" t="n">
        <f aca="false">Таблица18[[#This Row],[Вес нетто]]-Таблица18[[#This Row],[Зачетный вес]]</f>
        <v>2783.9</v>
      </c>
      <c r="U175" s="409" t="n">
        <f aca="false">Таблица18[[#This Row],[Отход]]/Таблица18[[#This Row],[Вес нетто]]</f>
        <v>0.205</v>
      </c>
      <c r="V175" s="234" t="n">
        <f aca="false">MONTH(Таблица18[[#This Row],[Дата акта]])</f>
        <v>6</v>
      </c>
      <c r="W175" s="234" t="n">
        <v>12</v>
      </c>
      <c r="X175" s="248" t="n">
        <f aca="false">DATE(1900,Таблица18[[#This Row],[Месяц]],Таблица18[[#This Row],[Число]])</f>
        <v>164</v>
      </c>
      <c r="Y175" s="234"/>
      <c r="AF175" s="411"/>
      <c r="AG175" s="412"/>
    </row>
    <row r="176" s="410" customFormat="true" ht="15" hidden="true" customHeight="true" outlineLevel="0" collapsed="false">
      <c r="A176" s="199" t="s">
        <v>1647</v>
      </c>
      <c r="B176" s="199" t="s">
        <v>417</v>
      </c>
      <c r="C176" s="405" t="n">
        <v>290</v>
      </c>
      <c r="D176" s="406" t="n">
        <v>75</v>
      </c>
      <c r="E176" s="199" t="s">
        <v>422</v>
      </c>
      <c r="F176" s="199" t="s">
        <v>380</v>
      </c>
      <c r="G176" s="199" t="s">
        <v>381</v>
      </c>
      <c r="H176" s="199" t="s">
        <v>94</v>
      </c>
      <c r="I176" s="199" t="s">
        <v>94</v>
      </c>
      <c r="J176" s="199" t="s">
        <v>68</v>
      </c>
      <c r="K176" s="199" t="s">
        <v>1435</v>
      </c>
      <c r="L176" s="407" t="n">
        <v>27770</v>
      </c>
      <c r="M176" s="407" t="n">
        <v>14240</v>
      </c>
      <c r="N176" s="408" t="n">
        <v>19.5</v>
      </c>
      <c r="O176" s="407" t="n">
        <v>13530</v>
      </c>
      <c r="P176" s="407" t="n">
        <v>10891.6</v>
      </c>
      <c r="Q176" s="234" t="n">
        <v>2023</v>
      </c>
      <c r="R176" s="234"/>
      <c r="S176" s="248" t="n">
        <v>45088</v>
      </c>
      <c r="T176" s="407" t="n">
        <f aca="false">Таблица18[[#This Row],[Вес нетто]]-Таблица18[[#This Row],[Зачетный вес]]</f>
        <v>2638.4</v>
      </c>
      <c r="U176" s="409" t="n">
        <f aca="false">Таблица18[[#This Row],[Отход]]/Таблица18[[#This Row],[Вес нетто]]</f>
        <v>0.1950036954915</v>
      </c>
      <c r="V176" s="234" t="n">
        <f aca="false">MONTH(Таблица18[[#This Row],[Дата акта]])</f>
        <v>6</v>
      </c>
      <c r="W176" s="234" t="n">
        <v>11</v>
      </c>
      <c r="X176" s="248" t="n">
        <f aca="false">DATE(1900,Таблица18[[#This Row],[Месяц]],Таблица18[[#This Row],[Число]])</f>
        <v>163</v>
      </c>
      <c r="Y176" s="234"/>
      <c r="AF176" s="411"/>
      <c r="AG176" s="412"/>
    </row>
    <row r="177" s="410" customFormat="true" ht="15" hidden="true" customHeight="true" outlineLevel="0" collapsed="false">
      <c r="A177" s="199" t="s">
        <v>1648</v>
      </c>
      <c r="B177" s="199" t="s">
        <v>417</v>
      </c>
      <c r="C177" s="405" t="n">
        <v>291</v>
      </c>
      <c r="D177" s="406" t="n">
        <v>78</v>
      </c>
      <c r="E177" s="199" t="s">
        <v>422</v>
      </c>
      <c r="F177" s="199" t="s">
        <v>1548</v>
      </c>
      <c r="G177" s="199" t="s">
        <v>1549</v>
      </c>
      <c r="H177" s="199" t="s">
        <v>94</v>
      </c>
      <c r="I177" s="199" t="s">
        <v>94</v>
      </c>
      <c r="J177" s="199" t="s">
        <v>68</v>
      </c>
      <c r="K177" s="199" t="s">
        <v>1435</v>
      </c>
      <c r="L177" s="407" t="n">
        <v>28420</v>
      </c>
      <c r="M177" s="407" t="n">
        <v>15000</v>
      </c>
      <c r="N177" s="408" t="n">
        <v>22.5</v>
      </c>
      <c r="O177" s="407" t="n">
        <v>13420</v>
      </c>
      <c r="P177" s="407" t="n">
        <v>10400.5</v>
      </c>
      <c r="Q177" s="234" t="n">
        <v>2023</v>
      </c>
      <c r="R177" s="234"/>
      <c r="S177" s="248" t="n">
        <v>45089</v>
      </c>
      <c r="T177" s="407" t="n">
        <f aca="false">Таблица18[[#This Row],[Вес нетто]]-Таблица18[[#This Row],[Зачетный вес]]</f>
        <v>3019.5</v>
      </c>
      <c r="U177" s="409" t="n">
        <f aca="false">Таблица18[[#This Row],[Отход]]/Таблица18[[#This Row],[Вес нетто]]</f>
        <v>0.225</v>
      </c>
      <c r="V177" s="234" t="n">
        <f aca="false">MONTH(Таблица18[[#This Row],[Дата акта]])</f>
        <v>6</v>
      </c>
      <c r="W177" s="234" t="n">
        <v>12</v>
      </c>
      <c r="X177" s="248" t="n">
        <f aca="false">DATE(1900,Таблица18[[#This Row],[Месяц]],Таблица18[[#This Row],[Число]])</f>
        <v>164</v>
      </c>
      <c r="Y177" s="234"/>
      <c r="AF177" s="411"/>
      <c r="AG177" s="412"/>
    </row>
    <row r="178" s="410" customFormat="true" ht="15" hidden="true" customHeight="true" outlineLevel="0" collapsed="false">
      <c r="A178" s="199" t="s">
        <v>1649</v>
      </c>
      <c r="B178" s="199" t="s">
        <v>417</v>
      </c>
      <c r="C178" s="405" t="n">
        <v>292</v>
      </c>
      <c r="D178" s="406" t="n">
        <v>79</v>
      </c>
      <c r="E178" s="199" t="s">
        <v>422</v>
      </c>
      <c r="F178" s="199" t="s">
        <v>380</v>
      </c>
      <c r="G178" s="199" t="s">
        <v>381</v>
      </c>
      <c r="H178" s="199" t="s">
        <v>94</v>
      </c>
      <c r="I178" s="199" t="s">
        <v>94</v>
      </c>
      <c r="J178" s="199" t="s">
        <v>68</v>
      </c>
      <c r="K178" s="199" t="s">
        <v>1435</v>
      </c>
      <c r="L178" s="407" t="n">
        <v>27890</v>
      </c>
      <c r="M178" s="407" t="n">
        <v>14290</v>
      </c>
      <c r="N178" s="408" t="n">
        <v>22.5</v>
      </c>
      <c r="O178" s="407" t="n">
        <v>13600</v>
      </c>
      <c r="P178" s="407" t="n">
        <v>10540</v>
      </c>
      <c r="Q178" s="234" t="n">
        <v>2023</v>
      </c>
      <c r="R178" s="234"/>
      <c r="S178" s="248" t="n">
        <v>45089</v>
      </c>
      <c r="T178" s="407" t="n">
        <f aca="false">Таблица18[[#This Row],[Вес нетто]]-Таблица18[[#This Row],[Зачетный вес]]</f>
        <v>3060</v>
      </c>
      <c r="U178" s="409" t="n">
        <f aca="false">Таблица18[[#This Row],[Отход]]/Таблица18[[#This Row],[Вес нетто]]</f>
        <v>0.225</v>
      </c>
      <c r="V178" s="234" t="n">
        <f aca="false">MONTH(Таблица18[[#This Row],[Дата акта]])</f>
        <v>6</v>
      </c>
      <c r="W178" s="234" t="n">
        <v>12</v>
      </c>
      <c r="X178" s="248" t="n">
        <f aca="false">DATE(1900,Таблица18[[#This Row],[Месяц]],Таблица18[[#This Row],[Число]])</f>
        <v>164</v>
      </c>
      <c r="Y178" s="234"/>
      <c r="AF178" s="411"/>
      <c r="AG178" s="412"/>
    </row>
    <row r="179" s="410" customFormat="true" ht="15" hidden="true" customHeight="true" outlineLevel="0" collapsed="false">
      <c r="A179" s="199" t="s">
        <v>1650</v>
      </c>
      <c r="B179" s="199" t="s">
        <v>417</v>
      </c>
      <c r="C179" s="405" t="n">
        <v>293</v>
      </c>
      <c r="D179" s="406" t="n">
        <v>80</v>
      </c>
      <c r="E179" s="199" t="s">
        <v>422</v>
      </c>
      <c r="F179" s="199" t="s">
        <v>359</v>
      </c>
      <c r="G179" s="199" t="s">
        <v>426</v>
      </c>
      <c r="H179" s="199" t="s">
        <v>94</v>
      </c>
      <c r="I179" s="199" t="s">
        <v>94</v>
      </c>
      <c r="J179" s="199" t="s">
        <v>68</v>
      </c>
      <c r="K179" s="199" t="s">
        <v>1435</v>
      </c>
      <c r="L179" s="407" t="n">
        <v>27670</v>
      </c>
      <c r="M179" s="407" t="n">
        <v>14120</v>
      </c>
      <c r="N179" s="408" t="n">
        <v>21.5</v>
      </c>
      <c r="O179" s="407" t="n">
        <v>13550</v>
      </c>
      <c r="P179" s="407" t="n">
        <v>10636.7</v>
      </c>
      <c r="Q179" s="234" t="n">
        <v>2023</v>
      </c>
      <c r="R179" s="234"/>
      <c r="S179" s="248" t="n">
        <v>45089</v>
      </c>
      <c r="T179" s="407" t="n">
        <f aca="false">Таблица18[[#This Row],[Вес нетто]]-Таблица18[[#This Row],[Зачетный вес]]</f>
        <v>2913.3</v>
      </c>
      <c r="U179" s="409" t="n">
        <f aca="false">Таблица18[[#This Row],[Отход]]/Таблица18[[#This Row],[Вес нетто]]</f>
        <v>0.2150036900369</v>
      </c>
      <c r="V179" s="234" t="n">
        <f aca="false">MONTH(Таблица18[[#This Row],[Дата акта]])</f>
        <v>6</v>
      </c>
      <c r="W179" s="234" t="n">
        <v>12</v>
      </c>
      <c r="X179" s="248" t="n">
        <f aca="false">DATE(1900,Таблица18[[#This Row],[Месяц]],Таблица18[[#This Row],[Число]])</f>
        <v>164</v>
      </c>
      <c r="Y179" s="234"/>
      <c r="AF179" s="411"/>
      <c r="AG179" s="412"/>
    </row>
    <row r="180" s="410" customFormat="true" ht="15" hidden="true" customHeight="true" outlineLevel="0" collapsed="false">
      <c r="A180" s="199" t="s">
        <v>1651</v>
      </c>
      <c r="B180" s="199" t="s">
        <v>417</v>
      </c>
      <c r="C180" s="405" t="n">
        <v>294</v>
      </c>
      <c r="D180" s="406" t="n">
        <v>81</v>
      </c>
      <c r="E180" s="199" t="s">
        <v>422</v>
      </c>
      <c r="F180" s="199" t="s">
        <v>457</v>
      </c>
      <c r="G180" s="199" t="s">
        <v>366</v>
      </c>
      <c r="H180" s="199" t="s">
        <v>94</v>
      </c>
      <c r="I180" s="199" t="s">
        <v>94</v>
      </c>
      <c r="J180" s="199" t="s">
        <v>68</v>
      </c>
      <c r="K180" s="199" t="s">
        <v>1435</v>
      </c>
      <c r="L180" s="407" t="n">
        <v>33680</v>
      </c>
      <c r="M180" s="407" t="n">
        <v>17450</v>
      </c>
      <c r="N180" s="408" t="n">
        <v>20.5</v>
      </c>
      <c r="O180" s="407" t="n">
        <v>16230</v>
      </c>
      <c r="P180" s="407" t="n">
        <v>12902.8</v>
      </c>
      <c r="Q180" s="234" t="n">
        <v>2023</v>
      </c>
      <c r="R180" s="234"/>
      <c r="S180" s="248" t="n">
        <v>45089</v>
      </c>
      <c r="T180" s="407" t="n">
        <f aca="false">Таблица18[[#This Row],[Вес нетто]]-Таблица18[[#This Row],[Зачетный вес]]</f>
        <v>3327.2</v>
      </c>
      <c r="U180" s="409" t="n">
        <f aca="false">Таблица18[[#This Row],[Отход]]/Таблица18[[#This Row],[Вес нетто]]</f>
        <v>0.205003080714726</v>
      </c>
      <c r="V180" s="234" t="n">
        <f aca="false">MONTH(Таблица18[[#This Row],[Дата акта]])</f>
        <v>6</v>
      </c>
      <c r="W180" s="234" t="n">
        <v>12</v>
      </c>
      <c r="X180" s="248" t="n">
        <f aca="false">DATE(1900,Таблица18[[#This Row],[Месяц]],Таблица18[[#This Row],[Число]])</f>
        <v>164</v>
      </c>
      <c r="Y180" s="234"/>
      <c r="AF180" s="411"/>
      <c r="AG180" s="412"/>
    </row>
    <row r="181" s="410" customFormat="true" ht="15" hidden="true" customHeight="true" outlineLevel="0" collapsed="false">
      <c r="A181" s="199" t="s">
        <v>1652</v>
      </c>
      <c r="B181" s="199" t="s">
        <v>417</v>
      </c>
      <c r="C181" s="405" t="n">
        <v>295</v>
      </c>
      <c r="D181" s="406" t="n">
        <v>82</v>
      </c>
      <c r="E181" s="199" t="s">
        <v>422</v>
      </c>
      <c r="F181" s="199" t="s">
        <v>1523</v>
      </c>
      <c r="G181" s="199" t="s">
        <v>1447</v>
      </c>
      <c r="H181" s="199" t="s">
        <v>94</v>
      </c>
      <c r="I181" s="199" t="s">
        <v>94</v>
      </c>
      <c r="J181" s="199" t="s">
        <v>68</v>
      </c>
      <c r="K181" s="199" t="s">
        <v>1435</v>
      </c>
      <c r="L181" s="407" t="n">
        <v>28420</v>
      </c>
      <c r="M181" s="407" t="n">
        <v>14740</v>
      </c>
      <c r="N181" s="408" t="n">
        <v>22.5</v>
      </c>
      <c r="O181" s="407" t="n">
        <v>13680</v>
      </c>
      <c r="P181" s="407" t="n">
        <v>10602</v>
      </c>
      <c r="Q181" s="234" t="n">
        <v>2023</v>
      </c>
      <c r="R181" s="234"/>
      <c r="S181" s="248" t="n">
        <v>45089</v>
      </c>
      <c r="T181" s="407" t="n">
        <f aca="false">Таблица18[[#This Row],[Вес нетто]]-Таблица18[[#This Row],[Зачетный вес]]</f>
        <v>3078</v>
      </c>
      <c r="U181" s="409" t="n">
        <f aca="false">Таблица18[[#This Row],[Отход]]/Таблица18[[#This Row],[Вес нетто]]</f>
        <v>0.225</v>
      </c>
      <c r="V181" s="234" t="n">
        <f aca="false">MONTH(Таблица18[[#This Row],[Дата акта]])</f>
        <v>6</v>
      </c>
      <c r="W181" s="234" t="n">
        <v>12</v>
      </c>
      <c r="X181" s="248" t="n">
        <f aca="false">DATE(1900,Таблица18[[#This Row],[Месяц]],Таблица18[[#This Row],[Число]])</f>
        <v>164</v>
      </c>
      <c r="Y181" s="234"/>
      <c r="AF181" s="411"/>
      <c r="AG181" s="412"/>
    </row>
    <row r="182" s="410" customFormat="true" ht="15" hidden="true" customHeight="true" outlineLevel="0" collapsed="false">
      <c r="A182" s="199" t="s">
        <v>1653</v>
      </c>
      <c r="B182" s="199" t="s">
        <v>417</v>
      </c>
      <c r="C182" s="405" t="n">
        <v>296</v>
      </c>
      <c r="D182" s="406" t="n">
        <v>83</v>
      </c>
      <c r="E182" s="199" t="s">
        <v>422</v>
      </c>
      <c r="F182" s="199" t="s">
        <v>1433</v>
      </c>
      <c r="G182" s="199" t="s">
        <v>377</v>
      </c>
      <c r="H182" s="199" t="s">
        <v>94</v>
      </c>
      <c r="I182" s="199" t="s">
        <v>94</v>
      </c>
      <c r="J182" s="199" t="s">
        <v>68</v>
      </c>
      <c r="K182" s="199" t="s">
        <v>1435</v>
      </c>
      <c r="L182" s="407" t="n">
        <v>28290</v>
      </c>
      <c r="M182" s="234"/>
      <c r="N182" s="408" t="n">
        <v>22.5</v>
      </c>
      <c r="O182" s="407" t="n">
        <v>13580</v>
      </c>
      <c r="P182" s="407" t="n">
        <v>10524.5</v>
      </c>
      <c r="Q182" s="234" t="n">
        <v>2023</v>
      </c>
      <c r="R182" s="234"/>
      <c r="S182" s="248" t="n">
        <v>45089</v>
      </c>
      <c r="T182" s="407" t="n">
        <f aca="false">Таблица18[[#This Row],[Вес нетто]]-Таблица18[[#This Row],[Зачетный вес]]</f>
        <v>3055.5</v>
      </c>
      <c r="U182" s="409" t="n">
        <f aca="false">Таблица18[[#This Row],[Отход]]/Таблица18[[#This Row],[Вес нетто]]</f>
        <v>0.225</v>
      </c>
      <c r="V182" s="234" t="n">
        <f aca="false">MONTH(Таблица18[[#This Row],[Дата акта]])</f>
        <v>6</v>
      </c>
      <c r="W182" s="234" t="n">
        <v>12</v>
      </c>
      <c r="X182" s="248" t="n">
        <f aca="false">DATE(1900,Таблица18[[#This Row],[Месяц]],Таблица18[[#This Row],[Число]])</f>
        <v>164</v>
      </c>
      <c r="Y182" s="234"/>
      <c r="AF182" s="411"/>
      <c r="AG182" s="412"/>
    </row>
    <row r="183" s="410" customFormat="true" ht="15" hidden="true" customHeight="true" outlineLevel="0" collapsed="false">
      <c r="A183" s="199" t="s">
        <v>1654</v>
      </c>
      <c r="B183" s="199" t="s">
        <v>417</v>
      </c>
      <c r="C183" s="405" t="n">
        <v>301</v>
      </c>
      <c r="D183" s="406" t="n">
        <v>84</v>
      </c>
      <c r="E183" s="199" t="s">
        <v>422</v>
      </c>
      <c r="F183" s="199" t="s">
        <v>380</v>
      </c>
      <c r="G183" s="199" t="s">
        <v>381</v>
      </c>
      <c r="H183" s="199" t="s">
        <v>94</v>
      </c>
      <c r="I183" s="199" t="s">
        <v>94</v>
      </c>
      <c r="J183" s="199" t="s">
        <v>68</v>
      </c>
      <c r="K183" s="199" t="s">
        <v>1435</v>
      </c>
      <c r="L183" s="407" t="n">
        <v>28020</v>
      </c>
      <c r="M183" s="234"/>
      <c r="N183" s="408" t="n">
        <v>14.5</v>
      </c>
      <c r="O183" s="407" t="n">
        <v>13290</v>
      </c>
      <c r="P183" s="407" t="n">
        <v>11362.9</v>
      </c>
      <c r="Q183" s="234" t="n">
        <v>2023</v>
      </c>
      <c r="R183" s="234"/>
      <c r="S183" s="248" t="n">
        <v>45091</v>
      </c>
      <c r="T183" s="407" t="n">
        <f aca="false">Таблица18[[#This Row],[Вес нетто]]-Таблица18[[#This Row],[Зачетный вес]]</f>
        <v>1927.1</v>
      </c>
      <c r="U183" s="409" t="n">
        <f aca="false">Таблица18[[#This Row],[Отход]]/Таблица18[[#This Row],[Вес нетто]]</f>
        <v>0.145003762227239</v>
      </c>
      <c r="V183" s="234" t="n">
        <f aca="false">MONTH(Таблица18[[#This Row],[Дата акта]])</f>
        <v>6</v>
      </c>
      <c r="W183" s="234" t="n">
        <v>14</v>
      </c>
      <c r="X183" s="248" t="n">
        <f aca="false">DATE(1900,Таблица18[[#This Row],[Месяц]],Таблица18[[#This Row],[Число]])</f>
        <v>166</v>
      </c>
      <c r="Y183" s="234"/>
      <c r="AF183" s="411"/>
      <c r="AG183" s="412"/>
    </row>
    <row r="184" s="410" customFormat="true" ht="15" hidden="true" customHeight="true" outlineLevel="0" collapsed="false">
      <c r="A184" s="199" t="s">
        <v>1655</v>
      </c>
      <c r="B184" s="199" t="s">
        <v>417</v>
      </c>
      <c r="C184" s="405" t="n">
        <v>302</v>
      </c>
      <c r="D184" s="406" t="n">
        <v>85</v>
      </c>
      <c r="E184" s="199" t="s">
        <v>422</v>
      </c>
      <c r="F184" s="199" t="s">
        <v>1523</v>
      </c>
      <c r="G184" s="199" t="s">
        <v>1447</v>
      </c>
      <c r="H184" s="199" t="s">
        <v>94</v>
      </c>
      <c r="I184" s="199" t="s">
        <v>94</v>
      </c>
      <c r="J184" s="199" t="s">
        <v>68</v>
      </c>
      <c r="K184" s="199" t="s">
        <v>1435</v>
      </c>
      <c r="L184" s="407" t="n">
        <v>28530</v>
      </c>
      <c r="M184" s="234"/>
      <c r="N184" s="408" t="n">
        <v>14.5</v>
      </c>
      <c r="O184" s="407" t="n">
        <v>13600</v>
      </c>
      <c r="P184" s="407" t="n">
        <v>11628</v>
      </c>
      <c r="Q184" s="234" t="n">
        <v>2023</v>
      </c>
      <c r="R184" s="234"/>
      <c r="S184" s="248" t="n">
        <v>45091</v>
      </c>
      <c r="T184" s="407" t="n">
        <f aca="false">Таблица18[[#This Row],[Вес нетто]]-Таблица18[[#This Row],[Зачетный вес]]</f>
        <v>1972</v>
      </c>
      <c r="U184" s="409" t="n">
        <f aca="false">Таблица18[[#This Row],[Отход]]/Таблица18[[#This Row],[Вес нетто]]</f>
        <v>0.145</v>
      </c>
      <c r="V184" s="234" t="n">
        <f aca="false">MONTH(Таблица18[[#This Row],[Дата акта]])</f>
        <v>6</v>
      </c>
      <c r="W184" s="234" t="n">
        <v>14</v>
      </c>
      <c r="X184" s="248" t="n">
        <f aca="false">DATE(1900,Таблица18[[#This Row],[Месяц]],Таблица18[[#This Row],[Число]])</f>
        <v>166</v>
      </c>
      <c r="Y184" s="234"/>
      <c r="AF184" s="411"/>
      <c r="AG184" s="412"/>
    </row>
    <row r="185" s="410" customFormat="true" ht="15" hidden="true" customHeight="true" outlineLevel="0" collapsed="false">
      <c r="A185" s="199" t="s">
        <v>1656</v>
      </c>
      <c r="B185" s="199" t="s">
        <v>417</v>
      </c>
      <c r="C185" s="405" t="n">
        <v>303</v>
      </c>
      <c r="D185" s="406" t="n">
        <v>86</v>
      </c>
      <c r="E185" s="199" t="s">
        <v>422</v>
      </c>
      <c r="F185" s="199" t="s">
        <v>1439</v>
      </c>
      <c r="G185" s="199" t="s">
        <v>1440</v>
      </c>
      <c r="H185" s="199" t="s">
        <v>94</v>
      </c>
      <c r="I185" s="199" t="s">
        <v>94</v>
      </c>
      <c r="J185" s="199" t="s">
        <v>68</v>
      </c>
      <c r="K185" s="199" t="s">
        <v>1435</v>
      </c>
      <c r="L185" s="407" t="n">
        <v>27490</v>
      </c>
      <c r="M185" s="234"/>
      <c r="N185" s="408" t="n">
        <v>13.5</v>
      </c>
      <c r="O185" s="407" t="n">
        <v>13940</v>
      </c>
      <c r="P185" s="407" t="n">
        <v>12058.1</v>
      </c>
      <c r="Q185" s="234" t="n">
        <v>2023</v>
      </c>
      <c r="R185" s="234"/>
      <c r="S185" s="248" t="n">
        <v>45091</v>
      </c>
      <c r="T185" s="407" t="n">
        <f aca="false">Таблица18[[#This Row],[Вес нетто]]-Таблица18[[#This Row],[Зачетный вес]]</f>
        <v>1881.9</v>
      </c>
      <c r="U185" s="409" t="n">
        <f aca="false">Таблица18[[#This Row],[Отход]]/Таблица18[[#This Row],[Вес нетто]]</f>
        <v>0.135</v>
      </c>
      <c r="V185" s="234" t="n">
        <f aca="false">MONTH(Таблица18[[#This Row],[Дата акта]])</f>
        <v>6</v>
      </c>
      <c r="W185" s="234" t="n">
        <v>14</v>
      </c>
      <c r="X185" s="248" t="n">
        <f aca="false">DATE(1900,Таблица18[[#This Row],[Месяц]],Таблица18[[#This Row],[Число]])</f>
        <v>166</v>
      </c>
      <c r="Y185" s="234"/>
      <c r="AF185" s="411"/>
      <c r="AG185" s="412"/>
    </row>
    <row r="186" s="410" customFormat="true" ht="15" hidden="true" customHeight="true" outlineLevel="0" collapsed="false">
      <c r="A186" s="199" t="s">
        <v>1657</v>
      </c>
      <c r="B186" s="199" t="s">
        <v>417</v>
      </c>
      <c r="C186" s="405" t="n">
        <v>304</v>
      </c>
      <c r="D186" s="406" t="n">
        <v>87</v>
      </c>
      <c r="E186" s="199" t="s">
        <v>422</v>
      </c>
      <c r="F186" s="199" t="s">
        <v>380</v>
      </c>
      <c r="G186" s="199" t="s">
        <v>381</v>
      </c>
      <c r="H186" s="199" t="s">
        <v>94</v>
      </c>
      <c r="I186" s="199" t="s">
        <v>94</v>
      </c>
      <c r="J186" s="199" t="s">
        <v>68</v>
      </c>
      <c r="K186" s="199" t="s">
        <v>1435</v>
      </c>
      <c r="L186" s="407" t="n">
        <v>18770</v>
      </c>
      <c r="M186" s="234"/>
      <c r="N186" s="408" t="n">
        <v>13.5</v>
      </c>
      <c r="O186" s="407" t="n">
        <v>9010</v>
      </c>
      <c r="P186" s="407" t="n">
        <v>7793.6</v>
      </c>
      <c r="Q186" s="234" t="n">
        <v>2023</v>
      </c>
      <c r="R186" s="234"/>
      <c r="S186" s="248" t="n">
        <v>45091</v>
      </c>
      <c r="T186" s="407" t="n">
        <f aca="false">Таблица18[[#This Row],[Вес нетто]]-Таблица18[[#This Row],[Зачетный вес]]</f>
        <v>1216.4</v>
      </c>
      <c r="U186" s="409" t="n">
        <f aca="false">Таблица18[[#This Row],[Отход]]/Таблица18[[#This Row],[Вес нетто]]</f>
        <v>0.135005549389567</v>
      </c>
      <c r="V186" s="234" t="n">
        <f aca="false">MONTH(Таблица18[[#This Row],[Дата акта]])</f>
        <v>6</v>
      </c>
      <c r="W186" s="234" t="n">
        <v>14</v>
      </c>
      <c r="X186" s="248" t="n">
        <f aca="false">DATE(1900,Таблица18[[#This Row],[Месяц]],Таблица18[[#This Row],[Число]])</f>
        <v>166</v>
      </c>
      <c r="Y186" s="234"/>
      <c r="AF186" s="411"/>
      <c r="AG186" s="412"/>
    </row>
    <row r="187" s="410" customFormat="true" ht="15" hidden="true" customHeight="true" outlineLevel="0" collapsed="false">
      <c r="A187" s="199" t="s">
        <v>1658</v>
      </c>
      <c r="B187" s="199" t="s">
        <v>417</v>
      </c>
      <c r="C187" s="405" t="n">
        <v>305</v>
      </c>
      <c r="D187" s="406" t="n">
        <v>88</v>
      </c>
      <c r="E187" s="199" t="s">
        <v>422</v>
      </c>
      <c r="F187" s="199" t="s">
        <v>1523</v>
      </c>
      <c r="G187" s="199" t="s">
        <v>1447</v>
      </c>
      <c r="H187" s="199" t="s">
        <v>94</v>
      </c>
      <c r="I187" s="199" t="s">
        <v>94</v>
      </c>
      <c r="J187" s="199" t="s">
        <v>68</v>
      </c>
      <c r="K187" s="199" t="s">
        <v>1435</v>
      </c>
      <c r="L187" s="407" t="n">
        <v>28410</v>
      </c>
      <c r="M187" s="234"/>
      <c r="N187" s="408" t="n">
        <v>11.5</v>
      </c>
      <c r="O187" s="407" t="n">
        <v>13570</v>
      </c>
      <c r="P187" s="407" t="n">
        <v>12009.4</v>
      </c>
      <c r="Q187" s="234" t="n">
        <v>2023</v>
      </c>
      <c r="R187" s="234"/>
      <c r="S187" s="248" t="n">
        <v>45091</v>
      </c>
      <c r="T187" s="407" t="n">
        <f aca="false">Таблица18[[#This Row],[Вес нетто]]-Таблица18[[#This Row],[Зачетный вес]]</f>
        <v>1560.6</v>
      </c>
      <c r="U187" s="409" t="n">
        <f aca="false">Таблица18[[#This Row],[Отход]]/Таблица18[[#This Row],[Вес нетто]]</f>
        <v>0.115003684598379</v>
      </c>
      <c r="V187" s="234" t="n">
        <f aca="false">MONTH(Таблица18[[#This Row],[Дата акта]])</f>
        <v>6</v>
      </c>
      <c r="W187" s="234" t="n">
        <v>14</v>
      </c>
      <c r="X187" s="248" t="n">
        <f aca="false">DATE(1900,Таблица18[[#This Row],[Месяц]],Таблица18[[#This Row],[Число]])</f>
        <v>166</v>
      </c>
      <c r="Y187" s="234"/>
      <c r="AF187" s="411"/>
      <c r="AG187" s="412"/>
    </row>
    <row r="188" s="410" customFormat="true" ht="15" hidden="true" customHeight="true" outlineLevel="0" collapsed="false">
      <c r="A188" s="199" t="s">
        <v>1659</v>
      </c>
      <c r="B188" s="199" t="s">
        <v>417</v>
      </c>
      <c r="C188" s="405" t="n">
        <v>306</v>
      </c>
      <c r="D188" s="406" t="n">
        <v>89</v>
      </c>
      <c r="E188" s="199" t="s">
        <v>422</v>
      </c>
      <c r="F188" s="199" t="s">
        <v>1439</v>
      </c>
      <c r="G188" s="199" t="s">
        <v>1440</v>
      </c>
      <c r="H188" s="199" t="s">
        <v>94</v>
      </c>
      <c r="I188" s="199" t="s">
        <v>94</v>
      </c>
      <c r="J188" s="199" t="s">
        <v>68</v>
      </c>
      <c r="K188" s="199" t="s">
        <v>1435</v>
      </c>
      <c r="L188" s="407" t="n">
        <v>26830</v>
      </c>
      <c r="M188" s="234"/>
      <c r="N188" s="408" t="n">
        <v>9.5</v>
      </c>
      <c r="O188" s="407" t="n">
        <v>13380</v>
      </c>
      <c r="P188" s="407" t="n">
        <v>12108.9</v>
      </c>
      <c r="Q188" s="234" t="n">
        <v>2023</v>
      </c>
      <c r="R188" s="234"/>
      <c r="S188" s="248" t="n">
        <v>45091</v>
      </c>
      <c r="T188" s="407" t="n">
        <f aca="false">Таблица18[[#This Row],[Вес нетто]]-Таблица18[[#This Row],[Зачетный вес]]</f>
        <v>1271.1</v>
      </c>
      <c r="U188" s="409" t="n">
        <f aca="false">Таблица18[[#This Row],[Отход]]/Таблица18[[#This Row],[Вес нетто]]</f>
        <v>0.095</v>
      </c>
      <c r="V188" s="234" t="n">
        <f aca="false">MONTH(Таблица18[[#This Row],[Дата акта]])</f>
        <v>6</v>
      </c>
      <c r="W188" s="234" t="n">
        <v>14</v>
      </c>
      <c r="X188" s="248" t="n">
        <f aca="false">DATE(1900,Таблица18[[#This Row],[Месяц]],Таблица18[[#This Row],[Число]])</f>
        <v>166</v>
      </c>
      <c r="Y188" s="234"/>
      <c r="AF188" s="411"/>
      <c r="AG188" s="412"/>
    </row>
    <row r="189" s="410" customFormat="true" ht="15" hidden="true" customHeight="true" outlineLevel="0" collapsed="false">
      <c r="A189" s="199" t="s">
        <v>1660</v>
      </c>
      <c r="B189" s="199" t="s">
        <v>417</v>
      </c>
      <c r="C189" s="405" t="n">
        <v>307</v>
      </c>
      <c r="D189" s="406" t="n">
        <v>90</v>
      </c>
      <c r="E189" s="199" t="s">
        <v>422</v>
      </c>
      <c r="F189" s="199" t="s">
        <v>380</v>
      </c>
      <c r="G189" s="199" t="s">
        <v>381</v>
      </c>
      <c r="H189" s="199" t="s">
        <v>94</v>
      </c>
      <c r="I189" s="199" t="s">
        <v>94</v>
      </c>
      <c r="J189" s="199" t="s">
        <v>68</v>
      </c>
      <c r="K189" s="199" t="s">
        <v>1435</v>
      </c>
      <c r="L189" s="407" t="n">
        <v>18680</v>
      </c>
      <c r="M189" s="234"/>
      <c r="N189" s="408" t="n">
        <v>10.5</v>
      </c>
      <c r="O189" s="407" t="n">
        <v>8960</v>
      </c>
      <c r="P189" s="407" t="n">
        <v>8019.2</v>
      </c>
      <c r="Q189" s="234" t="n">
        <v>2023</v>
      </c>
      <c r="R189" s="234"/>
      <c r="S189" s="248" t="n">
        <v>45091</v>
      </c>
      <c r="T189" s="407" t="n">
        <f aca="false">Таблица18[[#This Row],[Вес нетто]]-Таблица18[[#This Row],[Зачетный вес]]</f>
        <v>940.8</v>
      </c>
      <c r="U189" s="409" t="n">
        <f aca="false">Таблица18[[#This Row],[Отход]]/Таблица18[[#This Row],[Вес нетто]]</f>
        <v>0.105</v>
      </c>
      <c r="V189" s="234" t="n">
        <f aca="false">MONTH(Таблица18[[#This Row],[Дата акта]])</f>
        <v>6</v>
      </c>
      <c r="W189" s="234" t="n">
        <v>14</v>
      </c>
      <c r="X189" s="248" t="n">
        <f aca="false">DATE(1900,Таблица18[[#This Row],[Месяц]],Таблица18[[#This Row],[Число]])</f>
        <v>166</v>
      </c>
      <c r="Y189" s="234"/>
      <c r="AF189" s="411"/>
      <c r="AG189" s="412"/>
    </row>
    <row r="190" s="410" customFormat="true" ht="15" hidden="true" customHeight="true" outlineLevel="0" collapsed="false">
      <c r="A190" s="199" t="s">
        <v>1661</v>
      </c>
      <c r="B190" s="199" t="s">
        <v>417</v>
      </c>
      <c r="C190" s="405" t="n">
        <v>308</v>
      </c>
      <c r="D190" s="406" t="n">
        <v>91</v>
      </c>
      <c r="E190" s="199" t="s">
        <v>422</v>
      </c>
      <c r="F190" s="199" t="s">
        <v>1523</v>
      </c>
      <c r="G190" s="199" t="s">
        <v>1447</v>
      </c>
      <c r="H190" s="199" t="s">
        <v>94</v>
      </c>
      <c r="I190" s="199" t="s">
        <v>94</v>
      </c>
      <c r="J190" s="199" t="s">
        <v>68</v>
      </c>
      <c r="K190" s="199" t="s">
        <v>1435</v>
      </c>
      <c r="L190" s="407" t="n">
        <v>28170</v>
      </c>
      <c r="M190" s="234"/>
      <c r="N190" s="408" t="n">
        <v>11.5</v>
      </c>
      <c r="O190" s="407" t="n">
        <v>13330</v>
      </c>
      <c r="P190" s="407" t="n">
        <v>11797</v>
      </c>
      <c r="Q190" s="234" t="n">
        <v>2023</v>
      </c>
      <c r="R190" s="234"/>
      <c r="S190" s="248" t="n">
        <v>45091</v>
      </c>
      <c r="T190" s="407" t="n">
        <f aca="false">Таблица18[[#This Row],[Вес нетто]]-Таблица18[[#This Row],[Зачетный вес]]</f>
        <v>1533</v>
      </c>
      <c r="U190" s="409" t="n">
        <f aca="false">Таблица18[[#This Row],[Отход]]/Таблица18[[#This Row],[Вес нетто]]</f>
        <v>0.115003750937734</v>
      </c>
      <c r="V190" s="234" t="n">
        <f aca="false">MONTH(Таблица18[[#This Row],[Дата акта]])</f>
        <v>6</v>
      </c>
      <c r="W190" s="234" t="n">
        <v>14</v>
      </c>
      <c r="X190" s="248" t="n">
        <f aca="false">DATE(1900,Таблица18[[#This Row],[Месяц]],Таблица18[[#This Row],[Число]])</f>
        <v>166</v>
      </c>
      <c r="Y190" s="234"/>
      <c r="AF190" s="411"/>
      <c r="AG190" s="412"/>
    </row>
    <row r="191" s="410" customFormat="true" ht="15" hidden="true" customHeight="true" outlineLevel="0" collapsed="false">
      <c r="A191" s="199" t="s">
        <v>1662</v>
      </c>
      <c r="B191" s="199" t="s">
        <v>417</v>
      </c>
      <c r="C191" s="405" t="n">
        <v>309</v>
      </c>
      <c r="D191" s="406" t="n">
        <v>92</v>
      </c>
      <c r="E191" s="199" t="s">
        <v>422</v>
      </c>
      <c r="F191" s="199" t="s">
        <v>1439</v>
      </c>
      <c r="G191" s="199" t="s">
        <v>1440</v>
      </c>
      <c r="H191" s="199" t="s">
        <v>94</v>
      </c>
      <c r="I191" s="199" t="s">
        <v>94</v>
      </c>
      <c r="J191" s="199" t="s">
        <v>68</v>
      </c>
      <c r="K191" s="199" t="s">
        <v>1435</v>
      </c>
      <c r="L191" s="407" t="n">
        <v>26860</v>
      </c>
      <c r="M191" s="407" t="n">
        <v>13590</v>
      </c>
      <c r="N191" s="408" t="n">
        <v>10.5</v>
      </c>
      <c r="O191" s="407" t="n">
        <v>13270</v>
      </c>
      <c r="P191" s="407" t="n">
        <v>11876.7</v>
      </c>
      <c r="Q191" s="234" t="n">
        <v>2023</v>
      </c>
      <c r="R191" s="234"/>
      <c r="S191" s="248" t="n">
        <v>45092</v>
      </c>
      <c r="T191" s="407" t="n">
        <f aca="false">Таблица18[[#This Row],[Вес нетто]]-Таблица18[[#This Row],[Зачетный вес]]</f>
        <v>1393.3</v>
      </c>
      <c r="U191" s="409" t="n">
        <f aca="false">Таблица18[[#This Row],[Отход]]/Таблица18[[#This Row],[Вес нетто]]</f>
        <v>0.104996232102487</v>
      </c>
      <c r="V191" s="234" t="n">
        <f aca="false">MONTH(Таблица18[[#This Row],[Дата акта]])</f>
        <v>6</v>
      </c>
      <c r="W191" s="234" t="n">
        <v>15</v>
      </c>
      <c r="X191" s="248" t="n">
        <f aca="false">DATE(1900,Таблица18[[#This Row],[Месяц]],Таблица18[[#This Row],[Число]])</f>
        <v>167</v>
      </c>
      <c r="Y191" s="234"/>
      <c r="AF191" s="411"/>
      <c r="AG191" s="412"/>
    </row>
    <row r="192" s="410" customFormat="true" ht="15" hidden="true" customHeight="true" outlineLevel="0" collapsed="false">
      <c r="A192" s="199" t="s">
        <v>1663</v>
      </c>
      <c r="B192" s="199" t="s">
        <v>417</v>
      </c>
      <c r="C192" s="405" t="n">
        <v>310</v>
      </c>
      <c r="D192" s="406" t="n">
        <v>93</v>
      </c>
      <c r="E192" s="199" t="s">
        <v>422</v>
      </c>
      <c r="F192" s="199" t="s">
        <v>380</v>
      </c>
      <c r="G192" s="199" t="s">
        <v>381</v>
      </c>
      <c r="H192" s="199" t="s">
        <v>94</v>
      </c>
      <c r="I192" s="199" t="s">
        <v>94</v>
      </c>
      <c r="J192" s="199" t="s">
        <v>68</v>
      </c>
      <c r="K192" s="199" t="s">
        <v>1435</v>
      </c>
      <c r="L192" s="407" t="n">
        <v>18590</v>
      </c>
      <c r="M192" s="407" t="n">
        <v>9710</v>
      </c>
      <c r="N192" s="408" t="n">
        <v>10.5</v>
      </c>
      <c r="O192" s="407" t="n">
        <v>8880</v>
      </c>
      <c r="P192" s="407" t="n">
        <v>7947.6</v>
      </c>
      <c r="Q192" s="234" t="n">
        <v>2023</v>
      </c>
      <c r="R192" s="234"/>
      <c r="S192" s="248" t="n">
        <v>45092</v>
      </c>
      <c r="T192" s="407" t="n">
        <f aca="false">Таблица18[[#This Row],[Вес нетто]]-Таблица18[[#This Row],[Зачетный вес]]</f>
        <v>932.4</v>
      </c>
      <c r="U192" s="409" t="n">
        <f aca="false">Таблица18[[#This Row],[Отход]]/Таблица18[[#This Row],[Вес нетто]]</f>
        <v>0.105</v>
      </c>
      <c r="V192" s="234" t="n">
        <f aca="false">MONTH(Таблица18[[#This Row],[Дата акта]])</f>
        <v>6</v>
      </c>
      <c r="W192" s="234" t="n">
        <v>15</v>
      </c>
      <c r="X192" s="248" t="n">
        <f aca="false">DATE(1900,Таблица18[[#This Row],[Месяц]],Таблица18[[#This Row],[Число]])</f>
        <v>167</v>
      </c>
      <c r="Y192" s="234"/>
      <c r="AF192" s="411"/>
      <c r="AG192" s="412"/>
    </row>
    <row r="193" s="410" customFormat="true" ht="15" hidden="true" customHeight="true" outlineLevel="0" collapsed="false">
      <c r="A193" s="199" t="s">
        <v>1664</v>
      </c>
      <c r="B193" s="199" t="s">
        <v>417</v>
      </c>
      <c r="C193" s="405" t="n">
        <v>311</v>
      </c>
      <c r="D193" s="406" t="n">
        <v>94</v>
      </c>
      <c r="E193" s="199" t="s">
        <v>422</v>
      </c>
      <c r="F193" s="199" t="s">
        <v>1523</v>
      </c>
      <c r="G193" s="199" t="s">
        <v>1447</v>
      </c>
      <c r="H193" s="199" t="s">
        <v>94</v>
      </c>
      <c r="I193" s="199" t="s">
        <v>94</v>
      </c>
      <c r="J193" s="199" t="s">
        <v>68</v>
      </c>
      <c r="K193" s="199" t="s">
        <v>1435</v>
      </c>
      <c r="L193" s="407" t="n">
        <v>28260</v>
      </c>
      <c r="M193" s="407" t="n">
        <v>14830</v>
      </c>
      <c r="N193" s="408" t="n">
        <v>11.5</v>
      </c>
      <c r="O193" s="407" t="n">
        <v>13430</v>
      </c>
      <c r="P193" s="407" t="n">
        <v>11885.5</v>
      </c>
      <c r="Q193" s="234" t="n">
        <v>2023</v>
      </c>
      <c r="R193" s="234"/>
      <c r="S193" s="248" t="n">
        <v>45092</v>
      </c>
      <c r="T193" s="407" t="n">
        <f aca="false">Таблица18[[#This Row],[Вес нетто]]-Таблица18[[#This Row],[Зачетный вес]]</f>
        <v>1544.5</v>
      </c>
      <c r="U193" s="409" t="n">
        <f aca="false">Таблица18[[#This Row],[Отход]]/Таблица18[[#This Row],[Вес нетто]]</f>
        <v>0.115003723008191</v>
      </c>
      <c r="V193" s="234" t="n">
        <f aca="false">MONTH(Таблица18[[#This Row],[Дата акта]])</f>
        <v>6</v>
      </c>
      <c r="W193" s="234" t="n">
        <v>15</v>
      </c>
      <c r="X193" s="248" t="n">
        <f aca="false">DATE(1900,Таблица18[[#This Row],[Месяц]],Таблица18[[#This Row],[Число]])</f>
        <v>167</v>
      </c>
      <c r="Y193" s="234"/>
      <c r="AF193" s="411"/>
      <c r="AG193" s="412"/>
    </row>
    <row r="194" s="410" customFormat="true" ht="15" hidden="true" customHeight="true" outlineLevel="0" collapsed="false">
      <c r="A194" s="199" t="s">
        <v>1665</v>
      </c>
      <c r="B194" s="199" t="s">
        <v>417</v>
      </c>
      <c r="C194" s="405" t="n">
        <v>312</v>
      </c>
      <c r="D194" s="406" t="n">
        <v>95</v>
      </c>
      <c r="E194" s="199" t="s">
        <v>422</v>
      </c>
      <c r="F194" s="199" t="s">
        <v>1439</v>
      </c>
      <c r="G194" s="199" t="s">
        <v>1440</v>
      </c>
      <c r="H194" s="199" t="s">
        <v>94</v>
      </c>
      <c r="I194" s="199" t="s">
        <v>94</v>
      </c>
      <c r="J194" s="199" t="s">
        <v>68</v>
      </c>
      <c r="K194" s="199" t="s">
        <v>1435</v>
      </c>
      <c r="L194" s="407" t="n">
        <v>27010</v>
      </c>
      <c r="M194" s="407" t="n">
        <v>13580</v>
      </c>
      <c r="N194" s="408" t="n">
        <v>11.5</v>
      </c>
      <c r="O194" s="407" t="n">
        <v>13430</v>
      </c>
      <c r="P194" s="407" t="n">
        <v>11885.5</v>
      </c>
      <c r="Q194" s="234" t="n">
        <v>2023</v>
      </c>
      <c r="R194" s="234"/>
      <c r="S194" s="248" t="n">
        <v>45092</v>
      </c>
      <c r="T194" s="407" t="n">
        <f aca="false">Таблица18[[#This Row],[Вес нетто]]-Таблица18[[#This Row],[Зачетный вес]]</f>
        <v>1544.5</v>
      </c>
      <c r="U194" s="409" t="n">
        <f aca="false">Таблица18[[#This Row],[Отход]]/Таблица18[[#This Row],[Вес нетто]]</f>
        <v>0.115003723008191</v>
      </c>
      <c r="V194" s="234" t="n">
        <f aca="false">MONTH(Таблица18[[#This Row],[Дата акта]])</f>
        <v>6</v>
      </c>
      <c r="W194" s="234" t="n">
        <v>15</v>
      </c>
      <c r="X194" s="248" t="n">
        <f aca="false">DATE(1900,Таблица18[[#This Row],[Месяц]],Таблица18[[#This Row],[Число]])</f>
        <v>167</v>
      </c>
      <c r="Y194" s="234"/>
      <c r="AF194" s="411"/>
      <c r="AG194" s="412"/>
    </row>
    <row r="195" s="410" customFormat="true" ht="15" hidden="true" customHeight="true" outlineLevel="0" collapsed="false">
      <c r="A195" s="199" t="s">
        <v>1666</v>
      </c>
      <c r="B195" s="199" t="s">
        <v>417</v>
      </c>
      <c r="C195" s="405" t="n">
        <v>313</v>
      </c>
      <c r="D195" s="406" t="n">
        <v>96</v>
      </c>
      <c r="E195" s="199" t="s">
        <v>422</v>
      </c>
      <c r="F195" s="199" t="s">
        <v>380</v>
      </c>
      <c r="G195" s="199" t="s">
        <v>381</v>
      </c>
      <c r="H195" s="199" t="s">
        <v>94</v>
      </c>
      <c r="I195" s="199" t="s">
        <v>94</v>
      </c>
      <c r="J195" s="199" t="s">
        <v>68</v>
      </c>
      <c r="K195" s="199" t="s">
        <v>1435</v>
      </c>
      <c r="L195" s="407" t="n">
        <v>18710</v>
      </c>
      <c r="M195" s="407" t="n">
        <v>9730</v>
      </c>
      <c r="N195" s="408" t="n">
        <v>12.5</v>
      </c>
      <c r="O195" s="407" t="n">
        <v>8980</v>
      </c>
      <c r="P195" s="407" t="n">
        <v>7857.5</v>
      </c>
      <c r="Q195" s="234" t="n">
        <v>2023</v>
      </c>
      <c r="R195" s="234"/>
      <c r="S195" s="248" t="n">
        <v>45092</v>
      </c>
      <c r="T195" s="407" t="n">
        <f aca="false">Таблица18[[#This Row],[Вес нетто]]-Таблица18[[#This Row],[Зачетный вес]]</f>
        <v>1122.5</v>
      </c>
      <c r="U195" s="409" t="n">
        <f aca="false">Таблица18[[#This Row],[Отход]]/Таблица18[[#This Row],[Вес нетто]]</f>
        <v>0.125</v>
      </c>
      <c r="V195" s="234" t="n">
        <f aca="false">MONTH(Таблица18[[#This Row],[Дата акта]])</f>
        <v>6</v>
      </c>
      <c r="W195" s="234" t="n">
        <v>15</v>
      </c>
      <c r="X195" s="248" t="n">
        <f aca="false">DATE(1900,Таблица18[[#This Row],[Месяц]],Таблица18[[#This Row],[Число]])</f>
        <v>167</v>
      </c>
      <c r="Y195" s="234"/>
      <c r="AF195" s="411"/>
      <c r="AG195" s="412"/>
    </row>
    <row r="196" s="410" customFormat="true" ht="15" hidden="true" customHeight="true" outlineLevel="0" collapsed="false">
      <c r="A196" s="199" t="s">
        <v>1667</v>
      </c>
      <c r="B196" s="199" t="s">
        <v>417</v>
      </c>
      <c r="C196" s="405" t="n">
        <v>316</v>
      </c>
      <c r="D196" s="406" t="n">
        <v>97</v>
      </c>
      <c r="E196" s="199" t="s">
        <v>422</v>
      </c>
      <c r="F196" s="199" t="s">
        <v>457</v>
      </c>
      <c r="G196" s="199" t="s">
        <v>366</v>
      </c>
      <c r="H196" s="199" t="s">
        <v>94</v>
      </c>
      <c r="I196" s="199" t="s">
        <v>94</v>
      </c>
      <c r="J196" s="199" t="s">
        <v>68</v>
      </c>
      <c r="K196" s="199" t="s">
        <v>1435</v>
      </c>
      <c r="L196" s="407" t="n">
        <v>32600</v>
      </c>
      <c r="M196" s="234"/>
      <c r="N196" s="408" t="n">
        <v>9.5</v>
      </c>
      <c r="O196" s="407" t="n">
        <v>15190</v>
      </c>
      <c r="P196" s="407" t="n">
        <v>13746.9</v>
      </c>
      <c r="Q196" s="234" t="n">
        <v>2023</v>
      </c>
      <c r="R196" s="234"/>
      <c r="S196" s="248" t="n">
        <v>45092</v>
      </c>
      <c r="T196" s="407" t="n">
        <f aca="false">Таблица18[[#This Row],[Вес нетто]]-Таблица18[[#This Row],[Зачетный вес]]</f>
        <v>1443.1</v>
      </c>
      <c r="U196" s="409" t="n">
        <f aca="false">Таблица18[[#This Row],[Отход]]/Таблица18[[#This Row],[Вес нетто]]</f>
        <v>0.0950032916392364</v>
      </c>
      <c r="V196" s="234" t="n">
        <f aca="false">MONTH(Таблица18[[#This Row],[Дата акта]])</f>
        <v>6</v>
      </c>
      <c r="W196" s="234" t="n">
        <v>15</v>
      </c>
      <c r="X196" s="248" t="n">
        <f aca="false">DATE(1900,Таблица18[[#This Row],[Месяц]],Таблица18[[#This Row],[Число]])</f>
        <v>167</v>
      </c>
      <c r="Y196" s="234"/>
      <c r="AF196" s="411"/>
      <c r="AG196" s="412"/>
    </row>
    <row r="197" s="410" customFormat="true" ht="15" hidden="true" customHeight="true" outlineLevel="0" collapsed="false">
      <c r="A197" s="199" t="s">
        <v>1668</v>
      </c>
      <c r="B197" s="199" t="s">
        <v>417</v>
      </c>
      <c r="C197" s="405" t="n">
        <v>318</v>
      </c>
      <c r="D197" s="406" t="n">
        <v>98</v>
      </c>
      <c r="E197" s="199" t="s">
        <v>422</v>
      </c>
      <c r="F197" s="199" t="s">
        <v>371</v>
      </c>
      <c r="G197" s="199" t="s">
        <v>372</v>
      </c>
      <c r="H197" s="199" t="s">
        <v>94</v>
      </c>
      <c r="I197" s="199" t="s">
        <v>94</v>
      </c>
      <c r="J197" s="199" t="s">
        <v>68</v>
      </c>
      <c r="K197" s="199" t="s">
        <v>1435</v>
      </c>
      <c r="L197" s="407" t="n">
        <v>28120</v>
      </c>
      <c r="M197" s="407" t="n">
        <v>15090</v>
      </c>
      <c r="N197" s="408" t="n">
        <v>10.5</v>
      </c>
      <c r="O197" s="407" t="n">
        <v>13030</v>
      </c>
      <c r="P197" s="407" t="n">
        <v>11661.8</v>
      </c>
      <c r="Q197" s="234" t="n">
        <v>2023</v>
      </c>
      <c r="R197" s="234"/>
      <c r="S197" s="248" t="n">
        <v>45092</v>
      </c>
      <c r="T197" s="407" t="n">
        <f aca="false">Таблица18[[#This Row],[Вес нетто]]-Таблица18[[#This Row],[Зачетный вес]]</f>
        <v>1368.2</v>
      </c>
      <c r="U197" s="409" t="n">
        <f aca="false">Таблица18[[#This Row],[Отход]]/Таблица18[[#This Row],[Вес нетто]]</f>
        <v>0.105003837298542</v>
      </c>
      <c r="V197" s="234" t="n">
        <f aca="false">MONTH(Таблица18[[#This Row],[Дата акта]])</f>
        <v>6</v>
      </c>
      <c r="W197" s="234" t="n">
        <v>15</v>
      </c>
      <c r="X197" s="248" t="n">
        <f aca="false">DATE(1900,Таблица18[[#This Row],[Месяц]],Таблица18[[#This Row],[Число]])</f>
        <v>167</v>
      </c>
      <c r="Y197" s="234"/>
      <c r="AF197" s="411"/>
      <c r="AG197" s="412"/>
    </row>
    <row r="198" s="410" customFormat="true" ht="15" hidden="true" customHeight="true" outlineLevel="0" collapsed="false">
      <c r="A198" s="199" t="s">
        <v>1669</v>
      </c>
      <c r="B198" s="199" t="s">
        <v>417</v>
      </c>
      <c r="C198" s="405" t="n">
        <v>319</v>
      </c>
      <c r="D198" s="406" t="n">
        <v>99</v>
      </c>
      <c r="E198" s="199" t="s">
        <v>422</v>
      </c>
      <c r="F198" s="199" t="s">
        <v>1576</v>
      </c>
      <c r="G198" s="199" t="s">
        <v>1455</v>
      </c>
      <c r="H198" s="199" t="s">
        <v>94</v>
      </c>
      <c r="I198" s="199" t="s">
        <v>94</v>
      </c>
      <c r="J198" s="199" t="s">
        <v>68</v>
      </c>
      <c r="K198" s="199" t="s">
        <v>1435</v>
      </c>
      <c r="L198" s="407" t="n">
        <v>27410</v>
      </c>
      <c r="M198" s="407" t="n">
        <v>14240</v>
      </c>
      <c r="N198" s="408" t="n">
        <v>10.5</v>
      </c>
      <c r="O198" s="407" t="n">
        <v>13170</v>
      </c>
      <c r="P198" s="407" t="n">
        <v>11787.1</v>
      </c>
      <c r="Q198" s="234" t="n">
        <v>2023</v>
      </c>
      <c r="R198" s="234"/>
      <c r="S198" s="248" t="n">
        <v>45092</v>
      </c>
      <c r="T198" s="407" t="n">
        <f aca="false">Таблица18[[#This Row],[Вес нетто]]-Таблица18[[#This Row],[Зачетный вес]]</f>
        <v>1382.9</v>
      </c>
      <c r="U198" s="409" t="n">
        <f aca="false">Таблица18[[#This Row],[Отход]]/Таблица18[[#This Row],[Вес нетто]]</f>
        <v>0.105003796507213</v>
      </c>
      <c r="V198" s="234" t="n">
        <f aca="false">MONTH(Таблица18[[#This Row],[Дата акта]])</f>
        <v>6</v>
      </c>
      <c r="W198" s="234" t="n">
        <v>15</v>
      </c>
      <c r="X198" s="248" t="n">
        <f aca="false">DATE(1900,Таблица18[[#This Row],[Месяц]],Таблица18[[#This Row],[Число]])</f>
        <v>167</v>
      </c>
      <c r="Y198" s="234"/>
      <c r="AF198" s="411"/>
      <c r="AG198" s="412"/>
    </row>
    <row r="199" s="410" customFormat="true" ht="15" hidden="true" customHeight="true" outlineLevel="0" collapsed="false">
      <c r="A199" s="199" t="s">
        <v>1670</v>
      </c>
      <c r="B199" s="199" t="s">
        <v>417</v>
      </c>
      <c r="C199" s="405" t="n">
        <v>320</v>
      </c>
      <c r="D199" s="406" t="n">
        <v>100</v>
      </c>
      <c r="E199" s="199" t="s">
        <v>422</v>
      </c>
      <c r="F199" s="199" t="s">
        <v>457</v>
      </c>
      <c r="G199" s="199" t="s">
        <v>366</v>
      </c>
      <c r="H199" s="199" t="s">
        <v>94</v>
      </c>
      <c r="I199" s="199" t="s">
        <v>94</v>
      </c>
      <c r="J199" s="199" t="s">
        <v>68</v>
      </c>
      <c r="K199" s="199" t="s">
        <v>1435</v>
      </c>
      <c r="L199" s="407" t="n">
        <v>32840</v>
      </c>
      <c r="M199" s="407" t="n">
        <v>17380</v>
      </c>
      <c r="N199" s="408" t="n">
        <v>11.5</v>
      </c>
      <c r="O199" s="407" t="n">
        <v>15460</v>
      </c>
      <c r="P199" s="407" t="n">
        <v>13682.1</v>
      </c>
      <c r="Q199" s="234" t="n">
        <v>2023</v>
      </c>
      <c r="R199" s="234"/>
      <c r="S199" s="248" t="n">
        <v>45092</v>
      </c>
      <c r="T199" s="407" t="n">
        <f aca="false">Таблица18[[#This Row],[Вес нетто]]-Таблица18[[#This Row],[Зачетный вес]]</f>
        <v>1777.9</v>
      </c>
      <c r="U199" s="409" t="n">
        <f aca="false">Таблица18[[#This Row],[Отход]]/Таблица18[[#This Row],[Вес нетто]]</f>
        <v>0.115</v>
      </c>
      <c r="V199" s="234" t="n">
        <f aca="false">MONTH(Таблица18[[#This Row],[Дата акта]])</f>
        <v>6</v>
      </c>
      <c r="W199" s="234" t="n">
        <v>15</v>
      </c>
      <c r="X199" s="248" t="n">
        <f aca="false">DATE(1900,Таблица18[[#This Row],[Месяц]],Таблица18[[#This Row],[Число]])</f>
        <v>167</v>
      </c>
      <c r="Y199" s="234"/>
      <c r="AF199" s="411"/>
      <c r="AG199" s="412"/>
    </row>
    <row r="200" s="410" customFormat="true" ht="15" hidden="true" customHeight="true" outlineLevel="0" collapsed="false">
      <c r="A200" s="199" t="s">
        <v>1671</v>
      </c>
      <c r="B200" s="199" t="s">
        <v>417</v>
      </c>
      <c r="C200" s="405" t="n">
        <v>321</v>
      </c>
      <c r="D200" s="406" t="n">
        <v>101</v>
      </c>
      <c r="E200" s="199" t="s">
        <v>422</v>
      </c>
      <c r="F200" s="199" t="s">
        <v>371</v>
      </c>
      <c r="G200" s="199" t="s">
        <v>372</v>
      </c>
      <c r="H200" s="199" t="s">
        <v>94</v>
      </c>
      <c r="I200" s="199" t="s">
        <v>94</v>
      </c>
      <c r="J200" s="199" t="s">
        <v>68</v>
      </c>
      <c r="K200" s="199" t="s">
        <v>1435</v>
      </c>
      <c r="L200" s="407" t="n">
        <v>28350</v>
      </c>
      <c r="M200" s="407" t="n">
        <v>15080</v>
      </c>
      <c r="N200" s="408" t="n">
        <v>10.5</v>
      </c>
      <c r="O200" s="407" t="n">
        <v>13270</v>
      </c>
      <c r="P200" s="407" t="n">
        <v>11876.6</v>
      </c>
      <c r="Q200" s="234" t="n">
        <v>2023</v>
      </c>
      <c r="R200" s="234"/>
      <c r="S200" s="248" t="n">
        <v>45092</v>
      </c>
      <c r="T200" s="407" t="n">
        <f aca="false">Таблица18[[#This Row],[Вес нетто]]-Таблица18[[#This Row],[Зачетный вес]]</f>
        <v>1393.4</v>
      </c>
      <c r="U200" s="409" t="n">
        <f aca="false">Таблица18[[#This Row],[Отход]]/Таблица18[[#This Row],[Вес нетто]]</f>
        <v>0.105003767897513</v>
      </c>
      <c r="V200" s="234" t="n">
        <f aca="false">MONTH(Таблица18[[#This Row],[Дата акта]])</f>
        <v>6</v>
      </c>
      <c r="W200" s="234" t="n">
        <v>15</v>
      </c>
      <c r="X200" s="248" t="n">
        <f aca="false">DATE(1900,Таблица18[[#This Row],[Месяц]],Таблица18[[#This Row],[Число]])</f>
        <v>167</v>
      </c>
      <c r="Y200" s="234"/>
      <c r="AF200" s="411"/>
      <c r="AG200" s="412"/>
    </row>
    <row r="201" s="410" customFormat="true" ht="15" hidden="true" customHeight="true" outlineLevel="0" collapsed="false">
      <c r="A201" s="199" t="s">
        <v>1672</v>
      </c>
      <c r="B201" s="199" t="s">
        <v>417</v>
      </c>
      <c r="C201" s="405" t="n">
        <v>322</v>
      </c>
      <c r="D201" s="406" t="n">
        <v>102</v>
      </c>
      <c r="E201" s="199" t="s">
        <v>422</v>
      </c>
      <c r="F201" s="199" t="s">
        <v>1576</v>
      </c>
      <c r="G201" s="199" t="s">
        <v>1455</v>
      </c>
      <c r="H201" s="199" t="s">
        <v>94</v>
      </c>
      <c r="I201" s="199" t="s">
        <v>94</v>
      </c>
      <c r="J201" s="199" t="s">
        <v>68</v>
      </c>
      <c r="K201" s="199" t="s">
        <v>1435</v>
      </c>
      <c r="L201" s="407" t="n">
        <v>27550</v>
      </c>
      <c r="M201" s="407" t="n">
        <v>14260</v>
      </c>
      <c r="N201" s="408" t="n">
        <v>11.5</v>
      </c>
      <c r="O201" s="407" t="n">
        <v>13290</v>
      </c>
      <c r="P201" s="407" t="n">
        <v>11761.6</v>
      </c>
      <c r="Q201" s="234" t="n">
        <v>2023</v>
      </c>
      <c r="R201" s="234"/>
      <c r="S201" s="248" t="n">
        <v>45092</v>
      </c>
      <c r="T201" s="407" t="n">
        <f aca="false">Таблица18[[#This Row],[Вес нетто]]-Таблица18[[#This Row],[Зачетный вес]]</f>
        <v>1528.4</v>
      </c>
      <c r="U201" s="409" t="n">
        <f aca="false">Таблица18[[#This Row],[Отход]]/Таблица18[[#This Row],[Вес нетто]]</f>
        <v>0.115003762227239</v>
      </c>
      <c r="V201" s="234" t="n">
        <f aca="false">MONTH(Таблица18[[#This Row],[Дата акта]])</f>
        <v>6</v>
      </c>
      <c r="W201" s="234" t="n">
        <v>15</v>
      </c>
      <c r="X201" s="248" t="n">
        <f aca="false">DATE(1900,Таблица18[[#This Row],[Месяц]],Таблица18[[#This Row],[Число]])</f>
        <v>167</v>
      </c>
      <c r="Y201" s="234"/>
      <c r="AF201" s="411"/>
      <c r="AG201" s="412"/>
    </row>
    <row r="202" s="410" customFormat="true" ht="15" hidden="true" customHeight="true" outlineLevel="0" collapsed="false">
      <c r="A202" s="199" t="s">
        <v>1673</v>
      </c>
      <c r="B202" s="199" t="s">
        <v>417</v>
      </c>
      <c r="C202" s="405" t="n">
        <v>323</v>
      </c>
      <c r="D202" s="406" t="n">
        <v>103</v>
      </c>
      <c r="E202" s="199" t="s">
        <v>422</v>
      </c>
      <c r="F202" s="199" t="s">
        <v>457</v>
      </c>
      <c r="G202" s="199" t="s">
        <v>366</v>
      </c>
      <c r="H202" s="199" t="s">
        <v>94</v>
      </c>
      <c r="I202" s="199" t="s">
        <v>94</v>
      </c>
      <c r="J202" s="199" t="s">
        <v>68</v>
      </c>
      <c r="K202" s="199" t="s">
        <v>1435</v>
      </c>
      <c r="L202" s="407" t="n">
        <v>32800</v>
      </c>
      <c r="M202" s="407" t="n">
        <v>17370</v>
      </c>
      <c r="N202" s="408" t="n">
        <v>13.5</v>
      </c>
      <c r="O202" s="407" t="n">
        <v>15430</v>
      </c>
      <c r="P202" s="407" t="n">
        <v>13346.9</v>
      </c>
      <c r="Q202" s="234" t="n">
        <v>2023</v>
      </c>
      <c r="R202" s="234"/>
      <c r="S202" s="248" t="n">
        <v>45092</v>
      </c>
      <c r="T202" s="407" t="n">
        <f aca="false">Таблица18[[#This Row],[Вес нетто]]-Таблица18[[#This Row],[Зачетный вес]]</f>
        <v>2083.1</v>
      </c>
      <c r="U202" s="409" t="n">
        <f aca="false">Таблица18[[#This Row],[Отход]]/Таблица18[[#This Row],[Вес нетто]]</f>
        <v>0.1350032404407</v>
      </c>
      <c r="V202" s="234" t="n">
        <f aca="false">MONTH(Таблица18[[#This Row],[Дата акта]])</f>
        <v>6</v>
      </c>
      <c r="W202" s="234" t="n">
        <v>15</v>
      </c>
      <c r="X202" s="248" t="n">
        <f aca="false">DATE(1900,Таблица18[[#This Row],[Месяц]],Таблица18[[#This Row],[Число]])</f>
        <v>167</v>
      </c>
      <c r="Y202" s="234"/>
      <c r="AF202" s="411"/>
      <c r="AG202" s="412"/>
    </row>
    <row r="203" s="410" customFormat="true" ht="15" hidden="true" customHeight="true" outlineLevel="0" collapsed="false">
      <c r="A203" s="199" t="s">
        <v>1674</v>
      </c>
      <c r="B203" s="199" t="s">
        <v>417</v>
      </c>
      <c r="C203" s="405" t="n">
        <v>324</v>
      </c>
      <c r="D203" s="406" t="n">
        <v>104</v>
      </c>
      <c r="E203" s="199" t="s">
        <v>422</v>
      </c>
      <c r="F203" s="199" t="s">
        <v>371</v>
      </c>
      <c r="G203" s="199" t="s">
        <v>372</v>
      </c>
      <c r="H203" s="199" t="s">
        <v>94</v>
      </c>
      <c r="I203" s="199" t="s">
        <v>94</v>
      </c>
      <c r="J203" s="199" t="s">
        <v>68</v>
      </c>
      <c r="K203" s="199" t="s">
        <v>1435</v>
      </c>
      <c r="L203" s="407" t="n">
        <v>28170</v>
      </c>
      <c r="M203" s="407" t="n">
        <v>15050</v>
      </c>
      <c r="N203" s="408" t="n">
        <v>11.5</v>
      </c>
      <c r="O203" s="407" t="n">
        <v>13120</v>
      </c>
      <c r="P203" s="407" t="n">
        <v>11611.2</v>
      </c>
      <c r="Q203" s="234" t="n">
        <v>2023</v>
      </c>
      <c r="R203" s="234"/>
      <c r="S203" s="248" t="n">
        <v>45092</v>
      </c>
      <c r="T203" s="407" t="n">
        <f aca="false">Таблица18[[#This Row],[Вес нетто]]-Таблица18[[#This Row],[Зачетный вес]]</f>
        <v>1508.8</v>
      </c>
      <c r="U203" s="409" t="n">
        <f aca="false">Таблица18[[#This Row],[Отход]]/Таблица18[[#This Row],[Вес нетто]]</f>
        <v>0.115</v>
      </c>
      <c r="V203" s="234" t="n">
        <f aca="false">MONTH(Таблица18[[#This Row],[Дата акта]])</f>
        <v>6</v>
      </c>
      <c r="W203" s="234" t="n">
        <v>15</v>
      </c>
      <c r="X203" s="248" t="n">
        <f aca="false">DATE(1900,Таблица18[[#This Row],[Месяц]],Таблица18[[#This Row],[Число]])</f>
        <v>167</v>
      </c>
      <c r="Y203" s="234"/>
      <c r="AF203" s="411"/>
      <c r="AG203" s="412"/>
    </row>
    <row r="204" s="410" customFormat="true" ht="15" hidden="true" customHeight="true" outlineLevel="0" collapsed="false">
      <c r="A204" s="199" t="s">
        <v>1675</v>
      </c>
      <c r="B204" s="199" t="s">
        <v>417</v>
      </c>
      <c r="C204" s="405" t="n">
        <v>325</v>
      </c>
      <c r="D204" s="406" t="n">
        <v>105</v>
      </c>
      <c r="E204" s="199" t="s">
        <v>422</v>
      </c>
      <c r="F204" s="199" t="s">
        <v>1576</v>
      </c>
      <c r="G204" s="199" t="s">
        <v>1455</v>
      </c>
      <c r="H204" s="199" t="s">
        <v>94</v>
      </c>
      <c r="I204" s="199" t="s">
        <v>94</v>
      </c>
      <c r="J204" s="199" t="s">
        <v>68</v>
      </c>
      <c r="K204" s="199" t="s">
        <v>1435</v>
      </c>
      <c r="L204" s="407" t="n">
        <v>27350</v>
      </c>
      <c r="M204" s="407" t="n">
        <v>14380</v>
      </c>
      <c r="N204" s="408" t="n">
        <v>11.5</v>
      </c>
      <c r="O204" s="407" t="n">
        <v>12970</v>
      </c>
      <c r="P204" s="407" t="n">
        <v>11478.4</v>
      </c>
      <c r="Q204" s="234" t="n">
        <v>2023</v>
      </c>
      <c r="R204" s="234"/>
      <c r="S204" s="248" t="n">
        <v>45092</v>
      </c>
      <c r="T204" s="407" t="n">
        <f aca="false">Таблица18[[#This Row],[Вес нетто]]-Таблица18[[#This Row],[Зачетный вес]]</f>
        <v>1491.6</v>
      </c>
      <c r="U204" s="409" t="n">
        <f aca="false">Таблица18[[#This Row],[Отход]]/Таблица18[[#This Row],[Вес нетто]]</f>
        <v>0.115003855050116</v>
      </c>
      <c r="V204" s="234" t="n">
        <f aca="false">MONTH(Таблица18[[#This Row],[Дата акта]])</f>
        <v>6</v>
      </c>
      <c r="W204" s="234" t="n">
        <v>15</v>
      </c>
      <c r="X204" s="248" t="n">
        <f aca="false">DATE(1900,Таблица18[[#This Row],[Месяц]],Таблица18[[#This Row],[Число]])</f>
        <v>167</v>
      </c>
      <c r="Y204" s="234"/>
      <c r="AF204" s="411"/>
      <c r="AG204" s="412"/>
    </row>
    <row r="205" s="410" customFormat="true" ht="15" hidden="true" customHeight="true" outlineLevel="0" collapsed="false">
      <c r="A205" s="199" t="s">
        <v>1676</v>
      </c>
      <c r="B205" s="199" t="s">
        <v>417</v>
      </c>
      <c r="C205" s="405" t="n">
        <v>326</v>
      </c>
      <c r="D205" s="406" t="n">
        <v>106</v>
      </c>
      <c r="E205" s="199" t="s">
        <v>422</v>
      </c>
      <c r="F205" s="199" t="s">
        <v>457</v>
      </c>
      <c r="G205" s="199" t="s">
        <v>366</v>
      </c>
      <c r="H205" s="199" t="s">
        <v>94</v>
      </c>
      <c r="I205" s="199" t="s">
        <v>94</v>
      </c>
      <c r="J205" s="199" t="s">
        <v>68</v>
      </c>
      <c r="K205" s="199" t="s">
        <v>1435</v>
      </c>
      <c r="L205" s="407" t="n">
        <v>32610</v>
      </c>
      <c r="M205" s="407" t="n">
        <v>17350</v>
      </c>
      <c r="N205" s="408" t="n">
        <v>12.5</v>
      </c>
      <c r="O205" s="407" t="n">
        <v>15260</v>
      </c>
      <c r="P205" s="407" t="n">
        <v>13352.5</v>
      </c>
      <c r="Q205" s="234" t="n">
        <v>2023</v>
      </c>
      <c r="R205" s="234"/>
      <c r="S205" s="248" t="n">
        <v>45092</v>
      </c>
      <c r="T205" s="407" t="n">
        <f aca="false">Таблица18[[#This Row],[Вес нетто]]-Таблица18[[#This Row],[Зачетный вес]]</f>
        <v>1907.5</v>
      </c>
      <c r="U205" s="409" t="n">
        <f aca="false">Таблица18[[#This Row],[Отход]]/Таблица18[[#This Row],[Вес нетто]]</f>
        <v>0.125</v>
      </c>
      <c r="V205" s="234" t="n">
        <f aca="false">MONTH(Таблица18[[#This Row],[Дата акта]])</f>
        <v>6</v>
      </c>
      <c r="W205" s="234" t="n">
        <v>15</v>
      </c>
      <c r="X205" s="248" t="n">
        <f aca="false">DATE(1900,Таблица18[[#This Row],[Месяц]],Таблица18[[#This Row],[Число]])</f>
        <v>167</v>
      </c>
      <c r="Y205" s="234"/>
      <c r="AF205" s="411"/>
      <c r="AG205" s="412"/>
    </row>
    <row r="206" s="410" customFormat="true" ht="15" hidden="true" customHeight="true" outlineLevel="0" collapsed="false">
      <c r="A206" s="199" t="s">
        <v>1677</v>
      </c>
      <c r="B206" s="199" t="s">
        <v>417</v>
      </c>
      <c r="C206" s="405" t="n">
        <v>327</v>
      </c>
      <c r="D206" s="406" t="n">
        <v>107</v>
      </c>
      <c r="E206" s="199" t="s">
        <v>422</v>
      </c>
      <c r="F206" s="199" t="s">
        <v>371</v>
      </c>
      <c r="G206" s="199" t="s">
        <v>372</v>
      </c>
      <c r="H206" s="199" t="s">
        <v>94</v>
      </c>
      <c r="I206" s="199" t="s">
        <v>94</v>
      </c>
      <c r="J206" s="199" t="s">
        <v>68</v>
      </c>
      <c r="K206" s="199" t="s">
        <v>1435</v>
      </c>
      <c r="L206" s="407" t="n">
        <v>28220</v>
      </c>
      <c r="M206" s="407" t="n">
        <v>15090</v>
      </c>
      <c r="N206" s="408" t="n">
        <v>11.5</v>
      </c>
      <c r="O206" s="407" t="n">
        <v>13130</v>
      </c>
      <c r="P206" s="407" t="n">
        <v>11620</v>
      </c>
      <c r="Q206" s="234" t="n">
        <v>2023</v>
      </c>
      <c r="R206" s="234"/>
      <c r="S206" s="248" t="n">
        <v>45093</v>
      </c>
      <c r="T206" s="407" t="n">
        <f aca="false">Таблица18[[#This Row],[Вес нетто]]-Таблица18[[#This Row],[Зачетный вес]]</f>
        <v>1510</v>
      </c>
      <c r="U206" s="409" t="n">
        <f aca="false">Таблица18[[#This Row],[Отход]]/Таблица18[[#This Row],[Вес нетто]]</f>
        <v>0.115003808073115</v>
      </c>
      <c r="V206" s="234" t="n">
        <f aca="false">MONTH(Таблица18[[#This Row],[Дата акта]])</f>
        <v>6</v>
      </c>
      <c r="W206" s="234" t="n">
        <v>16</v>
      </c>
      <c r="X206" s="248" t="n">
        <f aca="false">DATE(1900,Таблица18[[#This Row],[Месяц]],Таблица18[[#This Row],[Число]])</f>
        <v>168</v>
      </c>
      <c r="Y206" s="234"/>
      <c r="AF206" s="411"/>
      <c r="AG206" s="412"/>
    </row>
    <row r="207" s="410" customFormat="true" ht="15" hidden="true" customHeight="true" outlineLevel="0" collapsed="false">
      <c r="A207" s="199" t="s">
        <v>1678</v>
      </c>
      <c r="B207" s="199" t="s">
        <v>417</v>
      </c>
      <c r="C207" s="405" t="n">
        <v>328</v>
      </c>
      <c r="D207" s="406" t="n">
        <v>108</v>
      </c>
      <c r="E207" s="199" t="s">
        <v>422</v>
      </c>
      <c r="F207" s="199" t="s">
        <v>1576</v>
      </c>
      <c r="G207" s="199" t="s">
        <v>1455</v>
      </c>
      <c r="H207" s="199" t="s">
        <v>94</v>
      </c>
      <c r="I207" s="199" t="s">
        <v>94</v>
      </c>
      <c r="J207" s="199" t="s">
        <v>68</v>
      </c>
      <c r="K207" s="199" t="s">
        <v>1435</v>
      </c>
      <c r="L207" s="407" t="n">
        <v>27390</v>
      </c>
      <c r="M207" s="407" t="n">
        <v>14430</v>
      </c>
      <c r="N207" s="408" t="n">
        <v>11.5</v>
      </c>
      <c r="O207" s="407" t="n">
        <v>12960</v>
      </c>
      <c r="P207" s="407" t="n">
        <v>11469.6</v>
      </c>
      <c r="Q207" s="234" t="n">
        <v>2023</v>
      </c>
      <c r="R207" s="234"/>
      <c r="S207" s="248" t="n">
        <v>45093</v>
      </c>
      <c r="T207" s="407" t="n">
        <f aca="false">Таблица18[[#This Row],[Вес нетто]]-Таблица18[[#This Row],[Зачетный вес]]</f>
        <v>1490.4</v>
      </c>
      <c r="U207" s="409" t="n">
        <f aca="false">Таблица18[[#This Row],[Отход]]/Таблица18[[#This Row],[Вес нетто]]</f>
        <v>0.115</v>
      </c>
      <c r="V207" s="234" t="n">
        <f aca="false">MONTH(Таблица18[[#This Row],[Дата акта]])</f>
        <v>6</v>
      </c>
      <c r="W207" s="234" t="n">
        <v>16</v>
      </c>
      <c r="X207" s="248" t="n">
        <f aca="false">DATE(1900,Таблица18[[#This Row],[Месяц]],Таблица18[[#This Row],[Число]])</f>
        <v>168</v>
      </c>
      <c r="Y207" s="234"/>
      <c r="AF207" s="411"/>
      <c r="AG207" s="412"/>
    </row>
    <row r="208" s="410" customFormat="true" ht="15" hidden="true" customHeight="true" outlineLevel="0" collapsed="false">
      <c r="A208" s="199" t="s">
        <v>1679</v>
      </c>
      <c r="B208" s="199" t="s">
        <v>417</v>
      </c>
      <c r="C208" s="405" t="n">
        <v>329</v>
      </c>
      <c r="D208" s="406" t="n">
        <v>109</v>
      </c>
      <c r="E208" s="199" t="s">
        <v>422</v>
      </c>
      <c r="F208" s="199" t="s">
        <v>457</v>
      </c>
      <c r="G208" s="199" t="s">
        <v>366</v>
      </c>
      <c r="H208" s="199" t="s">
        <v>94</v>
      </c>
      <c r="I208" s="199" t="s">
        <v>94</v>
      </c>
      <c r="J208" s="199" t="s">
        <v>68</v>
      </c>
      <c r="K208" s="199" t="s">
        <v>1435</v>
      </c>
      <c r="L208" s="407" t="n">
        <v>32260</v>
      </c>
      <c r="M208" s="407" t="n">
        <v>17350</v>
      </c>
      <c r="N208" s="408" t="n">
        <v>12.5</v>
      </c>
      <c r="O208" s="407" t="n">
        <v>14910</v>
      </c>
      <c r="P208" s="407" t="n">
        <v>13046.2</v>
      </c>
      <c r="Q208" s="234" t="n">
        <v>2023</v>
      </c>
      <c r="R208" s="234"/>
      <c r="S208" s="248" t="n">
        <v>45093</v>
      </c>
      <c r="T208" s="407" t="n">
        <f aca="false">Таблица18[[#This Row],[Вес нетто]]-Таблица18[[#This Row],[Зачетный вес]]</f>
        <v>1863.8</v>
      </c>
      <c r="U208" s="409" t="n">
        <f aca="false">Таблица18[[#This Row],[Отход]]/Таблица18[[#This Row],[Вес нетто]]</f>
        <v>0.125003353454058</v>
      </c>
      <c r="V208" s="234" t="n">
        <f aca="false">MONTH(Таблица18[[#This Row],[Дата акта]])</f>
        <v>6</v>
      </c>
      <c r="W208" s="234" t="n">
        <v>16</v>
      </c>
      <c r="X208" s="248" t="n">
        <f aca="false">DATE(1900,Таблица18[[#This Row],[Месяц]],Таблица18[[#This Row],[Число]])</f>
        <v>168</v>
      </c>
      <c r="Y208" s="234"/>
      <c r="AF208" s="411"/>
      <c r="AG208" s="412"/>
    </row>
    <row r="209" s="410" customFormat="true" ht="15" hidden="true" customHeight="true" outlineLevel="0" collapsed="false">
      <c r="A209" s="199" t="s">
        <v>1680</v>
      </c>
      <c r="B209" s="199" t="s">
        <v>417</v>
      </c>
      <c r="C209" s="405" t="n">
        <v>330</v>
      </c>
      <c r="D209" s="406" t="n">
        <v>107</v>
      </c>
      <c r="E209" s="199" t="s">
        <v>422</v>
      </c>
      <c r="F209" s="199" t="s">
        <v>371</v>
      </c>
      <c r="G209" s="199" t="s">
        <v>372</v>
      </c>
      <c r="H209" s="199" t="s">
        <v>94</v>
      </c>
      <c r="I209" s="199" t="s">
        <v>94</v>
      </c>
      <c r="J209" s="199" t="s">
        <v>68</v>
      </c>
      <c r="K209" s="199" t="s">
        <v>1435</v>
      </c>
      <c r="L209" s="407" t="n">
        <v>28260</v>
      </c>
      <c r="M209" s="407" t="n">
        <v>15080</v>
      </c>
      <c r="N209" s="408" t="n">
        <v>10.5</v>
      </c>
      <c r="O209" s="407" t="n">
        <v>13180</v>
      </c>
      <c r="P209" s="407" t="n">
        <v>11796.1</v>
      </c>
      <c r="Q209" s="234" t="n">
        <v>2023</v>
      </c>
      <c r="R209" s="234"/>
      <c r="S209" s="248" t="n">
        <v>45093</v>
      </c>
      <c r="T209" s="407" t="n">
        <f aca="false">Таблица18[[#This Row],[Вес нетто]]-Таблица18[[#This Row],[Зачетный вес]]</f>
        <v>1383.9</v>
      </c>
      <c r="U209" s="409" t="n">
        <f aca="false">Таблица18[[#This Row],[Отход]]/Таблица18[[#This Row],[Вес нетто]]</f>
        <v>0.105</v>
      </c>
      <c r="V209" s="234" t="n">
        <f aca="false">MONTH(Таблица18[[#This Row],[Дата акта]])</f>
        <v>6</v>
      </c>
      <c r="W209" s="234" t="n">
        <v>16</v>
      </c>
      <c r="X209" s="248" t="n">
        <f aca="false">DATE(1900,Таблица18[[#This Row],[Месяц]],Таблица18[[#This Row],[Число]])</f>
        <v>168</v>
      </c>
      <c r="Y209" s="234"/>
      <c r="AF209" s="411"/>
      <c r="AG209" s="412"/>
    </row>
    <row r="210" s="410" customFormat="true" ht="15" hidden="true" customHeight="true" outlineLevel="0" collapsed="false">
      <c r="A210" s="199" t="s">
        <v>1681</v>
      </c>
      <c r="B210" s="199" t="s">
        <v>417</v>
      </c>
      <c r="C210" s="405" t="n">
        <v>331</v>
      </c>
      <c r="D210" s="406" t="n">
        <v>111</v>
      </c>
      <c r="E210" s="199" t="s">
        <v>422</v>
      </c>
      <c r="F210" s="199" t="s">
        <v>1576</v>
      </c>
      <c r="G210" s="199" t="s">
        <v>1455</v>
      </c>
      <c r="H210" s="199" t="s">
        <v>94</v>
      </c>
      <c r="I210" s="199" t="s">
        <v>94</v>
      </c>
      <c r="J210" s="199" t="s">
        <v>68</v>
      </c>
      <c r="K210" s="199" t="s">
        <v>1435</v>
      </c>
      <c r="L210" s="407" t="n">
        <v>27520</v>
      </c>
      <c r="M210" s="407" t="n">
        <v>14500</v>
      </c>
      <c r="N210" s="408" t="n">
        <v>9.5</v>
      </c>
      <c r="O210" s="407" t="n">
        <v>13020</v>
      </c>
      <c r="P210" s="407" t="n">
        <v>11783.1</v>
      </c>
      <c r="Q210" s="234" t="n">
        <v>2023</v>
      </c>
      <c r="R210" s="234"/>
      <c r="S210" s="248" t="n">
        <v>45093</v>
      </c>
      <c r="T210" s="407" t="n">
        <f aca="false">Таблица18[[#This Row],[Вес нетто]]-Таблица18[[#This Row],[Зачетный вес]]</f>
        <v>1236.9</v>
      </c>
      <c r="U210" s="409" t="n">
        <f aca="false">Таблица18[[#This Row],[Отход]]/Таблица18[[#This Row],[Вес нетто]]</f>
        <v>0.095</v>
      </c>
      <c r="V210" s="234" t="n">
        <f aca="false">MONTH(Таблица18[[#This Row],[Дата акта]])</f>
        <v>6</v>
      </c>
      <c r="W210" s="234" t="n">
        <v>16</v>
      </c>
      <c r="X210" s="248" t="n">
        <f aca="false">DATE(1900,Таблица18[[#This Row],[Месяц]],Таблица18[[#This Row],[Число]])</f>
        <v>168</v>
      </c>
      <c r="Y210" s="234"/>
      <c r="AF210" s="411"/>
      <c r="AG210" s="412"/>
    </row>
    <row r="211" s="410" customFormat="true" ht="15" hidden="true" customHeight="true" outlineLevel="0" collapsed="false">
      <c r="A211" s="199" t="s">
        <v>1682</v>
      </c>
      <c r="B211" s="199" t="s">
        <v>417</v>
      </c>
      <c r="C211" s="405" t="n">
        <v>332</v>
      </c>
      <c r="D211" s="406" t="n">
        <v>112</v>
      </c>
      <c r="E211" s="199" t="s">
        <v>422</v>
      </c>
      <c r="F211" s="199" t="s">
        <v>457</v>
      </c>
      <c r="G211" s="199" t="s">
        <v>366</v>
      </c>
      <c r="H211" s="199" t="s">
        <v>94</v>
      </c>
      <c r="I211" s="199" t="s">
        <v>94</v>
      </c>
      <c r="J211" s="199" t="s">
        <v>68</v>
      </c>
      <c r="K211" s="199" t="s">
        <v>1435</v>
      </c>
      <c r="L211" s="407" t="n">
        <v>32560</v>
      </c>
      <c r="M211" s="407" t="n">
        <v>17350</v>
      </c>
      <c r="N211" s="408" t="n">
        <v>11.5</v>
      </c>
      <c r="O211" s="407" t="n">
        <v>15210</v>
      </c>
      <c r="P211" s="407" t="n">
        <v>13460.8</v>
      </c>
      <c r="Q211" s="234" t="n">
        <v>2023</v>
      </c>
      <c r="R211" s="234"/>
      <c r="S211" s="248" t="n">
        <v>45093</v>
      </c>
      <c r="T211" s="407" t="n">
        <f aca="false">Таблица18[[#This Row],[Вес нетто]]-Таблица18[[#This Row],[Зачетный вес]]</f>
        <v>1749.2</v>
      </c>
      <c r="U211" s="409" t="n">
        <f aca="false">Таблица18[[#This Row],[Отход]]/Таблица18[[#This Row],[Вес нетто]]</f>
        <v>0.11500328731098</v>
      </c>
      <c r="V211" s="234" t="n">
        <f aca="false">MONTH(Таблица18[[#This Row],[Дата акта]])</f>
        <v>6</v>
      </c>
      <c r="W211" s="234" t="n">
        <v>16</v>
      </c>
      <c r="X211" s="248" t="n">
        <f aca="false">DATE(1900,Таблица18[[#This Row],[Месяц]],Таблица18[[#This Row],[Число]])</f>
        <v>168</v>
      </c>
      <c r="Y211" s="234"/>
      <c r="AF211" s="411"/>
      <c r="AG211" s="412"/>
    </row>
    <row r="212" s="410" customFormat="true" ht="15" hidden="true" customHeight="true" outlineLevel="0" collapsed="false">
      <c r="A212" s="199" t="s">
        <v>1683</v>
      </c>
      <c r="B212" s="199" t="s">
        <v>417</v>
      </c>
      <c r="C212" s="405" t="n">
        <v>333</v>
      </c>
      <c r="D212" s="406" t="n">
        <v>113</v>
      </c>
      <c r="E212" s="199" t="s">
        <v>422</v>
      </c>
      <c r="F212" s="199" t="s">
        <v>1548</v>
      </c>
      <c r="G212" s="199" t="s">
        <v>1549</v>
      </c>
      <c r="H212" s="199" t="s">
        <v>94</v>
      </c>
      <c r="I212" s="199" t="s">
        <v>94</v>
      </c>
      <c r="J212" s="199" t="s">
        <v>68</v>
      </c>
      <c r="K212" s="199" t="s">
        <v>1435</v>
      </c>
      <c r="L212" s="407" t="n">
        <v>28310</v>
      </c>
      <c r="M212" s="407" t="n">
        <v>15050</v>
      </c>
      <c r="N212" s="408" t="n">
        <v>8</v>
      </c>
      <c r="O212" s="407" t="n">
        <v>13260</v>
      </c>
      <c r="P212" s="407" t="n">
        <v>12199.2</v>
      </c>
      <c r="Q212" s="234" t="n">
        <v>2023</v>
      </c>
      <c r="R212" s="234"/>
      <c r="S212" s="248" t="n">
        <v>45093</v>
      </c>
      <c r="T212" s="407" t="n">
        <f aca="false">Таблица18[[#This Row],[Вес нетто]]-Таблица18[[#This Row],[Зачетный вес]]</f>
        <v>1060.8</v>
      </c>
      <c r="U212" s="409" t="n">
        <f aca="false">Таблица18[[#This Row],[Отход]]/Таблица18[[#This Row],[Вес нетто]]</f>
        <v>0.08</v>
      </c>
      <c r="V212" s="234" t="n">
        <f aca="false">MONTH(Таблица18[[#This Row],[Дата акта]])</f>
        <v>6</v>
      </c>
      <c r="W212" s="234" t="n">
        <v>16</v>
      </c>
      <c r="X212" s="248" t="n">
        <f aca="false">DATE(1900,Таблица18[[#This Row],[Месяц]],Таблица18[[#This Row],[Число]])</f>
        <v>168</v>
      </c>
      <c r="Y212" s="234"/>
      <c r="AF212" s="411"/>
      <c r="AG212" s="412"/>
    </row>
    <row r="213" s="410" customFormat="true" ht="15" hidden="true" customHeight="true" outlineLevel="0" collapsed="false">
      <c r="A213" s="199" t="s">
        <v>1684</v>
      </c>
      <c r="B213" s="199" t="s">
        <v>417</v>
      </c>
      <c r="C213" s="405" t="n">
        <v>334</v>
      </c>
      <c r="D213" s="406" t="n">
        <v>114</v>
      </c>
      <c r="E213" s="199" t="s">
        <v>422</v>
      </c>
      <c r="F213" s="199" t="s">
        <v>359</v>
      </c>
      <c r="G213" s="199" t="s">
        <v>426</v>
      </c>
      <c r="H213" s="199" t="s">
        <v>94</v>
      </c>
      <c r="I213" s="199" t="s">
        <v>94</v>
      </c>
      <c r="J213" s="199" t="s">
        <v>68</v>
      </c>
      <c r="K213" s="199" t="s">
        <v>1435</v>
      </c>
      <c r="L213" s="407" t="n">
        <v>27250</v>
      </c>
      <c r="M213" s="407" t="n">
        <v>14040</v>
      </c>
      <c r="N213" s="408" t="n">
        <v>9.5</v>
      </c>
      <c r="O213" s="407" t="n">
        <v>13210</v>
      </c>
      <c r="P213" s="407" t="n">
        <v>11955</v>
      </c>
      <c r="Q213" s="234" t="n">
        <v>2023</v>
      </c>
      <c r="R213" s="234"/>
      <c r="S213" s="248" t="n">
        <v>45093</v>
      </c>
      <c r="T213" s="407" t="n">
        <f aca="false">Таблица18[[#This Row],[Вес нетто]]-Таблица18[[#This Row],[Зачетный вес]]</f>
        <v>1255</v>
      </c>
      <c r="U213" s="409" t="n">
        <f aca="false">Таблица18[[#This Row],[Отход]]/Таблица18[[#This Row],[Вес нетто]]</f>
        <v>0.095003785011355</v>
      </c>
      <c r="V213" s="234" t="n">
        <f aca="false">MONTH(Таблица18[[#This Row],[Дата акта]])</f>
        <v>6</v>
      </c>
      <c r="W213" s="234" t="n">
        <v>16</v>
      </c>
      <c r="X213" s="248" t="n">
        <f aca="false">DATE(1900,Таблица18[[#This Row],[Месяц]],Таблица18[[#This Row],[Число]])</f>
        <v>168</v>
      </c>
      <c r="Y213" s="234"/>
      <c r="AF213" s="411"/>
      <c r="AG213" s="412"/>
    </row>
    <row r="214" s="410" customFormat="true" ht="15" hidden="true" customHeight="true" outlineLevel="0" collapsed="false">
      <c r="A214" s="199" t="s">
        <v>1685</v>
      </c>
      <c r="B214" s="199" t="s">
        <v>417</v>
      </c>
      <c r="C214" s="405" t="n">
        <v>335</v>
      </c>
      <c r="D214" s="406" t="n">
        <v>115</v>
      </c>
      <c r="E214" s="199" t="s">
        <v>422</v>
      </c>
      <c r="F214" s="199" t="s">
        <v>1449</v>
      </c>
      <c r="G214" s="199" t="s">
        <v>704</v>
      </c>
      <c r="H214" s="199" t="s">
        <v>94</v>
      </c>
      <c r="I214" s="199" t="s">
        <v>94</v>
      </c>
      <c r="J214" s="199" t="s">
        <v>68</v>
      </c>
      <c r="K214" s="199" t="s">
        <v>1435</v>
      </c>
      <c r="L214" s="407" t="n">
        <v>27880</v>
      </c>
      <c r="M214" s="407" t="n">
        <v>14630</v>
      </c>
      <c r="N214" s="408" t="n">
        <v>8.5</v>
      </c>
      <c r="O214" s="407" t="n">
        <v>13250</v>
      </c>
      <c r="P214" s="407" t="n">
        <v>12123.7</v>
      </c>
      <c r="Q214" s="234" t="n">
        <v>2023</v>
      </c>
      <c r="R214" s="234"/>
      <c r="S214" s="248" t="n">
        <v>45093</v>
      </c>
      <c r="T214" s="407" t="n">
        <f aca="false">Таблица18[[#This Row],[Вес нетто]]-Таблица18[[#This Row],[Зачетный вес]]</f>
        <v>1126.3</v>
      </c>
      <c r="U214" s="409" t="n">
        <f aca="false">Таблица18[[#This Row],[Отход]]/Таблица18[[#This Row],[Вес нетто]]</f>
        <v>0.0850037735849056</v>
      </c>
      <c r="V214" s="234" t="n">
        <f aca="false">MONTH(Таблица18[[#This Row],[Дата акта]])</f>
        <v>6</v>
      </c>
      <c r="W214" s="234" t="n">
        <v>16</v>
      </c>
      <c r="X214" s="248" t="n">
        <f aca="false">DATE(1900,Таблица18[[#This Row],[Месяц]],Таблица18[[#This Row],[Число]])</f>
        <v>168</v>
      </c>
      <c r="Y214" s="234"/>
      <c r="AF214" s="411"/>
      <c r="AG214" s="412"/>
    </row>
    <row r="215" s="410" customFormat="true" ht="15" hidden="true" customHeight="true" outlineLevel="0" collapsed="false">
      <c r="A215" s="199" t="s">
        <v>1686</v>
      </c>
      <c r="B215" s="199" t="s">
        <v>417</v>
      </c>
      <c r="C215" s="405" t="n">
        <v>336</v>
      </c>
      <c r="D215" s="406" t="n">
        <v>116</v>
      </c>
      <c r="E215" s="199" t="s">
        <v>422</v>
      </c>
      <c r="F215" s="199" t="s">
        <v>1523</v>
      </c>
      <c r="G215" s="199" t="s">
        <v>1447</v>
      </c>
      <c r="H215" s="199" t="s">
        <v>94</v>
      </c>
      <c r="I215" s="199" t="s">
        <v>94</v>
      </c>
      <c r="J215" s="199" t="s">
        <v>68</v>
      </c>
      <c r="K215" s="199" t="s">
        <v>1435</v>
      </c>
      <c r="L215" s="407" t="n">
        <v>28080</v>
      </c>
      <c r="M215" s="407" t="n">
        <v>14770</v>
      </c>
      <c r="N215" s="408" t="n">
        <v>9</v>
      </c>
      <c r="O215" s="407" t="n">
        <v>13310</v>
      </c>
      <c r="P215" s="407" t="n">
        <v>12112.1</v>
      </c>
      <c r="Q215" s="234" t="n">
        <v>2023</v>
      </c>
      <c r="R215" s="234"/>
      <c r="S215" s="248" t="n">
        <v>45093</v>
      </c>
      <c r="T215" s="407" t="n">
        <f aca="false">Таблица18[[#This Row],[Вес нетто]]-Таблица18[[#This Row],[Зачетный вес]]</f>
        <v>1197.9</v>
      </c>
      <c r="U215" s="409" t="n">
        <f aca="false">Таблица18[[#This Row],[Отход]]/Таблица18[[#This Row],[Вес нетто]]</f>
        <v>0.09</v>
      </c>
      <c r="V215" s="234" t="n">
        <f aca="false">MONTH(Таблица18[[#This Row],[Дата акта]])</f>
        <v>6</v>
      </c>
      <c r="W215" s="234" t="n">
        <v>16</v>
      </c>
      <c r="X215" s="248" t="n">
        <f aca="false">DATE(1900,Таблица18[[#This Row],[Месяц]],Таблица18[[#This Row],[Число]])</f>
        <v>168</v>
      </c>
      <c r="Y215" s="234"/>
      <c r="AF215" s="411"/>
      <c r="AG215" s="412"/>
    </row>
    <row r="216" s="410" customFormat="true" ht="15" hidden="true" customHeight="true" outlineLevel="0" collapsed="false">
      <c r="A216" s="199" t="s">
        <v>1687</v>
      </c>
      <c r="B216" s="199" t="s">
        <v>746</v>
      </c>
      <c r="C216" s="405" t="n">
        <v>338</v>
      </c>
      <c r="D216" s="406" t="n">
        <v>117</v>
      </c>
      <c r="E216" s="199" t="s">
        <v>422</v>
      </c>
      <c r="F216" s="199" t="s">
        <v>1548</v>
      </c>
      <c r="G216" s="199" t="s">
        <v>1549</v>
      </c>
      <c r="H216" s="199" t="s">
        <v>94</v>
      </c>
      <c r="I216" s="199" t="s">
        <v>94</v>
      </c>
      <c r="J216" s="199" t="s">
        <v>68</v>
      </c>
      <c r="K216" s="199" t="s">
        <v>1435</v>
      </c>
      <c r="L216" s="407" t="n">
        <v>28260</v>
      </c>
      <c r="M216" s="407" t="n">
        <v>15030</v>
      </c>
      <c r="N216" s="408" t="n">
        <v>10.5</v>
      </c>
      <c r="O216" s="407" t="n">
        <v>13230</v>
      </c>
      <c r="P216" s="407" t="n">
        <v>11840.8</v>
      </c>
      <c r="Q216" s="234" t="n">
        <v>2023</v>
      </c>
      <c r="R216" s="234"/>
      <c r="S216" s="248" t="n">
        <v>45093</v>
      </c>
      <c r="T216" s="407" t="n">
        <f aca="false">Таблица18[[#This Row],[Вес нетто]]-Таблица18[[#This Row],[Зачетный вес]]</f>
        <v>1389.2</v>
      </c>
      <c r="U216" s="409" t="n">
        <f aca="false">Таблица18[[#This Row],[Отход]]/Таблица18[[#This Row],[Вес нетто]]</f>
        <v>0.105003779289494</v>
      </c>
      <c r="V216" s="234" t="n">
        <f aca="false">MONTH(Таблица18[[#This Row],[Дата акта]])</f>
        <v>6</v>
      </c>
      <c r="W216" s="234" t="n">
        <v>16</v>
      </c>
      <c r="X216" s="248" t="n">
        <f aca="false">DATE(1900,Таблица18[[#This Row],[Месяц]],Таблица18[[#This Row],[Число]])</f>
        <v>168</v>
      </c>
      <c r="Y216" s="234"/>
      <c r="AF216" s="411"/>
      <c r="AG216" s="412"/>
    </row>
    <row r="217" s="410" customFormat="true" ht="15" hidden="true" customHeight="true" outlineLevel="0" collapsed="false">
      <c r="A217" s="199" t="s">
        <v>1688</v>
      </c>
      <c r="B217" s="199" t="s">
        <v>417</v>
      </c>
      <c r="C217" s="405" t="n">
        <v>340</v>
      </c>
      <c r="D217" s="406" t="n">
        <v>118</v>
      </c>
      <c r="E217" s="199" t="s">
        <v>422</v>
      </c>
      <c r="F217" s="199" t="s">
        <v>359</v>
      </c>
      <c r="G217" s="199" t="s">
        <v>426</v>
      </c>
      <c r="H217" s="199" t="s">
        <v>94</v>
      </c>
      <c r="I217" s="199" t="s">
        <v>94</v>
      </c>
      <c r="J217" s="199" t="s">
        <v>68</v>
      </c>
      <c r="K217" s="199" t="s">
        <v>1435</v>
      </c>
      <c r="L217" s="407" t="n">
        <v>32110</v>
      </c>
      <c r="M217" s="407" t="n">
        <v>14020</v>
      </c>
      <c r="N217" s="408" t="n">
        <v>9.5</v>
      </c>
      <c r="O217" s="407" t="n">
        <v>18090</v>
      </c>
      <c r="P217" s="407" t="n">
        <v>16371.4</v>
      </c>
      <c r="Q217" s="234" t="n">
        <v>2023</v>
      </c>
      <c r="R217" s="234"/>
      <c r="S217" s="248" t="n">
        <v>45093</v>
      </c>
      <c r="T217" s="407" t="n">
        <f aca="false">Таблица18[[#This Row],[Вес нетто]]-Таблица18[[#This Row],[Зачетный вес]]</f>
        <v>1718.6</v>
      </c>
      <c r="U217" s="409" t="n">
        <f aca="false">Таблица18[[#This Row],[Отход]]/Таблица18[[#This Row],[Вес нетто]]</f>
        <v>0.0950027639579879</v>
      </c>
      <c r="V217" s="234" t="n">
        <f aca="false">MONTH(Таблица18[[#This Row],[Дата акта]])</f>
        <v>6</v>
      </c>
      <c r="W217" s="234" t="n">
        <v>16</v>
      </c>
      <c r="X217" s="248" t="n">
        <f aca="false">DATE(1900,Таблица18[[#This Row],[Месяц]],Таблица18[[#This Row],[Число]])</f>
        <v>168</v>
      </c>
      <c r="Y217" s="234"/>
      <c r="AF217" s="411"/>
      <c r="AG217" s="412"/>
    </row>
    <row r="218" s="410" customFormat="true" ht="15" hidden="true" customHeight="true" outlineLevel="0" collapsed="false">
      <c r="A218" s="199" t="s">
        <v>1689</v>
      </c>
      <c r="B218" s="199" t="s">
        <v>746</v>
      </c>
      <c r="C218" s="405" t="n">
        <v>341</v>
      </c>
      <c r="D218" s="406" t="n">
        <v>119</v>
      </c>
      <c r="E218" s="199" t="s">
        <v>422</v>
      </c>
      <c r="F218" s="199" t="s">
        <v>1449</v>
      </c>
      <c r="G218" s="199" t="s">
        <v>704</v>
      </c>
      <c r="H218" s="199" t="s">
        <v>94</v>
      </c>
      <c r="I218" s="199" t="s">
        <v>94</v>
      </c>
      <c r="J218" s="199" t="s">
        <v>68</v>
      </c>
      <c r="K218" s="199" t="s">
        <v>1435</v>
      </c>
      <c r="L218" s="407" t="n">
        <v>27380</v>
      </c>
      <c r="M218" s="407" t="n">
        <v>14610</v>
      </c>
      <c r="N218" s="408" t="n">
        <v>8.5</v>
      </c>
      <c r="O218" s="407" t="n">
        <v>12770</v>
      </c>
      <c r="P218" s="407" t="n">
        <v>11684.5</v>
      </c>
      <c r="Q218" s="234" t="n">
        <v>2023</v>
      </c>
      <c r="R218" s="234"/>
      <c r="S218" s="248" t="n">
        <v>45093</v>
      </c>
      <c r="T218" s="407" t="n">
        <f aca="false">Таблица18[[#This Row],[Вес нетто]]-Таблица18[[#This Row],[Зачетный вес]]</f>
        <v>1085.5</v>
      </c>
      <c r="U218" s="409" t="n">
        <f aca="false">Таблица18[[#This Row],[Отход]]/Таблица18[[#This Row],[Вес нетто]]</f>
        <v>0.0850039154267815</v>
      </c>
      <c r="V218" s="234" t="n">
        <f aca="false">MONTH(Таблица18[[#This Row],[Дата акта]])</f>
        <v>6</v>
      </c>
      <c r="W218" s="234" t="n">
        <v>16</v>
      </c>
      <c r="X218" s="248" t="n">
        <f aca="false">DATE(1900,Таблица18[[#This Row],[Месяц]],Таблица18[[#This Row],[Число]])</f>
        <v>168</v>
      </c>
      <c r="Y218" s="234"/>
      <c r="AF218" s="411"/>
      <c r="AG218" s="412"/>
    </row>
    <row r="219" s="410" customFormat="true" ht="15" hidden="true" customHeight="true" outlineLevel="0" collapsed="false">
      <c r="A219" s="199" t="s">
        <v>1690</v>
      </c>
      <c r="B219" s="199" t="s">
        <v>417</v>
      </c>
      <c r="C219" s="405" t="n">
        <v>342</v>
      </c>
      <c r="D219" s="406" t="n">
        <v>120</v>
      </c>
      <c r="E219" s="199" t="s">
        <v>422</v>
      </c>
      <c r="F219" s="199" t="s">
        <v>1523</v>
      </c>
      <c r="G219" s="199" t="s">
        <v>1447</v>
      </c>
      <c r="H219" s="199" t="s">
        <v>1691</v>
      </c>
      <c r="I219" s="199" t="s">
        <v>1691</v>
      </c>
      <c r="J219" s="199" t="s">
        <v>68</v>
      </c>
      <c r="K219" s="199" t="s">
        <v>1435</v>
      </c>
      <c r="L219" s="407" t="n">
        <v>28340</v>
      </c>
      <c r="M219" s="234"/>
      <c r="N219" s="408" t="n">
        <v>11.5</v>
      </c>
      <c r="O219" s="407" t="n">
        <v>13590</v>
      </c>
      <c r="P219" s="407" t="n">
        <v>12027.1</v>
      </c>
      <c r="Q219" s="234" t="n">
        <v>2023</v>
      </c>
      <c r="R219" s="234"/>
      <c r="S219" s="248" t="n">
        <v>45093</v>
      </c>
      <c r="T219" s="407" t="n">
        <f aca="false">Таблица18[[#This Row],[Вес нетто]]-Таблица18[[#This Row],[Зачетный вес]]</f>
        <v>1562.9</v>
      </c>
      <c r="U219" s="409" t="n">
        <f aca="false">Таблица18[[#This Row],[Отход]]/Таблица18[[#This Row],[Вес нетто]]</f>
        <v>0.115003679175865</v>
      </c>
      <c r="V219" s="234" t="n">
        <f aca="false">MONTH(Таблица18[[#This Row],[Дата акта]])</f>
        <v>6</v>
      </c>
      <c r="W219" s="234" t="n">
        <v>16</v>
      </c>
      <c r="X219" s="248" t="n">
        <f aca="false">DATE(1900,Таблица18[[#This Row],[Месяц]],Таблица18[[#This Row],[Число]])</f>
        <v>168</v>
      </c>
      <c r="Y219" s="234"/>
      <c r="AF219" s="411"/>
      <c r="AG219" s="412"/>
    </row>
    <row r="220" s="410" customFormat="true" ht="15" hidden="true" customHeight="true" outlineLevel="0" collapsed="false">
      <c r="A220" s="199" t="s">
        <v>1692</v>
      </c>
      <c r="B220" s="199" t="s">
        <v>417</v>
      </c>
      <c r="C220" s="405" t="n">
        <v>343</v>
      </c>
      <c r="D220" s="406" t="n">
        <v>121</v>
      </c>
      <c r="E220" s="199" t="s">
        <v>422</v>
      </c>
      <c r="F220" s="199" t="s">
        <v>1548</v>
      </c>
      <c r="G220" s="199" t="s">
        <v>1549</v>
      </c>
      <c r="H220" s="199" t="s">
        <v>1691</v>
      </c>
      <c r="I220" s="199" t="s">
        <v>1691</v>
      </c>
      <c r="J220" s="199" t="s">
        <v>68</v>
      </c>
      <c r="K220" s="199" t="s">
        <v>1435</v>
      </c>
      <c r="L220" s="407" t="n">
        <v>28630</v>
      </c>
      <c r="M220" s="407" t="n">
        <v>15020</v>
      </c>
      <c r="N220" s="408" t="n">
        <v>10.5</v>
      </c>
      <c r="O220" s="407" t="n">
        <v>13610</v>
      </c>
      <c r="P220" s="407" t="n">
        <v>12180.9</v>
      </c>
      <c r="Q220" s="234" t="n">
        <v>2023</v>
      </c>
      <c r="R220" s="234"/>
      <c r="S220" s="248" t="n">
        <v>45093</v>
      </c>
      <c r="T220" s="407" t="n">
        <f aca="false">Таблица18[[#This Row],[Вес нетто]]-Таблица18[[#This Row],[Зачетный вес]]</f>
        <v>1429.1</v>
      </c>
      <c r="U220" s="409" t="n">
        <f aca="false">Таблица18[[#This Row],[Отход]]/Таблица18[[#This Row],[Вес нетто]]</f>
        <v>0.105003673769287</v>
      </c>
      <c r="V220" s="234" t="n">
        <f aca="false">MONTH(Таблица18[[#This Row],[Дата акта]])</f>
        <v>6</v>
      </c>
      <c r="W220" s="234" t="n">
        <v>16</v>
      </c>
      <c r="X220" s="248" t="n">
        <f aca="false">DATE(1900,Таблица18[[#This Row],[Месяц]],Таблица18[[#This Row],[Число]])</f>
        <v>168</v>
      </c>
      <c r="Y220" s="234"/>
      <c r="AF220" s="411"/>
      <c r="AG220" s="412"/>
    </row>
    <row r="221" s="410" customFormat="true" ht="15" hidden="true" customHeight="true" outlineLevel="0" collapsed="false">
      <c r="A221" s="199" t="s">
        <v>1693</v>
      </c>
      <c r="B221" s="199" t="s">
        <v>417</v>
      </c>
      <c r="C221" s="405" t="n">
        <v>344</v>
      </c>
      <c r="D221" s="406" t="n">
        <v>122</v>
      </c>
      <c r="E221" s="199" t="s">
        <v>422</v>
      </c>
      <c r="F221" s="199" t="s">
        <v>359</v>
      </c>
      <c r="G221" s="199" t="s">
        <v>426</v>
      </c>
      <c r="H221" s="199" t="s">
        <v>1691</v>
      </c>
      <c r="I221" s="199" t="s">
        <v>1691</v>
      </c>
      <c r="J221" s="199" t="s">
        <v>68</v>
      </c>
      <c r="K221" s="199" t="s">
        <v>1435</v>
      </c>
      <c r="L221" s="407" t="n">
        <v>27590</v>
      </c>
      <c r="M221" s="407" t="n">
        <v>14180</v>
      </c>
      <c r="N221" s="408" t="n">
        <v>10.5</v>
      </c>
      <c r="O221" s="407" t="n">
        <v>13410</v>
      </c>
      <c r="P221" s="407" t="n">
        <v>12001.9</v>
      </c>
      <c r="Q221" s="234" t="n">
        <v>2023</v>
      </c>
      <c r="R221" s="234"/>
      <c r="S221" s="248" t="n">
        <v>45093</v>
      </c>
      <c r="T221" s="407" t="n">
        <f aca="false">Таблица18[[#This Row],[Вес нетто]]-Таблица18[[#This Row],[Зачетный вес]]</f>
        <v>1408.1</v>
      </c>
      <c r="U221" s="409" t="n">
        <f aca="false">Таблица18[[#This Row],[Отход]]/Таблица18[[#This Row],[Вес нетто]]</f>
        <v>0.105003728560776</v>
      </c>
      <c r="V221" s="234" t="n">
        <f aca="false">MONTH(Таблица18[[#This Row],[Дата акта]])</f>
        <v>6</v>
      </c>
      <c r="W221" s="234" t="n">
        <v>16</v>
      </c>
      <c r="X221" s="248" t="n">
        <f aca="false">DATE(1900,Таблица18[[#This Row],[Месяц]],Таблица18[[#This Row],[Число]])</f>
        <v>168</v>
      </c>
      <c r="Y221" s="234"/>
      <c r="AF221" s="411"/>
      <c r="AG221" s="412"/>
    </row>
    <row r="222" s="410" customFormat="true" ht="15" hidden="true" customHeight="true" outlineLevel="0" collapsed="false">
      <c r="A222" s="199" t="s">
        <v>1694</v>
      </c>
      <c r="B222" s="199" t="s">
        <v>886</v>
      </c>
      <c r="C222" s="405" t="n">
        <v>345</v>
      </c>
      <c r="D222" s="406" t="n">
        <v>123</v>
      </c>
      <c r="E222" s="199" t="s">
        <v>422</v>
      </c>
      <c r="F222" s="199" t="s">
        <v>1449</v>
      </c>
      <c r="G222" s="199" t="s">
        <v>704</v>
      </c>
      <c r="H222" s="199" t="s">
        <v>1691</v>
      </c>
      <c r="I222" s="199" t="s">
        <v>1691</v>
      </c>
      <c r="J222" s="199" t="s">
        <v>68</v>
      </c>
      <c r="K222" s="199" t="s">
        <v>1435</v>
      </c>
      <c r="L222" s="407" t="n">
        <v>27850</v>
      </c>
      <c r="M222" s="407" t="n">
        <v>14590</v>
      </c>
      <c r="N222" s="408" t="n">
        <v>8.5</v>
      </c>
      <c r="O222" s="407" t="n">
        <v>13260</v>
      </c>
      <c r="P222" s="407" t="n">
        <v>12132.9</v>
      </c>
      <c r="Q222" s="234" t="n">
        <v>2023</v>
      </c>
      <c r="R222" s="234"/>
      <c r="S222" s="248" t="n">
        <v>45094</v>
      </c>
      <c r="T222" s="407" t="n">
        <f aca="false">Таблица18[[#This Row],[Вес нетто]]-Таблица18[[#This Row],[Зачетный вес]]</f>
        <v>1127.1</v>
      </c>
      <c r="U222" s="409" t="n">
        <f aca="false">Таблица18[[#This Row],[Отход]]/Таблица18[[#This Row],[Вес нетто]]</f>
        <v>0.085</v>
      </c>
      <c r="V222" s="234" t="n">
        <f aca="false">MONTH(Таблица18[[#This Row],[Дата акта]])</f>
        <v>6</v>
      </c>
      <c r="W222" s="234" t="n">
        <v>17</v>
      </c>
      <c r="X222" s="248" t="n">
        <f aca="false">DATE(1900,Таблица18[[#This Row],[Месяц]],Таблица18[[#This Row],[Число]])</f>
        <v>169</v>
      </c>
      <c r="Y222" s="234"/>
      <c r="AF222" s="411"/>
      <c r="AG222" s="412"/>
    </row>
    <row r="223" s="410" customFormat="true" ht="15" hidden="true" customHeight="true" outlineLevel="0" collapsed="false">
      <c r="A223" s="199" t="s">
        <v>1695</v>
      </c>
      <c r="B223" s="199" t="s">
        <v>886</v>
      </c>
      <c r="C223" s="405" t="n">
        <v>346</v>
      </c>
      <c r="D223" s="406" t="n">
        <v>124</v>
      </c>
      <c r="E223" s="199" t="s">
        <v>422</v>
      </c>
      <c r="F223" s="199" t="s">
        <v>1523</v>
      </c>
      <c r="G223" s="199" t="s">
        <v>1447</v>
      </c>
      <c r="H223" s="199" t="s">
        <v>1691</v>
      </c>
      <c r="I223" s="199" t="s">
        <v>1691</v>
      </c>
      <c r="J223" s="199" t="s">
        <v>68</v>
      </c>
      <c r="K223" s="199" t="s">
        <v>1435</v>
      </c>
      <c r="L223" s="407" t="n">
        <v>28020</v>
      </c>
      <c r="M223" s="407" t="n">
        <v>14640</v>
      </c>
      <c r="N223" s="408" t="n">
        <v>7.5</v>
      </c>
      <c r="O223" s="407" t="n">
        <v>13380</v>
      </c>
      <c r="P223" s="407" t="n">
        <v>12376.5</v>
      </c>
      <c r="Q223" s="234" t="n">
        <v>2023</v>
      </c>
      <c r="R223" s="234"/>
      <c r="S223" s="248" t="n">
        <v>45094</v>
      </c>
      <c r="T223" s="407" t="n">
        <f aca="false">Таблица18[[#This Row],[Вес нетто]]-Таблица18[[#This Row],[Зачетный вес]]</f>
        <v>1003.5</v>
      </c>
      <c r="U223" s="409" t="n">
        <f aca="false">Таблица18[[#This Row],[Отход]]/Таблица18[[#This Row],[Вес нетто]]</f>
        <v>0.075</v>
      </c>
      <c r="V223" s="234" t="n">
        <f aca="false">MONTH(Таблица18[[#This Row],[Дата акта]])</f>
        <v>6</v>
      </c>
      <c r="W223" s="234" t="n">
        <v>17</v>
      </c>
      <c r="X223" s="248" t="n">
        <f aca="false">DATE(1900,Таблица18[[#This Row],[Месяц]],Таблица18[[#This Row],[Число]])</f>
        <v>169</v>
      </c>
      <c r="Y223" s="234"/>
      <c r="AF223" s="411"/>
      <c r="AG223" s="412"/>
    </row>
    <row r="224" s="410" customFormat="true" ht="15" hidden="true" customHeight="true" outlineLevel="0" collapsed="false">
      <c r="A224" s="199" t="s">
        <v>1696</v>
      </c>
      <c r="B224" s="199" t="s">
        <v>886</v>
      </c>
      <c r="C224" s="405" t="n">
        <v>347</v>
      </c>
      <c r="D224" s="406" t="n">
        <v>125</v>
      </c>
      <c r="E224" s="199" t="s">
        <v>422</v>
      </c>
      <c r="F224" s="199" t="s">
        <v>1548</v>
      </c>
      <c r="G224" s="199" t="s">
        <v>1549</v>
      </c>
      <c r="H224" s="199" t="s">
        <v>1691</v>
      </c>
      <c r="I224" s="199" t="s">
        <v>1691</v>
      </c>
      <c r="J224" s="199" t="s">
        <v>68</v>
      </c>
      <c r="K224" s="199" t="s">
        <v>1435</v>
      </c>
      <c r="L224" s="407" t="n">
        <v>28260</v>
      </c>
      <c r="M224" s="407" t="n">
        <v>15000</v>
      </c>
      <c r="N224" s="408" t="n">
        <v>7.5</v>
      </c>
      <c r="O224" s="407" t="n">
        <v>13260</v>
      </c>
      <c r="P224" s="407" t="n">
        <v>12265.5</v>
      </c>
      <c r="Q224" s="234" t="n">
        <v>2023</v>
      </c>
      <c r="R224" s="234"/>
      <c r="S224" s="248" t="n">
        <v>45094</v>
      </c>
      <c r="T224" s="407" t="n">
        <f aca="false">Таблица18[[#This Row],[Вес нетто]]-Таблица18[[#This Row],[Зачетный вес]]</f>
        <v>994.5</v>
      </c>
      <c r="U224" s="409" t="n">
        <f aca="false">Таблица18[[#This Row],[Отход]]/Таблица18[[#This Row],[Вес нетто]]</f>
        <v>0.075</v>
      </c>
      <c r="V224" s="234" t="n">
        <f aca="false">MONTH(Таблица18[[#This Row],[Дата акта]])</f>
        <v>6</v>
      </c>
      <c r="W224" s="234" t="n">
        <v>17</v>
      </c>
      <c r="X224" s="248" t="n">
        <f aca="false">DATE(1900,Таблица18[[#This Row],[Месяц]],Таблица18[[#This Row],[Число]])</f>
        <v>169</v>
      </c>
      <c r="Y224" s="234"/>
      <c r="AF224" s="411"/>
      <c r="AG224" s="412"/>
    </row>
    <row r="225" s="410" customFormat="true" ht="15" hidden="true" customHeight="true" outlineLevel="0" collapsed="false">
      <c r="A225" s="199" t="s">
        <v>1697</v>
      </c>
      <c r="B225" s="199" t="s">
        <v>886</v>
      </c>
      <c r="C225" s="405" t="n">
        <v>348</v>
      </c>
      <c r="D225" s="406" t="n">
        <v>126</v>
      </c>
      <c r="E225" s="199" t="s">
        <v>422</v>
      </c>
      <c r="F225" s="199" t="s">
        <v>359</v>
      </c>
      <c r="G225" s="199" t="s">
        <v>426</v>
      </c>
      <c r="H225" s="199" t="s">
        <v>1691</v>
      </c>
      <c r="I225" s="199" t="s">
        <v>1691</v>
      </c>
      <c r="J225" s="199" t="s">
        <v>68</v>
      </c>
      <c r="K225" s="199" t="s">
        <v>1435</v>
      </c>
      <c r="L225" s="407" t="n">
        <v>27400</v>
      </c>
      <c r="M225" s="407" t="n">
        <v>14160</v>
      </c>
      <c r="N225" s="408" t="n">
        <v>7.5</v>
      </c>
      <c r="O225" s="407" t="n">
        <v>13240</v>
      </c>
      <c r="P225" s="407" t="n">
        <v>12247</v>
      </c>
      <c r="Q225" s="234" t="n">
        <v>2023</v>
      </c>
      <c r="R225" s="234"/>
      <c r="S225" s="248" t="n">
        <v>45094</v>
      </c>
      <c r="T225" s="407" t="n">
        <f aca="false">Таблица18[[#This Row],[Вес нетто]]-Таблица18[[#This Row],[Зачетный вес]]</f>
        <v>993</v>
      </c>
      <c r="U225" s="409" t="n">
        <f aca="false">Таблица18[[#This Row],[Отход]]/Таблица18[[#This Row],[Вес нетто]]</f>
        <v>0.075</v>
      </c>
      <c r="V225" s="234" t="n">
        <f aca="false">MONTH(Таблица18[[#This Row],[Дата акта]])</f>
        <v>6</v>
      </c>
      <c r="W225" s="234" t="n">
        <v>17</v>
      </c>
      <c r="X225" s="248" t="n">
        <f aca="false">DATE(1900,Таблица18[[#This Row],[Месяц]],Таблица18[[#This Row],[Число]])</f>
        <v>169</v>
      </c>
      <c r="Y225" s="234"/>
      <c r="AF225" s="411"/>
      <c r="AG225" s="412"/>
    </row>
    <row r="226" s="410" customFormat="true" ht="15" hidden="true" customHeight="true" outlineLevel="0" collapsed="false">
      <c r="A226" s="199" t="s">
        <v>1698</v>
      </c>
      <c r="B226" s="199" t="s">
        <v>886</v>
      </c>
      <c r="C226" s="405" t="n">
        <v>349</v>
      </c>
      <c r="D226" s="406" t="n">
        <v>127</v>
      </c>
      <c r="E226" s="199" t="s">
        <v>422</v>
      </c>
      <c r="F226" s="199" t="s">
        <v>380</v>
      </c>
      <c r="G226" s="199" t="s">
        <v>381</v>
      </c>
      <c r="H226" s="199" t="s">
        <v>164</v>
      </c>
      <c r="I226" s="199" t="s">
        <v>164</v>
      </c>
      <c r="J226" s="199" t="s">
        <v>68</v>
      </c>
      <c r="K226" s="199" t="s">
        <v>1435</v>
      </c>
      <c r="L226" s="407" t="n">
        <v>27360</v>
      </c>
      <c r="M226" s="407" t="n">
        <v>14350</v>
      </c>
      <c r="N226" s="408" t="n">
        <v>7.5</v>
      </c>
      <c r="O226" s="407" t="n">
        <v>13010</v>
      </c>
      <c r="P226" s="407" t="n">
        <v>12034.2</v>
      </c>
      <c r="Q226" s="234" t="n">
        <v>2023</v>
      </c>
      <c r="R226" s="234"/>
      <c r="S226" s="248" t="n">
        <v>45094</v>
      </c>
      <c r="T226" s="407" t="n">
        <f aca="false">Таблица18[[#This Row],[Вес нетто]]-Таблица18[[#This Row],[Зачетный вес]]</f>
        <v>975.799999999999</v>
      </c>
      <c r="U226" s="409" t="n">
        <f aca="false">Таблица18[[#This Row],[Отход]]/Таблица18[[#This Row],[Вес нетто]]</f>
        <v>0.0750038431975403</v>
      </c>
      <c r="V226" s="234" t="n">
        <f aca="false">MONTH(Таблица18[[#This Row],[Дата акта]])</f>
        <v>6</v>
      </c>
      <c r="W226" s="234" t="n">
        <v>17</v>
      </c>
      <c r="X226" s="248" t="n">
        <f aca="false">DATE(1900,Таблица18[[#This Row],[Месяц]],Таблица18[[#This Row],[Число]])</f>
        <v>169</v>
      </c>
      <c r="Y226" s="234"/>
      <c r="AF226" s="411"/>
      <c r="AG226" s="412"/>
    </row>
    <row r="227" s="410" customFormat="true" ht="15" hidden="true" customHeight="true" outlineLevel="0" collapsed="false">
      <c r="A227" s="199" t="s">
        <v>1699</v>
      </c>
      <c r="B227" s="199" t="s">
        <v>886</v>
      </c>
      <c r="C227" s="405" t="n">
        <v>350</v>
      </c>
      <c r="D227" s="406" t="n">
        <v>128</v>
      </c>
      <c r="E227" s="199" t="s">
        <v>422</v>
      </c>
      <c r="F227" s="199" t="s">
        <v>371</v>
      </c>
      <c r="G227" s="199" t="s">
        <v>372</v>
      </c>
      <c r="H227" s="199" t="s">
        <v>164</v>
      </c>
      <c r="I227" s="199" t="s">
        <v>164</v>
      </c>
      <c r="J227" s="199" t="s">
        <v>68</v>
      </c>
      <c r="K227" s="199" t="s">
        <v>1435</v>
      </c>
      <c r="L227" s="407" t="n">
        <v>27930</v>
      </c>
      <c r="M227" s="407" t="n">
        <v>15100</v>
      </c>
      <c r="N227" s="408" t="n">
        <v>7.7</v>
      </c>
      <c r="O227" s="407" t="n">
        <v>12830</v>
      </c>
      <c r="P227" s="407" t="n">
        <v>11847.7</v>
      </c>
      <c r="Q227" s="234" t="n">
        <v>2023</v>
      </c>
      <c r="R227" s="234"/>
      <c r="S227" s="248" t="n">
        <v>45094</v>
      </c>
      <c r="T227" s="407" t="n">
        <f aca="false">Таблица18[[#This Row],[Вес нетто]]-Таблица18[[#This Row],[Зачетный вес]]</f>
        <v>982.299999999999</v>
      </c>
      <c r="U227" s="409" t="n">
        <f aca="false">Таблица18[[#This Row],[Отход]]/Таблица18[[#This Row],[Вес нетто]]</f>
        <v>0.0765627435697583</v>
      </c>
      <c r="V227" s="234" t="n">
        <f aca="false">MONTH(Таблица18[[#This Row],[Дата акта]])</f>
        <v>6</v>
      </c>
      <c r="W227" s="234" t="n">
        <v>17</v>
      </c>
      <c r="X227" s="248" t="n">
        <f aca="false">DATE(1900,Таблица18[[#This Row],[Месяц]],Таблица18[[#This Row],[Число]])</f>
        <v>169</v>
      </c>
      <c r="Y227" s="234"/>
      <c r="AF227" s="411"/>
      <c r="AG227" s="412"/>
    </row>
    <row r="228" s="410" customFormat="true" ht="15" hidden="true" customHeight="true" outlineLevel="0" collapsed="false">
      <c r="A228" s="199" t="s">
        <v>1700</v>
      </c>
      <c r="B228" s="199" t="s">
        <v>746</v>
      </c>
      <c r="C228" s="405" t="n">
        <v>351</v>
      </c>
      <c r="D228" s="406" t="n">
        <v>129</v>
      </c>
      <c r="E228" s="199" t="s">
        <v>422</v>
      </c>
      <c r="F228" s="199" t="s">
        <v>1576</v>
      </c>
      <c r="G228" s="199" t="s">
        <v>1455</v>
      </c>
      <c r="H228" s="199" t="s">
        <v>164</v>
      </c>
      <c r="I228" s="199" t="s">
        <v>164</v>
      </c>
      <c r="J228" s="199" t="s">
        <v>68</v>
      </c>
      <c r="K228" s="199" t="s">
        <v>1435</v>
      </c>
      <c r="L228" s="407" t="n">
        <v>27260</v>
      </c>
      <c r="M228" s="407" t="n">
        <v>14380</v>
      </c>
      <c r="N228" s="408" t="n">
        <v>7.5</v>
      </c>
      <c r="O228" s="407" t="n">
        <v>12880</v>
      </c>
      <c r="P228" s="407" t="n">
        <v>11914</v>
      </c>
      <c r="Q228" s="234" t="n">
        <v>2023</v>
      </c>
      <c r="R228" s="234"/>
      <c r="S228" s="248" t="n">
        <v>45094</v>
      </c>
      <c r="T228" s="407" t="n">
        <f aca="false">Таблица18[[#This Row],[Вес нетто]]-Таблица18[[#This Row],[Зачетный вес]]</f>
        <v>966</v>
      </c>
      <c r="U228" s="409" t="n">
        <f aca="false">Таблица18[[#This Row],[Отход]]/Таблица18[[#This Row],[Вес нетто]]</f>
        <v>0.075</v>
      </c>
      <c r="V228" s="234" t="n">
        <f aca="false">MONTH(Таблица18[[#This Row],[Дата акта]])</f>
        <v>6</v>
      </c>
      <c r="W228" s="234" t="n">
        <v>17</v>
      </c>
      <c r="X228" s="248" t="n">
        <f aca="false">DATE(1900,Таблица18[[#This Row],[Месяц]],Таблица18[[#This Row],[Число]])</f>
        <v>169</v>
      </c>
      <c r="Y228" s="234"/>
      <c r="AF228" s="411"/>
      <c r="AG228" s="412"/>
    </row>
    <row r="229" s="410" customFormat="true" ht="15" hidden="true" customHeight="true" outlineLevel="0" collapsed="false">
      <c r="A229" s="199" t="s">
        <v>1701</v>
      </c>
      <c r="B229" s="199" t="s">
        <v>746</v>
      </c>
      <c r="C229" s="405" t="n">
        <v>352</v>
      </c>
      <c r="D229" s="406" t="n">
        <v>130</v>
      </c>
      <c r="E229" s="199" t="s">
        <v>422</v>
      </c>
      <c r="F229" s="199" t="s">
        <v>380</v>
      </c>
      <c r="G229" s="199" t="s">
        <v>381</v>
      </c>
      <c r="H229" s="199" t="s">
        <v>164</v>
      </c>
      <c r="I229" s="199" t="s">
        <v>164</v>
      </c>
      <c r="J229" s="199" t="s">
        <v>68</v>
      </c>
      <c r="K229" s="199" t="s">
        <v>1435</v>
      </c>
      <c r="L229" s="407" t="n">
        <v>27390</v>
      </c>
      <c r="M229" s="407" t="n">
        <v>14300</v>
      </c>
      <c r="N229" s="408" t="n">
        <v>8.5</v>
      </c>
      <c r="O229" s="407" t="n">
        <v>13090</v>
      </c>
      <c r="P229" s="407" t="n">
        <v>11977.3</v>
      </c>
      <c r="Q229" s="234" t="n">
        <v>2023</v>
      </c>
      <c r="R229" s="234"/>
      <c r="S229" s="248" t="n">
        <v>45094</v>
      </c>
      <c r="T229" s="407" t="n">
        <f aca="false">Таблица18[[#This Row],[Вес нетто]]-Таблица18[[#This Row],[Зачетный вес]]</f>
        <v>1112.7</v>
      </c>
      <c r="U229" s="409" t="n">
        <f aca="false">Таблица18[[#This Row],[Отход]]/Таблица18[[#This Row],[Вес нетто]]</f>
        <v>0.0850038197097021</v>
      </c>
      <c r="V229" s="234" t="n">
        <f aca="false">MONTH(Таблица18[[#This Row],[Дата акта]])</f>
        <v>6</v>
      </c>
      <c r="W229" s="234" t="n">
        <v>17</v>
      </c>
      <c r="X229" s="248" t="n">
        <f aca="false">DATE(1900,Таблица18[[#This Row],[Месяц]],Таблица18[[#This Row],[Число]])</f>
        <v>169</v>
      </c>
      <c r="Y229" s="234"/>
      <c r="AF229" s="411"/>
      <c r="AG229" s="412"/>
    </row>
    <row r="230" s="410" customFormat="true" ht="15" hidden="true" customHeight="true" outlineLevel="0" collapsed="false">
      <c r="A230" s="199" t="s">
        <v>1702</v>
      </c>
      <c r="B230" s="199" t="s">
        <v>746</v>
      </c>
      <c r="C230" s="405" t="n">
        <v>353</v>
      </c>
      <c r="D230" s="406" t="n">
        <v>131</v>
      </c>
      <c r="E230" s="199" t="s">
        <v>422</v>
      </c>
      <c r="F230" s="199" t="s">
        <v>371</v>
      </c>
      <c r="G230" s="199" t="s">
        <v>372</v>
      </c>
      <c r="H230" s="199" t="s">
        <v>164</v>
      </c>
      <c r="I230" s="199" t="s">
        <v>164</v>
      </c>
      <c r="J230" s="199" t="s">
        <v>68</v>
      </c>
      <c r="K230" s="199" t="s">
        <v>1435</v>
      </c>
      <c r="L230" s="407" t="n">
        <v>28100</v>
      </c>
      <c r="M230" s="407" t="n">
        <v>15090</v>
      </c>
      <c r="N230" s="408" t="n">
        <v>6.5</v>
      </c>
      <c r="O230" s="407" t="n">
        <v>13010</v>
      </c>
      <c r="P230" s="407" t="n">
        <v>12164.3</v>
      </c>
      <c r="Q230" s="234" t="n">
        <v>2023</v>
      </c>
      <c r="R230" s="234"/>
      <c r="S230" s="248" t="n">
        <v>45094</v>
      </c>
      <c r="T230" s="407" t="n">
        <f aca="false">Таблица18[[#This Row],[Вес нетто]]-Таблица18[[#This Row],[Зачетный вес]]</f>
        <v>845.700000000001</v>
      </c>
      <c r="U230" s="409" t="n">
        <f aca="false">Таблица18[[#This Row],[Отход]]/Таблица18[[#This Row],[Вес нетто]]</f>
        <v>0.0650038431975404</v>
      </c>
      <c r="V230" s="234" t="n">
        <f aca="false">MONTH(Таблица18[[#This Row],[Дата акта]])</f>
        <v>6</v>
      </c>
      <c r="W230" s="234" t="n">
        <v>17</v>
      </c>
      <c r="X230" s="248" t="n">
        <f aca="false">DATE(1900,Таблица18[[#This Row],[Месяц]],Таблица18[[#This Row],[Число]])</f>
        <v>169</v>
      </c>
      <c r="Y230" s="234"/>
      <c r="AF230" s="411"/>
      <c r="AG230" s="412"/>
    </row>
    <row r="231" s="410" customFormat="true" ht="15" hidden="true" customHeight="true" outlineLevel="0" collapsed="false">
      <c r="A231" s="199" t="s">
        <v>1703</v>
      </c>
      <c r="B231" s="199" t="s">
        <v>746</v>
      </c>
      <c r="C231" s="405" t="n">
        <v>354</v>
      </c>
      <c r="D231" s="406" t="n">
        <v>132</v>
      </c>
      <c r="E231" s="199" t="s">
        <v>422</v>
      </c>
      <c r="F231" s="199" t="s">
        <v>1576</v>
      </c>
      <c r="G231" s="199" t="s">
        <v>1455</v>
      </c>
      <c r="H231" s="199" t="s">
        <v>164</v>
      </c>
      <c r="I231" s="199" t="s">
        <v>164</v>
      </c>
      <c r="J231" s="199" t="s">
        <v>68</v>
      </c>
      <c r="K231" s="199" t="s">
        <v>1435</v>
      </c>
      <c r="L231" s="407" t="n">
        <v>27690</v>
      </c>
      <c r="M231" s="407" t="n">
        <v>14350</v>
      </c>
      <c r="N231" s="408" t="n">
        <v>5.5</v>
      </c>
      <c r="O231" s="407" t="n">
        <v>13340</v>
      </c>
      <c r="P231" s="407" t="n">
        <v>12606.3</v>
      </c>
      <c r="Q231" s="234" t="n">
        <v>2023</v>
      </c>
      <c r="R231" s="234"/>
      <c r="S231" s="248" t="n">
        <v>45094</v>
      </c>
      <c r="T231" s="407" t="n">
        <f aca="false">Таблица18[[#This Row],[Вес нетто]]-Таблица18[[#This Row],[Зачетный вес]]</f>
        <v>733.700000000001</v>
      </c>
      <c r="U231" s="409" t="n">
        <f aca="false">Таблица18[[#This Row],[Отход]]/Таблица18[[#This Row],[Вес нетто]]</f>
        <v>0.0550000000000001</v>
      </c>
      <c r="V231" s="234" t="n">
        <f aca="false">MONTH(Таблица18[[#This Row],[Дата акта]])</f>
        <v>6</v>
      </c>
      <c r="W231" s="234" t="n">
        <v>17</v>
      </c>
      <c r="X231" s="248" t="n">
        <f aca="false">DATE(1900,Таблица18[[#This Row],[Месяц]],Таблица18[[#This Row],[Число]])</f>
        <v>169</v>
      </c>
      <c r="Y231" s="234"/>
      <c r="AF231" s="411"/>
      <c r="AG231" s="412"/>
    </row>
    <row r="232" s="410" customFormat="true" ht="15" hidden="true" customHeight="true" outlineLevel="0" collapsed="false">
      <c r="A232" s="199" t="s">
        <v>1704</v>
      </c>
      <c r="B232" s="199" t="s">
        <v>746</v>
      </c>
      <c r="C232" s="405" t="n">
        <v>355</v>
      </c>
      <c r="D232" s="406" t="n">
        <v>133</v>
      </c>
      <c r="E232" s="199" t="s">
        <v>422</v>
      </c>
      <c r="F232" s="199" t="s">
        <v>371</v>
      </c>
      <c r="G232" s="199" t="s">
        <v>372</v>
      </c>
      <c r="H232" s="199" t="s">
        <v>164</v>
      </c>
      <c r="I232" s="199" t="s">
        <v>164</v>
      </c>
      <c r="J232" s="199" t="s">
        <v>68</v>
      </c>
      <c r="K232" s="199" t="s">
        <v>1435</v>
      </c>
      <c r="L232" s="407" t="n">
        <v>28260</v>
      </c>
      <c r="M232" s="407" t="n">
        <v>15070</v>
      </c>
      <c r="N232" s="408" t="n">
        <v>6.5</v>
      </c>
      <c r="O232" s="407" t="n">
        <v>13190</v>
      </c>
      <c r="P232" s="407" t="n">
        <v>12332.6</v>
      </c>
      <c r="Q232" s="234" t="n">
        <v>2023</v>
      </c>
      <c r="R232" s="234"/>
      <c r="S232" s="248" t="n">
        <v>45094</v>
      </c>
      <c r="T232" s="407" t="n">
        <f aca="false">Таблица18[[#This Row],[Вес нетто]]-Таблица18[[#This Row],[Зачетный вес]]</f>
        <v>857.4</v>
      </c>
      <c r="U232" s="409" t="n">
        <f aca="false">Таблица18[[#This Row],[Отход]]/Таблица18[[#This Row],[Вес нетто]]</f>
        <v>0.0650037907505686</v>
      </c>
      <c r="V232" s="234" t="n">
        <f aca="false">MONTH(Таблица18[[#This Row],[Дата акта]])</f>
        <v>6</v>
      </c>
      <c r="W232" s="234" t="n">
        <v>17</v>
      </c>
      <c r="X232" s="248" t="n">
        <f aca="false">DATE(1900,Таблица18[[#This Row],[Месяц]],Таблица18[[#This Row],[Число]])</f>
        <v>169</v>
      </c>
      <c r="Y232" s="234"/>
      <c r="AF232" s="411"/>
      <c r="AG232" s="412"/>
    </row>
    <row r="233" s="410" customFormat="true" ht="15" hidden="true" customHeight="true" outlineLevel="0" collapsed="false">
      <c r="A233" s="199" t="s">
        <v>1705</v>
      </c>
      <c r="B233" s="199" t="s">
        <v>746</v>
      </c>
      <c r="C233" s="405" t="n">
        <v>356</v>
      </c>
      <c r="D233" s="406" t="n">
        <v>134</v>
      </c>
      <c r="E233" s="199" t="s">
        <v>422</v>
      </c>
      <c r="F233" s="199" t="s">
        <v>380</v>
      </c>
      <c r="G233" s="199" t="s">
        <v>381</v>
      </c>
      <c r="H233" s="199" t="s">
        <v>164</v>
      </c>
      <c r="I233" s="199" t="s">
        <v>164</v>
      </c>
      <c r="J233" s="199" t="s">
        <v>68</v>
      </c>
      <c r="K233" s="199" t="s">
        <v>1435</v>
      </c>
      <c r="L233" s="407" t="n">
        <v>27390</v>
      </c>
      <c r="M233" s="407" t="n">
        <v>14280</v>
      </c>
      <c r="N233" s="408" t="n">
        <v>7.5</v>
      </c>
      <c r="O233" s="407" t="n">
        <v>13110</v>
      </c>
      <c r="P233" s="407" t="n">
        <v>12126.7</v>
      </c>
      <c r="Q233" s="234" t="n">
        <v>2023</v>
      </c>
      <c r="R233" s="234"/>
      <c r="S233" s="248" t="n">
        <v>45094</v>
      </c>
      <c r="T233" s="407" t="n">
        <f aca="false">Таблица18[[#This Row],[Вес нетто]]-Таблица18[[#This Row],[Зачетный вес]]</f>
        <v>983.299999999999</v>
      </c>
      <c r="U233" s="409" t="n">
        <f aca="false">Таблица18[[#This Row],[Отход]]/Таблица18[[#This Row],[Вес нетто]]</f>
        <v>0.0750038138825324</v>
      </c>
      <c r="V233" s="234" t="n">
        <f aca="false">MONTH(Таблица18[[#This Row],[Дата акта]])</f>
        <v>6</v>
      </c>
      <c r="W233" s="234" t="n">
        <v>17</v>
      </c>
      <c r="X233" s="248" t="n">
        <f aca="false">DATE(1900,Таблица18[[#This Row],[Месяц]],Таблица18[[#This Row],[Число]])</f>
        <v>169</v>
      </c>
      <c r="Y233" s="234"/>
      <c r="AF233" s="411"/>
      <c r="AG233" s="412"/>
    </row>
    <row r="234" s="410" customFormat="true" ht="15" hidden="true" customHeight="true" outlineLevel="0" collapsed="false">
      <c r="A234" s="199" t="s">
        <v>1706</v>
      </c>
      <c r="B234" s="199" t="s">
        <v>746</v>
      </c>
      <c r="C234" s="405" t="n">
        <v>357</v>
      </c>
      <c r="D234" s="406" t="n">
        <v>135</v>
      </c>
      <c r="E234" s="199" t="s">
        <v>422</v>
      </c>
      <c r="F234" s="199" t="s">
        <v>1576</v>
      </c>
      <c r="G234" s="199" t="s">
        <v>1455</v>
      </c>
      <c r="H234" s="199" t="s">
        <v>164</v>
      </c>
      <c r="I234" s="199" t="s">
        <v>164</v>
      </c>
      <c r="J234" s="199" t="s">
        <v>68</v>
      </c>
      <c r="K234" s="199" t="s">
        <v>1435</v>
      </c>
      <c r="L234" s="407" t="n">
        <v>27470</v>
      </c>
      <c r="M234" s="407" t="n">
        <v>14350</v>
      </c>
      <c r="N234" s="408" t="n">
        <v>7</v>
      </c>
      <c r="O234" s="407" t="n">
        <v>13120</v>
      </c>
      <c r="P234" s="407" t="n">
        <v>12201.6</v>
      </c>
      <c r="Q234" s="234" t="n">
        <v>2023</v>
      </c>
      <c r="R234" s="234"/>
      <c r="S234" s="248" t="n">
        <v>45094</v>
      </c>
      <c r="T234" s="407" t="n">
        <f aca="false">Таблица18[[#This Row],[Вес нетто]]-Таблица18[[#This Row],[Зачетный вес]]</f>
        <v>918.4</v>
      </c>
      <c r="U234" s="409" t="n">
        <f aca="false">Таблица18[[#This Row],[Отход]]/Таблица18[[#This Row],[Вес нетто]]</f>
        <v>0.07</v>
      </c>
      <c r="V234" s="234" t="n">
        <f aca="false">MONTH(Таблица18[[#This Row],[Дата акта]])</f>
        <v>6</v>
      </c>
      <c r="W234" s="234" t="n">
        <v>17</v>
      </c>
      <c r="X234" s="248" t="n">
        <f aca="false">DATE(1900,Таблица18[[#This Row],[Месяц]],Таблица18[[#This Row],[Число]])</f>
        <v>169</v>
      </c>
      <c r="Y234" s="234"/>
      <c r="AF234" s="411"/>
      <c r="AG234" s="412"/>
    </row>
    <row r="235" s="410" customFormat="true" ht="15" hidden="true" customHeight="true" outlineLevel="0" collapsed="false">
      <c r="A235" s="199" t="s">
        <v>1707</v>
      </c>
      <c r="B235" s="199" t="s">
        <v>746</v>
      </c>
      <c r="C235" s="405" t="n">
        <v>358</v>
      </c>
      <c r="D235" s="406" t="n">
        <v>136</v>
      </c>
      <c r="E235" s="199" t="s">
        <v>422</v>
      </c>
      <c r="F235" s="199" t="s">
        <v>371</v>
      </c>
      <c r="G235" s="199" t="s">
        <v>372</v>
      </c>
      <c r="H235" s="199" t="s">
        <v>164</v>
      </c>
      <c r="I235" s="199" t="s">
        <v>164</v>
      </c>
      <c r="J235" s="199" t="s">
        <v>68</v>
      </c>
      <c r="K235" s="199" t="s">
        <v>1435</v>
      </c>
      <c r="L235" s="407" t="n">
        <v>28140</v>
      </c>
      <c r="M235" s="407" t="n">
        <v>15060</v>
      </c>
      <c r="N235" s="408" t="n">
        <v>7.5</v>
      </c>
      <c r="O235" s="407" t="n">
        <v>13080</v>
      </c>
      <c r="P235" s="407" t="n">
        <v>12099</v>
      </c>
      <c r="Q235" s="234" t="n">
        <v>2023</v>
      </c>
      <c r="R235" s="234"/>
      <c r="S235" s="248" t="n">
        <v>45094</v>
      </c>
      <c r="T235" s="407" t="n">
        <f aca="false">Таблица18[[#This Row],[Вес нетто]]-Таблица18[[#This Row],[Зачетный вес]]</f>
        <v>981</v>
      </c>
      <c r="U235" s="409" t="n">
        <f aca="false">Таблица18[[#This Row],[Отход]]/Таблица18[[#This Row],[Вес нетто]]</f>
        <v>0.075</v>
      </c>
      <c r="V235" s="234" t="n">
        <f aca="false">MONTH(Таблица18[[#This Row],[Дата акта]])</f>
        <v>6</v>
      </c>
      <c r="W235" s="234" t="n">
        <v>17</v>
      </c>
      <c r="X235" s="248" t="n">
        <f aca="false">DATE(1900,Таблица18[[#This Row],[Месяц]],Таблица18[[#This Row],[Число]])</f>
        <v>169</v>
      </c>
      <c r="Y235" s="234"/>
      <c r="AF235" s="411"/>
      <c r="AG235" s="412"/>
    </row>
    <row r="236" s="410" customFormat="true" ht="15" hidden="true" customHeight="true" outlineLevel="0" collapsed="false">
      <c r="A236" s="199" t="s">
        <v>1708</v>
      </c>
      <c r="B236" s="199" t="s">
        <v>746</v>
      </c>
      <c r="C236" s="405" t="n">
        <v>359</v>
      </c>
      <c r="D236" s="406" t="n">
        <v>137</v>
      </c>
      <c r="E236" s="199" t="s">
        <v>422</v>
      </c>
      <c r="F236" s="199" t="s">
        <v>380</v>
      </c>
      <c r="G236" s="199" t="s">
        <v>381</v>
      </c>
      <c r="H236" s="199" t="s">
        <v>164</v>
      </c>
      <c r="I236" s="199" t="s">
        <v>164</v>
      </c>
      <c r="J236" s="199" t="s">
        <v>68</v>
      </c>
      <c r="K236" s="199" t="s">
        <v>1435</v>
      </c>
      <c r="L236" s="407" t="n">
        <v>27200</v>
      </c>
      <c r="M236" s="407" t="n">
        <v>14270</v>
      </c>
      <c r="N236" s="408" t="n">
        <v>7.5</v>
      </c>
      <c r="O236" s="407" t="n">
        <v>12930</v>
      </c>
      <c r="P236" s="407" t="n">
        <v>11960.2</v>
      </c>
      <c r="Q236" s="234" t="n">
        <v>2023</v>
      </c>
      <c r="R236" s="234"/>
      <c r="S236" s="248" t="n">
        <v>45095</v>
      </c>
      <c r="T236" s="407" t="n">
        <f aca="false">Таблица18[[#This Row],[Вес нетто]]-Таблица18[[#This Row],[Зачетный вес]]</f>
        <v>969.799999999999</v>
      </c>
      <c r="U236" s="409" t="n">
        <f aca="false">Таблица18[[#This Row],[Отход]]/Таблица18[[#This Row],[Вес нетто]]</f>
        <v>0.0750038669760247</v>
      </c>
      <c r="V236" s="234" t="n">
        <f aca="false">MONTH(Таблица18[[#This Row],[Дата акта]])</f>
        <v>6</v>
      </c>
      <c r="W236" s="234" t="n">
        <v>18</v>
      </c>
      <c r="X236" s="248" t="n">
        <f aca="false">DATE(1900,Таблица18[[#This Row],[Месяц]],Таблица18[[#This Row],[Число]])</f>
        <v>170</v>
      </c>
      <c r="Y236" s="234"/>
      <c r="AF236" s="411"/>
      <c r="AG236" s="412"/>
    </row>
    <row r="237" s="410" customFormat="true" ht="15" hidden="true" customHeight="true" outlineLevel="0" collapsed="false">
      <c r="A237" s="199" t="s">
        <v>1709</v>
      </c>
      <c r="B237" s="199" t="s">
        <v>746</v>
      </c>
      <c r="C237" s="405" t="n">
        <v>360</v>
      </c>
      <c r="D237" s="406" t="n">
        <v>138</v>
      </c>
      <c r="E237" s="199" t="s">
        <v>422</v>
      </c>
      <c r="F237" s="199" t="s">
        <v>1576</v>
      </c>
      <c r="G237" s="199" t="s">
        <v>1455</v>
      </c>
      <c r="H237" s="199" t="s">
        <v>164</v>
      </c>
      <c r="I237" s="199" t="s">
        <v>164</v>
      </c>
      <c r="J237" s="199" t="s">
        <v>68</v>
      </c>
      <c r="K237" s="199" t="s">
        <v>1435</v>
      </c>
      <c r="L237" s="407" t="n">
        <v>27350</v>
      </c>
      <c r="M237" s="407" t="n">
        <v>14480</v>
      </c>
      <c r="N237" s="408" t="n">
        <v>7.5</v>
      </c>
      <c r="O237" s="407" t="n">
        <v>12870</v>
      </c>
      <c r="P237" s="407" t="n">
        <v>11904.7</v>
      </c>
      <c r="Q237" s="234" t="n">
        <v>2023</v>
      </c>
      <c r="R237" s="234"/>
      <c r="S237" s="248" t="n">
        <v>45095</v>
      </c>
      <c r="T237" s="407" t="n">
        <f aca="false">Таблица18[[#This Row],[Вес нетто]]-Таблица18[[#This Row],[Зачетный вес]]</f>
        <v>965.299999999999</v>
      </c>
      <c r="U237" s="409" t="n">
        <f aca="false">Таблица18[[#This Row],[Отход]]/Таблица18[[#This Row],[Вес нетто]]</f>
        <v>0.075003885003885</v>
      </c>
      <c r="V237" s="234" t="n">
        <f aca="false">MONTH(Таблица18[[#This Row],[Дата акта]])</f>
        <v>6</v>
      </c>
      <c r="W237" s="234" t="n">
        <v>18</v>
      </c>
      <c r="X237" s="248" t="n">
        <f aca="false">DATE(1900,Таблица18[[#This Row],[Месяц]],Таблица18[[#This Row],[Число]])</f>
        <v>170</v>
      </c>
      <c r="Y237" s="234"/>
      <c r="AF237" s="411"/>
      <c r="AG237" s="412"/>
    </row>
    <row r="238" s="410" customFormat="true" ht="15" hidden="true" customHeight="true" outlineLevel="0" collapsed="false">
      <c r="A238" s="199" t="s">
        <v>1710</v>
      </c>
      <c r="B238" s="199" t="s">
        <v>746</v>
      </c>
      <c r="C238" s="405" t="n">
        <v>361</v>
      </c>
      <c r="D238" s="406" t="n">
        <v>139</v>
      </c>
      <c r="E238" s="199" t="s">
        <v>422</v>
      </c>
      <c r="F238" s="199" t="s">
        <v>371</v>
      </c>
      <c r="G238" s="199" t="s">
        <v>372</v>
      </c>
      <c r="H238" s="199" t="s">
        <v>164</v>
      </c>
      <c r="I238" s="199" t="s">
        <v>164</v>
      </c>
      <c r="J238" s="199" t="s">
        <v>68</v>
      </c>
      <c r="K238" s="199" t="s">
        <v>1435</v>
      </c>
      <c r="L238" s="407" t="n">
        <v>28210</v>
      </c>
      <c r="M238" s="407" t="n">
        <v>15060</v>
      </c>
      <c r="N238" s="408" t="n">
        <v>5.5</v>
      </c>
      <c r="O238" s="407" t="n">
        <v>13150</v>
      </c>
      <c r="P238" s="407" t="n">
        <v>12426.7</v>
      </c>
      <c r="Q238" s="234" t="n">
        <v>2023</v>
      </c>
      <c r="R238" s="234"/>
      <c r="S238" s="248" t="n">
        <v>45095</v>
      </c>
      <c r="T238" s="407" t="n">
        <f aca="false">Таблица18[[#This Row],[Вес нетто]]-Таблица18[[#This Row],[Зачетный вес]]</f>
        <v>723.299999999999</v>
      </c>
      <c r="U238" s="409" t="n">
        <f aca="false">Таблица18[[#This Row],[Отход]]/Таблица18[[#This Row],[Вес нетто]]</f>
        <v>0.0550038022813688</v>
      </c>
      <c r="V238" s="234" t="n">
        <f aca="false">MONTH(Таблица18[[#This Row],[Дата акта]])</f>
        <v>6</v>
      </c>
      <c r="W238" s="234" t="n">
        <v>18</v>
      </c>
      <c r="X238" s="248" t="n">
        <f aca="false">DATE(1900,Таблица18[[#This Row],[Месяц]],Таблица18[[#This Row],[Число]])</f>
        <v>170</v>
      </c>
      <c r="Y238" s="234"/>
      <c r="AF238" s="411"/>
      <c r="AG238" s="412"/>
    </row>
    <row r="239" s="410" customFormat="true" ht="15" hidden="true" customHeight="true" outlineLevel="0" collapsed="false">
      <c r="A239" s="199" t="s">
        <v>1711</v>
      </c>
      <c r="B239" s="199" t="s">
        <v>746</v>
      </c>
      <c r="C239" s="405" t="n">
        <v>362</v>
      </c>
      <c r="D239" s="406" t="n">
        <v>140</v>
      </c>
      <c r="E239" s="199" t="s">
        <v>422</v>
      </c>
      <c r="F239" s="199" t="s">
        <v>380</v>
      </c>
      <c r="G239" s="199" t="s">
        <v>381</v>
      </c>
      <c r="H239" s="199" t="s">
        <v>1712</v>
      </c>
      <c r="I239" s="199" t="s">
        <v>1712</v>
      </c>
      <c r="J239" s="199" t="s">
        <v>68</v>
      </c>
      <c r="K239" s="199" t="s">
        <v>1435</v>
      </c>
      <c r="L239" s="407" t="n">
        <v>27190</v>
      </c>
      <c r="M239" s="407" t="n">
        <v>14270</v>
      </c>
      <c r="N239" s="408" t="n">
        <v>8.5</v>
      </c>
      <c r="O239" s="407" t="n">
        <v>12920</v>
      </c>
      <c r="P239" s="407" t="n">
        <v>11821.8</v>
      </c>
      <c r="Q239" s="234" t="n">
        <v>2023</v>
      </c>
      <c r="R239" s="234"/>
      <c r="S239" s="248" t="n">
        <v>45095</v>
      </c>
      <c r="T239" s="407" t="n">
        <f aca="false">Таблица18[[#This Row],[Вес нетто]]-Таблица18[[#This Row],[Зачетный вес]]</f>
        <v>1098.2</v>
      </c>
      <c r="U239" s="409" t="n">
        <f aca="false">Таблица18[[#This Row],[Отход]]/Таблица18[[#This Row],[Вес нетто]]</f>
        <v>0.0850000000000001</v>
      </c>
      <c r="V239" s="234" t="n">
        <f aca="false">MONTH(Таблица18[[#This Row],[Дата акта]])</f>
        <v>6</v>
      </c>
      <c r="W239" s="234" t="n">
        <v>18</v>
      </c>
      <c r="X239" s="248" t="n">
        <f aca="false">DATE(1900,Таблица18[[#This Row],[Месяц]],Таблица18[[#This Row],[Число]])</f>
        <v>170</v>
      </c>
      <c r="Y239" s="234"/>
      <c r="AF239" s="411"/>
      <c r="AG239" s="412"/>
    </row>
    <row r="240" s="410" customFormat="true" ht="15" hidden="true" customHeight="true" outlineLevel="0" collapsed="false">
      <c r="A240" s="199" t="s">
        <v>1713</v>
      </c>
      <c r="B240" s="199" t="s">
        <v>746</v>
      </c>
      <c r="C240" s="405" t="n">
        <v>363</v>
      </c>
      <c r="D240" s="406" t="n">
        <v>141</v>
      </c>
      <c r="E240" s="199" t="s">
        <v>422</v>
      </c>
      <c r="F240" s="199" t="s">
        <v>1576</v>
      </c>
      <c r="G240" s="199" t="s">
        <v>1455</v>
      </c>
      <c r="H240" s="199" t="s">
        <v>1712</v>
      </c>
      <c r="I240" s="199" t="s">
        <v>1712</v>
      </c>
      <c r="J240" s="199" t="s">
        <v>68</v>
      </c>
      <c r="K240" s="199" t="s">
        <v>1435</v>
      </c>
      <c r="L240" s="407" t="n">
        <v>28120</v>
      </c>
      <c r="M240" s="407" t="n">
        <v>14490</v>
      </c>
      <c r="N240" s="408" t="n">
        <v>6.5</v>
      </c>
      <c r="O240" s="407" t="n">
        <v>13630</v>
      </c>
      <c r="P240" s="407" t="n">
        <v>12744</v>
      </c>
      <c r="Q240" s="234" t="n">
        <v>2023</v>
      </c>
      <c r="R240" s="234"/>
      <c r="S240" s="248" t="n">
        <v>45095</v>
      </c>
      <c r="T240" s="407" t="n">
        <f aca="false">Таблица18[[#This Row],[Вес нетто]]-Таблица18[[#This Row],[Зачетный вес]]</f>
        <v>886</v>
      </c>
      <c r="U240" s="409" t="n">
        <f aca="false">Таблица18[[#This Row],[Отход]]/Таблица18[[#This Row],[Вес нетто]]</f>
        <v>0.0650036683785767</v>
      </c>
      <c r="V240" s="234" t="n">
        <f aca="false">MONTH(Таблица18[[#This Row],[Дата акта]])</f>
        <v>6</v>
      </c>
      <c r="W240" s="234" t="n">
        <v>18</v>
      </c>
      <c r="X240" s="248" t="n">
        <f aca="false">DATE(1900,Таблица18[[#This Row],[Месяц]],Таблица18[[#This Row],[Число]])</f>
        <v>170</v>
      </c>
      <c r="Y240" s="234"/>
      <c r="AF240" s="411"/>
      <c r="AG240" s="412"/>
    </row>
    <row r="241" s="410" customFormat="true" ht="15" hidden="true" customHeight="true" outlineLevel="0" collapsed="false">
      <c r="A241" s="199" t="s">
        <v>1714</v>
      </c>
      <c r="B241" s="199" t="s">
        <v>886</v>
      </c>
      <c r="C241" s="405" t="n">
        <v>364</v>
      </c>
      <c r="D241" s="406" t="n">
        <v>142</v>
      </c>
      <c r="E241" s="199" t="s">
        <v>422</v>
      </c>
      <c r="F241" s="199" t="s">
        <v>1449</v>
      </c>
      <c r="G241" s="199" t="s">
        <v>704</v>
      </c>
      <c r="H241" s="199" t="s">
        <v>1712</v>
      </c>
      <c r="I241" s="199" t="s">
        <v>1712</v>
      </c>
      <c r="J241" s="199" t="s">
        <v>68</v>
      </c>
      <c r="K241" s="199" t="s">
        <v>1435</v>
      </c>
      <c r="L241" s="407" t="n">
        <v>27970</v>
      </c>
      <c r="M241" s="407" t="n">
        <v>14570</v>
      </c>
      <c r="N241" s="408" t="n">
        <v>6.5</v>
      </c>
      <c r="O241" s="407" t="n">
        <v>13400</v>
      </c>
      <c r="P241" s="407" t="n">
        <v>12529</v>
      </c>
      <c r="Q241" s="234" t="n">
        <v>2023</v>
      </c>
      <c r="R241" s="234"/>
      <c r="S241" s="248" t="n">
        <v>45095</v>
      </c>
      <c r="T241" s="407" t="n">
        <f aca="false">Таблица18[[#This Row],[Вес нетто]]-Таблица18[[#This Row],[Зачетный вес]]</f>
        <v>871</v>
      </c>
      <c r="U241" s="409" t="n">
        <f aca="false">Таблица18[[#This Row],[Отход]]/Таблица18[[#This Row],[Вес нетто]]</f>
        <v>0.065</v>
      </c>
      <c r="V241" s="234" t="n">
        <f aca="false">MONTH(Таблица18[[#This Row],[Дата акта]])</f>
        <v>6</v>
      </c>
      <c r="W241" s="234" t="n">
        <v>18</v>
      </c>
      <c r="X241" s="248" t="n">
        <f aca="false">DATE(1900,Таблица18[[#This Row],[Месяц]],Таблица18[[#This Row],[Число]])</f>
        <v>170</v>
      </c>
      <c r="Y241" s="234"/>
      <c r="AF241" s="411"/>
      <c r="AG241" s="412"/>
    </row>
    <row r="242" s="410" customFormat="true" ht="15" hidden="true" customHeight="true" outlineLevel="0" collapsed="false">
      <c r="A242" s="199" t="s">
        <v>1715</v>
      </c>
      <c r="B242" s="199" t="s">
        <v>886</v>
      </c>
      <c r="C242" s="405" t="n">
        <v>365</v>
      </c>
      <c r="D242" s="406" t="n">
        <v>143</v>
      </c>
      <c r="E242" s="199" t="s">
        <v>422</v>
      </c>
      <c r="F242" s="199" t="s">
        <v>359</v>
      </c>
      <c r="G242" s="199" t="s">
        <v>426</v>
      </c>
      <c r="H242" s="199" t="s">
        <v>1712</v>
      </c>
      <c r="I242" s="199" t="s">
        <v>1712</v>
      </c>
      <c r="J242" s="199" t="s">
        <v>68</v>
      </c>
      <c r="K242" s="199" t="s">
        <v>1435</v>
      </c>
      <c r="L242" s="407" t="n">
        <v>27540</v>
      </c>
      <c r="M242" s="407" t="n">
        <v>14030</v>
      </c>
      <c r="N242" s="408" t="n">
        <v>5.5</v>
      </c>
      <c r="O242" s="407" t="n">
        <v>13510</v>
      </c>
      <c r="P242" s="407" t="n">
        <v>12766.9</v>
      </c>
      <c r="Q242" s="234" t="n">
        <v>2023</v>
      </c>
      <c r="R242" s="234"/>
      <c r="S242" s="248" t="n">
        <v>45095</v>
      </c>
      <c r="T242" s="407" t="n">
        <f aca="false">Таблица18[[#This Row],[Вес нетто]]-Таблица18[[#This Row],[Зачетный вес]]</f>
        <v>743.1</v>
      </c>
      <c r="U242" s="409" t="n">
        <f aca="false">Таблица18[[#This Row],[Отход]]/Таблица18[[#This Row],[Вес нетто]]</f>
        <v>0.0550037009622502</v>
      </c>
      <c r="V242" s="234" t="n">
        <f aca="false">MONTH(Таблица18[[#This Row],[Дата акта]])</f>
        <v>6</v>
      </c>
      <c r="W242" s="234" t="n">
        <v>18</v>
      </c>
      <c r="X242" s="248" t="n">
        <f aca="false">DATE(1900,Таблица18[[#This Row],[Месяц]],Таблица18[[#This Row],[Число]])</f>
        <v>170</v>
      </c>
      <c r="Y242" s="234"/>
      <c r="AF242" s="411"/>
      <c r="AG242" s="412"/>
    </row>
    <row r="243" s="410" customFormat="true" ht="15" hidden="true" customHeight="true" outlineLevel="0" collapsed="false">
      <c r="A243" s="199" t="s">
        <v>1716</v>
      </c>
      <c r="B243" s="199" t="s">
        <v>746</v>
      </c>
      <c r="C243" s="405" t="n">
        <v>366</v>
      </c>
      <c r="D243" s="406" t="n">
        <v>144</v>
      </c>
      <c r="E243" s="199" t="s">
        <v>422</v>
      </c>
      <c r="F243" s="199" t="s">
        <v>1548</v>
      </c>
      <c r="G243" s="199" t="s">
        <v>1549</v>
      </c>
      <c r="H243" s="199" t="s">
        <v>1712</v>
      </c>
      <c r="I243" s="199" t="s">
        <v>1712</v>
      </c>
      <c r="J243" s="199" t="s">
        <v>68</v>
      </c>
      <c r="K243" s="199" t="s">
        <v>1435</v>
      </c>
      <c r="L243" s="407" t="n">
        <v>28640</v>
      </c>
      <c r="M243" s="407" t="n">
        <v>14980</v>
      </c>
      <c r="N243" s="408" t="n">
        <v>7.5</v>
      </c>
      <c r="O243" s="407" t="n">
        <v>13660</v>
      </c>
      <c r="P243" s="407" t="n">
        <v>12635.5</v>
      </c>
      <c r="Q243" s="234" t="n">
        <v>2023</v>
      </c>
      <c r="R243" s="234"/>
      <c r="S243" s="248" t="n">
        <v>45095</v>
      </c>
      <c r="T243" s="407" t="n">
        <f aca="false">Таблица18[[#This Row],[Вес нетто]]-Таблица18[[#This Row],[Зачетный вес]]</f>
        <v>1024.5</v>
      </c>
      <c r="U243" s="409" t="n">
        <f aca="false">Таблица18[[#This Row],[Отход]]/Таблица18[[#This Row],[Вес нетто]]</f>
        <v>0.075</v>
      </c>
      <c r="V243" s="234" t="n">
        <f aca="false">MONTH(Таблица18[[#This Row],[Дата акта]])</f>
        <v>6</v>
      </c>
      <c r="W243" s="234" t="n">
        <v>18</v>
      </c>
      <c r="X243" s="248" t="n">
        <f aca="false">DATE(1900,Таблица18[[#This Row],[Месяц]],Таблица18[[#This Row],[Число]])</f>
        <v>170</v>
      </c>
      <c r="Y243" s="234"/>
      <c r="AF243" s="411"/>
      <c r="AG243" s="412"/>
    </row>
    <row r="244" s="410" customFormat="true" ht="15" hidden="true" customHeight="true" outlineLevel="0" collapsed="false">
      <c r="A244" s="199" t="s">
        <v>1717</v>
      </c>
      <c r="B244" s="199" t="s">
        <v>746</v>
      </c>
      <c r="C244" s="405" t="n">
        <v>367</v>
      </c>
      <c r="D244" s="406" t="n">
        <v>145</v>
      </c>
      <c r="E244" s="199" t="s">
        <v>422</v>
      </c>
      <c r="F244" s="199" t="s">
        <v>1523</v>
      </c>
      <c r="G244" s="199" t="s">
        <v>1447</v>
      </c>
      <c r="H244" s="199" t="s">
        <v>1712</v>
      </c>
      <c r="I244" s="199" t="s">
        <v>1712</v>
      </c>
      <c r="J244" s="199" t="s">
        <v>68</v>
      </c>
      <c r="K244" s="199" t="s">
        <v>1435</v>
      </c>
      <c r="L244" s="407" t="n">
        <v>28460</v>
      </c>
      <c r="M244" s="407" t="n">
        <v>14720</v>
      </c>
      <c r="N244" s="408" t="n">
        <v>6.5</v>
      </c>
      <c r="O244" s="407" t="n">
        <v>13740</v>
      </c>
      <c r="P244" s="407" t="n">
        <v>12846.9</v>
      </c>
      <c r="Q244" s="234" t="n">
        <v>2023</v>
      </c>
      <c r="R244" s="234"/>
      <c r="S244" s="248" t="n">
        <v>45095</v>
      </c>
      <c r="T244" s="407" t="n">
        <f aca="false">Таблица18[[#This Row],[Вес нетто]]-Таблица18[[#This Row],[Зачетный вес]]</f>
        <v>893.1</v>
      </c>
      <c r="U244" s="409" t="n">
        <f aca="false">Таблица18[[#This Row],[Отход]]/Таблица18[[#This Row],[Вес нетто]]</f>
        <v>0.065</v>
      </c>
      <c r="V244" s="234" t="n">
        <f aca="false">MONTH(Таблица18[[#This Row],[Дата акта]])</f>
        <v>6</v>
      </c>
      <c r="W244" s="234" t="n">
        <v>18</v>
      </c>
      <c r="X244" s="248" t="n">
        <f aca="false">DATE(1900,Таблица18[[#This Row],[Месяц]],Таблица18[[#This Row],[Число]])</f>
        <v>170</v>
      </c>
      <c r="Y244" s="234"/>
      <c r="AF244" s="411"/>
      <c r="AG244" s="412"/>
    </row>
    <row r="245" s="410" customFormat="true" ht="15" hidden="true" customHeight="true" outlineLevel="0" collapsed="false">
      <c r="A245" s="199" t="s">
        <v>1718</v>
      </c>
      <c r="B245" s="199" t="s">
        <v>746</v>
      </c>
      <c r="C245" s="405" t="n">
        <v>368</v>
      </c>
      <c r="D245" s="406" t="n">
        <v>146</v>
      </c>
      <c r="E245" s="199" t="s">
        <v>422</v>
      </c>
      <c r="F245" s="199" t="s">
        <v>1449</v>
      </c>
      <c r="G245" s="199" t="s">
        <v>704</v>
      </c>
      <c r="H245" s="199" t="s">
        <v>1712</v>
      </c>
      <c r="I245" s="199" t="s">
        <v>1712</v>
      </c>
      <c r="J245" s="199" t="s">
        <v>68</v>
      </c>
      <c r="K245" s="199" t="s">
        <v>1435</v>
      </c>
      <c r="L245" s="407" t="n">
        <v>28440</v>
      </c>
      <c r="M245" s="407" t="n">
        <v>14630</v>
      </c>
      <c r="N245" s="408" t="n">
        <v>6.5</v>
      </c>
      <c r="O245" s="407" t="n">
        <v>13810</v>
      </c>
      <c r="P245" s="407" t="n">
        <v>12912.3</v>
      </c>
      <c r="Q245" s="234" t="n">
        <v>2023</v>
      </c>
      <c r="R245" s="234"/>
      <c r="S245" s="248" t="n">
        <v>45095</v>
      </c>
      <c r="T245" s="407" t="n">
        <f aca="false">Таблица18[[#This Row],[Вес нетто]]-Таблица18[[#This Row],[Зачетный вес]]</f>
        <v>897.700000000001</v>
      </c>
      <c r="U245" s="409" t="n">
        <f aca="false">Таблица18[[#This Row],[Отход]]/Таблица18[[#This Row],[Вес нетто]]</f>
        <v>0.0650036205648082</v>
      </c>
      <c r="V245" s="234" t="n">
        <f aca="false">MONTH(Таблица18[[#This Row],[Дата акта]])</f>
        <v>6</v>
      </c>
      <c r="W245" s="234" t="n">
        <v>18</v>
      </c>
      <c r="X245" s="248" t="n">
        <f aca="false">DATE(1900,Таблица18[[#This Row],[Месяц]],Таблица18[[#This Row],[Число]])</f>
        <v>170</v>
      </c>
      <c r="Y245" s="234"/>
      <c r="AF245" s="411"/>
      <c r="AG245" s="412"/>
    </row>
    <row r="246" s="410" customFormat="true" ht="15" hidden="true" customHeight="true" outlineLevel="0" collapsed="false">
      <c r="A246" s="199" t="s">
        <v>1719</v>
      </c>
      <c r="B246" s="199" t="s">
        <v>746</v>
      </c>
      <c r="C246" s="405" t="n">
        <v>369</v>
      </c>
      <c r="D246" s="406" t="n">
        <v>147</v>
      </c>
      <c r="E246" s="199" t="s">
        <v>422</v>
      </c>
      <c r="F246" s="199" t="s">
        <v>359</v>
      </c>
      <c r="G246" s="199" t="s">
        <v>426</v>
      </c>
      <c r="H246" s="199" t="s">
        <v>1712</v>
      </c>
      <c r="I246" s="199" t="s">
        <v>1712</v>
      </c>
      <c r="J246" s="199" t="s">
        <v>68</v>
      </c>
      <c r="K246" s="199" t="s">
        <v>1435</v>
      </c>
      <c r="L246" s="407" t="n">
        <v>27640</v>
      </c>
      <c r="M246" s="407" t="n">
        <v>14000</v>
      </c>
      <c r="N246" s="408" t="n">
        <v>6.5</v>
      </c>
      <c r="O246" s="407" t="n">
        <v>13640</v>
      </c>
      <c r="P246" s="407" t="n">
        <v>12753.4</v>
      </c>
      <c r="Q246" s="234" t="n">
        <v>2023</v>
      </c>
      <c r="R246" s="234"/>
      <c r="S246" s="248" t="n">
        <v>45095</v>
      </c>
      <c r="T246" s="407" t="n">
        <f aca="false">Таблица18[[#This Row],[Вес нетто]]-Таблица18[[#This Row],[Зачетный вес]]</f>
        <v>886.6</v>
      </c>
      <c r="U246" s="409" t="n">
        <f aca="false">Таблица18[[#This Row],[Отход]]/Таблица18[[#This Row],[Вес нетто]]</f>
        <v>0.065</v>
      </c>
      <c r="V246" s="234" t="n">
        <f aca="false">MONTH(Таблица18[[#This Row],[Дата акта]])</f>
        <v>6</v>
      </c>
      <c r="W246" s="234" t="n">
        <v>18</v>
      </c>
      <c r="X246" s="248" t="n">
        <f aca="false">DATE(1900,Таблица18[[#This Row],[Месяц]],Таблица18[[#This Row],[Число]])</f>
        <v>170</v>
      </c>
      <c r="Y246" s="234"/>
      <c r="AF246" s="411"/>
      <c r="AG246" s="412"/>
    </row>
    <row r="247" s="410" customFormat="true" ht="15" hidden="true" customHeight="true" outlineLevel="0" collapsed="false">
      <c r="A247" s="199" t="s">
        <v>1720</v>
      </c>
      <c r="B247" s="199" t="s">
        <v>746</v>
      </c>
      <c r="C247" s="405" t="n">
        <v>370</v>
      </c>
      <c r="D247" s="406" t="n">
        <v>148</v>
      </c>
      <c r="E247" s="199" t="s">
        <v>422</v>
      </c>
      <c r="F247" s="199" t="s">
        <v>1548</v>
      </c>
      <c r="G247" s="199" t="s">
        <v>1549</v>
      </c>
      <c r="H247" s="199" t="s">
        <v>1712</v>
      </c>
      <c r="I247" s="199" t="s">
        <v>1712</v>
      </c>
      <c r="J247" s="199" t="s">
        <v>68</v>
      </c>
      <c r="K247" s="199" t="s">
        <v>1435</v>
      </c>
      <c r="L247" s="407" t="n">
        <v>28430</v>
      </c>
      <c r="M247" s="407" t="n">
        <v>14970</v>
      </c>
      <c r="N247" s="408" t="n">
        <v>7.5</v>
      </c>
      <c r="O247" s="407" t="n">
        <v>13460</v>
      </c>
      <c r="P247" s="407" t="n">
        <v>12450.5</v>
      </c>
      <c r="Q247" s="234" t="n">
        <v>2023</v>
      </c>
      <c r="R247" s="234"/>
      <c r="S247" s="248" t="n">
        <v>45095</v>
      </c>
      <c r="T247" s="407" t="n">
        <f aca="false">Таблица18[[#This Row],[Вес нетто]]-Таблица18[[#This Row],[Зачетный вес]]</f>
        <v>1009.5</v>
      </c>
      <c r="U247" s="409" t="n">
        <f aca="false">Таблица18[[#This Row],[Отход]]/Таблица18[[#This Row],[Вес нетто]]</f>
        <v>0.075</v>
      </c>
      <c r="V247" s="234" t="n">
        <f aca="false">MONTH(Таблица18[[#This Row],[Дата акта]])</f>
        <v>6</v>
      </c>
      <c r="W247" s="234" t="n">
        <v>18</v>
      </c>
      <c r="X247" s="248" t="n">
        <f aca="false">DATE(1900,Таблица18[[#This Row],[Месяц]],Таблица18[[#This Row],[Число]])</f>
        <v>170</v>
      </c>
      <c r="Y247" s="234"/>
      <c r="AF247" s="411"/>
      <c r="AG247" s="412"/>
    </row>
    <row r="248" s="410" customFormat="true" ht="15" hidden="true" customHeight="true" outlineLevel="0" collapsed="false">
      <c r="A248" s="199" t="s">
        <v>1721</v>
      </c>
      <c r="B248" s="199" t="s">
        <v>746</v>
      </c>
      <c r="C248" s="405" t="n">
        <v>371</v>
      </c>
      <c r="D248" s="406" t="n">
        <v>149</v>
      </c>
      <c r="E248" s="199" t="s">
        <v>422</v>
      </c>
      <c r="F248" s="199" t="s">
        <v>1464</v>
      </c>
      <c r="G248" s="199" t="s">
        <v>1447</v>
      </c>
      <c r="H248" s="199" t="s">
        <v>1712</v>
      </c>
      <c r="I248" s="199" t="s">
        <v>1712</v>
      </c>
      <c r="J248" s="199" t="s">
        <v>68</v>
      </c>
      <c r="K248" s="199" t="s">
        <v>1435</v>
      </c>
      <c r="L248" s="407" t="n">
        <v>28240</v>
      </c>
      <c r="M248" s="407" t="n">
        <v>14680</v>
      </c>
      <c r="N248" s="408" t="n">
        <v>5.5</v>
      </c>
      <c r="O248" s="407" t="n">
        <v>13560</v>
      </c>
      <c r="P248" s="407" t="n">
        <v>12814.2</v>
      </c>
      <c r="Q248" s="234" t="n">
        <v>2023</v>
      </c>
      <c r="R248" s="234"/>
      <c r="S248" s="248" t="n">
        <v>45095</v>
      </c>
      <c r="T248" s="407" t="n">
        <f aca="false">Таблица18[[#This Row],[Вес нетто]]-Таблица18[[#This Row],[Зачетный вес]]</f>
        <v>745.799999999999</v>
      </c>
      <c r="U248" s="409" t="n">
        <f aca="false">Таблица18[[#This Row],[Отход]]/Таблица18[[#This Row],[Вес нетто]]</f>
        <v>0.0549999999999999</v>
      </c>
      <c r="V248" s="234" t="n">
        <f aca="false">MONTH(Таблица18[[#This Row],[Дата акта]])</f>
        <v>6</v>
      </c>
      <c r="W248" s="234" t="n">
        <v>18</v>
      </c>
      <c r="X248" s="248" t="n">
        <f aca="false">DATE(1900,Таблица18[[#This Row],[Месяц]],Таблица18[[#This Row],[Число]])</f>
        <v>170</v>
      </c>
      <c r="Y248" s="234"/>
      <c r="AF248" s="411"/>
      <c r="AG248" s="412"/>
    </row>
    <row r="249" s="410" customFormat="true" ht="15" hidden="true" customHeight="true" outlineLevel="0" collapsed="false">
      <c r="A249" s="199" t="s">
        <v>1722</v>
      </c>
      <c r="B249" s="199" t="s">
        <v>886</v>
      </c>
      <c r="C249" s="405" t="n">
        <v>372</v>
      </c>
      <c r="D249" s="406" t="n">
        <v>150</v>
      </c>
      <c r="E249" s="199" t="s">
        <v>422</v>
      </c>
      <c r="F249" s="199" t="s">
        <v>1449</v>
      </c>
      <c r="G249" s="199" t="s">
        <v>704</v>
      </c>
      <c r="H249" s="199" t="s">
        <v>1712</v>
      </c>
      <c r="I249" s="199" t="s">
        <v>1712</v>
      </c>
      <c r="J249" s="199" t="s">
        <v>68</v>
      </c>
      <c r="K249" s="199" t="s">
        <v>1435</v>
      </c>
      <c r="L249" s="407" t="n">
        <v>27960</v>
      </c>
      <c r="M249" s="407" t="n">
        <v>14620</v>
      </c>
      <c r="N249" s="408" t="n">
        <v>6.5</v>
      </c>
      <c r="O249" s="407" t="n">
        <v>13340</v>
      </c>
      <c r="P249" s="407" t="n">
        <v>12472.9</v>
      </c>
      <c r="Q249" s="234" t="n">
        <v>2023</v>
      </c>
      <c r="R249" s="234"/>
      <c r="S249" s="248" t="n">
        <v>45095</v>
      </c>
      <c r="T249" s="407" t="n">
        <f aca="false">Таблица18[[#This Row],[Вес нетто]]-Таблица18[[#This Row],[Зачетный вес]]</f>
        <v>867.1</v>
      </c>
      <c r="U249" s="409" t="n">
        <f aca="false">Таблица18[[#This Row],[Отход]]/Таблица18[[#This Row],[Вес нетто]]</f>
        <v>0.065</v>
      </c>
      <c r="V249" s="234" t="n">
        <f aca="false">MONTH(Таблица18[[#This Row],[Дата акта]])</f>
        <v>6</v>
      </c>
      <c r="W249" s="234" t="n">
        <v>18</v>
      </c>
      <c r="X249" s="248" t="n">
        <f aca="false">DATE(1900,Таблица18[[#This Row],[Месяц]],Таблица18[[#This Row],[Число]])</f>
        <v>170</v>
      </c>
      <c r="Y249" s="234"/>
      <c r="AF249" s="411"/>
      <c r="AG249" s="412"/>
    </row>
    <row r="250" s="410" customFormat="true" ht="15" hidden="true" customHeight="true" outlineLevel="0" collapsed="false">
      <c r="A250" s="199" t="s">
        <v>1723</v>
      </c>
      <c r="B250" s="199" t="s">
        <v>886</v>
      </c>
      <c r="C250" s="405" t="n">
        <v>374</v>
      </c>
      <c r="D250" s="406" t="n">
        <v>151</v>
      </c>
      <c r="E250" s="199" t="s">
        <v>422</v>
      </c>
      <c r="F250" s="199" t="s">
        <v>359</v>
      </c>
      <c r="G250" s="199" t="s">
        <v>426</v>
      </c>
      <c r="H250" s="199" t="s">
        <v>1712</v>
      </c>
      <c r="I250" s="199" t="s">
        <v>1712</v>
      </c>
      <c r="J250" s="199" t="s">
        <v>68</v>
      </c>
      <c r="K250" s="199" t="s">
        <v>1435</v>
      </c>
      <c r="L250" s="407" t="n">
        <v>27480</v>
      </c>
      <c r="M250" s="407" t="n">
        <v>14140</v>
      </c>
      <c r="N250" s="408" t="n">
        <v>5.5</v>
      </c>
      <c r="O250" s="407" t="n">
        <v>13340</v>
      </c>
      <c r="P250" s="407" t="n">
        <v>12606.3</v>
      </c>
      <c r="Q250" s="234" t="n">
        <v>2023</v>
      </c>
      <c r="R250" s="234"/>
      <c r="S250" s="248" t="n">
        <v>45095</v>
      </c>
      <c r="T250" s="407" t="n">
        <f aca="false">Таблица18[[#This Row],[Вес нетто]]-Таблица18[[#This Row],[Зачетный вес]]</f>
        <v>733.700000000001</v>
      </c>
      <c r="U250" s="409" t="n">
        <f aca="false">Таблица18[[#This Row],[Отход]]/Таблица18[[#This Row],[Вес нетто]]</f>
        <v>0.0550000000000001</v>
      </c>
      <c r="V250" s="234" t="n">
        <f aca="false">MONTH(Таблица18[[#This Row],[Дата акта]])</f>
        <v>6</v>
      </c>
      <c r="W250" s="234" t="n">
        <v>18</v>
      </c>
      <c r="X250" s="248" t="n">
        <f aca="false">DATE(1900,Таблица18[[#This Row],[Месяц]],Таблица18[[#This Row],[Число]])</f>
        <v>170</v>
      </c>
      <c r="Y250" s="234"/>
      <c r="AF250" s="411"/>
      <c r="AG250" s="412"/>
    </row>
    <row r="251" s="410" customFormat="true" ht="15" hidden="true" customHeight="true" outlineLevel="0" collapsed="false">
      <c r="A251" s="199" t="s">
        <v>1724</v>
      </c>
      <c r="B251" s="199" t="s">
        <v>886</v>
      </c>
      <c r="C251" s="405" t="n">
        <v>375</v>
      </c>
      <c r="D251" s="406" t="n">
        <v>152</v>
      </c>
      <c r="E251" s="199" t="s">
        <v>422</v>
      </c>
      <c r="F251" s="199" t="s">
        <v>1548</v>
      </c>
      <c r="G251" s="199" t="s">
        <v>1549</v>
      </c>
      <c r="H251" s="199" t="s">
        <v>1712</v>
      </c>
      <c r="I251" s="199" t="s">
        <v>1712</v>
      </c>
      <c r="J251" s="199" t="s">
        <v>68</v>
      </c>
      <c r="K251" s="199" t="s">
        <v>1435</v>
      </c>
      <c r="L251" s="407" t="n">
        <v>28300</v>
      </c>
      <c r="M251" s="407" t="n">
        <v>15020</v>
      </c>
      <c r="N251" s="408" t="n">
        <v>6.5</v>
      </c>
      <c r="O251" s="407" t="n">
        <v>13280</v>
      </c>
      <c r="P251" s="407" t="n">
        <v>12416.8</v>
      </c>
      <c r="Q251" s="234" t="n">
        <v>2023</v>
      </c>
      <c r="R251" s="234"/>
      <c r="S251" s="248" t="n">
        <v>45096</v>
      </c>
      <c r="T251" s="407" t="n">
        <f aca="false">Таблица18[[#This Row],[Вес нетто]]-Таблица18[[#This Row],[Зачетный вес]]</f>
        <v>863.200000000001</v>
      </c>
      <c r="U251" s="409" t="n">
        <f aca="false">Таблица18[[#This Row],[Отход]]/Таблица18[[#This Row],[Вес нетто]]</f>
        <v>0.0650000000000001</v>
      </c>
      <c r="V251" s="234" t="n">
        <f aca="false">MONTH(Таблица18[[#This Row],[Дата акта]])</f>
        <v>6</v>
      </c>
      <c r="W251" s="234" t="n">
        <v>19</v>
      </c>
      <c r="X251" s="248" t="n">
        <f aca="false">DATE(1900,Таблица18[[#This Row],[Месяц]],Таблица18[[#This Row],[Число]])</f>
        <v>171</v>
      </c>
      <c r="Y251" s="234"/>
      <c r="AF251" s="411"/>
      <c r="AG251" s="412"/>
    </row>
    <row r="252" s="410" customFormat="true" ht="15" hidden="true" customHeight="true" outlineLevel="0" collapsed="false">
      <c r="A252" s="199" t="s">
        <v>1725</v>
      </c>
      <c r="B252" s="199" t="s">
        <v>886</v>
      </c>
      <c r="C252" s="405" t="n">
        <v>376</v>
      </c>
      <c r="D252" s="406" t="n">
        <v>153</v>
      </c>
      <c r="E252" s="199" t="s">
        <v>422</v>
      </c>
      <c r="F252" s="199" t="s">
        <v>1523</v>
      </c>
      <c r="G252" s="199" t="s">
        <v>1447</v>
      </c>
      <c r="H252" s="199" t="s">
        <v>1712</v>
      </c>
      <c r="I252" s="199" t="s">
        <v>1712</v>
      </c>
      <c r="J252" s="199" t="s">
        <v>68</v>
      </c>
      <c r="K252" s="199" t="s">
        <v>1435</v>
      </c>
      <c r="L252" s="407" t="n">
        <v>27960</v>
      </c>
      <c r="M252" s="407" t="n">
        <v>14230</v>
      </c>
      <c r="N252" s="408" t="n">
        <v>7.5</v>
      </c>
      <c r="O252" s="407" t="n">
        <v>13730</v>
      </c>
      <c r="P252" s="407" t="n">
        <v>12700.2</v>
      </c>
      <c r="Q252" s="234" t="n">
        <v>2023</v>
      </c>
      <c r="R252" s="234"/>
      <c r="S252" s="248" t="n">
        <v>45096</v>
      </c>
      <c r="T252" s="407" t="n">
        <f aca="false">Таблица18[[#This Row],[Вес нетто]]-Таблица18[[#This Row],[Зачетный вес]]</f>
        <v>1029.8</v>
      </c>
      <c r="U252" s="409" t="n">
        <f aca="false">Таблица18[[#This Row],[Отход]]/Таблица18[[#This Row],[Вес нетто]]</f>
        <v>0.0750036416605972</v>
      </c>
      <c r="V252" s="234" t="n">
        <f aca="false">MONTH(Таблица18[[#This Row],[Дата акта]])</f>
        <v>6</v>
      </c>
      <c r="W252" s="234" t="n">
        <v>19</v>
      </c>
      <c r="X252" s="248" t="n">
        <f aca="false">DATE(1900,Таблица18[[#This Row],[Месяц]],Таблица18[[#This Row],[Число]])</f>
        <v>171</v>
      </c>
      <c r="Y252" s="234"/>
      <c r="AF252" s="411"/>
      <c r="AG252" s="412"/>
    </row>
    <row r="253" s="410" customFormat="true" ht="15" hidden="true" customHeight="true" outlineLevel="0" collapsed="false">
      <c r="A253" s="199" t="s">
        <v>1726</v>
      </c>
      <c r="B253" s="199" t="s">
        <v>417</v>
      </c>
      <c r="C253" s="405" t="n">
        <v>377</v>
      </c>
      <c r="D253" s="406" t="n">
        <v>154</v>
      </c>
      <c r="E253" s="199" t="s">
        <v>422</v>
      </c>
      <c r="F253" s="199" t="s">
        <v>1449</v>
      </c>
      <c r="G253" s="199" t="s">
        <v>704</v>
      </c>
      <c r="H253" s="199" t="s">
        <v>1727</v>
      </c>
      <c r="I253" s="199" t="s">
        <v>1727</v>
      </c>
      <c r="J253" s="199" t="s">
        <v>68</v>
      </c>
      <c r="K253" s="199" t="s">
        <v>1435</v>
      </c>
      <c r="L253" s="407" t="n">
        <v>28100</v>
      </c>
      <c r="M253" s="407" t="n">
        <v>14530</v>
      </c>
      <c r="N253" s="408" t="n">
        <v>19.5</v>
      </c>
      <c r="O253" s="407" t="n">
        <v>13570</v>
      </c>
      <c r="P253" s="407" t="n">
        <v>10923.8</v>
      </c>
      <c r="Q253" s="234" t="n">
        <v>2023</v>
      </c>
      <c r="R253" s="234"/>
      <c r="S253" s="248" t="n">
        <v>45096</v>
      </c>
      <c r="T253" s="407" t="n">
        <f aca="false">Таблица18[[#This Row],[Вес нетто]]-Таблица18[[#This Row],[Зачетный вес]]</f>
        <v>2646.2</v>
      </c>
      <c r="U253" s="409" t="n">
        <f aca="false">Таблица18[[#This Row],[Отход]]/Таблица18[[#This Row],[Вес нетто]]</f>
        <v>0.195003684598379</v>
      </c>
      <c r="V253" s="234" t="n">
        <f aca="false">MONTH(Таблица18[[#This Row],[Дата акта]])</f>
        <v>6</v>
      </c>
      <c r="W253" s="234" t="n">
        <v>19</v>
      </c>
      <c r="X253" s="248" t="n">
        <f aca="false">DATE(1900,Таблица18[[#This Row],[Месяц]],Таблица18[[#This Row],[Число]])</f>
        <v>171</v>
      </c>
      <c r="Y253" s="234"/>
      <c r="AF253" s="411"/>
      <c r="AG253" s="412"/>
    </row>
    <row r="254" s="410" customFormat="true" ht="15" hidden="true" customHeight="true" outlineLevel="0" collapsed="false">
      <c r="A254" s="199" t="s">
        <v>1728</v>
      </c>
      <c r="B254" s="199" t="s">
        <v>417</v>
      </c>
      <c r="C254" s="405" t="n">
        <v>378</v>
      </c>
      <c r="D254" s="406" t="n">
        <v>151</v>
      </c>
      <c r="E254" s="199" t="s">
        <v>422</v>
      </c>
      <c r="F254" s="199" t="s">
        <v>359</v>
      </c>
      <c r="G254" s="199" t="s">
        <v>426</v>
      </c>
      <c r="H254" s="199" t="s">
        <v>1727</v>
      </c>
      <c r="I254" s="199" t="s">
        <v>1727</v>
      </c>
      <c r="J254" s="199" t="s">
        <v>68</v>
      </c>
      <c r="K254" s="199" t="s">
        <v>1435</v>
      </c>
      <c r="L254" s="407" t="n">
        <v>27670</v>
      </c>
      <c r="M254" s="407" t="n">
        <v>14030</v>
      </c>
      <c r="N254" s="408" t="n">
        <v>15.5</v>
      </c>
      <c r="O254" s="407" t="n">
        <v>13640</v>
      </c>
      <c r="P254" s="407" t="n">
        <v>11525.8</v>
      </c>
      <c r="Q254" s="234" t="n">
        <v>2023</v>
      </c>
      <c r="R254" s="234"/>
      <c r="S254" s="248" t="n">
        <v>45096</v>
      </c>
      <c r="T254" s="407" t="n">
        <f aca="false">Таблица18[[#This Row],[Вес нетто]]-Таблица18[[#This Row],[Зачетный вес]]</f>
        <v>2114.2</v>
      </c>
      <c r="U254" s="409" t="n">
        <f aca="false">Таблица18[[#This Row],[Отход]]/Таблица18[[#This Row],[Вес нетто]]</f>
        <v>0.155</v>
      </c>
      <c r="V254" s="234" t="n">
        <f aca="false">MONTH(Таблица18[[#This Row],[Дата акта]])</f>
        <v>6</v>
      </c>
      <c r="W254" s="234" t="n">
        <v>19</v>
      </c>
      <c r="X254" s="248" t="n">
        <f aca="false">DATE(1900,Таблица18[[#This Row],[Месяц]],Таблица18[[#This Row],[Число]])</f>
        <v>171</v>
      </c>
      <c r="Y254" s="234"/>
      <c r="AF254" s="411"/>
      <c r="AG254" s="412"/>
    </row>
    <row r="255" s="410" customFormat="true" ht="15" hidden="true" customHeight="true" outlineLevel="0" collapsed="false">
      <c r="A255" s="199" t="s">
        <v>1729</v>
      </c>
      <c r="B255" s="199" t="s">
        <v>417</v>
      </c>
      <c r="C255" s="405" t="n">
        <v>381</v>
      </c>
      <c r="D255" s="406" t="n">
        <v>156</v>
      </c>
      <c r="E255" s="199" t="s">
        <v>422</v>
      </c>
      <c r="F255" s="199" t="s">
        <v>371</v>
      </c>
      <c r="G255" s="199" t="s">
        <v>372</v>
      </c>
      <c r="H255" s="199" t="s">
        <v>1727</v>
      </c>
      <c r="I255" s="199" t="s">
        <v>1727</v>
      </c>
      <c r="J255" s="199" t="s">
        <v>68</v>
      </c>
      <c r="K255" s="199" t="s">
        <v>1435</v>
      </c>
      <c r="L255" s="407" t="n">
        <v>25590</v>
      </c>
      <c r="M255" s="407" t="n">
        <v>15080</v>
      </c>
      <c r="N255" s="408" t="n">
        <v>12.2</v>
      </c>
      <c r="O255" s="407" t="n">
        <v>10510</v>
      </c>
      <c r="P255" s="407" t="n">
        <v>9230.9</v>
      </c>
      <c r="Q255" s="234" t="n">
        <v>2023</v>
      </c>
      <c r="R255" s="234"/>
      <c r="S255" s="248" t="n">
        <v>45096</v>
      </c>
      <c r="T255" s="407" t="n">
        <f aca="false">Таблица18[[#This Row],[Вес нетто]]-Таблица18[[#This Row],[Зачетный вес]]</f>
        <v>1279.1</v>
      </c>
      <c r="U255" s="409" t="n">
        <f aca="false">Таблица18[[#This Row],[Отход]]/Таблица18[[#This Row],[Вес нетто]]</f>
        <v>0.121703139866794</v>
      </c>
      <c r="V255" s="234" t="n">
        <f aca="false">MONTH(Таблица18[[#This Row],[Дата акта]])</f>
        <v>6</v>
      </c>
      <c r="W255" s="234" t="n">
        <v>19</v>
      </c>
      <c r="X255" s="248" t="n">
        <f aca="false">DATE(1900,Таблица18[[#This Row],[Месяц]],Таблица18[[#This Row],[Число]])</f>
        <v>171</v>
      </c>
      <c r="Y255" s="234"/>
      <c r="AF255" s="411"/>
      <c r="AG255" s="412"/>
    </row>
    <row r="256" s="410" customFormat="true" ht="15" hidden="true" customHeight="true" outlineLevel="0" collapsed="false">
      <c r="A256" s="199" t="s">
        <v>1730</v>
      </c>
      <c r="B256" s="199" t="s">
        <v>417</v>
      </c>
      <c r="C256" s="405" t="n">
        <v>382</v>
      </c>
      <c r="D256" s="406" t="n">
        <v>157</v>
      </c>
      <c r="E256" s="199" t="s">
        <v>422</v>
      </c>
      <c r="F256" s="199" t="s">
        <v>380</v>
      </c>
      <c r="G256" s="199" t="s">
        <v>381</v>
      </c>
      <c r="H256" s="199" t="s">
        <v>1731</v>
      </c>
      <c r="I256" s="199" t="s">
        <v>1731</v>
      </c>
      <c r="J256" s="199" t="s">
        <v>68</v>
      </c>
      <c r="K256" s="199" t="s">
        <v>1435</v>
      </c>
      <c r="L256" s="407" t="n">
        <v>28450</v>
      </c>
      <c r="M256" s="407" t="n">
        <v>14270</v>
      </c>
      <c r="N256" s="408" t="n">
        <v>12.5</v>
      </c>
      <c r="O256" s="407" t="n">
        <v>14180</v>
      </c>
      <c r="P256" s="407" t="n">
        <v>12407.5</v>
      </c>
      <c r="Q256" s="234" t="n">
        <v>2023</v>
      </c>
      <c r="R256" s="234"/>
      <c r="S256" s="248" t="n">
        <v>45096</v>
      </c>
      <c r="T256" s="407" t="n">
        <f aca="false">Таблица18[[#This Row],[Вес нетто]]-Таблица18[[#This Row],[Зачетный вес]]</f>
        <v>1772.5</v>
      </c>
      <c r="U256" s="409" t="n">
        <f aca="false">Таблица18[[#This Row],[Отход]]/Таблица18[[#This Row],[Вес нетто]]</f>
        <v>0.125</v>
      </c>
      <c r="V256" s="234" t="n">
        <f aca="false">MONTH(Таблица18[[#This Row],[Дата акта]])</f>
        <v>6</v>
      </c>
      <c r="W256" s="234" t="n">
        <v>19</v>
      </c>
      <c r="X256" s="248" t="n">
        <f aca="false">DATE(1900,Таблица18[[#This Row],[Месяц]],Таблица18[[#This Row],[Число]])</f>
        <v>171</v>
      </c>
      <c r="Y256" s="234"/>
      <c r="AF256" s="411"/>
      <c r="AG256" s="412"/>
    </row>
    <row r="257" s="410" customFormat="true" ht="15" hidden="true" customHeight="true" outlineLevel="0" collapsed="false">
      <c r="A257" s="199" t="s">
        <v>1732</v>
      </c>
      <c r="B257" s="199" t="s">
        <v>417</v>
      </c>
      <c r="C257" s="405" t="n">
        <v>383</v>
      </c>
      <c r="D257" s="406" t="n">
        <v>158</v>
      </c>
      <c r="E257" s="199" t="s">
        <v>422</v>
      </c>
      <c r="F257" s="199" t="s">
        <v>371</v>
      </c>
      <c r="G257" s="199" t="s">
        <v>372</v>
      </c>
      <c r="H257" s="199" t="s">
        <v>1731</v>
      </c>
      <c r="I257" s="199" t="s">
        <v>1731</v>
      </c>
      <c r="J257" s="199" t="s">
        <v>68</v>
      </c>
      <c r="K257" s="199" t="s">
        <v>1435</v>
      </c>
      <c r="L257" s="407" t="n">
        <v>28870</v>
      </c>
      <c r="M257" s="407" t="n">
        <v>15080</v>
      </c>
      <c r="N257" s="408" t="n">
        <v>10.5</v>
      </c>
      <c r="O257" s="407" t="n">
        <v>13790</v>
      </c>
      <c r="P257" s="407" t="n">
        <v>12342</v>
      </c>
      <c r="Q257" s="234" t="n">
        <v>2023</v>
      </c>
      <c r="R257" s="234"/>
      <c r="S257" s="248" t="n">
        <v>45096</v>
      </c>
      <c r="T257" s="407" t="n">
        <f aca="false">Таблица18[[#This Row],[Вес нетто]]-Таблица18[[#This Row],[Зачетный вес]]</f>
        <v>1448</v>
      </c>
      <c r="U257" s="409" t="n">
        <f aca="false">Таблица18[[#This Row],[Отход]]/Таблица18[[#This Row],[Вес нетто]]</f>
        <v>0.105003625815809</v>
      </c>
      <c r="V257" s="234" t="n">
        <f aca="false">MONTH(Таблица18[[#This Row],[Дата акта]])</f>
        <v>6</v>
      </c>
      <c r="W257" s="234" t="n">
        <v>19</v>
      </c>
      <c r="X257" s="248" t="n">
        <f aca="false">DATE(1900,Таблица18[[#This Row],[Месяц]],Таблица18[[#This Row],[Число]])</f>
        <v>171</v>
      </c>
      <c r="Y257" s="234"/>
      <c r="AF257" s="411"/>
      <c r="AG257" s="412"/>
    </row>
    <row r="258" s="410" customFormat="true" ht="15" hidden="true" customHeight="true" outlineLevel="0" collapsed="false">
      <c r="A258" s="199" t="s">
        <v>1733</v>
      </c>
      <c r="B258" s="199" t="s">
        <v>417</v>
      </c>
      <c r="C258" s="405" t="n">
        <v>384</v>
      </c>
      <c r="D258" s="406" t="n">
        <v>159</v>
      </c>
      <c r="E258" s="199" t="s">
        <v>422</v>
      </c>
      <c r="F258" s="199" t="s">
        <v>1576</v>
      </c>
      <c r="G258" s="199" t="s">
        <v>1455</v>
      </c>
      <c r="H258" s="199" t="s">
        <v>1731</v>
      </c>
      <c r="I258" s="199" t="s">
        <v>1731</v>
      </c>
      <c r="J258" s="199" t="s">
        <v>68</v>
      </c>
      <c r="K258" s="199" t="s">
        <v>1435</v>
      </c>
      <c r="L258" s="407" t="n">
        <v>28210</v>
      </c>
      <c r="M258" s="407" t="n">
        <v>14410</v>
      </c>
      <c r="N258" s="408" t="n">
        <v>12.5</v>
      </c>
      <c r="O258" s="407" t="n">
        <v>13800</v>
      </c>
      <c r="P258" s="407" t="n">
        <v>12075</v>
      </c>
      <c r="Q258" s="234" t="n">
        <v>2023</v>
      </c>
      <c r="R258" s="234"/>
      <c r="S258" s="248" t="n">
        <v>45096</v>
      </c>
      <c r="T258" s="407" t="n">
        <f aca="false">Таблица18[[#This Row],[Вес нетто]]-Таблица18[[#This Row],[Зачетный вес]]</f>
        <v>1725</v>
      </c>
      <c r="U258" s="409" t="n">
        <f aca="false">Таблица18[[#This Row],[Отход]]/Таблица18[[#This Row],[Вес нетто]]</f>
        <v>0.125</v>
      </c>
      <c r="V258" s="234" t="n">
        <f aca="false">MONTH(Таблица18[[#This Row],[Дата акта]])</f>
        <v>6</v>
      </c>
      <c r="W258" s="234" t="n">
        <v>19</v>
      </c>
      <c r="X258" s="248" t="n">
        <f aca="false">DATE(1900,Таблица18[[#This Row],[Месяц]],Таблица18[[#This Row],[Число]])</f>
        <v>171</v>
      </c>
      <c r="Y258" s="234"/>
      <c r="AF258" s="411"/>
      <c r="AG258" s="412"/>
    </row>
    <row r="259" s="410" customFormat="true" ht="15" hidden="true" customHeight="true" outlineLevel="0" collapsed="false">
      <c r="A259" s="199" t="s">
        <v>1734</v>
      </c>
      <c r="B259" s="199" t="s">
        <v>417</v>
      </c>
      <c r="C259" s="405" t="n">
        <v>385</v>
      </c>
      <c r="D259" s="406" t="n">
        <v>160</v>
      </c>
      <c r="E259" s="199" t="s">
        <v>422</v>
      </c>
      <c r="F259" s="199" t="s">
        <v>380</v>
      </c>
      <c r="G259" s="199" t="s">
        <v>381</v>
      </c>
      <c r="H259" s="199" t="s">
        <v>1731</v>
      </c>
      <c r="I259" s="199" t="s">
        <v>1731</v>
      </c>
      <c r="J259" s="199" t="s">
        <v>68</v>
      </c>
      <c r="K259" s="199" t="s">
        <v>1435</v>
      </c>
      <c r="L259" s="407" t="n">
        <v>28140</v>
      </c>
      <c r="M259" s="407" t="n">
        <v>14250</v>
      </c>
      <c r="N259" s="408" t="n">
        <v>11.5</v>
      </c>
      <c r="O259" s="407" t="n">
        <v>13890</v>
      </c>
      <c r="P259" s="407" t="n">
        <v>12292.6</v>
      </c>
      <c r="Q259" s="234" t="n">
        <v>2023</v>
      </c>
      <c r="R259" s="234"/>
      <c r="S259" s="248" t="n">
        <v>45096</v>
      </c>
      <c r="T259" s="407" t="n">
        <f aca="false">Таблица18[[#This Row],[Вес нетто]]-Таблица18[[#This Row],[Зачетный вес]]</f>
        <v>1597.4</v>
      </c>
      <c r="U259" s="409" t="n">
        <f aca="false">Таблица18[[#This Row],[Отход]]/Таблица18[[#This Row],[Вес нетто]]</f>
        <v>0.115003599712023</v>
      </c>
      <c r="V259" s="234" t="n">
        <f aca="false">MONTH(Таблица18[[#This Row],[Дата акта]])</f>
        <v>6</v>
      </c>
      <c r="W259" s="234" t="n">
        <v>19</v>
      </c>
      <c r="X259" s="248" t="n">
        <f aca="false">DATE(1900,Таблица18[[#This Row],[Месяц]],Таблица18[[#This Row],[Число]])</f>
        <v>171</v>
      </c>
      <c r="Y259" s="234"/>
      <c r="AF259" s="411"/>
      <c r="AG259" s="412"/>
    </row>
    <row r="260" s="410" customFormat="true" ht="15" hidden="true" customHeight="true" outlineLevel="0" collapsed="false">
      <c r="A260" s="199" t="s">
        <v>1735</v>
      </c>
      <c r="B260" s="199" t="s">
        <v>417</v>
      </c>
      <c r="C260" s="405" t="n">
        <v>386</v>
      </c>
      <c r="D260" s="406" t="n">
        <v>112</v>
      </c>
      <c r="E260" s="199" t="s">
        <v>422</v>
      </c>
      <c r="F260" s="199" t="s">
        <v>457</v>
      </c>
      <c r="G260" s="199" t="s">
        <v>366</v>
      </c>
      <c r="H260" s="199" t="s">
        <v>1731</v>
      </c>
      <c r="I260" s="199" t="s">
        <v>1731</v>
      </c>
      <c r="J260" s="199" t="s">
        <v>68</v>
      </c>
      <c r="K260" s="199" t="s">
        <v>1435</v>
      </c>
      <c r="L260" s="407" t="n">
        <v>33710</v>
      </c>
      <c r="M260" s="407" t="n">
        <v>17550</v>
      </c>
      <c r="N260" s="408" t="n">
        <v>13.5</v>
      </c>
      <c r="O260" s="407" t="n">
        <v>16160</v>
      </c>
      <c r="P260" s="407" t="n">
        <v>13978.4</v>
      </c>
      <c r="Q260" s="234" t="n">
        <v>2023</v>
      </c>
      <c r="R260" s="234"/>
      <c r="S260" s="248" t="n">
        <v>45096</v>
      </c>
      <c r="T260" s="407" t="n">
        <f aca="false">Таблица18[[#This Row],[Вес нетто]]-Таблица18[[#This Row],[Зачетный вес]]</f>
        <v>2181.6</v>
      </c>
      <c r="U260" s="409" t="n">
        <f aca="false">Таблица18[[#This Row],[Отход]]/Таблица18[[#This Row],[Вес нетто]]</f>
        <v>0.135</v>
      </c>
      <c r="V260" s="234" t="n">
        <f aca="false">MONTH(Таблица18[[#This Row],[Дата акта]])</f>
        <v>6</v>
      </c>
      <c r="W260" s="234" t="n">
        <v>19</v>
      </c>
      <c r="X260" s="248" t="n">
        <f aca="false">DATE(1900,Таблица18[[#This Row],[Месяц]],Таблица18[[#This Row],[Число]])</f>
        <v>171</v>
      </c>
      <c r="Y260" s="234"/>
      <c r="AF260" s="411"/>
      <c r="AG260" s="412"/>
    </row>
    <row r="261" s="410" customFormat="true" ht="15" hidden="true" customHeight="true" outlineLevel="0" collapsed="false">
      <c r="A261" s="199" t="s">
        <v>1736</v>
      </c>
      <c r="B261" s="199" t="s">
        <v>417</v>
      </c>
      <c r="C261" s="405" t="n">
        <v>387</v>
      </c>
      <c r="D261" s="406" t="n">
        <v>162</v>
      </c>
      <c r="E261" s="199" t="s">
        <v>422</v>
      </c>
      <c r="F261" s="199" t="s">
        <v>371</v>
      </c>
      <c r="G261" s="199" t="s">
        <v>372</v>
      </c>
      <c r="H261" s="199" t="s">
        <v>1731</v>
      </c>
      <c r="I261" s="199" t="s">
        <v>1731</v>
      </c>
      <c r="J261" s="199" t="s">
        <v>68</v>
      </c>
      <c r="K261" s="199" t="s">
        <v>1435</v>
      </c>
      <c r="L261" s="407" t="n">
        <v>29010</v>
      </c>
      <c r="M261" s="407" t="n">
        <v>15060</v>
      </c>
      <c r="N261" s="408" t="n">
        <v>14.5</v>
      </c>
      <c r="O261" s="407" t="n">
        <v>13950</v>
      </c>
      <c r="P261" s="407" t="n">
        <v>11927.2</v>
      </c>
      <c r="Q261" s="234" t="n">
        <v>2023</v>
      </c>
      <c r="R261" s="234"/>
      <c r="S261" s="248" t="n">
        <v>45096</v>
      </c>
      <c r="T261" s="407" t="n">
        <f aca="false">Таблица18[[#This Row],[Вес нетто]]-Таблица18[[#This Row],[Зачетный вес]]</f>
        <v>2022.8</v>
      </c>
      <c r="U261" s="409" t="n">
        <f aca="false">Таблица18[[#This Row],[Отход]]/Таблица18[[#This Row],[Вес нетто]]</f>
        <v>0.145003584229391</v>
      </c>
      <c r="V261" s="234" t="n">
        <f aca="false">MONTH(Таблица18[[#This Row],[Дата акта]])</f>
        <v>6</v>
      </c>
      <c r="W261" s="234" t="n">
        <v>19</v>
      </c>
      <c r="X261" s="248" t="n">
        <f aca="false">DATE(1900,Таблица18[[#This Row],[Месяц]],Таблица18[[#This Row],[Число]])</f>
        <v>171</v>
      </c>
      <c r="Y261" s="234"/>
      <c r="AF261" s="411"/>
      <c r="AG261" s="412"/>
    </row>
    <row r="262" s="410" customFormat="true" ht="15" hidden="true" customHeight="true" outlineLevel="0" collapsed="false">
      <c r="A262" s="199" t="s">
        <v>1737</v>
      </c>
      <c r="B262" s="199" t="s">
        <v>417</v>
      </c>
      <c r="C262" s="405" t="n">
        <v>388</v>
      </c>
      <c r="D262" s="406" t="n">
        <v>163</v>
      </c>
      <c r="E262" s="199" t="s">
        <v>422</v>
      </c>
      <c r="F262" s="199" t="s">
        <v>1576</v>
      </c>
      <c r="G262" s="199" t="s">
        <v>1455</v>
      </c>
      <c r="H262" s="199" t="s">
        <v>1731</v>
      </c>
      <c r="I262" s="199" t="s">
        <v>1731</v>
      </c>
      <c r="J262" s="199" t="s">
        <v>68</v>
      </c>
      <c r="K262" s="199" t="s">
        <v>1435</v>
      </c>
      <c r="L262" s="407" t="n">
        <v>28390</v>
      </c>
      <c r="M262" s="407" t="n">
        <v>14530</v>
      </c>
      <c r="N262" s="408" t="n">
        <v>11.5</v>
      </c>
      <c r="O262" s="407" t="n">
        <v>13860</v>
      </c>
      <c r="P262" s="407" t="n">
        <v>12266.1</v>
      </c>
      <c r="Q262" s="234" t="n">
        <v>2023</v>
      </c>
      <c r="R262" s="234"/>
      <c r="S262" s="248" t="n">
        <v>45097</v>
      </c>
      <c r="T262" s="407" t="n">
        <f aca="false">Таблица18[[#This Row],[Вес нетто]]-Таблица18[[#This Row],[Зачетный вес]]</f>
        <v>1593.9</v>
      </c>
      <c r="U262" s="409" t="n">
        <f aca="false">Таблица18[[#This Row],[Отход]]/Таблица18[[#This Row],[Вес нетто]]</f>
        <v>0.115</v>
      </c>
      <c r="V262" s="234" t="n">
        <f aca="false">MONTH(Таблица18[[#This Row],[Дата акта]])</f>
        <v>6</v>
      </c>
      <c r="W262" s="234" t="n">
        <v>20</v>
      </c>
      <c r="X262" s="248" t="n">
        <f aca="false">DATE(1900,Таблица18[[#This Row],[Месяц]],Таблица18[[#This Row],[Число]])</f>
        <v>172</v>
      </c>
      <c r="Y262" s="234"/>
      <c r="AF262" s="411"/>
      <c r="AG262" s="412"/>
    </row>
    <row r="263" s="410" customFormat="true" ht="15" hidden="true" customHeight="true" outlineLevel="0" collapsed="false">
      <c r="A263" s="199" t="s">
        <v>1738</v>
      </c>
      <c r="B263" s="199" t="s">
        <v>417</v>
      </c>
      <c r="C263" s="405" t="n">
        <v>389</v>
      </c>
      <c r="D263" s="406" t="n">
        <v>164</v>
      </c>
      <c r="E263" s="199" t="s">
        <v>422</v>
      </c>
      <c r="F263" s="199" t="s">
        <v>380</v>
      </c>
      <c r="G263" s="199" t="s">
        <v>381</v>
      </c>
      <c r="H263" s="199" t="s">
        <v>1731</v>
      </c>
      <c r="I263" s="199" t="s">
        <v>1731</v>
      </c>
      <c r="J263" s="199" t="s">
        <v>68</v>
      </c>
      <c r="K263" s="199" t="s">
        <v>1435</v>
      </c>
      <c r="L263" s="407" t="n">
        <v>28020</v>
      </c>
      <c r="M263" s="407" t="n">
        <v>14240</v>
      </c>
      <c r="N263" s="408" t="n">
        <v>12.5</v>
      </c>
      <c r="O263" s="407" t="n">
        <v>13780</v>
      </c>
      <c r="P263" s="407" t="n">
        <v>12057.5</v>
      </c>
      <c r="Q263" s="234" t="n">
        <v>2023</v>
      </c>
      <c r="R263" s="234"/>
      <c r="S263" s="248" t="n">
        <v>45097</v>
      </c>
      <c r="T263" s="407" t="n">
        <f aca="false">Таблица18[[#This Row],[Вес нетто]]-Таблица18[[#This Row],[Зачетный вес]]</f>
        <v>1722.5</v>
      </c>
      <c r="U263" s="409" t="n">
        <f aca="false">Таблица18[[#This Row],[Отход]]/Таблица18[[#This Row],[Вес нетто]]</f>
        <v>0.125</v>
      </c>
      <c r="V263" s="234" t="n">
        <f aca="false">MONTH(Таблица18[[#This Row],[Дата акта]])</f>
        <v>6</v>
      </c>
      <c r="W263" s="234" t="n">
        <v>20</v>
      </c>
      <c r="X263" s="248" t="n">
        <f aca="false">DATE(1900,Таблица18[[#This Row],[Месяц]],Таблица18[[#This Row],[Число]])</f>
        <v>172</v>
      </c>
      <c r="Y263" s="234"/>
      <c r="AF263" s="411"/>
      <c r="AG263" s="412"/>
    </row>
    <row r="264" s="410" customFormat="true" ht="15" hidden="true" customHeight="true" outlineLevel="0" collapsed="false">
      <c r="A264" s="199" t="s">
        <v>1739</v>
      </c>
      <c r="B264" s="199" t="s">
        <v>417</v>
      </c>
      <c r="C264" s="405" t="n">
        <v>390</v>
      </c>
      <c r="D264" s="406" t="n">
        <v>165</v>
      </c>
      <c r="E264" s="199" t="s">
        <v>422</v>
      </c>
      <c r="F264" s="199" t="s">
        <v>457</v>
      </c>
      <c r="G264" s="199" t="s">
        <v>366</v>
      </c>
      <c r="H264" s="199" t="s">
        <v>1731</v>
      </c>
      <c r="I264" s="199" t="s">
        <v>1731</v>
      </c>
      <c r="J264" s="199" t="s">
        <v>68</v>
      </c>
      <c r="K264" s="199" t="s">
        <v>1435</v>
      </c>
      <c r="L264" s="407" t="n">
        <v>33710</v>
      </c>
      <c r="M264" s="407" t="n">
        <v>17530</v>
      </c>
      <c r="N264" s="408" t="n">
        <v>10.5</v>
      </c>
      <c r="O264" s="407" t="n">
        <v>16180</v>
      </c>
      <c r="P264" s="407" t="n">
        <v>14481.1</v>
      </c>
      <c r="Q264" s="234" t="n">
        <v>2023</v>
      </c>
      <c r="R264" s="234"/>
      <c r="S264" s="248" t="n">
        <v>45097</v>
      </c>
      <c r="T264" s="407" t="n">
        <f aca="false">Таблица18[[#This Row],[Вес нетто]]-Таблица18[[#This Row],[Зачетный вес]]</f>
        <v>1698.9</v>
      </c>
      <c r="U264" s="409" t="n">
        <f aca="false">Таблица18[[#This Row],[Отход]]/Таблица18[[#This Row],[Вес нетто]]</f>
        <v>0.105</v>
      </c>
      <c r="V264" s="234" t="n">
        <f aca="false">MONTH(Таблица18[[#This Row],[Дата акта]])</f>
        <v>6</v>
      </c>
      <c r="W264" s="234" t="n">
        <v>20</v>
      </c>
      <c r="X264" s="248" t="n">
        <f aca="false">DATE(1900,Таблица18[[#This Row],[Месяц]],Таблица18[[#This Row],[Число]])</f>
        <v>172</v>
      </c>
      <c r="Y264" s="234"/>
      <c r="AF264" s="411"/>
      <c r="AG264" s="412"/>
    </row>
    <row r="265" s="410" customFormat="true" ht="15" hidden="true" customHeight="true" outlineLevel="0" collapsed="false">
      <c r="A265" s="199" t="s">
        <v>1740</v>
      </c>
      <c r="B265" s="199" t="s">
        <v>417</v>
      </c>
      <c r="C265" s="405" t="n">
        <v>391</v>
      </c>
      <c r="D265" s="406" t="n">
        <v>166</v>
      </c>
      <c r="E265" s="199" t="s">
        <v>422</v>
      </c>
      <c r="F265" s="199" t="s">
        <v>371</v>
      </c>
      <c r="G265" s="199" t="s">
        <v>372</v>
      </c>
      <c r="H265" s="199" t="s">
        <v>1731</v>
      </c>
      <c r="I265" s="199" t="s">
        <v>1731</v>
      </c>
      <c r="J265" s="199" t="s">
        <v>68</v>
      </c>
      <c r="K265" s="199" t="s">
        <v>1435</v>
      </c>
      <c r="L265" s="407" t="n">
        <v>29310</v>
      </c>
      <c r="M265" s="407" t="n">
        <v>15040</v>
      </c>
      <c r="N265" s="408" t="n">
        <v>12.5</v>
      </c>
      <c r="O265" s="407" t="n">
        <v>14270</v>
      </c>
      <c r="P265" s="407" t="n">
        <v>12486.2</v>
      </c>
      <c r="Q265" s="234" t="n">
        <v>2023</v>
      </c>
      <c r="R265" s="234"/>
      <c r="S265" s="248" t="n">
        <v>45097</v>
      </c>
      <c r="T265" s="407" t="n">
        <f aca="false">Таблица18[[#This Row],[Вес нетто]]-Таблица18[[#This Row],[Зачетный вес]]</f>
        <v>1783.8</v>
      </c>
      <c r="U265" s="409" t="n">
        <f aca="false">Таблица18[[#This Row],[Отход]]/Таблица18[[#This Row],[Вес нетто]]</f>
        <v>0.12500350385424</v>
      </c>
      <c r="V265" s="234" t="n">
        <f aca="false">MONTH(Таблица18[[#This Row],[Дата акта]])</f>
        <v>6</v>
      </c>
      <c r="W265" s="234" t="n">
        <v>20</v>
      </c>
      <c r="X265" s="248" t="n">
        <f aca="false">DATE(1900,Таблица18[[#This Row],[Месяц]],Таблица18[[#This Row],[Число]])</f>
        <v>172</v>
      </c>
      <c r="Y265" s="234"/>
      <c r="AF265" s="411"/>
      <c r="AG265" s="412"/>
    </row>
    <row r="266" s="410" customFormat="true" ht="15" hidden="true" customHeight="true" outlineLevel="0" collapsed="false">
      <c r="A266" s="199" t="s">
        <v>1741</v>
      </c>
      <c r="B266" s="199" t="s">
        <v>417</v>
      </c>
      <c r="C266" s="405" t="n">
        <v>395</v>
      </c>
      <c r="D266" s="406" t="n">
        <v>167</v>
      </c>
      <c r="E266" s="199" t="s">
        <v>422</v>
      </c>
      <c r="F266" s="199" t="s">
        <v>1576</v>
      </c>
      <c r="G266" s="199" t="s">
        <v>1455</v>
      </c>
      <c r="H266" s="199" t="s">
        <v>1731</v>
      </c>
      <c r="I266" s="199" t="s">
        <v>1731</v>
      </c>
      <c r="J266" s="199" t="s">
        <v>68</v>
      </c>
      <c r="K266" s="199" t="s">
        <v>1435</v>
      </c>
      <c r="L266" s="407" t="n">
        <v>17970</v>
      </c>
      <c r="M266" s="407" t="n">
        <v>14510</v>
      </c>
      <c r="N266" s="408" t="n">
        <v>12.5</v>
      </c>
      <c r="O266" s="407" t="n">
        <v>3460</v>
      </c>
      <c r="P266" s="407" t="n">
        <v>3027.5</v>
      </c>
      <c r="Q266" s="234" t="n">
        <v>2023</v>
      </c>
      <c r="R266" s="234"/>
      <c r="S266" s="248" t="n">
        <v>45097</v>
      </c>
      <c r="T266" s="407" t="n">
        <f aca="false">Таблица18[[#This Row],[Вес нетто]]-Таблица18[[#This Row],[Зачетный вес]]</f>
        <v>432.5</v>
      </c>
      <c r="U266" s="409" t="n">
        <f aca="false">Таблица18[[#This Row],[Отход]]/Таблица18[[#This Row],[Вес нетто]]</f>
        <v>0.125</v>
      </c>
      <c r="V266" s="234" t="n">
        <f aca="false">MONTH(Таблица18[[#This Row],[Дата акта]])</f>
        <v>6</v>
      </c>
      <c r="W266" s="234" t="n">
        <v>20</v>
      </c>
      <c r="X266" s="248" t="n">
        <f aca="false">DATE(1900,Таблица18[[#This Row],[Месяц]],Таблица18[[#This Row],[Число]])</f>
        <v>172</v>
      </c>
      <c r="Y266" s="234"/>
      <c r="AF266" s="411"/>
      <c r="AG266" s="412"/>
    </row>
    <row r="267" s="410" customFormat="true" ht="15" hidden="true" customHeight="true" outlineLevel="0" collapsed="false">
      <c r="A267" s="199" t="s">
        <v>1742</v>
      </c>
      <c r="B267" s="199" t="s">
        <v>417</v>
      </c>
      <c r="C267" s="405" t="n">
        <v>398</v>
      </c>
      <c r="D267" s="406" t="n">
        <v>168</v>
      </c>
      <c r="E267" s="199" t="s">
        <v>422</v>
      </c>
      <c r="F267" s="199" t="s">
        <v>1548</v>
      </c>
      <c r="G267" s="199" t="s">
        <v>1549</v>
      </c>
      <c r="H267" s="199" t="s">
        <v>1731</v>
      </c>
      <c r="I267" s="199" t="s">
        <v>1731</v>
      </c>
      <c r="J267" s="199" t="s">
        <v>68</v>
      </c>
      <c r="K267" s="199" t="s">
        <v>1435</v>
      </c>
      <c r="L267" s="407" t="n">
        <v>27000</v>
      </c>
      <c r="M267" s="407" t="n">
        <v>14990</v>
      </c>
      <c r="N267" s="408" t="n">
        <v>11.5</v>
      </c>
      <c r="O267" s="407" t="n">
        <v>12010</v>
      </c>
      <c r="P267" s="407" t="n">
        <v>10628.8</v>
      </c>
      <c r="Q267" s="234" t="n">
        <v>2023</v>
      </c>
      <c r="R267" s="234"/>
      <c r="S267" s="248" t="n">
        <v>45097</v>
      </c>
      <c r="T267" s="407" t="n">
        <f aca="false">Таблица18[[#This Row],[Вес нетто]]-Таблица18[[#This Row],[Зачетный вес]]</f>
        <v>1381.2</v>
      </c>
      <c r="U267" s="409" t="n">
        <f aca="false">Таблица18[[#This Row],[Отход]]/Таблица18[[#This Row],[Вес нетто]]</f>
        <v>0.115004163197336</v>
      </c>
      <c r="V267" s="234" t="n">
        <f aca="false">MONTH(Таблица18[[#This Row],[Дата акта]])</f>
        <v>6</v>
      </c>
      <c r="W267" s="234" t="n">
        <v>20</v>
      </c>
      <c r="X267" s="248" t="n">
        <f aca="false">DATE(1900,Таблица18[[#This Row],[Месяц]],Таблица18[[#This Row],[Число]])</f>
        <v>172</v>
      </c>
      <c r="Y267" s="234"/>
      <c r="AF267" s="411"/>
      <c r="AG267" s="412"/>
    </row>
    <row r="268" s="410" customFormat="true" ht="15" hidden="true" customHeight="true" outlineLevel="0" collapsed="false">
      <c r="A268" s="199" t="s">
        <v>1743</v>
      </c>
      <c r="B268" s="199" t="s">
        <v>417</v>
      </c>
      <c r="C268" s="405" t="n">
        <v>399</v>
      </c>
      <c r="D268" s="406" t="n">
        <v>169</v>
      </c>
      <c r="E268" s="199" t="s">
        <v>422</v>
      </c>
      <c r="F268" s="199" t="s">
        <v>359</v>
      </c>
      <c r="G268" s="199" t="s">
        <v>426</v>
      </c>
      <c r="H268" s="199" t="s">
        <v>1731</v>
      </c>
      <c r="I268" s="199" t="s">
        <v>1731</v>
      </c>
      <c r="J268" s="199" t="s">
        <v>68</v>
      </c>
      <c r="K268" s="199" t="s">
        <v>1435</v>
      </c>
      <c r="L268" s="407" t="n">
        <v>28550</v>
      </c>
      <c r="M268" s="407" t="n">
        <v>14010</v>
      </c>
      <c r="N268" s="408" t="n">
        <v>13.5</v>
      </c>
      <c r="O268" s="407" t="n">
        <v>14540</v>
      </c>
      <c r="P268" s="407" t="n">
        <v>12577.1</v>
      </c>
      <c r="Q268" s="234" t="n">
        <v>2023</v>
      </c>
      <c r="R268" s="234"/>
      <c r="S268" s="248" t="n">
        <v>45097</v>
      </c>
      <c r="T268" s="407" t="n">
        <f aca="false">Таблица18[[#This Row],[Вес нетто]]-Таблица18[[#This Row],[Зачетный вес]]</f>
        <v>1962.9</v>
      </c>
      <c r="U268" s="409" t="n">
        <f aca="false">Таблица18[[#This Row],[Отход]]/Таблица18[[#This Row],[Вес нетто]]</f>
        <v>0.135</v>
      </c>
      <c r="V268" s="234" t="n">
        <f aca="false">MONTH(Таблица18[[#This Row],[Дата акта]])</f>
        <v>6</v>
      </c>
      <c r="W268" s="234" t="n">
        <v>20</v>
      </c>
      <c r="X268" s="248" t="n">
        <f aca="false">DATE(1900,Таблица18[[#This Row],[Месяц]],Таблица18[[#This Row],[Число]])</f>
        <v>172</v>
      </c>
      <c r="Y268" s="234"/>
      <c r="AF268" s="411"/>
      <c r="AG268" s="412"/>
    </row>
    <row r="269" s="410" customFormat="true" ht="15" hidden="true" customHeight="true" outlineLevel="0" collapsed="false">
      <c r="A269" s="199" t="s">
        <v>1744</v>
      </c>
      <c r="B269" s="199" t="s">
        <v>417</v>
      </c>
      <c r="C269" s="405" t="n">
        <v>400</v>
      </c>
      <c r="D269" s="406" t="n">
        <v>170</v>
      </c>
      <c r="E269" s="199" t="s">
        <v>422</v>
      </c>
      <c r="F269" s="199" t="s">
        <v>1449</v>
      </c>
      <c r="G269" s="199" t="s">
        <v>704</v>
      </c>
      <c r="H269" s="199" t="s">
        <v>1731</v>
      </c>
      <c r="I269" s="199" t="s">
        <v>1731</v>
      </c>
      <c r="J269" s="199" t="s">
        <v>68</v>
      </c>
      <c r="K269" s="199" t="s">
        <v>1435</v>
      </c>
      <c r="L269" s="407" t="n">
        <v>28980</v>
      </c>
      <c r="M269" s="407" t="n">
        <v>14560</v>
      </c>
      <c r="N269" s="408" t="n">
        <v>15.5</v>
      </c>
      <c r="O269" s="407" t="n">
        <v>14420</v>
      </c>
      <c r="P269" s="407" t="n">
        <v>12184.9</v>
      </c>
      <c r="Q269" s="234" t="n">
        <v>2023</v>
      </c>
      <c r="R269" s="234"/>
      <c r="S269" s="248" t="n">
        <v>45097</v>
      </c>
      <c r="T269" s="407" t="n">
        <f aca="false">Таблица18[[#This Row],[Вес нетто]]-Таблица18[[#This Row],[Зачетный вес]]</f>
        <v>2235.1</v>
      </c>
      <c r="U269" s="409" t="n">
        <f aca="false">Таблица18[[#This Row],[Отход]]/Таблица18[[#This Row],[Вес нетто]]</f>
        <v>0.155</v>
      </c>
      <c r="V269" s="234" t="n">
        <f aca="false">MONTH(Таблица18[[#This Row],[Дата акта]])</f>
        <v>6</v>
      </c>
      <c r="W269" s="234" t="n">
        <v>20</v>
      </c>
      <c r="X269" s="248" t="n">
        <f aca="false">DATE(1900,Таблица18[[#This Row],[Месяц]],Таблица18[[#This Row],[Число]])</f>
        <v>172</v>
      </c>
      <c r="Y269" s="234"/>
      <c r="AF269" s="411"/>
      <c r="AG269" s="412"/>
    </row>
    <row r="270" s="410" customFormat="true" ht="15" hidden="true" customHeight="true" outlineLevel="0" collapsed="false">
      <c r="A270" s="199" t="s">
        <v>1745</v>
      </c>
      <c r="B270" s="199" t="s">
        <v>417</v>
      </c>
      <c r="C270" s="405" t="n">
        <v>402</v>
      </c>
      <c r="D270" s="406" t="n">
        <v>171</v>
      </c>
      <c r="E270" s="199" t="s">
        <v>422</v>
      </c>
      <c r="F270" s="199" t="s">
        <v>1548</v>
      </c>
      <c r="G270" s="199" t="s">
        <v>1549</v>
      </c>
      <c r="H270" s="199" t="s">
        <v>1731</v>
      </c>
      <c r="I270" s="199" t="s">
        <v>1731</v>
      </c>
      <c r="J270" s="199" t="s">
        <v>68</v>
      </c>
      <c r="K270" s="199" t="s">
        <v>1435</v>
      </c>
      <c r="L270" s="407" t="n">
        <v>29440</v>
      </c>
      <c r="M270" s="407" t="n">
        <v>14970</v>
      </c>
      <c r="N270" s="408" t="n">
        <v>11.5</v>
      </c>
      <c r="O270" s="407" t="n">
        <v>14470</v>
      </c>
      <c r="P270" s="407" t="n">
        <v>12805.9</v>
      </c>
      <c r="Q270" s="234" t="n">
        <v>2023</v>
      </c>
      <c r="R270" s="234"/>
      <c r="S270" s="248" t="n">
        <v>45097</v>
      </c>
      <c r="T270" s="407" t="n">
        <f aca="false">Таблица18[[#This Row],[Вес нетто]]-Таблица18[[#This Row],[Зачетный вес]]</f>
        <v>1664.1</v>
      </c>
      <c r="U270" s="409" t="n">
        <f aca="false">Таблица18[[#This Row],[Отход]]/Таблица18[[#This Row],[Вес нетто]]</f>
        <v>0.115003455425017</v>
      </c>
      <c r="V270" s="234" t="n">
        <f aca="false">MONTH(Таблица18[[#This Row],[Дата акта]])</f>
        <v>6</v>
      </c>
      <c r="W270" s="234" t="n">
        <v>20</v>
      </c>
      <c r="X270" s="248" t="n">
        <f aca="false">DATE(1900,Таблица18[[#This Row],[Месяц]],Таблица18[[#This Row],[Число]])</f>
        <v>172</v>
      </c>
      <c r="Y270" s="234"/>
      <c r="AF270" s="411"/>
      <c r="AG270" s="412"/>
    </row>
    <row r="271" s="410" customFormat="true" ht="15" hidden="true" customHeight="true" outlineLevel="0" collapsed="false">
      <c r="A271" s="199" t="s">
        <v>1746</v>
      </c>
      <c r="B271" s="199" t="s">
        <v>417</v>
      </c>
      <c r="C271" s="405" t="n">
        <v>403</v>
      </c>
      <c r="D271" s="406" t="n">
        <v>172</v>
      </c>
      <c r="E271" s="199" t="s">
        <v>422</v>
      </c>
      <c r="F271" s="199" t="s">
        <v>359</v>
      </c>
      <c r="G271" s="199" t="s">
        <v>426</v>
      </c>
      <c r="H271" s="199" t="s">
        <v>1731</v>
      </c>
      <c r="I271" s="199" t="s">
        <v>1731</v>
      </c>
      <c r="J271" s="199" t="s">
        <v>68</v>
      </c>
      <c r="K271" s="199" t="s">
        <v>1435</v>
      </c>
      <c r="L271" s="407" t="n">
        <v>28490</v>
      </c>
      <c r="M271" s="407" t="n">
        <v>14010</v>
      </c>
      <c r="N271" s="408" t="n">
        <v>20.5</v>
      </c>
      <c r="O271" s="407" t="n">
        <v>14480</v>
      </c>
      <c r="P271" s="407" t="n">
        <v>11511.6</v>
      </c>
      <c r="Q271" s="234" t="n">
        <v>2023</v>
      </c>
      <c r="R271" s="234"/>
      <c r="S271" s="248" t="n">
        <v>45097</v>
      </c>
      <c r="T271" s="407" t="n">
        <f aca="false">Таблица18[[#This Row],[Вес нетто]]-Таблица18[[#This Row],[Зачетный вес]]</f>
        <v>2968.4</v>
      </c>
      <c r="U271" s="409" t="n">
        <f aca="false">Таблица18[[#This Row],[Отход]]/Таблица18[[#This Row],[Вес нетто]]</f>
        <v>0.205</v>
      </c>
      <c r="V271" s="234" t="n">
        <f aca="false">MONTH(Таблица18[[#This Row],[Дата акта]])</f>
        <v>6</v>
      </c>
      <c r="W271" s="234" t="n">
        <v>20</v>
      </c>
      <c r="X271" s="248" t="n">
        <f aca="false">DATE(1900,Таблица18[[#This Row],[Месяц]],Таблица18[[#This Row],[Число]])</f>
        <v>172</v>
      </c>
      <c r="Y271" s="234"/>
      <c r="AF271" s="411"/>
      <c r="AG271" s="412"/>
    </row>
    <row r="272" s="410" customFormat="true" ht="15" hidden="true" customHeight="true" outlineLevel="0" collapsed="false">
      <c r="A272" s="199" t="s">
        <v>1747</v>
      </c>
      <c r="B272" s="199" t="s">
        <v>417</v>
      </c>
      <c r="C272" s="405" t="n">
        <v>404</v>
      </c>
      <c r="D272" s="406" t="n">
        <v>173</v>
      </c>
      <c r="E272" s="199" t="s">
        <v>422</v>
      </c>
      <c r="F272" s="199" t="s">
        <v>1449</v>
      </c>
      <c r="G272" s="199" t="s">
        <v>704</v>
      </c>
      <c r="H272" s="199" t="s">
        <v>1731</v>
      </c>
      <c r="I272" s="199" t="s">
        <v>1731</v>
      </c>
      <c r="J272" s="199" t="s">
        <v>68</v>
      </c>
      <c r="K272" s="199" t="s">
        <v>1435</v>
      </c>
      <c r="L272" s="407" t="n">
        <v>29230</v>
      </c>
      <c r="M272" s="407" t="n">
        <v>14550</v>
      </c>
      <c r="N272" s="408" t="n">
        <v>19.5</v>
      </c>
      <c r="O272" s="407" t="n">
        <v>14680</v>
      </c>
      <c r="P272" s="407" t="n">
        <v>11817.4</v>
      </c>
      <c r="Q272" s="234" t="n">
        <v>2023</v>
      </c>
      <c r="R272" s="234"/>
      <c r="S272" s="248" t="n">
        <v>45097</v>
      </c>
      <c r="T272" s="407" t="n">
        <f aca="false">Таблица18[[#This Row],[Вес нетто]]-Таблица18[[#This Row],[Зачетный вес]]</f>
        <v>2862.6</v>
      </c>
      <c r="U272" s="409" t="n">
        <f aca="false">Таблица18[[#This Row],[Отход]]/Таблица18[[#This Row],[Вес нетто]]</f>
        <v>0.195</v>
      </c>
      <c r="V272" s="234" t="n">
        <f aca="false">MONTH(Таблица18[[#This Row],[Дата акта]])</f>
        <v>6</v>
      </c>
      <c r="W272" s="234" t="n">
        <v>20</v>
      </c>
      <c r="X272" s="248" t="n">
        <f aca="false">DATE(1900,Таблица18[[#This Row],[Месяц]],Таблица18[[#This Row],[Число]])</f>
        <v>172</v>
      </c>
      <c r="Y272" s="234"/>
      <c r="AF272" s="411"/>
      <c r="AG272" s="412"/>
    </row>
    <row r="273" s="410" customFormat="true" ht="15" hidden="true" customHeight="true" outlineLevel="0" collapsed="false">
      <c r="A273" s="199" t="s">
        <v>1748</v>
      </c>
      <c r="B273" s="199" t="s">
        <v>417</v>
      </c>
      <c r="C273" s="405" t="n">
        <v>406</v>
      </c>
      <c r="D273" s="406" t="n">
        <v>174</v>
      </c>
      <c r="E273" s="199" t="s">
        <v>422</v>
      </c>
      <c r="F273" s="199" t="s">
        <v>1548</v>
      </c>
      <c r="G273" s="199" t="s">
        <v>1549</v>
      </c>
      <c r="H273" s="199" t="s">
        <v>1731</v>
      </c>
      <c r="I273" s="199" t="s">
        <v>1731</v>
      </c>
      <c r="J273" s="199" t="s">
        <v>68</v>
      </c>
      <c r="K273" s="199" t="s">
        <v>1435</v>
      </c>
      <c r="L273" s="407" t="n">
        <v>29390</v>
      </c>
      <c r="M273" s="407" t="n">
        <v>15030</v>
      </c>
      <c r="N273" s="408" t="n">
        <v>20.5</v>
      </c>
      <c r="O273" s="407" t="n">
        <v>14360</v>
      </c>
      <c r="P273" s="407" t="n">
        <v>11416.2</v>
      </c>
      <c r="Q273" s="234" t="n">
        <v>2023</v>
      </c>
      <c r="R273" s="234"/>
      <c r="S273" s="248" t="n">
        <v>45097</v>
      </c>
      <c r="T273" s="407" t="n">
        <f aca="false">Таблица18[[#This Row],[Вес нетто]]-Таблица18[[#This Row],[Зачетный вес]]</f>
        <v>2943.8</v>
      </c>
      <c r="U273" s="409" t="n">
        <f aca="false">Таблица18[[#This Row],[Отход]]/Таблица18[[#This Row],[Вес нетто]]</f>
        <v>0.205</v>
      </c>
      <c r="V273" s="234" t="n">
        <f aca="false">MONTH(Таблица18[[#This Row],[Дата акта]])</f>
        <v>6</v>
      </c>
      <c r="W273" s="234" t="n">
        <v>20</v>
      </c>
      <c r="X273" s="248" t="n">
        <f aca="false">DATE(1900,Таблица18[[#This Row],[Месяц]],Таблица18[[#This Row],[Число]])</f>
        <v>172</v>
      </c>
      <c r="Y273" s="234"/>
      <c r="AF273" s="411"/>
      <c r="AG273" s="412"/>
    </row>
    <row r="274" s="410" customFormat="true" ht="15" hidden="true" customHeight="true" outlineLevel="0" collapsed="false">
      <c r="A274" s="199" t="s">
        <v>1749</v>
      </c>
      <c r="B274" s="199" t="s">
        <v>417</v>
      </c>
      <c r="C274" s="405" t="n">
        <v>407</v>
      </c>
      <c r="D274" s="406" t="n">
        <v>175</v>
      </c>
      <c r="E274" s="199" t="s">
        <v>422</v>
      </c>
      <c r="F274" s="199" t="s">
        <v>359</v>
      </c>
      <c r="G274" s="199" t="s">
        <v>426</v>
      </c>
      <c r="H274" s="199" t="s">
        <v>1731</v>
      </c>
      <c r="I274" s="199" t="s">
        <v>1731</v>
      </c>
      <c r="J274" s="199" t="s">
        <v>1750</v>
      </c>
      <c r="K274" s="199" t="s">
        <v>1435</v>
      </c>
      <c r="L274" s="407" t="n">
        <v>28210</v>
      </c>
      <c r="M274" s="407" t="n">
        <v>14060</v>
      </c>
      <c r="N274" s="408" t="n">
        <v>19.5</v>
      </c>
      <c r="O274" s="407" t="n">
        <v>14150</v>
      </c>
      <c r="P274" s="407" t="n">
        <v>11390.7</v>
      </c>
      <c r="Q274" s="234" t="n">
        <v>2023</v>
      </c>
      <c r="R274" s="234"/>
      <c r="S274" s="248" t="n">
        <v>45098</v>
      </c>
      <c r="T274" s="407" t="n">
        <f aca="false">Таблица18[[#This Row],[Вес нетто]]-Таблица18[[#This Row],[Зачетный вес]]</f>
        <v>2759.3</v>
      </c>
      <c r="U274" s="409" t="n">
        <f aca="false">Таблица18[[#This Row],[Отход]]/Таблица18[[#This Row],[Вес нетто]]</f>
        <v>0.195003533568905</v>
      </c>
      <c r="V274" s="234" t="n">
        <f aca="false">MONTH(Таблица18[[#This Row],[Дата акта]])</f>
        <v>6</v>
      </c>
      <c r="W274" s="234" t="n">
        <v>21</v>
      </c>
      <c r="X274" s="248" t="n">
        <f aca="false">DATE(1900,Таблица18[[#This Row],[Месяц]],Таблица18[[#This Row],[Число]])</f>
        <v>173</v>
      </c>
      <c r="Y274" s="234"/>
      <c r="AF274" s="411"/>
      <c r="AG274" s="412"/>
    </row>
    <row r="275" s="410" customFormat="true" ht="15" hidden="true" customHeight="true" outlineLevel="0" collapsed="false">
      <c r="A275" s="199" t="s">
        <v>1751</v>
      </c>
      <c r="B275" s="199" t="s">
        <v>417</v>
      </c>
      <c r="C275" s="405" t="n">
        <v>409</v>
      </c>
      <c r="D275" s="406" t="n">
        <v>176</v>
      </c>
      <c r="E275" s="199" t="s">
        <v>422</v>
      </c>
      <c r="F275" s="199" t="s">
        <v>1449</v>
      </c>
      <c r="G275" s="199" t="s">
        <v>704</v>
      </c>
      <c r="H275" s="199" t="s">
        <v>1727</v>
      </c>
      <c r="I275" s="199" t="s">
        <v>1727</v>
      </c>
      <c r="J275" s="199" t="s">
        <v>1750</v>
      </c>
      <c r="K275" s="199" t="s">
        <v>1435</v>
      </c>
      <c r="L275" s="407" t="n">
        <v>28440</v>
      </c>
      <c r="M275" s="407" t="n">
        <v>14610</v>
      </c>
      <c r="N275" s="408" t="n">
        <v>20.5</v>
      </c>
      <c r="O275" s="407" t="n">
        <v>13830</v>
      </c>
      <c r="P275" s="407" t="n">
        <v>10994.8</v>
      </c>
      <c r="Q275" s="234" t="n">
        <v>2023</v>
      </c>
      <c r="R275" s="234"/>
      <c r="S275" s="248" t="n">
        <v>45098</v>
      </c>
      <c r="T275" s="407" t="n">
        <f aca="false">Таблица18[[#This Row],[Вес нетто]]-Таблица18[[#This Row],[Зачетный вес]]</f>
        <v>2835.2</v>
      </c>
      <c r="U275" s="409" t="n">
        <f aca="false">Таблица18[[#This Row],[Отход]]/Таблица18[[#This Row],[Вес нетто]]</f>
        <v>0.205003615328995</v>
      </c>
      <c r="V275" s="234" t="n">
        <f aca="false">MONTH(Таблица18[[#This Row],[Дата акта]])</f>
        <v>6</v>
      </c>
      <c r="W275" s="234" t="n">
        <v>21</v>
      </c>
      <c r="X275" s="248" t="n">
        <f aca="false">DATE(1900,Таблица18[[#This Row],[Месяц]],Таблица18[[#This Row],[Число]])</f>
        <v>173</v>
      </c>
      <c r="Y275" s="234"/>
      <c r="AF275" s="411"/>
      <c r="AG275" s="412"/>
    </row>
    <row r="276" s="410" customFormat="true" ht="15" hidden="true" customHeight="true" outlineLevel="0" collapsed="false">
      <c r="A276" s="199" t="s">
        <v>1752</v>
      </c>
      <c r="B276" s="199" t="s">
        <v>417</v>
      </c>
      <c r="C276" s="405" t="n">
        <v>410</v>
      </c>
      <c r="D276" s="406" t="n">
        <v>177</v>
      </c>
      <c r="E276" s="199" t="s">
        <v>422</v>
      </c>
      <c r="F276" s="199" t="s">
        <v>1548</v>
      </c>
      <c r="G276" s="199" t="s">
        <v>1549</v>
      </c>
      <c r="H276" s="199" t="s">
        <v>1727</v>
      </c>
      <c r="I276" s="199" t="s">
        <v>1727</v>
      </c>
      <c r="J276" s="199" t="s">
        <v>1750</v>
      </c>
      <c r="K276" s="199" t="s">
        <v>1435</v>
      </c>
      <c r="L276" s="407" t="n">
        <v>28820</v>
      </c>
      <c r="M276" s="407" t="n">
        <v>15000</v>
      </c>
      <c r="N276" s="408" t="n">
        <v>20.5</v>
      </c>
      <c r="O276" s="407" t="n">
        <v>13820</v>
      </c>
      <c r="P276" s="407" t="n">
        <v>10986.9</v>
      </c>
      <c r="Q276" s="234" t="n">
        <v>2023</v>
      </c>
      <c r="R276" s="234"/>
      <c r="S276" s="248" t="n">
        <v>45098</v>
      </c>
      <c r="T276" s="407" t="n">
        <f aca="false">Таблица18[[#This Row],[Вес нетто]]-Таблица18[[#This Row],[Зачетный вес]]</f>
        <v>2833.1</v>
      </c>
      <c r="U276" s="409" t="n">
        <f aca="false">Таблица18[[#This Row],[Отход]]/Таблица18[[#This Row],[Вес нетто]]</f>
        <v>0.205</v>
      </c>
      <c r="V276" s="234" t="n">
        <f aca="false">MONTH(Таблица18[[#This Row],[Дата акта]])</f>
        <v>6</v>
      </c>
      <c r="W276" s="234" t="n">
        <v>21</v>
      </c>
      <c r="X276" s="248" t="n">
        <f aca="false">DATE(1900,Таблица18[[#This Row],[Месяц]],Таблица18[[#This Row],[Число]])</f>
        <v>173</v>
      </c>
      <c r="Y276" s="234"/>
      <c r="AF276" s="411"/>
      <c r="AG276" s="412"/>
    </row>
    <row r="277" s="410" customFormat="true" ht="15" hidden="true" customHeight="true" outlineLevel="0" collapsed="false">
      <c r="A277" s="199" t="s">
        <v>1753</v>
      </c>
      <c r="B277" s="199" t="s">
        <v>417</v>
      </c>
      <c r="C277" s="405" t="n">
        <v>411</v>
      </c>
      <c r="D277" s="406" t="n">
        <v>178</v>
      </c>
      <c r="E277" s="199" t="s">
        <v>422</v>
      </c>
      <c r="F277" s="199" t="s">
        <v>359</v>
      </c>
      <c r="G277" s="199" t="s">
        <v>426</v>
      </c>
      <c r="H277" s="199" t="s">
        <v>1727</v>
      </c>
      <c r="I277" s="199" t="s">
        <v>1727</v>
      </c>
      <c r="J277" s="199" t="s">
        <v>1750</v>
      </c>
      <c r="K277" s="199" t="s">
        <v>1435</v>
      </c>
      <c r="L277" s="407" t="n">
        <v>27930</v>
      </c>
      <c r="M277" s="407" t="n">
        <v>14060</v>
      </c>
      <c r="N277" s="408" t="n">
        <v>16.5</v>
      </c>
      <c r="O277" s="407" t="n">
        <v>13870</v>
      </c>
      <c r="P277" s="407" t="n">
        <v>11581.4</v>
      </c>
      <c r="Q277" s="234" t="n">
        <v>2023</v>
      </c>
      <c r="R277" s="234"/>
      <c r="S277" s="248" t="n">
        <v>45098</v>
      </c>
      <c r="T277" s="407" t="n">
        <f aca="false">Таблица18[[#This Row],[Вес нетто]]-Таблица18[[#This Row],[Зачетный вес]]</f>
        <v>2288.6</v>
      </c>
      <c r="U277" s="409" t="n">
        <f aca="false">Таблица18[[#This Row],[Отход]]/Таблица18[[#This Row],[Вес нетто]]</f>
        <v>0.165003604902668</v>
      </c>
      <c r="V277" s="234" t="n">
        <f aca="false">MONTH(Таблица18[[#This Row],[Дата акта]])</f>
        <v>6</v>
      </c>
      <c r="W277" s="234" t="n">
        <v>21</v>
      </c>
      <c r="X277" s="248" t="n">
        <f aca="false">DATE(1900,Таблица18[[#This Row],[Месяц]],Таблица18[[#This Row],[Число]])</f>
        <v>173</v>
      </c>
      <c r="Y277" s="234"/>
      <c r="AF277" s="411"/>
      <c r="AG277" s="412"/>
    </row>
    <row r="278" s="410" customFormat="true" ht="15" hidden="true" customHeight="true" outlineLevel="0" collapsed="false">
      <c r="A278" s="199" t="s">
        <v>1754</v>
      </c>
      <c r="B278" s="199" t="s">
        <v>417</v>
      </c>
      <c r="C278" s="405" t="n">
        <v>412</v>
      </c>
      <c r="D278" s="406" t="n">
        <v>179</v>
      </c>
      <c r="E278" s="199" t="s">
        <v>422</v>
      </c>
      <c r="F278" s="199" t="s">
        <v>1576</v>
      </c>
      <c r="G278" s="199" t="s">
        <v>1455</v>
      </c>
      <c r="H278" s="199" t="s">
        <v>1727</v>
      </c>
      <c r="I278" s="199" t="s">
        <v>1727</v>
      </c>
      <c r="J278" s="199" t="s">
        <v>1750</v>
      </c>
      <c r="K278" s="199" t="s">
        <v>1435</v>
      </c>
      <c r="L278" s="407" t="n">
        <v>28500</v>
      </c>
      <c r="M278" s="407" t="n">
        <v>14500</v>
      </c>
      <c r="N278" s="408" t="n">
        <v>19.5</v>
      </c>
      <c r="O278" s="407" t="n">
        <v>14000</v>
      </c>
      <c r="P278" s="407" t="n">
        <v>11270</v>
      </c>
      <c r="Q278" s="234" t="n">
        <v>2023</v>
      </c>
      <c r="R278" s="234"/>
      <c r="S278" s="248" t="n">
        <v>45098</v>
      </c>
      <c r="T278" s="407" t="n">
        <f aca="false">Таблица18[[#This Row],[Вес нетто]]-Таблица18[[#This Row],[Зачетный вес]]</f>
        <v>2730</v>
      </c>
      <c r="U278" s="409" t="n">
        <f aca="false">Таблица18[[#This Row],[Отход]]/Таблица18[[#This Row],[Вес нетто]]</f>
        <v>0.195</v>
      </c>
      <c r="V278" s="234" t="n">
        <f aca="false">MONTH(Таблица18[[#This Row],[Дата акта]])</f>
        <v>6</v>
      </c>
      <c r="W278" s="234" t="n">
        <v>21</v>
      </c>
      <c r="X278" s="248" t="n">
        <f aca="false">DATE(1900,Таблица18[[#This Row],[Месяц]],Таблица18[[#This Row],[Число]])</f>
        <v>173</v>
      </c>
      <c r="Y278" s="234"/>
      <c r="AF278" s="411"/>
      <c r="AG278" s="412"/>
    </row>
    <row r="279" s="410" customFormat="true" ht="15" hidden="true" customHeight="true" outlineLevel="0" collapsed="false">
      <c r="A279" s="199" t="s">
        <v>1755</v>
      </c>
      <c r="B279" s="199" t="s">
        <v>417</v>
      </c>
      <c r="C279" s="405" t="n">
        <v>413</v>
      </c>
      <c r="D279" s="406" t="n">
        <v>180</v>
      </c>
      <c r="E279" s="199" t="s">
        <v>422</v>
      </c>
      <c r="F279" s="199" t="s">
        <v>457</v>
      </c>
      <c r="G279" s="199" t="s">
        <v>366</v>
      </c>
      <c r="H279" s="199" t="s">
        <v>1727</v>
      </c>
      <c r="I279" s="199" t="s">
        <v>1727</v>
      </c>
      <c r="J279" s="199" t="s">
        <v>1750</v>
      </c>
      <c r="K279" s="199" t="s">
        <v>1435</v>
      </c>
      <c r="L279" s="407" t="n">
        <v>33660</v>
      </c>
      <c r="M279" s="407" t="n">
        <v>17370</v>
      </c>
      <c r="N279" s="408" t="n">
        <v>16.5</v>
      </c>
      <c r="O279" s="407" t="n">
        <v>16290</v>
      </c>
      <c r="P279" s="407" t="n">
        <v>13602.1</v>
      </c>
      <c r="Q279" s="234" t="n">
        <v>2023</v>
      </c>
      <c r="R279" s="234"/>
      <c r="S279" s="248" t="n">
        <v>45098</v>
      </c>
      <c r="T279" s="407" t="n">
        <f aca="false">Таблица18[[#This Row],[Вес нетто]]-Таблица18[[#This Row],[Зачетный вес]]</f>
        <v>2687.9</v>
      </c>
      <c r="U279" s="409" t="n">
        <f aca="false">Таблица18[[#This Row],[Отход]]/Таблица18[[#This Row],[Вес нетто]]</f>
        <v>0.16500306936771</v>
      </c>
      <c r="V279" s="234" t="n">
        <f aca="false">MONTH(Таблица18[[#This Row],[Дата акта]])</f>
        <v>6</v>
      </c>
      <c r="W279" s="234" t="n">
        <v>21</v>
      </c>
      <c r="X279" s="248" t="n">
        <f aca="false">DATE(1900,Таблица18[[#This Row],[Месяц]],Таблица18[[#This Row],[Число]])</f>
        <v>173</v>
      </c>
      <c r="Y279" s="234"/>
      <c r="AF279" s="411"/>
      <c r="AG279" s="412"/>
    </row>
    <row r="280" s="410" customFormat="true" ht="15" hidden="true" customHeight="true" outlineLevel="0" collapsed="false">
      <c r="A280" s="199" t="s">
        <v>1756</v>
      </c>
      <c r="B280" s="199" t="s">
        <v>417</v>
      </c>
      <c r="C280" s="405" t="n">
        <v>415</v>
      </c>
      <c r="D280" s="406" t="n">
        <v>181</v>
      </c>
      <c r="E280" s="199" t="s">
        <v>422</v>
      </c>
      <c r="F280" s="199" t="s">
        <v>380</v>
      </c>
      <c r="G280" s="199" t="s">
        <v>381</v>
      </c>
      <c r="H280" s="199" t="s">
        <v>1727</v>
      </c>
      <c r="I280" s="199" t="s">
        <v>1727</v>
      </c>
      <c r="J280" s="199" t="s">
        <v>1750</v>
      </c>
      <c r="K280" s="199" t="s">
        <v>1435</v>
      </c>
      <c r="L280" s="407" t="n">
        <v>28290</v>
      </c>
      <c r="M280" s="407" t="n">
        <v>14270</v>
      </c>
      <c r="N280" s="408" t="n">
        <v>22.5</v>
      </c>
      <c r="O280" s="407" t="n">
        <v>14020</v>
      </c>
      <c r="P280" s="407" t="n">
        <v>10865.5</v>
      </c>
      <c r="Q280" s="234" t="n">
        <v>2023</v>
      </c>
      <c r="R280" s="234"/>
      <c r="S280" s="248" t="n">
        <v>45098</v>
      </c>
      <c r="T280" s="407" t="n">
        <f aca="false">Таблица18[[#This Row],[Вес нетто]]-Таблица18[[#This Row],[Зачетный вес]]</f>
        <v>3154.5</v>
      </c>
      <c r="U280" s="409" t="n">
        <f aca="false">Таблица18[[#This Row],[Отход]]/Таблица18[[#This Row],[Вес нетто]]</f>
        <v>0.225</v>
      </c>
      <c r="V280" s="234" t="n">
        <f aca="false">MONTH(Таблица18[[#This Row],[Дата акта]])</f>
        <v>6</v>
      </c>
      <c r="W280" s="234" t="n">
        <v>21</v>
      </c>
      <c r="X280" s="248" t="n">
        <f aca="false">DATE(1900,Таблица18[[#This Row],[Месяц]],Таблица18[[#This Row],[Число]])</f>
        <v>173</v>
      </c>
      <c r="Y280" s="234"/>
      <c r="AF280" s="411"/>
      <c r="AG280" s="412"/>
    </row>
    <row r="281" s="410" customFormat="true" ht="15" hidden="true" customHeight="true" outlineLevel="0" collapsed="false">
      <c r="A281" s="199" t="s">
        <v>1757</v>
      </c>
      <c r="B281" s="199" t="s">
        <v>417</v>
      </c>
      <c r="C281" s="405" t="n">
        <v>417</v>
      </c>
      <c r="D281" s="406" t="n">
        <v>182</v>
      </c>
      <c r="E281" s="199" t="s">
        <v>422</v>
      </c>
      <c r="F281" s="199" t="s">
        <v>1576</v>
      </c>
      <c r="G281" s="199" t="s">
        <v>1455</v>
      </c>
      <c r="H281" s="199" t="s">
        <v>1727</v>
      </c>
      <c r="I281" s="199" t="s">
        <v>1727</v>
      </c>
      <c r="J281" s="199" t="s">
        <v>1750</v>
      </c>
      <c r="K281" s="199" t="s">
        <v>1435</v>
      </c>
      <c r="L281" s="407" t="n">
        <v>29130</v>
      </c>
      <c r="M281" s="407" t="n">
        <v>14490</v>
      </c>
      <c r="N281" s="408" t="n">
        <v>18.5</v>
      </c>
      <c r="O281" s="407" t="n">
        <v>14640</v>
      </c>
      <c r="P281" s="407" t="n">
        <v>11931.6</v>
      </c>
      <c r="Q281" s="234" t="n">
        <v>2023</v>
      </c>
      <c r="R281" s="234"/>
      <c r="S281" s="248" t="n">
        <v>45098</v>
      </c>
      <c r="T281" s="407" t="n">
        <f aca="false">Таблица18[[#This Row],[Вес нетто]]-Таблица18[[#This Row],[Зачетный вес]]</f>
        <v>2708.4</v>
      </c>
      <c r="U281" s="409" t="n">
        <f aca="false">Таблица18[[#This Row],[Отход]]/Таблица18[[#This Row],[Вес нетто]]</f>
        <v>0.185</v>
      </c>
      <c r="V281" s="234" t="n">
        <f aca="false">MONTH(Таблица18[[#This Row],[Дата акта]])</f>
        <v>6</v>
      </c>
      <c r="W281" s="234" t="n">
        <v>21</v>
      </c>
      <c r="X281" s="248" t="n">
        <f aca="false">DATE(1900,Таблица18[[#This Row],[Месяц]],Таблица18[[#This Row],[Число]])</f>
        <v>173</v>
      </c>
      <c r="Y281" s="234"/>
      <c r="AF281" s="411"/>
      <c r="AG281" s="412"/>
    </row>
    <row r="282" s="410" customFormat="true" ht="15" hidden="true" customHeight="true" outlineLevel="0" collapsed="false">
      <c r="A282" s="199" t="s">
        <v>1758</v>
      </c>
      <c r="B282" s="199" t="s">
        <v>417</v>
      </c>
      <c r="C282" s="405" t="n">
        <v>418</v>
      </c>
      <c r="D282" s="406" t="n">
        <v>183</v>
      </c>
      <c r="E282" s="199" t="s">
        <v>422</v>
      </c>
      <c r="F282" s="199" t="s">
        <v>457</v>
      </c>
      <c r="G282" s="199" t="s">
        <v>366</v>
      </c>
      <c r="H282" s="199" t="s">
        <v>1727</v>
      </c>
      <c r="I282" s="199" t="s">
        <v>1727</v>
      </c>
      <c r="J282" s="199" t="s">
        <v>1750</v>
      </c>
      <c r="K282" s="199" t="s">
        <v>1435</v>
      </c>
      <c r="L282" s="407" t="n">
        <v>33590</v>
      </c>
      <c r="M282" s="407" t="n">
        <v>17360</v>
      </c>
      <c r="N282" s="408" t="n">
        <v>18.5</v>
      </c>
      <c r="O282" s="407" t="n">
        <v>16230</v>
      </c>
      <c r="P282" s="407" t="n">
        <v>13227.4</v>
      </c>
      <c r="Q282" s="234" t="n">
        <v>2023</v>
      </c>
      <c r="R282" s="234"/>
      <c r="S282" s="248" t="n">
        <v>45098</v>
      </c>
      <c r="T282" s="407" t="n">
        <f aca="false">Таблица18[[#This Row],[Вес нетто]]-Таблица18[[#This Row],[Зачетный вес]]</f>
        <v>3002.6</v>
      </c>
      <c r="U282" s="409" t="n">
        <f aca="false">Таблица18[[#This Row],[Отход]]/Таблица18[[#This Row],[Вес нетто]]</f>
        <v>0.185003080714726</v>
      </c>
      <c r="V282" s="234" t="n">
        <f aca="false">MONTH(Таблица18[[#This Row],[Дата акта]])</f>
        <v>6</v>
      </c>
      <c r="W282" s="234" t="n">
        <v>21</v>
      </c>
      <c r="X282" s="248" t="n">
        <f aca="false">DATE(1900,Таблица18[[#This Row],[Месяц]],Таблица18[[#This Row],[Число]])</f>
        <v>173</v>
      </c>
      <c r="Y282" s="234"/>
      <c r="AF282" s="411"/>
      <c r="AG282" s="412"/>
    </row>
    <row r="283" s="410" customFormat="true" ht="15" hidden="true" customHeight="true" outlineLevel="0" collapsed="false">
      <c r="A283" s="199" t="s">
        <v>1759</v>
      </c>
      <c r="B283" s="199" t="s">
        <v>417</v>
      </c>
      <c r="C283" s="405" t="n">
        <v>419</v>
      </c>
      <c r="D283" s="406" t="n">
        <v>184</v>
      </c>
      <c r="E283" s="199" t="s">
        <v>422</v>
      </c>
      <c r="F283" s="199" t="s">
        <v>380</v>
      </c>
      <c r="G283" s="199" t="s">
        <v>381</v>
      </c>
      <c r="H283" s="199" t="s">
        <v>1727</v>
      </c>
      <c r="I283" s="199" t="s">
        <v>1727</v>
      </c>
      <c r="J283" s="199" t="s">
        <v>1750</v>
      </c>
      <c r="K283" s="199" t="s">
        <v>1435</v>
      </c>
      <c r="L283" s="407" t="n">
        <v>24060</v>
      </c>
      <c r="M283" s="407" t="n">
        <v>14160</v>
      </c>
      <c r="N283" s="408" t="n">
        <v>20.5</v>
      </c>
      <c r="O283" s="407" t="n">
        <v>9900</v>
      </c>
      <c r="P283" s="407" t="n">
        <v>7870.5</v>
      </c>
      <c r="Q283" s="234" t="n">
        <v>2023</v>
      </c>
      <c r="R283" s="234"/>
      <c r="S283" s="248" t="n">
        <v>45098</v>
      </c>
      <c r="T283" s="407" t="n">
        <f aca="false">Таблица18[[#This Row],[Вес нетто]]-Таблица18[[#This Row],[Зачетный вес]]</f>
        <v>2029.5</v>
      </c>
      <c r="U283" s="409" t="n">
        <f aca="false">Таблица18[[#This Row],[Отход]]/Таблица18[[#This Row],[Вес нетто]]</f>
        <v>0.205</v>
      </c>
      <c r="V283" s="234" t="n">
        <f aca="false">MONTH(Таблица18[[#This Row],[Дата акта]])</f>
        <v>6</v>
      </c>
      <c r="W283" s="234" t="n">
        <v>21</v>
      </c>
      <c r="X283" s="248" t="n">
        <f aca="false">DATE(1900,Таблица18[[#This Row],[Месяц]],Таблица18[[#This Row],[Число]])</f>
        <v>173</v>
      </c>
      <c r="Y283" s="234"/>
      <c r="AF283" s="411"/>
      <c r="AG283" s="412"/>
    </row>
    <row r="284" s="410" customFormat="true" ht="15" hidden="true" customHeight="true" outlineLevel="0" collapsed="false">
      <c r="A284" s="199" t="s">
        <v>1760</v>
      </c>
      <c r="B284" s="199" t="s">
        <v>417</v>
      </c>
      <c r="C284" s="405" t="n">
        <v>420</v>
      </c>
      <c r="D284" s="406" t="n">
        <v>185</v>
      </c>
      <c r="E284" s="199" t="s">
        <v>422</v>
      </c>
      <c r="F284" s="199" t="s">
        <v>1576</v>
      </c>
      <c r="G284" s="199" t="s">
        <v>1455</v>
      </c>
      <c r="H284" s="199" t="s">
        <v>1727</v>
      </c>
      <c r="I284" s="199" t="s">
        <v>1727</v>
      </c>
      <c r="J284" s="199" t="s">
        <v>1750</v>
      </c>
      <c r="K284" s="199" t="s">
        <v>1435</v>
      </c>
      <c r="L284" s="407" t="n">
        <v>28430</v>
      </c>
      <c r="M284" s="407" t="n">
        <v>14480</v>
      </c>
      <c r="N284" s="408" t="n">
        <v>20.5</v>
      </c>
      <c r="O284" s="407" t="n">
        <v>13950</v>
      </c>
      <c r="P284" s="407" t="n">
        <v>11090.2</v>
      </c>
      <c r="Q284" s="234" t="n">
        <v>2023</v>
      </c>
      <c r="R284" s="234"/>
      <c r="S284" s="248" t="n">
        <v>45098</v>
      </c>
      <c r="T284" s="407" t="n">
        <f aca="false">Таблица18[[#This Row],[Вес нетто]]-Таблица18[[#This Row],[Зачетный вес]]</f>
        <v>2859.8</v>
      </c>
      <c r="U284" s="409" t="n">
        <f aca="false">Таблица18[[#This Row],[Отход]]/Таблица18[[#This Row],[Вес нетто]]</f>
        <v>0.205003584229391</v>
      </c>
      <c r="V284" s="234" t="n">
        <f aca="false">MONTH(Таблица18[[#This Row],[Дата акта]])</f>
        <v>6</v>
      </c>
      <c r="W284" s="234" t="n">
        <v>21</v>
      </c>
      <c r="X284" s="248" t="n">
        <f aca="false">DATE(1900,Таблица18[[#This Row],[Месяц]],Таблица18[[#This Row],[Число]])</f>
        <v>173</v>
      </c>
      <c r="Y284" s="234"/>
      <c r="AF284" s="411"/>
      <c r="AG284" s="412"/>
    </row>
    <row r="285" s="410" customFormat="true" ht="15" hidden="true" customHeight="true" outlineLevel="0" collapsed="false">
      <c r="A285" s="199" t="s">
        <v>1761</v>
      </c>
      <c r="B285" s="199" t="s">
        <v>417</v>
      </c>
      <c r="C285" s="405" t="n">
        <v>421</v>
      </c>
      <c r="D285" s="406" t="n">
        <v>186</v>
      </c>
      <c r="E285" s="199" t="s">
        <v>422</v>
      </c>
      <c r="F285" s="199" t="s">
        <v>457</v>
      </c>
      <c r="G285" s="199" t="s">
        <v>366</v>
      </c>
      <c r="H285" s="199" t="s">
        <v>1727</v>
      </c>
      <c r="I285" s="199" t="s">
        <v>1727</v>
      </c>
      <c r="J285" s="199" t="s">
        <v>1750</v>
      </c>
      <c r="K285" s="199" t="s">
        <v>1435</v>
      </c>
      <c r="L285" s="407" t="n">
        <v>33500</v>
      </c>
      <c r="M285" s="407" t="n">
        <v>17340</v>
      </c>
      <c r="N285" s="408" t="n">
        <v>17.5</v>
      </c>
      <c r="O285" s="407" t="n">
        <v>16160</v>
      </c>
      <c r="P285" s="407" t="n">
        <v>13332</v>
      </c>
      <c r="Q285" s="234" t="n">
        <v>2023</v>
      </c>
      <c r="R285" s="234"/>
      <c r="S285" s="248" t="n">
        <v>45098</v>
      </c>
      <c r="T285" s="407" t="n">
        <f aca="false">Таблица18[[#This Row],[Вес нетто]]-Таблица18[[#This Row],[Зачетный вес]]</f>
        <v>2828</v>
      </c>
      <c r="U285" s="409" t="n">
        <f aca="false">Таблица18[[#This Row],[Отход]]/Таблица18[[#This Row],[Вес нетто]]</f>
        <v>0.175</v>
      </c>
      <c r="V285" s="234" t="n">
        <f aca="false">MONTH(Таблица18[[#This Row],[Дата акта]])</f>
        <v>6</v>
      </c>
      <c r="W285" s="234" t="n">
        <v>21</v>
      </c>
      <c r="X285" s="248" t="n">
        <f aca="false">DATE(1900,Таблица18[[#This Row],[Месяц]],Таблица18[[#This Row],[Число]])</f>
        <v>173</v>
      </c>
      <c r="Y285" s="234"/>
      <c r="AF285" s="411"/>
      <c r="AG285" s="412"/>
    </row>
    <row r="286" s="410" customFormat="true" ht="15" hidden="true" customHeight="true" outlineLevel="0" collapsed="false">
      <c r="A286" s="199" t="s">
        <v>1762</v>
      </c>
      <c r="B286" s="199" t="s">
        <v>417</v>
      </c>
      <c r="C286" s="405" t="n">
        <v>422</v>
      </c>
      <c r="D286" s="406" t="n">
        <v>187</v>
      </c>
      <c r="E286" s="199" t="s">
        <v>422</v>
      </c>
      <c r="F286" s="199" t="s">
        <v>380</v>
      </c>
      <c r="G286" s="199" t="s">
        <v>381</v>
      </c>
      <c r="H286" s="199" t="s">
        <v>1731</v>
      </c>
      <c r="I286" s="199" t="s">
        <v>1731</v>
      </c>
      <c r="J286" s="199" t="s">
        <v>1750</v>
      </c>
      <c r="K286" s="199" t="s">
        <v>1435</v>
      </c>
      <c r="L286" s="407" t="n">
        <v>28050</v>
      </c>
      <c r="M286" s="407" t="n">
        <v>14250</v>
      </c>
      <c r="N286" s="408" t="n">
        <v>14.5</v>
      </c>
      <c r="O286" s="407" t="n">
        <v>13800</v>
      </c>
      <c r="P286" s="407" t="n">
        <v>11799</v>
      </c>
      <c r="Q286" s="234" t="n">
        <v>2023</v>
      </c>
      <c r="R286" s="234"/>
      <c r="S286" s="248" t="n">
        <v>45098</v>
      </c>
      <c r="T286" s="407" t="n">
        <f aca="false">Таблица18[[#This Row],[Вес нетто]]-Таблица18[[#This Row],[Зачетный вес]]</f>
        <v>2001</v>
      </c>
      <c r="U286" s="409" t="n">
        <f aca="false">Таблица18[[#This Row],[Отход]]/Таблица18[[#This Row],[Вес нетто]]</f>
        <v>0.145</v>
      </c>
      <c r="V286" s="234" t="n">
        <f aca="false">MONTH(Таблица18[[#This Row],[Дата акта]])</f>
        <v>6</v>
      </c>
      <c r="W286" s="234" t="n">
        <v>21</v>
      </c>
      <c r="X286" s="248" t="n">
        <f aca="false">DATE(1900,Таблица18[[#This Row],[Месяц]],Таблица18[[#This Row],[Число]])</f>
        <v>173</v>
      </c>
      <c r="Y286" s="234"/>
      <c r="AF286" s="411"/>
      <c r="AG286" s="412"/>
    </row>
    <row r="287" s="410" customFormat="true" ht="15" hidden="true" customHeight="true" outlineLevel="0" collapsed="false">
      <c r="A287" s="199" t="s">
        <v>1763</v>
      </c>
      <c r="B287" s="199" t="s">
        <v>417</v>
      </c>
      <c r="C287" s="405" t="n">
        <v>423</v>
      </c>
      <c r="D287" s="406" t="n">
        <v>188</v>
      </c>
      <c r="E287" s="199" t="s">
        <v>422</v>
      </c>
      <c r="F287" s="199" t="s">
        <v>1576</v>
      </c>
      <c r="G287" s="199" t="s">
        <v>1455</v>
      </c>
      <c r="H287" s="199" t="s">
        <v>1731</v>
      </c>
      <c r="I287" s="199" t="s">
        <v>1731</v>
      </c>
      <c r="J287" s="199" t="s">
        <v>1750</v>
      </c>
      <c r="K287" s="199" t="s">
        <v>1435</v>
      </c>
      <c r="L287" s="407" t="n">
        <v>28310</v>
      </c>
      <c r="M287" s="407" t="n">
        <v>14560</v>
      </c>
      <c r="N287" s="408" t="n">
        <v>15.5</v>
      </c>
      <c r="O287" s="407" t="n">
        <v>13750</v>
      </c>
      <c r="P287" s="407" t="n">
        <v>11618.7</v>
      </c>
      <c r="Q287" s="234" t="n">
        <v>2023</v>
      </c>
      <c r="R287" s="234"/>
      <c r="S287" s="248" t="n">
        <v>45098</v>
      </c>
      <c r="T287" s="407" t="n">
        <f aca="false">Таблица18[[#This Row],[Вес нетто]]-Таблица18[[#This Row],[Зачетный вес]]</f>
        <v>2131.3</v>
      </c>
      <c r="U287" s="409" t="n">
        <f aca="false">Таблица18[[#This Row],[Отход]]/Таблица18[[#This Row],[Вес нетто]]</f>
        <v>0.155003636363636</v>
      </c>
      <c r="V287" s="234" t="n">
        <f aca="false">MONTH(Таблица18[[#This Row],[Дата акта]])</f>
        <v>6</v>
      </c>
      <c r="W287" s="234" t="n">
        <v>21</v>
      </c>
      <c r="X287" s="248" t="n">
        <f aca="false">DATE(1900,Таблица18[[#This Row],[Месяц]],Таблица18[[#This Row],[Число]])</f>
        <v>173</v>
      </c>
      <c r="Y287" s="234"/>
      <c r="AF287" s="411"/>
      <c r="AG287" s="412"/>
    </row>
    <row r="288" s="410" customFormat="true" ht="15" hidden="true" customHeight="true" outlineLevel="0" collapsed="false">
      <c r="A288" s="199" t="s">
        <v>1764</v>
      </c>
      <c r="B288" s="199" t="s">
        <v>417</v>
      </c>
      <c r="C288" s="405" t="n">
        <v>424</v>
      </c>
      <c r="D288" s="406" t="n">
        <v>189</v>
      </c>
      <c r="E288" s="199" t="s">
        <v>422</v>
      </c>
      <c r="F288" s="199" t="s">
        <v>457</v>
      </c>
      <c r="G288" s="199" t="s">
        <v>366</v>
      </c>
      <c r="H288" s="199" t="s">
        <v>1731</v>
      </c>
      <c r="I288" s="199" t="s">
        <v>1731</v>
      </c>
      <c r="J288" s="199" t="s">
        <v>1750</v>
      </c>
      <c r="K288" s="199" t="s">
        <v>1435</v>
      </c>
      <c r="L288" s="407" t="n">
        <v>33250</v>
      </c>
      <c r="M288" s="407" t="n">
        <v>17340</v>
      </c>
      <c r="N288" s="408" t="n">
        <v>17.5</v>
      </c>
      <c r="O288" s="407" t="n">
        <v>15910</v>
      </c>
      <c r="P288" s="407" t="n">
        <v>13125.7</v>
      </c>
      <c r="Q288" s="234" t="n">
        <v>2023</v>
      </c>
      <c r="R288" s="234"/>
      <c r="S288" s="248" t="n">
        <v>45099</v>
      </c>
      <c r="T288" s="407" t="n">
        <f aca="false">Таблица18[[#This Row],[Вес нетто]]-Таблица18[[#This Row],[Зачетный вес]]</f>
        <v>2784.3</v>
      </c>
      <c r="U288" s="409" t="n">
        <f aca="false">Таблица18[[#This Row],[Отход]]/Таблица18[[#This Row],[Вес нетто]]</f>
        <v>0.175003142677561</v>
      </c>
      <c r="V288" s="234" t="n">
        <f aca="false">MONTH(Таблица18[[#This Row],[Дата акта]])</f>
        <v>6</v>
      </c>
      <c r="W288" s="234" t="n">
        <v>22</v>
      </c>
      <c r="X288" s="248" t="n">
        <f aca="false">DATE(1900,Таблица18[[#This Row],[Месяц]],Таблица18[[#This Row],[Число]])</f>
        <v>174</v>
      </c>
      <c r="Y288" s="234"/>
      <c r="AF288" s="411"/>
      <c r="AG288" s="412"/>
    </row>
    <row r="289" s="410" customFormat="true" ht="15" hidden="true" customHeight="true" outlineLevel="0" collapsed="false">
      <c r="A289" s="199" t="s">
        <v>1765</v>
      </c>
      <c r="B289" s="199" t="s">
        <v>417</v>
      </c>
      <c r="C289" s="405" t="n">
        <v>425</v>
      </c>
      <c r="D289" s="406" t="n">
        <v>190</v>
      </c>
      <c r="E289" s="199" t="s">
        <v>422</v>
      </c>
      <c r="F289" s="199" t="s">
        <v>380</v>
      </c>
      <c r="G289" s="199" t="s">
        <v>381</v>
      </c>
      <c r="H289" s="199" t="s">
        <v>1731</v>
      </c>
      <c r="I289" s="199" t="s">
        <v>1731</v>
      </c>
      <c r="J289" s="199" t="s">
        <v>1750</v>
      </c>
      <c r="K289" s="199" t="s">
        <v>1435</v>
      </c>
      <c r="L289" s="407" t="n">
        <v>27910</v>
      </c>
      <c r="M289" s="407" t="n">
        <v>14180</v>
      </c>
      <c r="N289" s="408" t="n">
        <v>15.5</v>
      </c>
      <c r="O289" s="407" t="n">
        <v>13730</v>
      </c>
      <c r="P289" s="407" t="n">
        <v>11601.8</v>
      </c>
      <c r="Q289" s="234" t="n">
        <v>2023</v>
      </c>
      <c r="R289" s="234"/>
      <c r="S289" s="248" t="n">
        <v>45099</v>
      </c>
      <c r="T289" s="407" t="n">
        <f aca="false">Таблица18[[#This Row],[Вес нетто]]-Таблица18[[#This Row],[Зачетный вес]]</f>
        <v>2128.2</v>
      </c>
      <c r="U289" s="409" t="n">
        <f aca="false">Таблица18[[#This Row],[Отход]]/Таблица18[[#This Row],[Вес нетто]]</f>
        <v>0.155003641660597</v>
      </c>
      <c r="V289" s="234" t="n">
        <f aca="false">MONTH(Таблица18[[#This Row],[Дата акта]])</f>
        <v>6</v>
      </c>
      <c r="W289" s="234" t="n">
        <v>22</v>
      </c>
      <c r="X289" s="248" t="n">
        <f aca="false">DATE(1900,Таблица18[[#This Row],[Месяц]],Таблица18[[#This Row],[Число]])</f>
        <v>174</v>
      </c>
      <c r="Y289" s="234"/>
      <c r="AF289" s="411"/>
      <c r="AG289" s="412"/>
    </row>
    <row r="290" s="410" customFormat="true" ht="15" hidden="true" customHeight="true" outlineLevel="0" collapsed="false">
      <c r="A290" s="199" t="s">
        <v>1766</v>
      </c>
      <c r="B290" s="199" t="s">
        <v>417</v>
      </c>
      <c r="C290" s="405" t="n">
        <v>427</v>
      </c>
      <c r="D290" s="406" t="n">
        <v>191</v>
      </c>
      <c r="E290" s="199" t="s">
        <v>422</v>
      </c>
      <c r="F290" s="199" t="s">
        <v>1576</v>
      </c>
      <c r="G290" s="199" t="s">
        <v>1455</v>
      </c>
      <c r="H290" s="199" t="s">
        <v>1767</v>
      </c>
      <c r="I290" s="199" t="s">
        <v>1767</v>
      </c>
      <c r="J290" s="199" t="s">
        <v>68</v>
      </c>
      <c r="K290" s="199" t="s">
        <v>1435</v>
      </c>
      <c r="L290" s="407" t="n">
        <v>28700</v>
      </c>
      <c r="M290" s="407" t="n">
        <v>14560</v>
      </c>
      <c r="N290" s="408" t="n">
        <v>17.5</v>
      </c>
      <c r="O290" s="407" t="n">
        <v>14140</v>
      </c>
      <c r="P290" s="407" t="n">
        <v>11665.5</v>
      </c>
      <c r="Q290" s="234" t="n">
        <v>2023</v>
      </c>
      <c r="R290" s="234"/>
      <c r="S290" s="248" t="n">
        <v>45099</v>
      </c>
      <c r="T290" s="407" t="n">
        <f aca="false">Таблица18[[#This Row],[Вес нетто]]-Таблица18[[#This Row],[Зачетный вес]]</f>
        <v>2474.5</v>
      </c>
      <c r="U290" s="409" t="n">
        <f aca="false">Таблица18[[#This Row],[Отход]]/Таблица18[[#This Row],[Вес нетто]]</f>
        <v>0.175</v>
      </c>
      <c r="V290" s="234" t="n">
        <f aca="false">MONTH(Таблица18[[#This Row],[Дата акта]])</f>
        <v>6</v>
      </c>
      <c r="W290" s="234" t="n">
        <v>22</v>
      </c>
      <c r="X290" s="248" t="n">
        <f aca="false">DATE(1900,Таблица18[[#This Row],[Месяц]],Таблица18[[#This Row],[Число]])</f>
        <v>174</v>
      </c>
      <c r="Y290" s="234"/>
      <c r="AF290" s="411"/>
      <c r="AG290" s="412"/>
    </row>
    <row r="291" s="410" customFormat="true" ht="15" hidden="true" customHeight="true" outlineLevel="0" collapsed="false">
      <c r="A291" s="199" t="s">
        <v>1768</v>
      </c>
      <c r="B291" s="199" t="s">
        <v>417</v>
      </c>
      <c r="C291" s="405" t="n">
        <v>430</v>
      </c>
      <c r="D291" s="406" t="n">
        <v>192</v>
      </c>
      <c r="E291" s="199" t="s">
        <v>422</v>
      </c>
      <c r="F291" s="199" t="s">
        <v>457</v>
      </c>
      <c r="G291" s="199" t="s">
        <v>366</v>
      </c>
      <c r="H291" s="199" t="s">
        <v>1769</v>
      </c>
      <c r="I291" s="199" t="s">
        <v>1769</v>
      </c>
      <c r="J291" s="199" t="s">
        <v>68</v>
      </c>
      <c r="K291" s="199" t="s">
        <v>1435</v>
      </c>
      <c r="L291" s="407" t="n">
        <v>34070</v>
      </c>
      <c r="M291" s="407" t="n">
        <v>17230</v>
      </c>
      <c r="N291" s="408" t="n">
        <v>16.5</v>
      </c>
      <c r="O291" s="407" t="n">
        <v>16840</v>
      </c>
      <c r="P291" s="407" t="n">
        <v>14061.4</v>
      </c>
      <c r="Q291" s="234" t="n">
        <v>2023</v>
      </c>
      <c r="R291" s="234"/>
      <c r="S291" s="248" t="n">
        <v>45099</v>
      </c>
      <c r="T291" s="407" t="n">
        <f aca="false">Таблица18[[#This Row],[Вес нетто]]-Таблица18[[#This Row],[Зачетный вес]]</f>
        <v>2778.6</v>
      </c>
      <c r="U291" s="409" t="n">
        <f aca="false">Таблица18[[#This Row],[Отход]]/Таблица18[[#This Row],[Вес нетто]]</f>
        <v>0.165</v>
      </c>
      <c r="V291" s="234" t="n">
        <f aca="false">MONTH(Таблица18[[#This Row],[Дата акта]])</f>
        <v>6</v>
      </c>
      <c r="W291" s="234" t="n">
        <v>22</v>
      </c>
      <c r="X291" s="248" t="n">
        <f aca="false">DATE(1900,Таблица18[[#This Row],[Месяц]],Таблица18[[#This Row],[Число]])</f>
        <v>174</v>
      </c>
      <c r="Y291" s="234"/>
      <c r="AF291" s="411"/>
      <c r="AG291" s="412"/>
    </row>
    <row r="292" s="410" customFormat="true" ht="15" hidden="true" customHeight="true" outlineLevel="0" collapsed="false">
      <c r="A292" s="199" t="s">
        <v>1770</v>
      </c>
      <c r="B292" s="199" t="s">
        <v>417</v>
      </c>
      <c r="C292" s="405" t="n">
        <v>433</v>
      </c>
      <c r="D292" s="406" t="n">
        <v>193</v>
      </c>
      <c r="E292" s="199" t="s">
        <v>422</v>
      </c>
      <c r="F292" s="199" t="s">
        <v>1449</v>
      </c>
      <c r="G292" s="199" t="s">
        <v>704</v>
      </c>
      <c r="H292" s="406" t="n">
        <v>106</v>
      </c>
      <c r="I292" s="406" t="s">
        <v>1769</v>
      </c>
      <c r="J292" s="199" t="s">
        <v>68</v>
      </c>
      <c r="K292" s="199" t="s">
        <v>1435</v>
      </c>
      <c r="L292" s="407" t="n">
        <v>28630</v>
      </c>
      <c r="M292" s="407" t="n">
        <v>14570</v>
      </c>
      <c r="N292" s="408" t="n">
        <v>19.5</v>
      </c>
      <c r="O292" s="407" t="n">
        <v>14060</v>
      </c>
      <c r="P292" s="407" t="n">
        <v>11318.3</v>
      </c>
      <c r="Q292" s="234" t="n">
        <v>2023</v>
      </c>
      <c r="R292" s="234"/>
      <c r="S292" s="248" t="n">
        <v>45099</v>
      </c>
      <c r="T292" s="407" t="n">
        <f aca="false">Таблица18[[#This Row],[Вес нетто]]-Таблица18[[#This Row],[Зачетный вес]]</f>
        <v>2741.7</v>
      </c>
      <c r="U292" s="409" t="n">
        <f aca="false">Таблица18[[#This Row],[Отход]]/Таблица18[[#This Row],[Вес нетто]]</f>
        <v>0.195</v>
      </c>
      <c r="V292" s="234" t="n">
        <f aca="false">MONTH(Таблица18[[#This Row],[Дата акта]])</f>
        <v>6</v>
      </c>
      <c r="W292" s="234" t="n">
        <v>22</v>
      </c>
      <c r="X292" s="248" t="n">
        <f aca="false">DATE(1900,Таблица18[[#This Row],[Месяц]],Таблица18[[#This Row],[Число]])</f>
        <v>174</v>
      </c>
      <c r="Y292" s="234"/>
      <c r="AF292" s="411"/>
      <c r="AG292" s="412"/>
    </row>
    <row r="293" s="410" customFormat="true" ht="15" hidden="true" customHeight="true" outlineLevel="0" collapsed="false">
      <c r="A293" s="199" t="s">
        <v>1771</v>
      </c>
      <c r="B293" s="199" t="s">
        <v>417</v>
      </c>
      <c r="C293" s="405" t="n">
        <v>434</v>
      </c>
      <c r="D293" s="406" t="n">
        <v>194</v>
      </c>
      <c r="E293" s="199" t="s">
        <v>422</v>
      </c>
      <c r="F293" s="199" t="s">
        <v>359</v>
      </c>
      <c r="G293" s="199" t="s">
        <v>426</v>
      </c>
      <c r="H293" s="406" t="n">
        <v>106</v>
      </c>
      <c r="I293" s="406" t="s">
        <v>1769</v>
      </c>
      <c r="J293" s="199" t="s">
        <v>68</v>
      </c>
      <c r="K293" s="199" t="s">
        <v>1435</v>
      </c>
      <c r="L293" s="407" t="n">
        <v>28190</v>
      </c>
      <c r="M293" s="407" t="n">
        <v>14030</v>
      </c>
      <c r="N293" s="408" t="n">
        <v>18.5</v>
      </c>
      <c r="O293" s="407" t="n">
        <v>14160</v>
      </c>
      <c r="P293" s="407" t="n">
        <v>11540.4</v>
      </c>
      <c r="Q293" s="234" t="n">
        <v>2023</v>
      </c>
      <c r="R293" s="234"/>
      <c r="S293" s="248" t="n">
        <v>45099</v>
      </c>
      <c r="T293" s="407" t="n">
        <f aca="false">Таблица18[[#This Row],[Вес нетто]]-Таблица18[[#This Row],[Зачетный вес]]</f>
        <v>2619.6</v>
      </c>
      <c r="U293" s="409" t="n">
        <f aca="false">Таблица18[[#This Row],[Отход]]/Таблица18[[#This Row],[Вес нетто]]</f>
        <v>0.185</v>
      </c>
      <c r="V293" s="234" t="n">
        <f aca="false">MONTH(Таблица18[[#This Row],[Дата акта]])</f>
        <v>6</v>
      </c>
      <c r="W293" s="234" t="n">
        <v>22</v>
      </c>
      <c r="X293" s="248" t="n">
        <f aca="false">DATE(1900,Таблица18[[#This Row],[Месяц]],Таблица18[[#This Row],[Число]])</f>
        <v>174</v>
      </c>
      <c r="Y293" s="234"/>
      <c r="AF293" s="411"/>
      <c r="AG293" s="412"/>
    </row>
    <row r="294" s="410" customFormat="true" ht="15" hidden="true" customHeight="true" outlineLevel="0" collapsed="false">
      <c r="A294" s="199" t="s">
        <v>1772</v>
      </c>
      <c r="B294" s="199" t="s">
        <v>417</v>
      </c>
      <c r="C294" s="405" t="n">
        <v>436</v>
      </c>
      <c r="D294" s="406" t="n">
        <v>195</v>
      </c>
      <c r="E294" s="199" t="s">
        <v>422</v>
      </c>
      <c r="F294" s="199" t="s">
        <v>1433</v>
      </c>
      <c r="G294" s="199" t="s">
        <v>377</v>
      </c>
      <c r="H294" s="406" t="n">
        <v>106</v>
      </c>
      <c r="I294" s="406" t="s">
        <v>1769</v>
      </c>
      <c r="J294" s="199" t="s">
        <v>68</v>
      </c>
      <c r="K294" s="199" t="s">
        <v>1435</v>
      </c>
      <c r="L294" s="407" t="n">
        <v>28790</v>
      </c>
      <c r="M294" s="407" t="n">
        <v>14410</v>
      </c>
      <c r="N294" s="408" t="n">
        <v>17.5</v>
      </c>
      <c r="O294" s="407" t="n">
        <v>14380</v>
      </c>
      <c r="P294" s="407" t="n">
        <v>11863.5</v>
      </c>
      <c r="Q294" s="234" t="n">
        <v>2023</v>
      </c>
      <c r="R294" s="234"/>
      <c r="S294" s="248" t="n">
        <v>45099</v>
      </c>
      <c r="T294" s="407" t="n">
        <f aca="false">Таблица18[[#This Row],[Вес нетто]]-Таблица18[[#This Row],[Зачетный вес]]</f>
        <v>2516.5</v>
      </c>
      <c r="U294" s="409" t="n">
        <f aca="false">Таблица18[[#This Row],[Отход]]/Таблица18[[#This Row],[Вес нетто]]</f>
        <v>0.175</v>
      </c>
      <c r="V294" s="234" t="n">
        <f aca="false">MONTH(Таблица18[[#This Row],[Дата акта]])</f>
        <v>6</v>
      </c>
      <c r="W294" s="234" t="n">
        <v>22</v>
      </c>
      <c r="X294" s="248" t="n">
        <f aca="false">DATE(1900,Таблица18[[#This Row],[Месяц]],Таблица18[[#This Row],[Число]])</f>
        <v>174</v>
      </c>
      <c r="Y294" s="234"/>
      <c r="AF294" s="411"/>
      <c r="AG294" s="412"/>
    </row>
    <row r="295" s="410" customFormat="true" ht="15" hidden="true" customHeight="true" outlineLevel="0" collapsed="false">
      <c r="A295" s="199" t="s">
        <v>1773</v>
      </c>
      <c r="B295" s="199" t="s">
        <v>417</v>
      </c>
      <c r="C295" s="405" t="n">
        <v>438</v>
      </c>
      <c r="D295" s="406" t="n">
        <v>194</v>
      </c>
      <c r="E295" s="199" t="s">
        <v>422</v>
      </c>
      <c r="F295" s="199" t="s">
        <v>359</v>
      </c>
      <c r="G295" s="199" t="s">
        <v>426</v>
      </c>
      <c r="H295" s="406" t="n">
        <v>106</v>
      </c>
      <c r="I295" s="406" t="s">
        <v>1769</v>
      </c>
      <c r="J295" s="199" t="s">
        <v>68</v>
      </c>
      <c r="K295" s="199" t="s">
        <v>1435</v>
      </c>
      <c r="L295" s="407" t="n">
        <v>28250</v>
      </c>
      <c r="M295" s="407" t="n">
        <v>14010</v>
      </c>
      <c r="N295" s="408" t="n">
        <v>14.5</v>
      </c>
      <c r="O295" s="407" t="n">
        <v>14240</v>
      </c>
      <c r="P295" s="407" t="n">
        <v>12175.2</v>
      </c>
      <c r="Q295" s="234" t="n">
        <v>2023</v>
      </c>
      <c r="R295" s="234"/>
      <c r="S295" s="248" t="n">
        <v>45099</v>
      </c>
      <c r="T295" s="407" t="n">
        <f aca="false">Таблица18[[#This Row],[Вес нетто]]-Таблица18[[#This Row],[Зачетный вес]]</f>
        <v>2064.8</v>
      </c>
      <c r="U295" s="409" t="n">
        <f aca="false">Таблица18[[#This Row],[Отход]]/Таблица18[[#This Row],[Вес нетто]]</f>
        <v>0.145</v>
      </c>
      <c r="V295" s="234" t="n">
        <f aca="false">MONTH(Таблица18[[#This Row],[Дата акта]])</f>
        <v>6</v>
      </c>
      <c r="W295" s="234" t="n">
        <v>22</v>
      </c>
      <c r="X295" s="248" t="n">
        <f aca="false">DATE(1900,Таблица18[[#This Row],[Месяц]],Таблица18[[#This Row],[Число]])</f>
        <v>174</v>
      </c>
      <c r="Y295" s="234"/>
      <c r="AF295" s="411"/>
      <c r="AG295" s="412"/>
    </row>
    <row r="296" s="410" customFormat="true" ht="15" hidden="true" customHeight="true" outlineLevel="0" collapsed="false">
      <c r="A296" s="199" t="s">
        <v>1774</v>
      </c>
      <c r="B296" s="199" t="s">
        <v>417</v>
      </c>
      <c r="C296" s="405" t="n">
        <v>440</v>
      </c>
      <c r="D296" s="406" t="n">
        <v>197</v>
      </c>
      <c r="E296" s="199" t="s">
        <v>422</v>
      </c>
      <c r="F296" s="199" t="s">
        <v>1433</v>
      </c>
      <c r="G296" s="199" t="s">
        <v>377</v>
      </c>
      <c r="H296" s="406" t="n">
        <v>106</v>
      </c>
      <c r="I296" s="406" t="s">
        <v>1769</v>
      </c>
      <c r="J296" s="199" t="s">
        <v>68</v>
      </c>
      <c r="K296" s="199" t="s">
        <v>1435</v>
      </c>
      <c r="L296" s="407" t="n">
        <v>28500</v>
      </c>
      <c r="M296" s="407" t="n">
        <v>14400</v>
      </c>
      <c r="N296" s="408" t="n">
        <v>16</v>
      </c>
      <c r="O296" s="407" t="n">
        <v>14100</v>
      </c>
      <c r="P296" s="407" t="n">
        <v>11844</v>
      </c>
      <c r="Q296" s="234" t="n">
        <v>2023</v>
      </c>
      <c r="R296" s="234"/>
      <c r="S296" s="248" t="n">
        <v>45099</v>
      </c>
      <c r="T296" s="407" t="n">
        <f aca="false">Таблица18[[#This Row],[Вес нетто]]-Таблица18[[#This Row],[Зачетный вес]]</f>
        <v>2256</v>
      </c>
      <c r="U296" s="409" t="n">
        <f aca="false">Таблица18[[#This Row],[Отход]]/Таблица18[[#This Row],[Вес нетто]]</f>
        <v>0.16</v>
      </c>
      <c r="V296" s="234" t="n">
        <f aca="false">MONTH(Таблица18[[#This Row],[Дата акта]])</f>
        <v>6</v>
      </c>
      <c r="W296" s="234" t="n">
        <v>22</v>
      </c>
      <c r="X296" s="248" t="n">
        <f aca="false">DATE(1900,Таблица18[[#This Row],[Месяц]],Таблица18[[#This Row],[Число]])</f>
        <v>174</v>
      </c>
      <c r="Y296" s="234"/>
      <c r="AF296" s="411"/>
      <c r="AG296" s="412"/>
    </row>
    <row r="297" s="410" customFormat="true" ht="15" hidden="true" customHeight="true" outlineLevel="0" collapsed="false">
      <c r="A297" s="199" t="s">
        <v>1775</v>
      </c>
      <c r="B297" s="199" t="s">
        <v>417</v>
      </c>
      <c r="C297" s="405" t="n">
        <v>441</v>
      </c>
      <c r="D297" s="406" t="n">
        <v>198</v>
      </c>
      <c r="E297" s="199" t="s">
        <v>422</v>
      </c>
      <c r="F297" s="199" t="s">
        <v>359</v>
      </c>
      <c r="G297" s="199" t="s">
        <v>426</v>
      </c>
      <c r="H297" s="406" t="n">
        <v>106</v>
      </c>
      <c r="I297" s="406" t="s">
        <v>1769</v>
      </c>
      <c r="J297" s="199" t="s">
        <v>68</v>
      </c>
      <c r="K297" s="199" t="s">
        <v>1435</v>
      </c>
      <c r="L297" s="407" t="n">
        <v>28200</v>
      </c>
      <c r="M297" s="407" t="n">
        <v>13990</v>
      </c>
      <c r="N297" s="408" t="n">
        <v>15</v>
      </c>
      <c r="O297" s="407" t="n">
        <v>14210</v>
      </c>
      <c r="P297" s="407" t="n">
        <v>12078.5</v>
      </c>
      <c r="Q297" s="234" t="n">
        <v>2023</v>
      </c>
      <c r="R297" s="234"/>
      <c r="S297" s="248" t="n">
        <v>45099</v>
      </c>
      <c r="T297" s="407" t="n">
        <f aca="false">Таблица18[[#This Row],[Вес нетто]]-Таблица18[[#This Row],[Зачетный вес]]</f>
        <v>2131.5</v>
      </c>
      <c r="U297" s="409" t="n">
        <f aca="false">Таблица18[[#This Row],[Отход]]/Таблица18[[#This Row],[Вес нетто]]</f>
        <v>0.15</v>
      </c>
      <c r="V297" s="234" t="n">
        <f aca="false">MONTH(Таблица18[[#This Row],[Дата акта]])</f>
        <v>6</v>
      </c>
      <c r="W297" s="234" t="n">
        <v>22</v>
      </c>
      <c r="X297" s="248" t="n">
        <f aca="false">DATE(1900,Таблица18[[#This Row],[Месяц]],Таблица18[[#This Row],[Число]])</f>
        <v>174</v>
      </c>
      <c r="Y297" s="234"/>
      <c r="AF297" s="411"/>
      <c r="AG297" s="412"/>
    </row>
    <row r="298" s="410" customFormat="true" ht="15" hidden="true" customHeight="true" outlineLevel="0" collapsed="false">
      <c r="A298" s="199" t="s">
        <v>1776</v>
      </c>
      <c r="B298" s="199" t="s">
        <v>417</v>
      </c>
      <c r="C298" s="405" t="n">
        <v>443</v>
      </c>
      <c r="D298" s="406" t="n">
        <v>199</v>
      </c>
      <c r="E298" s="199" t="s">
        <v>422</v>
      </c>
      <c r="F298" s="199" t="s">
        <v>1433</v>
      </c>
      <c r="G298" s="199" t="s">
        <v>377</v>
      </c>
      <c r="H298" s="406" t="n">
        <v>106</v>
      </c>
      <c r="I298" s="406" t="s">
        <v>1769</v>
      </c>
      <c r="J298" s="199" t="s">
        <v>68</v>
      </c>
      <c r="K298" s="199" t="s">
        <v>1435</v>
      </c>
      <c r="L298" s="407" t="n">
        <v>27890</v>
      </c>
      <c r="M298" s="407" t="n">
        <v>14390</v>
      </c>
      <c r="N298" s="408" t="n">
        <v>15.5</v>
      </c>
      <c r="O298" s="407" t="n">
        <v>13500</v>
      </c>
      <c r="P298" s="407" t="n">
        <v>11407.5</v>
      </c>
      <c r="Q298" s="234" t="n">
        <v>2023</v>
      </c>
      <c r="R298" s="234"/>
      <c r="S298" s="248" t="n">
        <v>45099</v>
      </c>
      <c r="T298" s="407" t="n">
        <f aca="false">Таблица18[[#This Row],[Вес нетто]]-Таблица18[[#This Row],[Зачетный вес]]</f>
        <v>2092.5</v>
      </c>
      <c r="U298" s="409" t="n">
        <f aca="false">Таблица18[[#This Row],[Отход]]/Таблица18[[#This Row],[Вес нетто]]</f>
        <v>0.155</v>
      </c>
      <c r="V298" s="234" t="n">
        <f aca="false">MONTH(Таблица18[[#This Row],[Дата акта]])</f>
        <v>6</v>
      </c>
      <c r="W298" s="234" t="n">
        <v>22</v>
      </c>
      <c r="X298" s="248" t="n">
        <f aca="false">DATE(1900,Таблица18[[#This Row],[Месяц]],Таблица18[[#This Row],[Число]])</f>
        <v>174</v>
      </c>
      <c r="Y298" s="234"/>
      <c r="AF298" s="411"/>
      <c r="AG298" s="412"/>
    </row>
    <row r="299" s="410" customFormat="true" ht="15" hidden="true" customHeight="true" outlineLevel="0" collapsed="false">
      <c r="A299" s="199" t="s">
        <v>1777</v>
      </c>
      <c r="B299" s="199" t="s">
        <v>417</v>
      </c>
      <c r="C299" s="405" t="n">
        <v>444</v>
      </c>
      <c r="D299" s="406" t="n">
        <v>200</v>
      </c>
      <c r="E299" s="199" t="s">
        <v>422</v>
      </c>
      <c r="F299" s="199" t="s">
        <v>359</v>
      </c>
      <c r="G299" s="199" t="s">
        <v>426</v>
      </c>
      <c r="H299" s="406" t="n">
        <v>106</v>
      </c>
      <c r="I299" s="406" t="s">
        <v>1769</v>
      </c>
      <c r="J299" s="199" t="s">
        <v>68</v>
      </c>
      <c r="K299" s="199" t="s">
        <v>1435</v>
      </c>
      <c r="L299" s="407" t="n">
        <v>29480</v>
      </c>
      <c r="M299" s="407" t="n">
        <v>14050</v>
      </c>
      <c r="N299" s="408" t="n">
        <v>15.5</v>
      </c>
      <c r="O299" s="407" t="n">
        <v>15430</v>
      </c>
      <c r="P299" s="407" t="n">
        <v>13038.3</v>
      </c>
      <c r="Q299" s="234" t="n">
        <v>2023</v>
      </c>
      <c r="R299" s="234"/>
      <c r="S299" s="248" t="n">
        <v>45100</v>
      </c>
      <c r="T299" s="407" t="n">
        <f aca="false">Таблица18[[#This Row],[Вес нетто]]-Таблица18[[#This Row],[Зачетный вес]]</f>
        <v>2391.7</v>
      </c>
      <c r="U299" s="409" t="n">
        <f aca="false">Таблица18[[#This Row],[Отход]]/Таблица18[[#This Row],[Вес нетто]]</f>
        <v>0.1550032404407</v>
      </c>
      <c r="V299" s="234" t="n">
        <f aca="false">MONTH(Таблица18[[#This Row],[Дата акта]])</f>
        <v>6</v>
      </c>
      <c r="W299" s="234" t="n">
        <v>23</v>
      </c>
      <c r="X299" s="248" t="n">
        <f aca="false">DATE(1900,Таблица18[[#This Row],[Месяц]],Таблица18[[#This Row],[Число]])</f>
        <v>175</v>
      </c>
      <c r="Y299" s="234"/>
      <c r="AF299" s="411"/>
      <c r="AG299" s="412"/>
    </row>
    <row r="300" s="410" customFormat="true" ht="15" hidden="true" customHeight="true" outlineLevel="0" collapsed="false">
      <c r="A300" s="199" t="s">
        <v>1778</v>
      </c>
      <c r="B300" s="199" t="s">
        <v>417</v>
      </c>
      <c r="C300" s="405" t="n">
        <v>445</v>
      </c>
      <c r="D300" s="406" t="n">
        <v>201</v>
      </c>
      <c r="E300" s="199" t="s">
        <v>422</v>
      </c>
      <c r="F300" s="199" t="s">
        <v>1433</v>
      </c>
      <c r="G300" s="199" t="s">
        <v>377</v>
      </c>
      <c r="H300" s="406" t="n">
        <v>106</v>
      </c>
      <c r="I300" s="406" t="s">
        <v>1769</v>
      </c>
      <c r="J300" s="199" t="s">
        <v>68</v>
      </c>
      <c r="K300" s="199" t="s">
        <v>1435</v>
      </c>
      <c r="L300" s="407" t="n">
        <v>28290</v>
      </c>
      <c r="M300" s="407" t="n">
        <v>14380</v>
      </c>
      <c r="N300" s="408" t="n">
        <v>15.5</v>
      </c>
      <c r="O300" s="407" t="n">
        <v>13910</v>
      </c>
      <c r="P300" s="407" t="n">
        <v>11753.9</v>
      </c>
      <c r="Q300" s="234" t="n">
        <v>2023</v>
      </c>
      <c r="R300" s="234"/>
      <c r="S300" s="248" t="n">
        <v>45100</v>
      </c>
      <c r="T300" s="407" t="n">
        <f aca="false">Таблица18[[#This Row],[Вес нетто]]-Таблица18[[#This Row],[Зачетный вес]]</f>
        <v>2156.1</v>
      </c>
      <c r="U300" s="409" t="n">
        <f aca="false">Таблица18[[#This Row],[Отход]]/Таблица18[[#This Row],[Вес нетто]]</f>
        <v>0.155003594536305</v>
      </c>
      <c r="V300" s="234" t="n">
        <f aca="false">MONTH(Таблица18[[#This Row],[Дата акта]])</f>
        <v>6</v>
      </c>
      <c r="W300" s="234" t="n">
        <v>23</v>
      </c>
      <c r="X300" s="248" t="n">
        <f aca="false">DATE(1900,Таблица18[[#This Row],[Месяц]],Таблица18[[#This Row],[Число]])</f>
        <v>175</v>
      </c>
      <c r="Y300" s="234"/>
      <c r="AF300" s="411"/>
      <c r="AG300" s="412"/>
    </row>
    <row r="301" s="410" customFormat="true" ht="15" hidden="true" customHeight="true" outlineLevel="0" collapsed="false">
      <c r="A301" s="199" t="s">
        <v>1779</v>
      </c>
      <c r="B301" s="199" t="s">
        <v>417</v>
      </c>
      <c r="C301" s="405" t="n">
        <v>446</v>
      </c>
      <c r="D301" s="406" t="n">
        <v>202</v>
      </c>
      <c r="E301" s="199" t="s">
        <v>422</v>
      </c>
      <c r="F301" s="199" t="s">
        <v>359</v>
      </c>
      <c r="G301" s="199" t="s">
        <v>426</v>
      </c>
      <c r="H301" s="406" t="n">
        <v>106</v>
      </c>
      <c r="I301" s="406" t="s">
        <v>1769</v>
      </c>
      <c r="J301" s="199" t="s">
        <v>68</v>
      </c>
      <c r="K301" s="199" t="s">
        <v>1435</v>
      </c>
      <c r="L301" s="407" t="n">
        <v>27840</v>
      </c>
      <c r="M301" s="407" t="n">
        <v>14040</v>
      </c>
      <c r="N301" s="408" t="n">
        <v>17.5</v>
      </c>
      <c r="O301" s="407" t="n">
        <v>13800</v>
      </c>
      <c r="P301" s="407" t="n">
        <v>11385</v>
      </c>
      <c r="Q301" s="234" t="n">
        <v>2023</v>
      </c>
      <c r="R301" s="234"/>
      <c r="S301" s="248" t="n">
        <v>45100</v>
      </c>
      <c r="T301" s="407" t="n">
        <f aca="false">Таблица18[[#This Row],[Вес нетто]]-Таблица18[[#This Row],[Зачетный вес]]</f>
        <v>2415</v>
      </c>
      <c r="U301" s="409" t="n">
        <f aca="false">Таблица18[[#This Row],[Отход]]/Таблица18[[#This Row],[Вес нетто]]</f>
        <v>0.175</v>
      </c>
      <c r="V301" s="234" t="n">
        <f aca="false">MONTH(Таблица18[[#This Row],[Дата акта]])</f>
        <v>6</v>
      </c>
      <c r="W301" s="234" t="n">
        <v>23</v>
      </c>
      <c r="X301" s="248" t="n">
        <f aca="false">DATE(1900,Таблица18[[#This Row],[Месяц]],Таблица18[[#This Row],[Число]])</f>
        <v>175</v>
      </c>
      <c r="Y301" s="234"/>
      <c r="AF301" s="411"/>
      <c r="AG301" s="412"/>
    </row>
    <row r="302" s="410" customFormat="true" ht="15" hidden="true" customHeight="true" outlineLevel="0" collapsed="false">
      <c r="A302" s="199" t="s">
        <v>1780</v>
      </c>
      <c r="B302" s="199" t="s">
        <v>417</v>
      </c>
      <c r="C302" s="405" t="n">
        <v>448</v>
      </c>
      <c r="D302" s="406" t="n">
        <v>203</v>
      </c>
      <c r="E302" s="199" t="s">
        <v>422</v>
      </c>
      <c r="F302" s="199" t="s">
        <v>1433</v>
      </c>
      <c r="G302" s="199" t="s">
        <v>377</v>
      </c>
      <c r="H302" s="406" t="n">
        <v>106</v>
      </c>
      <c r="I302" s="406" t="s">
        <v>1769</v>
      </c>
      <c r="J302" s="199" t="s">
        <v>68</v>
      </c>
      <c r="K302" s="199" t="s">
        <v>1435</v>
      </c>
      <c r="L302" s="407" t="n">
        <v>27590</v>
      </c>
      <c r="M302" s="407" t="n">
        <v>14370</v>
      </c>
      <c r="N302" s="408" t="n">
        <v>16.5</v>
      </c>
      <c r="O302" s="407" t="n">
        <v>13220</v>
      </c>
      <c r="P302" s="407" t="n">
        <v>11038.7</v>
      </c>
      <c r="Q302" s="234" t="n">
        <v>2023</v>
      </c>
      <c r="R302" s="234"/>
      <c r="S302" s="248" t="n">
        <v>45100</v>
      </c>
      <c r="T302" s="407" t="n">
        <f aca="false">Таблица18[[#This Row],[Вес нетто]]-Таблица18[[#This Row],[Зачетный вес]]</f>
        <v>2181.3</v>
      </c>
      <c r="U302" s="409" t="n">
        <f aca="false">Таблица18[[#This Row],[Отход]]/Таблица18[[#This Row],[Вес нетто]]</f>
        <v>0.165</v>
      </c>
      <c r="V302" s="234" t="n">
        <f aca="false">MONTH(Таблица18[[#This Row],[Дата акта]])</f>
        <v>6</v>
      </c>
      <c r="W302" s="234" t="n">
        <v>23</v>
      </c>
      <c r="X302" s="248" t="n">
        <f aca="false">DATE(1900,Таблица18[[#This Row],[Месяц]],Таблица18[[#This Row],[Число]])</f>
        <v>175</v>
      </c>
      <c r="Y302" s="234"/>
      <c r="AF302" s="411"/>
      <c r="AG302" s="412"/>
    </row>
    <row r="303" s="410" customFormat="true" ht="15" hidden="true" customHeight="true" outlineLevel="0" collapsed="false">
      <c r="A303" s="199" t="s">
        <v>1781</v>
      </c>
      <c r="B303" s="199" t="s">
        <v>417</v>
      </c>
      <c r="C303" s="405" t="n">
        <v>455</v>
      </c>
      <c r="D303" s="406" t="n">
        <v>204</v>
      </c>
      <c r="E303" s="199" t="s">
        <v>422</v>
      </c>
      <c r="F303" s="199" t="s">
        <v>380</v>
      </c>
      <c r="G303" s="199" t="s">
        <v>381</v>
      </c>
      <c r="H303" s="199" t="s">
        <v>1769</v>
      </c>
      <c r="I303" s="199" t="s">
        <v>1769</v>
      </c>
      <c r="J303" s="199" t="s">
        <v>68</v>
      </c>
      <c r="K303" s="199" t="s">
        <v>1435</v>
      </c>
      <c r="L303" s="407" t="n">
        <v>29270</v>
      </c>
      <c r="M303" s="407" t="n">
        <v>14300</v>
      </c>
      <c r="N303" s="408" t="n">
        <v>15.5</v>
      </c>
      <c r="O303" s="407" t="n">
        <v>14970</v>
      </c>
      <c r="P303" s="407" t="n">
        <v>12649.6</v>
      </c>
      <c r="Q303" s="234" t="n">
        <v>2023</v>
      </c>
      <c r="R303" s="234"/>
      <c r="S303" s="248" t="n">
        <v>45100</v>
      </c>
      <c r="T303" s="407" t="n">
        <f aca="false">Таблица18[[#This Row],[Вес нетто]]-Таблица18[[#This Row],[Зачетный вес]]</f>
        <v>2320.4</v>
      </c>
      <c r="U303" s="409" t="n">
        <f aca="false">Таблица18[[#This Row],[Отход]]/Таблица18[[#This Row],[Вес нетто]]</f>
        <v>0.15500334001336</v>
      </c>
      <c r="V303" s="234" t="n">
        <f aca="false">MONTH(Таблица18[[#This Row],[Дата акта]])</f>
        <v>6</v>
      </c>
      <c r="W303" s="234" t="n">
        <v>23</v>
      </c>
      <c r="X303" s="248" t="n">
        <f aca="false">DATE(1900,Таблица18[[#This Row],[Месяц]],Таблица18[[#This Row],[Число]])</f>
        <v>175</v>
      </c>
      <c r="Y303" s="234"/>
      <c r="AF303" s="411"/>
      <c r="AG303" s="412"/>
    </row>
    <row r="304" s="410" customFormat="true" ht="15" hidden="true" customHeight="true" outlineLevel="0" collapsed="false">
      <c r="A304" s="199" t="s">
        <v>1782</v>
      </c>
      <c r="B304" s="199" t="s">
        <v>417</v>
      </c>
      <c r="C304" s="405" t="n">
        <v>456</v>
      </c>
      <c r="D304" s="406" t="n">
        <v>205</v>
      </c>
      <c r="E304" s="199" t="s">
        <v>422</v>
      </c>
      <c r="F304" s="199" t="s">
        <v>1433</v>
      </c>
      <c r="G304" s="199" t="s">
        <v>377</v>
      </c>
      <c r="H304" s="199" t="s">
        <v>1769</v>
      </c>
      <c r="I304" s="199" t="s">
        <v>1769</v>
      </c>
      <c r="J304" s="199" t="s">
        <v>68</v>
      </c>
      <c r="K304" s="199" t="s">
        <v>1435</v>
      </c>
      <c r="L304" s="407" t="n">
        <v>26190</v>
      </c>
      <c r="M304" s="407" t="n">
        <v>14460</v>
      </c>
      <c r="N304" s="408" t="n">
        <v>18.5</v>
      </c>
      <c r="O304" s="407" t="n">
        <v>11730</v>
      </c>
      <c r="P304" s="407" t="n">
        <v>9559.9</v>
      </c>
      <c r="Q304" s="234" t="n">
        <v>2023</v>
      </c>
      <c r="R304" s="234"/>
      <c r="S304" s="248" t="n">
        <v>45100</v>
      </c>
      <c r="T304" s="407" t="n">
        <f aca="false">Таблица18[[#This Row],[Вес нетто]]-Таблица18[[#This Row],[Зачетный вес]]</f>
        <v>2170.1</v>
      </c>
      <c r="U304" s="409" t="n">
        <f aca="false">Таблица18[[#This Row],[Отход]]/Таблица18[[#This Row],[Вес нетто]]</f>
        <v>0.185004262574595</v>
      </c>
      <c r="V304" s="234" t="n">
        <f aca="false">MONTH(Таблица18[[#This Row],[Дата акта]])</f>
        <v>6</v>
      </c>
      <c r="W304" s="234" t="n">
        <v>23</v>
      </c>
      <c r="X304" s="248" t="n">
        <f aca="false">DATE(1900,Таблица18[[#This Row],[Месяц]],Таблица18[[#This Row],[Число]])</f>
        <v>175</v>
      </c>
      <c r="Y304" s="234"/>
      <c r="AF304" s="411"/>
      <c r="AG304" s="412"/>
    </row>
    <row r="305" s="410" customFormat="true" ht="15" hidden="true" customHeight="true" outlineLevel="0" collapsed="false">
      <c r="A305" s="199" t="s">
        <v>1783</v>
      </c>
      <c r="B305" s="199" t="s">
        <v>417</v>
      </c>
      <c r="C305" s="405" t="n">
        <v>458</v>
      </c>
      <c r="D305" s="406" t="n">
        <v>206</v>
      </c>
      <c r="E305" s="199" t="s">
        <v>422</v>
      </c>
      <c r="F305" s="199" t="s">
        <v>380</v>
      </c>
      <c r="G305" s="199" t="s">
        <v>381</v>
      </c>
      <c r="H305" s="199" t="s">
        <v>1769</v>
      </c>
      <c r="I305" s="199" t="s">
        <v>1769</v>
      </c>
      <c r="J305" s="199" t="s">
        <v>68</v>
      </c>
      <c r="K305" s="199" t="s">
        <v>1435</v>
      </c>
      <c r="L305" s="407" t="n">
        <v>22460</v>
      </c>
      <c r="M305" s="407" t="n">
        <v>14170</v>
      </c>
      <c r="N305" s="408" t="n">
        <v>16.5</v>
      </c>
      <c r="O305" s="407" t="n">
        <v>8290</v>
      </c>
      <c r="P305" s="407" t="n">
        <v>6922.1</v>
      </c>
      <c r="Q305" s="234" t="n">
        <v>2023</v>
      </c>
      <c r="R305" s="234"/>
      <c r="S305" s="248" t="n">
        <v>45100</v>
      </c>
      <c r="T305" s="407" t="n">
        <f aca="false">Таблица18[[#This Row],[Вес нетто]]-Таблица18[[#This Row],[Зачетный вес]]</f>
        <v>1367.9</v>
      </c>
      <c r="U305" s="409" t="n">
        <f aca="false">Таблица18[[#This Row],[Отход]]/Таблица18[[#This Row],[Вес нетто]]</f>
        <v>0.165006031363088</v>
      </c>
      <c r="V305" s="234" t="n">
        <f aca="false">MONTH(Таблица18[[#This Row],[Дата акта]])</f>
        <v>6</v>
      </c>
      <c r="W305" s="234" t="n">
        <v>23</v>
      </c>
      <c r="X305" s="248" t="n">
        <f aca="false">DATE(1900,Таблица18[[#This Row],[Месяц]],Таблица18[[#This Row],[Число]])</f>
        <v>175</v>
      </c>
      <c r="Y305" s="234"/>
      <c r="AF305" s="411"/>
      <c r="AG305" s="412"/>
    </row>
    <row r="306" s="410" customFormat="true" ht="15" hidden="true" customHeight="true" outlineLevel="0" collapsed="false">
      <c r="A306" s="199" t="s">
        <v>1784</v>
      </c>
      <c r="B306" s="199" t="s">
        <v>417</v>
      </c>
      <c r="C306" s="405" t="n">
        <v>459</v>
      </c>
      <c r="D306" s="406" t="n">
        <v>1</v>
      </c>
      <c r="E306" s="199" t="s">
        <v>1785</v>
      </c>
      <c r="F306" s="199" t="s">
        <v>371</v>
      </c>
      <c r="G306" s="199" t="s">
        <v>372</v>
      </c>
      <c r="H306" s="199" t="s">
        <v>1786</v>
      </c>
      <c r="I306" s="199" t="s">
        <v>1786</v>
      </c>
      <c r="J306" s="199" t="s">
        <v>1750</v>
      </c>
      <c r="K306" s="199" t="s">
        <v>1435</v>
      </c>
      <c r="L306" s="407" t="n">
        <v>28530</v>
      </c>
      <c r="M306" s="407" t="n">
        <v>15010</v>
      </c>
      <c r="N306" s="408" t="n">
        <v>12.5</v>
      </c>
      <c r="O306" s="407" t="n">
        <v>13520</v>
      </c>
      <c r="P306" s="407" t="n">
        <v>11830</v>
      </c>
      <c r="Q306" s="234" t="n">
        <v>2023</v>
      </c>
      <c r="R306" s="234"/>
      <c r="S306" s="248" t="n">
        <v>45101</v>
      </c>
      <c r="T306" s="407" t="n">
        <f aca="false">Таблица18[[#This Row],[Вес нетто]]-Таблица18[[#This Row],[Зачетный вес]]</f>
        <v>1690</v>
      </c>
      <c r="U306" s="409" t="n">
        <f aca="false">Таблица18[[#This Row],[Отход]]/Таблица18[[#This Row],[Вес нетто]]</f>
        <v>0.125</v>
      </c>
      <c r="V306" s="234" t="n">
        <f aca="false">MONTH(Таблица18[[#This Row],[Дата акта]])</f>
        <v>6</v>
      </c>
      <c r="W306" s="234" t="n">
        <v>24</v>
      </c>
      <c r="X306" s="248" t="n">
        <f aca="false">DATE(1900,Таблица18[[#This Row],[Месяц]],Таблица18[[#This Row],[Число]])</f>
        <v>176</v>
      </c>
      <c r="Y306" s="234"/>
      <c r="AF306" s="411"/>
      <c r="AG306" s="412"/>
    </row>
    <row r="307" s="410" customFormat="true" ht="15" hidden="true" customHeight="true" outlineLevel="0" collapsed="false">
      <c r="A307" s="199" t="s">
        <v>1787</v>
      </c>
      <c r="B307" s="199" t="s">
        <v>417</v>
      </c>
      <c r="C307" s="405" t="n">
        <v>460</v>
      </c>
      <c r="D307" s="406" t="n">
        <v>2</v>
      </c>
      <c r="E307" s="199" t="s">
        <v>1785</v>
      </c>
      <c r="F307" s="199" t="s">
        <v>1485</v>
      </c>
      <c r="G307" s="199" t="s">
        <v>431</v>
      </c>
      <c r="H307" s="199" t="s">
        <v>1786</v>
      </c>
      <c r="I307" s="199" t="s">
        <v>1786</v>
      </c>
      <c r="J307" s="199" t="s">
        <v>1750</v>
      </c>
      <c r="K307" s="199" t="s">
        <v>1435</v>
      </c>
      <c r="L307" s="407" t="n">
        <v>38530</v>
      </c>
      <c r="M307" s="407" t="n">
        <v>20940</v>
      </c>
      <c r="N307" s="408" t="n">
        <v>16.5</v>
      </c>
      <c r="O307" s="407" t="n">
        <v>17590</v>
      </c>
      <c r="P307" s="407" t="n">
        <v>14687.6</v>
      </c>
      <c r="Q307" s="234" t="n">
        <v>2023</v>
      </c>
      <c r="R307" s="234"/>
      <c r="S307" s="248" t="n">
        <v>45101</v>
      </c>
      <c r="T307" s="407" t="n">
        <f aca="false">Таблица18[[#This Row],[Вес нетто]]-Таблица18[[#This Row],[Зачетный вес]]</f>
        <v>2902.4</v>
      </c>
      <c r="U307" s="409" t="n">
        <f aca="false">Таблица18[[#This Row],[Отход]]/Таблица18[[#This Row],[Вес нетто]]</f>
        <v>0.165002842524161</v>
      </c>
      <c r="V307" s="234" t="n">
        <f aca="false">MONTH(Таблица18[[#This Row],[Дата акта]])</f>
        <v>6</v>
      </c>
      <c r="W307" s="234" t="n">
        <v>24</v>
      </c>
      <c r="X307" s="248" t="n">
        <f aca="false">DATE(1900,Таблица18[[#This Row],[Месяц]],Таблица18[[#This Row],[Число]])</f>
        <v>176</v>
      </c>
      <c r="Y307" s="234"/>
      <c r="AF307" s="411"/>
      <c r="AG307" s="412"/>
    </row>
    <row r="308" s="410" customFormat="true" ht="15" hidden="true" customHeight="true" outlineLevel="0" collapsed="false">
      <c r="A308" s="199" t="s">
        <v>1788</v>
      </c>
      <c r="B308" s="199" t="s">
        <v>417</v>
      </c>
      <c r="C308" s="405" t="n">
        <v>461</v>
      </c>
      <c r="D308" s="406" t="n">
        <v>3</v>
      </c>
      <c r="E308" s="199" t="s">
        <v>1785</v>
      </c>
      <c r="F308" s="199" t="s">
        <v>359</v>
      </c>
      <c r="G308" s="199" t="s">
        <v>426</v>
      </c>
      <c r="H308" s="199" t="s">
        <v>1786</v>
      </c>
      <c r="I308" s="199" t="s">
        <v>1786</v>
      </c>
      <c r="J308" s="199" t="s">
        <v>1750</v>
      </c>
      <c r="K308" s="199" t="s">
        <v>1435</v>
      </c>
      <c r="L308" s="407" t="n">
        <v>27070</v>
      </c>
      <c r="M308" s="407" t="n">
        <v>13930</v>
      </c>
      <c r="N308" s="408" t="n">
        <v>15.5</v>
      </c>
      <c r="O308" s="407" t="n">
        <v>13140</v>
      </c>
      <c r="P308" s="407" t="n">
        <v>11103.3</v>
      </c>
      <c r="Q308" s="234" t="n">
        <v>2023</v>
      </c>
      <c r="R308" s="234"/>
      <c r="S308" s="248" t="n">
        <v>45101</v>
      </c>
      <c r="T308" s="407" t="n">
        <f aca="false">Таблица18[[#This Row],[Вес нетто]]-Таблица18[[#This Row],[Зачетный вес]]</f>
        <v>2036.7</v>
      </c>
      <c r="U308" s="409" t="n">
        <f aca="false">Таблица18[[#This Row],[Отход]]/Таблица18[[#This Row],[Вес нетто]]</f>
        <v>0.155</v>
      </c>
      <c r="V308" s="234" t="n">
        <f aca="false">MONTH(Таблица18[[#This Row],[Дата акта]])</f>
        <v>6</v>
      </c>
      <c r="W308" s="234" t="n">
        <v>24</v>
      </c>
      <c r="X308" s="248" t="n">
        <f aca="false">DATE(1900,Таблица18[[#This Row],[Месяц]],Таблица18[[#This Row],[Число]])</f>
        <v>176</v>
      </c>
      <c r="Y308" s="234"/>
      <c r="AF308" s="411"/>
      <c r="AG308" s="412"/>
    </row>
    <row r="309" s="410" customFormat="true" ht="15" hidden="true" customHeight="true" outlineLevel="0" collapsed="false">
      <c r="A309" s="199" t="s">
        <v>1789</v>
      </c>
      <c r="B309" s="199" t="s">
        <v>417</v>
      </c>
      <c r="C309" s="405" t="n">
        <v>462</v>
      </c>
      <c r="D309" s="406" t="n">
        <v>4</v>
      </c>
      <c r="E309" s="199" t="s">
        <v>1785</v>
      </c>
      <c r="F309" s="199" t="s">
        <v>602</v>
      </c>
      <c r="G309" s="199" t="s">
        <v>606</v>
      </c>
      <c r="H309" s="199" t="s">
        <v>1786</v>
      </c>
      <c r="I309" s="199" t="s">
        <v>1786</v>
      </c>
      <c r="J309" s="199" t="s">
        <v>1750</v>
      </c>
      <c r="K309" s="199" t="s">
        <v>1435</v>
      </c>
      <c r="L309" s="407" t="n">
        <v>33350</v>
      </c>
      <c r="M309" s="407" t="n">
        <v>17920</v>
      </c>
      <c r="N309" s="408" t="n">
        <v>13.5</v>
      </c>
      <c r="O309" s="407" t="n">
        <v>15430</v>
      </c>
      <c r="P309" s="407" t="n">
        <v>13346.9</v>
      </c>
      <c r="Q309" s="234" t="n">
        <v>2023</v>
      </c>
      <c r="R309" s="234"/>
      <c r="S309" s="248" t="n">
        <v>45101</v>
      </c>
      <c r="T309" s="407" t="n">
        <f aca="false">Таблица18[[#This Row],[Вес нетто]]-Таблица18[[#This Row],[Зачетный вес]]</f>
        <v>2083.1</v>
      </c>
      <c r="U309" s="409" t="n">
        <f aca="false">Таблица18[[#This Row],[Отход]]/Таблица18[[#This Row],[Вес нетто]]</f>
        <v>0.1350032404407</v>
      </c>
      <c r="V309" s="234" t="n">
        <f aca="false">MONTH(Таблица18[[#This Row],[Дата акта]])</f>
        <v>6</v>
      </c>
      <c r="W309" s="234" t="n">
        <v>24</v>
      </c>
      <c r="X309" s="248" t="n">
        <f aca="false">DATE(1900,Таблица18[[#This Row],[Месяц]],Таблица18[[#This Row],[Число]])</f>
        <v>176</v>
      </c>
      <c r="Y309" s="234"/>
      <c r="AF309" s="411"/>
      <c r="AG309" s="412"/>
    </row>
    <row r="310" s="410" customFormat="true" ht="15" hidden="true" customHeight="true" outlineLevel="0" collapsed="false">
      <c r="A310" s="199" t="s">
        <v>1790</v>
      </c>
      <c r="B310" s="199" t="s">
        <v>417</v>
      </c>
      <c r="C310" s="405" t="n">
        <v>463</v>
      </c>
      <c r="D310" s="406" t="n">
        <v>5</v>
      </c>
      <c r="E310" s="199" t="s">
        <v>1785</v>
      </c>
      <c r="F310" s="199" t="s">
        <v>610</v>
      </c>
      <c r="G310" s="199" t="s">
        <v>614</v>
      </c>
      <c r="H310" s="199" t="s">
        <v>1786</v>
      </c>
      <c r="I310" s="199" t="s">
        <v>1786</v>
      </c>
      <c r="J310" s="199" t="s">
        <v>1750</v>
      </c>
      <c r="K310" s="199" t="s">
        <v>1435</v>
      </c>
      <c r="L310" s="407" t="n">
        <v>30450</v>
      </c>
      <c r="M310" s="407" t="n">
        <v>17070</v>
      </c>
      <c r="N310" s="408" t="n">
        <v>13.5</v>
      </c>
      <c r="O310" s="407" t="n">
        <v>13380</v>
      </c>
      <c r="P310" s="407" t="n">
        <v>11573.7</v>
      </c>
      <c r="Q310" s="234" t="n">
        <v>2023</v>
      </c>
      <c r="R310" s="234"/>
      <c r="S310" s="248" t="n">
        <v>45101</v>
      </c>
      <c r="T310" s="407" t="n">
        <f aca="false">Таблица18[[#This Row],[Вес нетто]]-Таблица18[[#This Row],[Зачетный вес]]</f>
        <v>1806.3</v>
      </c>
      <c r="U310" s="409" t="n">
        <f aca="false">Таблица18[[#This Row],[Отход]]/Таблица18[[#This Row],[Вес нетто]]</f>
        <v>0.135</v>
      </c>
      <c r="V310" s="234" t="n">
        <f aca="false">MONTH(Таблица18[[#This Row],[Дата акта]])</f>
        <v>6</v>
      </c>
      <c r="W310" s="234" t="n">
        <v>24</v>
      </c>
      <c r="X310" s="248" t="n">
        <f aca="false">DATE(1900,Таблица18[[#This Row],[Месяц]],Таблица18[[#This Row],[Число]])</f>
        <v>176</v>
      </c>
      <c r="Y310" s="234"/>
      <c r="AF310" s="411"/>
      <c r="AG310" s="412"/>
    </row>
    <row r="311" s="410" customFormat="true" ht="15" hidden="true" customHeight="true" outlineLevel="0" collapsed="false">
      <c r="A311" s="199" t="s">
        <v>1791</v>
      </c>
      <c r="B311" s="199" t="s">
        <v>417</v>
      </c>
      <c r="C311" s="405" t="n">
        <v>464</v>
      </c>
      <c r="D311" s="406" t="n">
        <v>6</v>
      </c>
      <c r="E311" s="199" t="s">
        <v>1785</v>
      </c>
      <c r="F311" s="199" t="s">
        <v>1792</v>
      </c>
      <c r="G311" s="199" t="s">
        <v>1793</v>
      </c>
      <c r="H311" s="199" t="s">
        <v>1786</v>
      </c>
      <c r="I311" s="199" t="s">
        <v>1786</v>
      </c>
      <c r="J311" s="199" t="s">
        <v>1750</v>
      </c>
      <c r="K311" s="199" t="s">
        <v>1435</v>
      </c>
      <c r="L311" s="407" t="n">
        <v>28580</v>
      </c>
      <c r="M311" s="407" t="n">
        <v>15380</v>
      </c>
      <c r="N311" s="408" t="n">
        <v>17.5</v>
      </c>
      <c r="O311" s="407" t="n">
        <v>13200</v>
      </c>
      <c r="P311" s="407" t="n">
        <v>10890</v>
      </c>
      <c r="Q311" s="234" t="n">
        <v>2023</v>
      </c>
      <c r="R311" s="234"/>
      <c r="S311" s="248" t="n">
        <v>45101</v>
      </c>
      <c r="T311" s="407" t="n">
        <f aca="false">Таблица18[[#This Row],[Вес нетто]]-Таблица18[[#This Row],[Зачетный вес]]</f>
        <v>2310</v>
      </c>
      <c r="U311" s="409" t="n">
        <f aca="false">Таблица18[[#This Row],[Отход]]/Таблица18[[#This Row],[Вес нетто]]</f>
        <v>0.175</v>
      </c>
      <c r="V311" s="234" t="n">
        <f aca="false">MONTH(Таблица18[[#This Row],[Дата акта]])</f>
        <v>6</v>
      </c>
      <c r="W311" s="234" t="n">
        <v>24</v>
      </c>
      <c r="X311" s="248" t="n">
        <f aca="false">DATE(1900,Таблица18[[#This Row],[Месяц]],Таблица18[[#This Row],[Число]])</f>
        <v>176</v>
      </c>
      <c r="Y311" s="234"/>
      <c r="AF311" s="411"/>
      <c r="AG311" s="412"/>
    </row>
    <row r="312" s="410" customFormat="true" ht="15" hidden="true" customHeight="true" outlineLevel="0" collapsed="false">
      <c r="A312" s="199" t="s">
        <v>1794</v>
      </c>
      <c r="B312" s="199" t="s">
        <v>417</v>
      </c>
      <c r="C312" s="405" t="n">
        <v>465</v>
      </c>
      <c r="D312" s="406" t="n">
        <v>8</v>
      </c>
      <c r="E312" s="199" t="s">
        <v>994</v>
      </c>
      <c r="F312" s="199" t="s">
        <v>1492</v>
      </c>
      <c r="G312" s="199" t="s">
        <v>49</v>
      </c>
      <c r="H312" s="199" t="s">
        <v>1786</v>
      </c>
      <c r="I312" s="199" t="s">
        <v>1786</v>
      </c>
      <c r="J312" s="199" t="s">
        <v>1750</v>
      </c>
      <c r="K312" s="199" t="s">
        <v>1435</v>
      </c>
      <c r="L312" s="407" t="n">
        <v>28340</v>
      </c>
      <c r="M312" s="407" t="n">
        <v>14950</v>
      </c>
      <c r="N312" s="408" t="n">
        <v>15.5</v>
      </c>
      <c r="O312" s="407" t="n">
        <v>13390</v>
      </c>
      <c r="P312" s="407" t="n">
        <v>11314.5</v>
      </c>
      <c r="Q312" s="234" t="n">
        <v>2023</v>
      </c>
      <c r="R312" s="234"/>
      <c r="S312" s="248" t="n">
        <v>45101</v>
      </c>
      <c r="T312" s="407" t="n">
        <f aca="false">Таблица18[[#This Row],[Вес нетто]]-Таблица18[[#This Row],[Зачетный вес]]</f>
        <v>2075.5</v>
      </c>
      <c r="U312" s="409" t="n">
        <f aca="false">Таблица18[[#This Row],[Отход]]/Таблица18[[#This Row],[Вес нетто]]</f>
        <v>0.155003734129948</v>
      </c>
      <c r="V312" s="234" t="n">
        <f aca="false">MONTH(Таблица18[[#This Row],[Дата акта]])</f>
        <v>6</v>
      </c>
      <c r="W312" s="234" t="n">
        <v>24</v>
      </c>
      <c r="X312" s="248" t="n">
        <f aca="false">DATE(1900,Таблица18[[#This Row],[Месяц]],Таблица18[[#This Row],[Число]])</f>
        <v>176</v>
      </c>
      <c r="Y312" s="234"/>
      <c r="AF312" s="411"/>
      <c r="AG312" s="412"/>
    </row>
    <row r="313" s="410" customFormat="true" ht="15" hidden="true" customHeight="true" outlineLevel="0" collapsed="false">
      <c r="A313" s="199" t="s">
        <v>1795</v>
      </c>
      <c r="B313" s="199" t="s">
        <v>417</v>
      </c>
      <c r="C313" s="405" t="n">
        <v>466</v>
      </c>
      <c r="D313" s="406" t="n">
        <v>7</v>
      </c>
      <c r="E313" s="199" t="s">
        <v>1785</v>
      </c>
      <c r="F313" s="199" t="s">
        <v>386</v>
      </c>
      <c r="G313" s="199" t="s">
        <v>387</v>
      </c>
      <c r="H313" s="199" t="s">
        <v>1786</v>
      </c>
      <c r="I313" s="199" t="s">
        <v>1786</v>
      </c>
      <c r="J313" s="199" t="s">
        <v>1750</v>
      </c>
      <c r="K313" s="199" t="s">
        <v>1435</v>
      </c>
      <c r="L313" s="407" t="n">
        <v>28910</v>
      </c>
      <c r="M313" s="407" t="n">
        <v>15210</v>
      </c>
      <c r="N313" s="408" t="n">
        <v>15.5</v>
      </c>
      <c r="O313" s="407" t="n">
        <v>13700</v>
      </c>
      <c r="P313" s="407" t="n">
        <v>11576.5</v>
      </c>
      <c r="Q313" s="234" t="n">
        <v>2023</v>
      </c>
      <c r="R313" s="234"/>
      <c r="S313" s="248" t="n">
        <v>45101</v>
      </c>
      <c r="T313" s="407" t="n">
        <f aca="false">Таблица18[[#This Row],[Вес нетто]]-Таблица18[[#This Row],[Зачетный вес]]</f>
        <v>2123.5</v>
      </c>
      <c r="U313" s="409" t="n">
        <f aca="false">Таблица18[[#This Row],[Отход]]/Таблица18[[#This Row],[Вес нетто]]</f>
        <v>0.155</v>
      </c>
      <c r="V313" s="234" t="n">
        <f aca="false">MONTH(Таблица18[[#This Row],[Дата акта]])</f>
        <v>6</v>
      </c>
      <c r="W313" s="234" t="n">
        <v>24</v>
      </c>
      <c r="X313" s="248" t="n">
        <f aca="false">DATE(1900,Таблица18[[#This Row],[Месяц]],Таблица18[[#This Row],[Число]])</f>
        <v>176</v>
      </c>
      <c r="Y313" s="234"/>
      <c r="AF313" s="411"/>
      <c r="AG313" s="412"/>
    </row>
    <row r="314" s="410" customFormat="true" ht="15" hidden="true" customHeight="true" outlineLevel="0" collapsed="false">
      <c r="A314" s="199" t="s">
        <v>1796</v>
      </c>
      <c r="B314" s="199" t="s">
        <v>417</v>
      </c>
      <c r="C314" s="405" t="n">
        <v>467</v>
      </c>
      <c r="D314" s="406" t="n">
        <v>9</v>
      </c>
      <c r="E314" s="199" t="s">
        <v>1785</v>
      </c>
      <c r="F314" s="199" t="s">
        <v>1797</v>
      </c>
      <c r="G314" s="199" t="s">
        <v>385</v>
      </c>
      <c r="H314" s="199" t="s">
        <v>1786</v>
      </c>
      <c r="I314" s="199" t="s">
        <v>1786</v>
      </c>
      <c r="J314" s="199" t="s">
        <v>1750</v>
      </c>
      <c r="K314" s="199" t="s">
        <v>1435</v>
      </c>
      <c r="L314" s="407" t="n">
        <v>28170</v>
      </c>
      <c r="M314" s="407" t="n">
        <v>14310</v>
      </c>
      <c r="N314" s="408" t="n">
        <v>12.5</v>
      </c>
      <c r="O314" s="407" t="n">
        <v>13860</v>
      </c>
      <c r="P314" s="407" t="n">
        <v>12127.5</v>
      </c>
      <c r="Q314" s="234" t="n">
        <v>2023</v>
      </c>
      <c r="R314" s="234"/>
      <c r="S314" s="248" t="n">
        <v>45101</v>
      </c>
      <c r="T314" s="407" t="n">
        <f aca="false">Таблица18[[#This Row],[Вес нетто]]-Таблица18[[#This Row],[Зачетный вес]]</f>
        <v>1732.5</v>
      </c>
      <c r="U314" s="409" t="n">
        <f aca="false">Таблица18[[#This Row],[Отход]]/Таблица18[[#This Row],[Вес нетто]]</f>
        <v>0.125</v>
      </c>
      <c r="V314" s="234" t="n">
        <f aca="false">MONTH(Таблица18[[#This Row],[Дата акта]])</f>
        <v>6</v>
      </c>
      <c r="W314" s="234" t="n">
        <v>24</v>
      </c>
      <c r="X314" s="248" t="n">
        <f aca="false">DATE(1900,Таблица18[[#This Row],[Месяц]],Таблица18[[#This Row],[Число]])</f>
        <v>176</v>
      </c>
      <c r="Y314" s="234"/>
      <c r="AF314" s="411"/>
      <c r="AG314" s="412"/>
    </row>
    <row r="315" s="410" customFormat="true" ht="15" hidden="true" customHeight="true" outlineLevel="0" collapsed="false">
      <c r="A315" s="199" t="s">
        <v>1798</v>
      </c>
      <c r="B315" s="199" t="s">
        <v>417</v>
      </c>
      <c r="C315" s="405" t="n">
        <v>468</v>
      </c>
      <c r="D315" s="406" t="n">
        <v>10</v>
      </c>
      <c r="E315" s="199" t="s">
        <v>1785</v>
      </c>
      <c r="F315" s="199" t="s">
        <v>1439</v>
      </c>
      <c r="G315" s="199" t="s">
        <v>1440</v>
      </c>
      <c r="H315" s="199" t="s">
        <v>1786</v>
      </c>
      <c r="I315" s="199" t="s">
        <v>1786</v>
      </c>
      <c r="J315" s="199" t="s">
        <v>1750</v>
      </c>
      <c r="K315" s="199" t="s">
        <v>1435</v>
      </c>
      <c r="L315" s="407" t="n">
        <v>27290</v>
      </c>
      <c r="M315" s="407" t="n">
        <v>13250</v>
      </c>
      <c r="N315" s="408" t="n">
        <v>14</v>
      </c>
      <c r="O315" s="407" t="n">
        <v>14040</v>
      </c>
      <c r="P315" s="407" t="n">
        <v>12074.4</v>
      </c>
      <c r="Q315" s="234" t="n">
        <v>2023</v>
      </c>
      <c r="R315" s="234"/>
      <c r="S315" s="248" t="n">
        <v>45101</v>
      </c>
      <c r="T315" s="407" t="n">
        <f aca="false">Таблица18[[#This Row],[Вес нетто]]-Таблица18[[#This Row],[Зачетный вес]]</f>
        <v>1965.6</v>
      </c>
      <c r="U315" s="409" t="n">
        <f aca="false">Таблица18[[#This Row],[Отход]]/Таблица18[[#This Row],[Вес нетто]]</f>
        <v>0.14</v>
      </c>
      <c r="V315" s="234" t="n">
        <f aca="false">MONTH(Таблица18[[#This Row],[Дата акта]])</f>
        <v>6</v>
      </c>
      <c r="W315" s="234" t="n">
        <v>24</v>
      </c>
      <c r="X315" s="248" t="n">
        <f aca="false">DATE(1900,Таблица18[[#This Row],[Месяц]],Таблица18[[#This Row],[Число]])</f>
        <v>176</v>
      </c>
      <c r="Y315" s="234"/>
      <c r="AF315" s="411"/>
      <c r="AG315" s="412"/>
    </row>
    <row r="316" s="410" customFormat="true" ht="15" hidden="true" customHeight="true" outlineLevel="0" collapsed="false">
      <c r="A316" s="199" t="s">
        <v>1799</v>
      </c>
      <c r="B316" s="199" t="s">
        <v>417</v>
      </c>
      <c r="C316" s="405" t="n">
        <v>469</v>
      </c>
      <c r="D316" s="406" t="n">
        <v>11</v>
      </c>
      <c r="E316" s="199" t="s">
        <v>1785</v>
      </c>
      <c r="F316" s="199" t="s">
        <v>1800</v>
      </c>
      <c r="G316" s="199" t="s">
        <v>621</v>
      </c>
      <c r="H316" s="199" t="s">
        <v>1786</v>
      </c>
      <c r="I316" s="199" t="s">
        <v>1786</v>
      </c>
      <c r="J316" s="199" t="s">
        <v>1750</v>
      </c>
      <c r="K316" s="199" t="s">
        <v>1435</v>
      </c>
      <c r="L316" s="407" t="n">
        <v>33710</v>
      </c>
      <c r="M316" s="407" t="n">
        <v>17460</v>
      </c>
      <c r="N316" s="408" t="n">
        <v>12.5</v>
      </c>
      <c r="O316" s="407" t="n">
        <v>16250</v>
      </c>
      <c r="P316" s="407" t="n">
        <v>14218.7</v>
      </c>
      <c r="Q316" s="234" t="n">
        <v>2023</v>
      </c>
      <c r="R316" s="234"/>
      <c r="S316" s="248" t="n">
        <v>45101</v>
      </c>
      <c r="T316" s="407" t="n">
        <f aca="false">Таблица18[[#This Row],[Вес нетто]]-Таблица18[[#This Row],[Зачетный вес]]</f>
        <v>2031.3</v>
      </c>
      <c r="U316" s="409" t="n">
        <f aca="false">Таблица18[[#This Row],[Отход]]/Таблица18[[#This Row],[Вес нетто]]</f>
        <v>0.125003076923077</v>
      </c>
      <c r="V316" s="234" t="n">
        <f aca="false">MONTH(Таблица18[[#This Row],[Дата акта]])</f>
        <v>6</v>
      </c>
      <c r="W316" s="234" t="n">
        <v>24</v>
      </c>
      <c r="X316" s="248" t="n">
        <f aca="false">DATE(1900,Таблица18[[#This Row],[Месяц]],Таблица18[[#This Row],[Число]])</f>
        <v>176</v>
      </c>
      <c r="Y316" s="234"/>
      <c r="AF316" s="411"/>
      <c r="AG316" s="412"/>
    </row>
    <row r="317" s="410" customFormat="true" ht="15" hidden="true" customHeight="true" outlineLevel="0" collapsed="false">
      <c r="A317" s="199" t="s">
        <v>1801</v>
      </c>
      <c r="B317" s="199" t="s">
        <v>417</v>
      </c>
      <c r="C317" s="405" t="n">
        <v>470</v>
      </c>
      <c r="D317" s="406" t="n">
        <v>12</v>
      </c>
      <c r="E317" s="199" t="s">
        <v>1785</v>
      </c>
      <c r="F317" s="199" t="s">
        <v>371</v>
      </c>
      <c r="G317" s="199" t="s">
        <v>372</v>
      </c>
      <c r="H317" s="199" t="s">
        <v>1786</v>
      </c>
      <c r="I317" s="199" t="s">
        <v>1786</v>
      </c>
      <c r="J317" s="199" t="s">
        <v>1750</v>
      </c>
      <c r="K317" s="199" t="s">
        <v>1435</v>
      </c>
      <c r="L317" s="407" t="n">
        <v>29190</v>
      </c>
      <c r="M317" s="407" t="n">
        <v>15160</v>
      </c>
      <c r="N317" s="408" t="n">
        <v>11.5</v>
      </c>
      <c r="O317" s="407" t="n">
        <v>14030</v>
      </c>
      <c r="P317" s="407" t="n">
        <v>12416.5</v>
      </c>
      <c r="Q317" s="234" t="n">
        <v>2023</v>
      </c>
      <c r="R317" s="234"/>
      <c r="S317" s="248" t="n">
        <v>45101</v>
      </c>
      <c r="T317" s="407" t="n">
        <f aca="false">Таблица18[[#This Row],[Вес нетто]]-Таблица18[[#This Row],[Зачетный вес]]</f>
        <v>1613.5</v>
      </c>
      <c r="U317" s="409" t="n">
        <f aca="false">Таблица18[[#This Row],[Отход]]/Таблица18[[#This Row],[Вес нетто]]</f>
        <v>0.115003563791875</v>
      </c>
      <c r="V317" s="234" t="n">
        <f aca="false">MONTH(Таблица18[[#This Row],[Дата акта]])</f>
        <v>6</v>
      </c>
      <c r="W317" s="234" t="n">
        <v>24</v>
      </c>
      <c r="X317" s="248" t="n">
        <f aca="false">DATE(1900,Таблица18[[#This Row],[Месяц]],Таблица18[[#This Row],[Число]])</f>
        <v>176</v>
      </c>
      <c r="Y317" s="234"/>
      <c r="AF317" s="411"/>
      <c r="AG317" s="412"/>
    </row>
    <row r="318" s="410" customFormat="true" ht="15" hidden="true" customHeight="true" outlineLevel="0" collapsed="false">
      <c r="A318" s="199" t="s">
        <v>1802</v>
      </c>
      <c r="B318" s="199" t="s">
        <v>417</v>
      </c>
      <c r="C318" s="405" t="n">
        <v>471</v>
      </c>
      <c r="D318" s="406" t="n">
        <v>13</v>
      </c>
      <c r="E318" s="199" t="s">
        <v>994</v>
      </c>
      <c r="F318" s="199" t="s">
        <v>1449</v>
      </c>
      <c r="G318" s="199" t="s">
        <v>704</v>
      </c>
      <c r="H318" s="199" t="s">
        <v>1786</v>
      </c>
      <c r="I318" s="199" t="s">
        <v>1786</v>
      </c>
      <c r="J318" s="199" t="s">
        <v>1750</v>
      </c>
      <c r="K318" s="199" t="s">
        <v>1435</v>
      </c>
      <c r="L318" s="407" t="n">
        <v>28500</v>
      </c>
      <c r="M318" s="407" t="n">
        <v>14530</v>
      </c>
      <c r="N318" s="408" t="n">
        <v>10.5</v>
      </c>
      <c r="O318" s="407" t="n">
        <v>13970</v>
      </c>
      <c r="P318" s="407" t="n">
        <v>12503.1</v>
      </c>
      <c r="Q318" s="234" t="n">
        <v>2023</v>
      </c>
      <c r="R318" s="234"/>
      <c r="S318" s="248" t="n">
        <v>45101</v>
      </c>
      <c r="T318" s="407" t="n">
        <f aca="false">Таблица18[[#This Row],[Вес нетто]]-Таблица18[[#This Row],[Зачетный вес]]</f>
        <v>1466.9</v>
      </c>
      <c r="U318" s="409" t="n">
        <f aca="false">Таблица18[[#This Row],[Отход]]/Таблица18[[#This Row],[Вес нетто]]</f>
        <v>0.105003579098067</v>
      </c>
      <c r="V318" s="234" t="n">
        <f aca="false">MONTH(Таблица18[[#This Row],[Дата акта]])</f>
        <v>6</v>
      </c>
      <c r="W318" s="234" t="n">
        <v>24</v>
      </c>
      <c r="X318" s="248" t="n">
        <f aca="false">DATE(1900,Таблица18[[#This Row],[Месяц]],Таблица18[[#This Row],[Число]])</f>
        <v>176</v>
      </c>
      <c r="Y318" s="234"/>
      <c r="AF318" s="411"/>
      <c r="AG318" s="412"/>
    </row>
    <row r="319" s="410" customFormat="true" ht="15" hidden="true" customHeight="true" outlineLevel="0" collapsed="false">
      <c r="A319" s="199" t="s">
        <v>1803</v>
      </c>
      <c r="B319" s="199" t="s">
        <v>417</v>
      </c>
      <c r="C319" s="405" t="n">
        <v>472</v>
      </c>
      <c r="D319" s="406" t="n">
        <v>14</v>
      </c>
      <c r="E319" s="199" t="s">
        <v>994</v>
      </c>
      <c r="F319" s="199" t="s">
        <v>1576</v>
      </c>
      <c r="G319" s="199" t="s">
        <v>1455</v>
      </c>
      <c r="H319" s="199" t="s">
        <v>1786</v>
      </c>
      <c r="I319" s="199" t="s">
        <v>1786</v>
      </c>
      <c r="J319" s="199" t="s">
        <v>1750</v>
      </c>
      <c r="K319" s="199" t="s">
        <v>1435</v>
      </c>
      <c r="L319" s="407" t="n">
        <v>28490</v>
      </c>
      <c r="M319" s="407" t="n">
        <v>14400</v>
      </c>
      <c r="N319" s="408" t="n">
        <v>9.5</v>
      </c>
      <c r="O319" s="407" t="n">
        <v>14090</v>
      </c>
      <c r="P319" s="407" t="n">
        <v>12751.4</v>
      </c>
      <c r="Q319" s="234" t="n">
        <v>2023</v>
      </c>
      <c r="R319" s="234"/>
      <c r="S319" s="248" t="n">
        <v>45101</v>
      </c>
      <c r="T319" s="407" t="n">
        <f aca="false">Таблица18[[#This Row],[Вес нетто]]-Таблица18[[#This Row],[Зачетный вес]]</f>
        <v>1338.6</v>
      </c>
      <c r="U319" s="409" t="n">
        <f aca="false">Таблица18[[#This Row],[Отход]]/Таблица18[[#This Row],[Вес нетто]]</f>
        <v>0.0950035486160398</v>
      </c>
      <c r="V319" s="234" t="n">
        <f aca="false">MONTH(Таблица18[[#This Row],[Дата акта]])</f>
        <v>6</v>
      </c>
      <c r="W319" s="234" t="n">
        <v>24</v>
      </c>
      <c r="X319" s="248" t="n">
        <f aca="false">DATE(1900,Таблица18[[#This Row],[Месяц]],Таблица18[[#This Row],[Число]])</f>
        <v>176</v>
      </c>
      <c r="Y319" s="234"/>
      <c r="AF319" s="411"/>
      <c r="AG319" s="412"/>
    </row>
    <row r="320" s="410" customFormat="true" ht="15" hidden="true" customHeight="true" outlineLevel="0" collapsed="false">
      <c r="A320" s="199" t="s">
        <v>1804</v>
      </c>
      <c r="B320" s="199" t="s">
        <v>417</v>
      </c>
      <c r="C320" s="405" t="n">
        <v>473</v>
      </c>
      <c r="D320" s="406" t="n">
        <v>15</v>
      </c>
      <c r="E320" s="199" t="s">
        <v>1785</v>
      </c>
      <c r="F320" s="199" t="s">
        <v>602</v>
      </c>
      <c r="G320" s="199" t="s">
        <v>606</v>
      </c>
      <c r="H320" s="199" t="s">
        <v>1786</v>
      </c>
      <c r="I320" s="199" t="s">
        <v>1786</v>
      </c>
      <c r="J320" s="199" t="s">
        <v>1750</v>
      </c>
      <c r="K320" s="199" t="s">
        <v>1435</v>
      </c>
      <c r="L320" s="407" t="n">
        <v>34290</v>
      </c>
      <c r="M320" s="407" t="n">
        <v>17820</v>
      </c>
      <c r="N320" s="408" t="n">
        <v>9.5</v>
      </c>
      <c r="O320" s="407" t="n">
        <v>16470</v>
      </c>
      <c r="P320" s="407" t="n">
        <v>14905.3</v>
      </c>
      <c r="Q320" s="234" t="n">
        <v>2023</v>
      </c>
      <c r="R320" s="234"/>
      <c r="S320" s="248" t="n">
        <v>45101</v>
      </c>
      <c r="T320" s="407" t="n">
        <f aca="false">Таблица18[[#This Row],[Вес нетто]]-Таблица18[[#This Row],[Зачетный вес]]</f>
        <v>1564.7</v>
      </c>
      <c r="U320" s="409" t="n">
        <f aca="false">Таблица18[[#This Row],[Отход]]/Таблица18[[#This Row],[Вес нетто]]</f>
        <v>0.095003035822708</v>
      </c>
      <c r="V320" s="234" t="n">
        <f aca="false">MONTH(Таблица18[[#This Row],[Дата акта]])</f>
        <v>6</v>
      </c>
      <c r="W320" s="234" t="n">
        <v>24</v>
      </c>
      <c r="X320" s="248" t="n">
        <f aca="false">DATE(1900,Таблица18[[#This Row],[Месяц]],Таблица18[[#This Row],[Число]])</f>
        <v>176</v>
      </c>
      <c r="Y320" s="234"/>
      <c r="AF320" s="411"/>
      <c r="AG320" s="412"/>
    </row>
    <row r="321" s="410" customFormat="true" ht="15" hidden="true" customHeight="true" outlineLevel="0" collapsed="false">
      <c r="A321" s="199" t="s">
        <v>1805</v>
      </c>
      <c r="B321" s="199" t="s">
        <v>417</v>
      </c>
      <c r="C321" s="405" t="n">
        <v>474</v>
      </c>
      <c r="D321" s="406" t="n">
        <v>16</v>
      </c>
      <c r="E321" s="199" t="s">
        <v>1785</v>
      </c>
      <c r="F321" s="199" t="s">
        <v>610</v>
      </c>
      <c r="G321" s="199" t="s">
        <v>614</v>
      </c>
      <c r="H321" s="199" t="s">
        <v>1786</v>
      </c>
      <c r="I321" s="199" t="s">
        <v>1786</v>
      </c>
      <c r="J321" s="199" t="s">
        <v>1750</v>
      </c>
      <c r="K321" s="199" t="s">
        <v>1435</v>
      </c>
      <c r="L321" s="407" t="n">
        <v>32840</v>
      </c>
      <c r="M321" s="407" t="n">
        <v>16970</v>
      </c>
      <c r="N321" s="408" t="n">
        <v>10.5</v>
      </c>
      <c r="O321" s="407" t="n">
        <v>15870</v>
      </c>
      <c r="P321" s="407" t="n">
        <v>14203.6</v>
      </c>
      <c r="Q321" s="234" t="n">
        <v>2023</v>
      </c>
      <c r="R321" s="234"/>
      <c r="S321" s="248" t="n">
        <v>45102</v>
      </c>
      <c r="T321" s="407" t="n">
        <f aca="false">Таблица18[[#This Row],[Вес нетто]]-Таблица18[[#This Row],[Зачетный вес]]</f>
        <v>1666.4</v>
      </c>
      <c r="U321" s="409" t="n">
        <f aca="false">Таблица18[[#This Row],[Отход]]/Таблица18[[#This Row],[Вес нетто]]</f>
        <v>0.105003150598614</v>
      </c>
      <c r="V321" s="234" t="n">
        <f aca="false">MONTH(Таблица18[[#This Row],[Дата акта]])</f>
        <v>6</v>
      </c>
      <c r="W321" s="234" t="n">
        <v>25</v>
      </c>
      <c r="X321" s="248" t="n">
        <f aca="false">DATE(1900,Таблица18[[#This Row],[Месяц]],Таблица18[[#This Row],[Число]])</f>
        <v>177</v>
      </c>
      <c r="Y321" s="234"/>
      <c r="AF321" s="411"/>
      <c r="AG321" s="412"/>
    </row>
    <row r="322" s="410" customFormat="true" ht="15" hidden="true" customHeight="true" outlineLevel="0" collapsed="false">
      <c r="A322" s="199" t="s">
        <v>1806</v>
      </c>
      <c r="B322" s="199" t="s">
        <v>417</v>
      </c>
      <c r="C322" s="405" t="n">
        <v>475</v>
      </c>
      <c r="D322" s="406" t="n">
        <v>17</v>
      </c>
      <c r="E322" s="199" t="s">
        <v>1785</v>
      </c>
      <c r="F322" s="199" t="s">
        <v>359</v>
      </c>
      <c r="G322" s="199" t="s">
        <v>426</v>
      </c>
      <c r="H322" s="199" t="s">
        <v>1786</v>
      </c>
      <c r="I322" s="199" t="s">
        <v>1786</v>
      </c>
      <c r="J322" s="199" t="s">
        <v>1750</v>
      </c>
      <c r="K322" s="199" t="s">
        <v>1435</v>
      </c>
      <c r="L322" s="407" t="n">
        <v>29710</v>
      </c>
      <c r="M322" s="407" t="n">
        <v>13930</v>
      </c>
      <c r="N322" s="408" t="n">
        <v>8.5</v>
      </c>
      <c r="O322" s="407" t="n">
        <v>15780</v>
      </c>
      <c r="P322" s="407" t="n">
        <v>14438.7</v>
      </c>
      <c r="Q322" s="234" t="n">
        <v>2023</v>
      </c>
      <c r="R322" s="234"/>
      <c r="S322" s="248" t="n">
        <v>45102</v>
      </c>
      <c r="T322" s="407" t="n">
        <f aca="false">Таблица18[[#This Row],[Вес нетто]]-Таблица18[[#This Row],[Зачетный вес]]</f>
        <v>1341.3</v>
      </c>
      <c r="U322" s="409" t="n">
        <f aca="false">Таблица18[[#This Row],[Отход]]/Таблица18[[#This Row],[Вес нетто]]</f>
        <v>0.085</v>
      </c>
      <c r="V322" s="234" t="n">
        <f aca="false">MONTH(Таблица18[[#This Row],[Дата акта]])</f>
        <v>6</v>
      </c>
      <c r="W322" s="234" t="n">
        <v>25</v>
      </c>
      <c r="X322" s="248" t="n">
        <f aca="false">DATE(1900,Таблица18[[#This Row],[Месяц]],Таблица18[[#This Row],[Число]])</f>
        <v>177</v>
      </c>
      <c r="Y322" s="234"/>
      <c r="AF322" s="411"/>
      <c r="AG322" s="412"/>
    </row>
    <row r="323" s="410" customFormat="true" ht="15" hidden="true" customHeight="true" outlineLevel="0" collapsed="false">
      <c r="A323" s="199" t="s">
        <v>1807</v>
      </c>
      <c r="B323" s="199" t="s">
        <v>417</v>
      </c>
      <c r="C323" s="405" t="n">
        <v>477</v>
      </c>
      <c r="D323" s="406" t="n">
        <v>18</v>
      </c>
      <c r="E323" s="199" t="s">
        <v>1785</v>
      </c>
      <c r="F323" s="199" t="s">
        <v>1485</v>
      </c>
      <c r="G323" s="199" t="s">
        <v>431</v>
      </c>
      <c r="H323" s="199" t="s">
        <v>1786</v>
      </c>
      <c r="I323" s="199" t="s">
        <v>1786</v>
      </c>
      <c r="J323" s="199" t="s">
        <v>1750</v>
      </c>
      <c r="K323" s="199" t="s">
        <v>1435</v>
      </c>
      <c r="L323" s="407" t="n">
        <v>39000</v>
      </c>
      <c r="M323" s="407" t="n">
        <v>20770</v>
      </c>
      <c r="N323" s="408" t="n">
        <v>13.5</v>
      </c>
      <c r="O323" s="407" t="n">
        <v>18230</v>
      </c>
      <c r="P323" s="407" t="n">
        <v>15768.9</v>
      </c>
      <c r="Q323" s="234" t="n">
        <v>2023</v>
      </c>
      <c r="R323" s="234"/>
      <c r="S323" s="248" t="n">
        <v>45102</v>
      </c>
      <c r="T323" s="407" t="n">
        <f aca="false">Таблица18[[#This Row],[Вес нетто]]-Таблица18[[#This Row],[Зачетный вес]]</f>
        <v>2461.1</v>
      </c>
      <c r="U323" s="409" t="n">
        <f aca="false">Таблица18[[#This Row],[Отход]]/Таблица18[[#This Row],[Вес нетто]]</f>
        <v>0.135002742731761</v>
      </c>
      <c r="V323" s="234" t="n">
        <f aca="false">MONTH(Таблица18[[#This Row],[Дата акта]])</f>
        <v>6</v>
      </c>
      <c r="W323" s="234" t="n">
        <v>25</v>
      </c>
      <c r="X323" s="248" t="n">
        <f aca="false">DATE(1900,Таблица18[[#This Row],[Месяц]],Таблица18[[#This Row],[Число]])</f>
        <v>177</v>
      </c>
      <c r="Y323" s="234"/>
      <c r="AF323" s="411"/>
      <c r="AG323" s="412"/>
    </row>
    <row r="324" s="410" customFormat="true" ht="15" hidden="true" customHeight="true" outlineLevel="0" collapsed="false">
      <c r="A324" s="199" t="s">
        <v>1808</v>
      </c>
      <c r="B324" s="199" t="s">
        <v>417</v>
      </c>
      <c r="C324" s="405" t="n">
        <v>478</v>
      </c>
      <c r="D324" s="406" t="n">
        <v>19</v>
      </c>
      <c r="E324" s="199" t="s">
        <v>1785</v>
      </c>
      <c r="F324" s="199" t="s">
        <v>1792</v>
      </c>
      <c r="G324" s="199" t="s">
        <v>1793</v>
      </c>
      <c r="H324" s="199" t="s">
        <v>1786</v>
      </c>
      <c r="I324" s="199" t="s">
        <v>1786</v>
      </c>
      <c r="J324" s="199" t="s">
        <v>1750</v>
      </c>
      <c r="K324" s="199" t="s">
        <v>1435</v>
      </c>
      <c r="L324" s="407" t="n">
        <v>31060</v>
      </c>
      <c r="M324" s="407" t="n">
        <v>15330</v>
      </c>
      <c r="N324" s="408" t="n">
        <v>12.5</v>
      </c>
      <c r="O324" s="407" t="n">
        <v>15730</v>
      </c>
      <c r="P324" s="407" t="n">
        <v>13763.7</v>
      </c>
      <c r="Q324" s="234" t="n">
        <v>2023</v>
      </c>
      <c r="R324" s="234"/>
      <c r="S324" s="248" t="n">
        <v>45102</v>
      </c>
      <c r="T324" s="407" t="n">
        <f aca="false">Таблица18[[#This Row],[Вес нетто]]-Таблица18[[#This Row],[Зачетный вес]]</f>
        <v>1966.3</v>
      </c>
      <c r="U324" s="409" t="n">
        <f aca="false">Таблица18[[#This Row],[Отход]]/Таблица18[[#This Row],[Вес нетто]]</f>
        <v>0.125003178639542</v>
      </c>
      <c r="V324" s="234" t="n">
        <f aca="false">MONTH(Таблица18[[#This Row],[Дата акта]])</f>
        <v>6</v>
      </c>
      <c r="W324" s="234" t="n">
        <v>25</v>
      </c>
      <c r="X324" s="248" t="n">
        <f aca="false">DATE(1900,Таблица18[[#This Row],[Месяц]],Таблица18[[#This Row],[Число]])</f>
        <v>177</v>
      </c>
      <c r="Y324" s="234"/>
      <c r="AF324" s="411"/>
      <c r="AG324" s="412"/>
    </row>
    <row r="325" s="410" customFormat="true" ht="15" hidden="true" customHeight="true" outlineLevel="0" collapsed="false">
      <c r="A325" s="199" t="s">
        <v>1809</v>
      </c>
      <c r="B325" s="199" t="s">
        <v>417</v>
      </c>
      <c r="C325" s="405" t="n">
        <v>479</v>
      </c>
      <c r="D325" s="406" t="n">
        <v>20</v>
      </c>
      <c r="E325" s="199" t="s">
        <v>1785</v>
      </c>
      <c r="F325" s="199" t="s">
        <v>1439</v>
      </c>
      <c r="G325" s="199" t="s">
        <v>1440</v>
      </c>
      <c r="H325" s="199" t="s">
        <v>1810</v>
      </c>
      <c r="I325" s="199" t="s">
        <v>1810</v>
      </c>
      <c r="J325" s="199" t="s">
        <v>1750</v>
      </c>
      <c r="K325" s="199" t="s">
        <v>1435</v>
      </c>
      <c r="L325" s="407" t="n">
        <v>26650</v>
      </c>
      <c r="M325" s="407" t="n">
        <v>13450</v>
      </c>
      <c r="N325" s="408" t="n">
        <v>8.5</v>
      </c>
      <c r="O325" s="407" t="n">
        <v>13200</v>
      </c>
      <c r="P325" s="407" t="n">
        <v>12078</v>
      </c>
      <c r="Q325" s="234" t="n">
        <v>2023</v>
      </c>
      <c r="R325" s="234"/>
      <c r="S325" s="248" t="n">
        <v>45102</v>
      </c>
      <c r="T325" s="407" t="n">
        <f aca="false">Таблица18[[#This Row],[Вес нетто]]-Таблица18[[#This Row],[Зачетный вес]]</f>
        <v>1122</v>
      </c>
      <c r="U325" s="409" t="n">
        <f aca="false">Таблица18[[#This Row],[Отход]]/Таблица18[[#This Row],[Вес нетто]]</f>
        <v>0.085</v>
      </c>
      <c r="V325" s="234" t="n">
        <f aca="false">MONTH(Таблица18[[#This Row],[Дата акта]])</f>
        <v>6</v>
      </c>
      <c r="W325" s="234" t="n">
        <v>25</v>
      </c>
      <c r="X325" s="248" t="n">
        <f aca="false">DATE(1900,Таблица18[[#This Row],[Месяц]],Таблица18[[#This Row],[Число]])</f>
        <v>177</v>
      </c>
      <c r="Y325" s="234"/>
      <c r="AF325" s="411"/>
      <c r="AG325" s="412"/>
    </row>
    <row r="326" s="410" customFormat="true" ht="15" hidden="true" customHeight="true" outlineLevel="0" collapsed="false">
      <c r="A326" s="199" t="s">
        <v>1811</v>
      </c>
      <c r="B326" s="199" t="s">
        <v>417</v>
      </c>
      <c r="C326" s="405" t="n">
        <v>480</v>
      </c>
      <c r="D326" s="406" t="n">
        <v>21</v>
      </c>
      <c r="E326" s="199" t="s">
        <v>1785</v>
      </c>
      <c r="F326" s="199" t="s">
        <v>386</v>
      </c>
      <c r="G326" s="199" t="s">
        <v>387</v>
      </c>
      <c r="H326" s="199" t="s">
        <v>1810</v>
      </c>
      <c r="I326" s="199" t="s">
        <v>1810</v>
      </c>
      <c r="J326" s="199" t="s">
        <v>1750</v>
      </c>
      <c r="K326" s="199" t="s">
        <v>1435</v>
      </c>
      <c r="L326" s="407" t="n">
        <v>30970</v>
      </c>
      <c r="M326" s="407" t="n">
        <v>15210</v>
      </c>
      <c r="N326" s="408" t="n">
        <v>10.5</v>
      </c>
      <c r="O326" s="407" t="n">
        <v>15760</v>
      </c>
      <c r="P326" s="407" t="n">
        <v>14105.2</v>
      </c>
      <c r="Q326" s="234" t="n">
        <v>2023</v>
      </c>
      <c r="R326" s="234"/>
      <c r="S326" s="248" t="n">
        <v>45102</v>
      </c>
      <c r="T326" s="407" t="n">
        <f aca="false">Таблица18[[#This Row],[Вес нетто]]-Таблица18[[#This Row],[Зачетный вес]]</f>
        <v>1654.8</v>
      </c>
      <c r="U326" s="409" t="n">
        <f aca="false">Таблица18[[#This Row],[Отход]]/Таблица18[[#This Row],[Вес нетто]]</f>
        <v>0.105</v>
      </c>
      <c r="V326" s="234" t="n">
        <f aca="false">MONTH(Таблица18[[#This Row],[Дата акта]])</f>
        <v>6</v>
      </c>
      <c r="W326" s="234" t="n">
        <v>25</v>
      </c>
      <c r="X326" s="248" t="n">
        <f aca="false">DATE(1900,Таблица18[[#This Row],[Месяц]],Таблица18[[#This Row],[Число]])</f>
        <v>177</v>
      </c>
      <c r="Y326" s="234"/>
      <c r="AF326" s="411"/>
      <c r="AG326" s="412"/>
    </row>
    <row r="327" s="410" customFormat="true" ht="15" hidden="true" customHeight="true" outlineLevel="0" collapsed="false">
      <c r="A327" s="199" t="s">
        <v>1812</v>
      </c>
      <c r="B327" s="199" t="s">
        <v>417</v>
      </c>
      <c r="C327" s="405" t="n">
        <v>481</v>
      </c>
      <c r="D327" s="406" t="n">
        <v>22</v>
      </c>
      <c r="E327" s="199" t="s">
        <v>1785</v>
      </c>
      <c r="F327" s="199" t="s">
        <v>1800</v>
      </c>
      <c r="G327" s="199" t="s">
        <v>621</v>
      </c>
      <c r="H327" s="199" t="s">
        <v>1810</v>
      </c>
      <c r="I327" s="199" t="s">
        <v>1810</v>
      </c>
      <c r="J327" s="199" t="s">
        <v>1750</v>
      </c>
      <c r="K327" s="199" t="s">
        <v>1435</v>
      </c>
      <c r="L327" s="407" t="n">
        <v>35480</v>
      </c>
      <c r="M327" s="407" t="n">
        <v>17360</v>
      </c>
      <c r="N327" s="408" t="n">
        <v>10.5</v>
      </c>
      <c r="O327" s="407" t="n">
        <v>18120</v>
      </c>
      <c r="P327" s="407" t="n">
        <v>16217.4</v>
      </c>
      <c r="Q327" s="234" t="n">
        <v>2023</v>
      </c>
      <c r="R327" s="234"/>
      <c r="S327" s="248" t="n">
        <v>45102</v>
      </c>
      <c r="T327" s="407" t="n">
        <f aca="false">Таблица18[[#This Row],[Вес нетто]]-Таблица18[[#This Row],[Зачетный вес]]</f>
        <v>1902.6</v>
      </c>
      <c r="U327" s="409" t="n">
        <f aca="false">Таблица18[[#This Row],[Отход]]/Таблица18[[#This Row],[Вес нетто]]</f>
        <v>0.105</v>
      </c>
      <c r="V327" s="234" t="n">
        <f aca="false">MONTH(Таблица18[[#This Row],[Дата акта]])</f>
        <v>6</v>
      </c>
      <c r="W327" s="234" t="n">
        <v>25</v>
      </c>
      <c r="X327" s="248" t="n">
        <f aca="false">DATE(1900,Таблица18[[#This Row],[Месяц]],Таблица18[[#This Row],[Число]])</f>
        <v>177</v>
      </c>
      <c r="Y327" s="234"/>
      <c r="AF327" s="411"/>
      <c r="AG327" s="412"/>
    </row>
    <row r="328" s="410" customFormat="true" ht="15" hidden="true" customHeight="true" outlineLevel="0" collapsed="false">
      <c r="A328" s="199" t="s">
        <v>1813</v>
      </c>
      <c r="B328" s="199" t="s">
        <v>417</v>
      </c>
      <c r="C328" s="405" t="n">
        <v>483</v>
      </c>
      <c r="D328" s="406" t="n">
        <v>23</v>
      </c>
      <c r="E328" s="199" t="s">
        <v>1785</v>
      </c>
      <c r="F328" s="199" t="s">
        <v>1797</v>
      </c>
      <c r="G328" s="199" t="s">
        <v>385</v>
      </c>
      <c r="H328" s="199" t="s">
        <v>1810</v>
      </c>
      <c r="I328" s="199" t="s">
        <v>1810</v>
      </c>
      <c r="J328" s="199" t="s">
        <v>1750</v>
      </c>
      <c r="K328" s="199" t="s">
        <v>1435</v>
      </c>
      <c r="L328" s="407" t="n">
        <v>30120</v>
      </c>
      <c r="M328" s="407" t="n">
        <v>14300</v>
      </c>
      <c r="N328" s="408" t="n">
        <v>9.5</v>
      </c>
      <c r="O328" s="407" t="n">
        <v>15820</v>
      </c>
      <c r="P328" s="407" t="n">
        <v>14317.1</v>
      </c>
      <c r="Q328" s="234" t="n">
        <v>2023</v>
      </c>
      <c r="R328" s="234"/>
      <c r="S328" s="248" t="n">
        <v>45102</v>
      </c>
      <c r="T328" s="407" t="n">
        <f aca="false">Таблица18[[#This Row],[Вес нетто]]-Таблица18[[#This Row],[Зачетный вес]]</f>
        <v>1502.9</v>
      </c>
      <c r="U328" s="409" t="n">
        <f aca="false">Таблица18[[#This Row],[Отход]]/Таблица18[[#This Row],[Вес нетто]]</f>
        <v>0.095</v>
      </c>
      <c r="V328" s="234" t="n">
        <f aca="false">MONTH(Таблица18[[#This Row],[Дата акта]])</f>
        <v>6</v>
      </c>
      <c r="W328" s="234" t="n">
        <v>25</v>
      </c>
      <c r="X328" s="248" t="n">
        <f aca="false">DATE(1900,Таблица18[[#This Row],[Месяц]],Таблица18[[#This Row],[Число]])</f>
        <v>177</v>
      </c>
      <c r="Y328" s="234"/>
      <c r="AF328" s="411"/>
      <c r="AG328" s="412"/>
    </row>
    <row r="329" s="410" customFormat="true" ht="15" hidden="true" customHeight="true" outlineLevel="0" collapsed="false">
      <c r="A329" s="199" t="s">
        <v>1814</v>
      </c>
      <c r="B329" s="199" t="s">
        <v>417</v>
      </c>
      <c r="C329" s="405" t="n">
        <v>484</v>
      </c>
      <c r="D329" s="406" t="n">
        <v>25</v>
      </c>
      <c r="E329" s="199" t="s">
        <v>994</v>
      </c>
      <c r="F329" s="199" t="s">
        <v>395</v>
      </c>
      <c r="G329" s="199" t="s">
        <v>566</v>
      </c>
      <c r="H329" s="199" t="s">
        <v>1810</v>
      </c>
      <c r="I329" s="199" t="s">
        <v>1810</v>
      </c>
      <c r="J329" s="199" t="s">
        <v>1750</v>
      </c>
      <c r="K329" s="199" t="s">
        <v>1435</v>
      </c>
      <c r="L329" s="407" t="n">
        <v>30570</v>
      </c>
      <c r="M329" s="407" t="n">
        <v>14370</v>
      </c>
      <c r="N329" s="408" t="n">
        <v>9.5</v>
      </c>
      <c r="O329" s="407" t="n">
        <v>16200</v>
      </c>
      <c r="P329" s="407" t="n">
        <v>14661</v>
      </c>
      <c r="Q329" s="234" t="n">
        <v>2023</v>
      </c>
      <c r="R329" s="234"/>
      <c r="S329" s="248" t="n">
        <v>45102</v>
      </c>
      <c r="T329" s="407" t="n">
        <f aca="false">Таблица18[[#This Row],[Вес нетто]]-Таблица18[[#This Row],[Зачетный вес]]</f>
        <v>1539</v>
      </c>
      <c r="U329" s="409" t="n">
        <f aca="false">Таблица18[[#This Row],[Отход]]/Таблица18[[#This Row],[Вес нетто]]</f>
        <v>0.095</v>
      </c>
      <c r="V329" s="234" t="n">
        <f aca="false">MONTH(Таблица18[[#This Row],[Дата акта]])</f>
        <v>6</v>
      </c>
      <c r="W329" s="234" t="n">
        <v>25</v>
      </c>
      <c r="X329" s="248" t="n">
        <f aca="false">DATE(1900,Таблица18[[#This Row],[Месяц]],Таблица18[[#This Row],[Число]])</f>
        <v>177</v>
      </c>
      <c r="Y329" s="234"/>
      <c r="AF329" s="411"/>
      <c r="AG329" s="412"/>
    </row>
    <row r="330" s="410" customFormat="true" ht="15" hidden="true" customHeight="true" outlineLevel="0" collapsed="false">
      <c r="A330" s="199" t="s">
        <v>1815</v>
      </c>
      <c r="B330" s="199" t="s">
        <v>417</v>
      </c>
      <c r="C330" s="405" t="n">
        <v>485</v>
      </c>
      <c r="D330" s="406" t="n">
        <v>24</v>
      </c>
      <c r="E330" s="199" t="s">
        <v>1785</v>
      </c>
      <c r="F330" s="199" t="s">
        <v>55</v>
      </c>
      <c r="G330" s="199" t="s">
        <v>56</v>
      </c>
      <c r="H330" s="199" t="s">
        <v>1810</v>
      </c>
      <c r="I330" s="199" t="s">
        <v>1810</v>
      </c>
      <c r="J330" s="199" t="s">
        <v>1750</v>
      </c>
      <c r="K330" s="199" t="s">
        <v>1435</v>
      </c>
      <c r="L330" s="407" t="n">
        <v>30890</v>
      </c>
      <c r="M330" s="407" t="n">
        <v>14540</v>
      </c>
      <c r="N330" s="408" t="n">
        <v>9.5</v>
      </c>
      <c r="O330" s="407" t="n">
        <v>16350</v>
      </c>
      <c r="P330" s="407" t="n">
        <v>14796.7</v>
      </c>
      <c r="Q330" s="234" t="n">
        <v>2023</v>
      </c>
      <c r="R330" s="234"/>
      <c r="S330" s="248" t="n">
        <v>45102</v>
      </c>
      <c r="T330" s="407" t="n">
        <f aca="false">Таблица18[[#This Row],[Вес нетто]]-Таблица18[[#This Row],[Зачетный вес]]</f>
        <v>1553.3</v>
      </c>
      <c r="U330" s="409" t="n">
        <f aca="false">Таблица18[[#This Row],[Отход]]/Таблица18[[#This Row],[Вес нетто]]</f>
        <v>0.0950030581039755</v>
      </c>
      <c r="V330" s="234" t="n">
        <f aca="false">MONTH(Таблица18[[#This Row],[Дата акта]])</f>
        <v>6</v>
      </c>
      <c r="W330" s="234" t="n">
        <v>25</v>
      </c>
      <c r="X330" s="248" t="n">
        <f aca="false">DATE(1900,Таблица18[[#This Row],[Месяц]],Таблица18[[#This Row],[Число]])</f>
        <v>177</v>
      </c>
      <c r="Y330" s="234"/>
      <c r="AF330" s="411"/>
      <c r="AG330" s="412"/>
    </row>
    <row r="331" s="410" customFormat="true" ht="15" hidden="true" customHeight="true" outlineLevel="0" collapsed="false">
      <c r="A331" s="199" t="s">
        <v>1816</v>
      </c>
      <c r="B331" s="199" t="s">
        <v>417</v>
      </c>
      <c r="C331" s="405" t="n">
        <v>486</v>
      </c>
      <c r="D331" s="406" t="n">
        <v>27</v>
      </c>
      <c r="E331" s="199" t="s">
        <v>1785</v>
      </c>
      <c r="F331" s="199" t="s">
        <v>1485</v>
      </c>
      <c r="G331" s="199" t="s">
        <v>1817</v>
      </c>
      <c r="H331" s="199" t="s">
        <v>1810</v>
      </c>
      <c r="I331" s="199" t="s">
        <v>1810</v>
      </c>
      <c r="J331" s="199" t="s">
        <v>1750</v>
      </c>
      <c r="K331" s="199" t="s">
        <v>1435</v>
      </c>
      <c r="L331" s="407" t="n">
        <v>39460</v>
      </c>
      <c r="M331" s="407" t="n">
        <v>20930</v>
      </c>
      <c r="N331" s="408" t="n">
        <v>10.5</v>
      </c>
      <c r="O331" s="407" t="n">
        <v>18530</v>
      </c>
      <c r="P331" s="407" t="n">
        <v>16584.3</v>
      </c>
      <c r="Q331" s="234" t="n">
        <v>2023</v>
      </c>
      <c r="R331" s="234"/>
      <c r="S331" s="248" t="n">
        <v>45102</v>
      </c>
      <c r="T331" s="407" t="n">
        <f aca="false">Таблица18[[#This Row],[Вес нетто]]-Таблица18[[#This Row],[Зачетный вес]]</f>
        <v>1945.7</v>
      </c>
      <c r="U331" s="409" t="n">
        <f aca="false">Таблица18[[#This Row],[Отход]]/Таблица18[[#This Row],[Вес нетто]]</f>
        <v>0.105002698327037</v>
      </c>
      <c r="V331" s="234" t="n">
        <f aca="false">MONTH(Таблица18[[#This Row],[Дата акта]])</f>
        <v>6</v>
      </c>
      <c r="W331" s="234" t="n">
        <v>25</v>
      </c>
      <c r="X331" s="248" t="n">
        <f aca="false">DATE(1900,Таблица18[[#This Row],[Месяц]],Таблица18[[#This Row],[Число]])</f>
        <v>177</v>
      </c>
      <c r="Y331" s="234"/>
      <c r="AF331" s="411"/>
      <c r="AG331" s="412"/>
    </row>
    <row r="332" s="410" customFormat="true" ht="15" hidden="true" customHeight="true" outlineLevel="0" collapsed="false">
      <c r="A332" s="199" t="s">
        <v>1818</v>
      </c>
      <c r="B332" s="199" t="s">
        <v>417</v>
      </c>
      <c r="C332" s="405" t="n">
        <v>487</v>
      </c>
      <c r="D332" s="406" t="n">
        <v>28</v>
      </c>
      <c r="E332" s="199" t="s">
        <v>1785</v>
      </c>
      <c r="F332" s="199" t="s">
        <v>1576</v>
      </c>
      <c r="G332" s="199" t="s">
        <v>1455</v>
      </c>
      <c r="H332" s="199" t="s">
        <v>1810</v>
      </c>
      <c r="I332" s="199" t="s">
        <v>1810</v>
      </c>
      <c r="J332" s="199" t="s">
        <v>1750</v>
      </c>
      <c r="K332" s="199" t="s">
        <v>1435</v>
      </c>
      <c r="L332" s="407" t="n">
        <v>30300</v>
      </c>
      <c r="M332" s="407" t="n">
        <v>14490</v>
      </c>
      <c r="N332" s="408" t="n">
        <v>11.5</v>
      </c>
      <c r="O332" s="407" t="n">
        <v>15810</v>
      </c>
      <c r="P332" s="407" t="n">
        <v>13991.8</v>
      </c>
      <c r="Q332" s="234" t="n">
        <v>2023</v>
      </c>
      <c r="R332" s="234"/>
      <c r="S332" s="248" t="n">
        <v>45103</v>
      </c>
      <c r="T332" s="407" t="n">
        <f aca="false">Таблица18[[#This Row],[Вес нетто]]-Таблица18[[#This Row],[Зачетный вес]]</f>
        <v>1818.2</v>
      </c>
      <c r="U332" s="409" t="n">
        <f aca="false">Таблица18[[#This Row],[Отход]]/Таблица18[[#This Row],[Вес нетто]]</f>
        <v>0.115003162555345</v>
      </c>
      <c r="V332" s="234" t="n">
        <f aca="false">MONTH(Таблица18[[#This Row],[Дата акта]])</f>
        <v>6</v>
      </c>
      <c r="W332" s="234" t="n">
        <v>26</v>
      </c>
      <c r="X332" s="248" t="n">
        <f aca="false">DATE(1900,Таблица18[[#This Row],[Месяц]],Таблица18[[#This Row],[Число]])</f>
        <v>178</v>
      </c>
      <c r="Y332" s="234"/>
      <c r="AF332" s="411"/>
      <c r="AG332" s="412"/>
    </row>
    <row r="333" s="410" customFormat="true" ht="15" hidden="true" customHeight="true" outlineLevel="0" collapsed="false">
      <c r="A333" s="199" t="s">
        <v>1819</v>
      </c>
      <c r="B333" s="199" t="s">
        <v>417</v>
      </c>
      <c r="C333" s="405" t="n">
        <v>488</v>
      </c>
      <c r="D333" s="406" t="n">
        <v>29</v>
      </c>
      <c r="E333" s="199" t="s">
        <v>1785</v>
      </c>
      <c r="F333" s="199" t="s">
        <v>371</v>
      </c>
      <c r="G333" s="199" t="s">
        <v>372</v>
      </c>
      <c r="H333" s="199" t="s">
        <v>1810</v>
      </c>
      <c r="I333" s="199" t="s">
        <v>1810</v>
      </c>
      <c r="J333" s="199" t="s">
        <v>1750</v>
      </c>
      <c r="K333" s="199" t="s">
        <v>1435</v>
      </c>
      <c r="L333" s="407" t="n">
        <v>31040</v>
      </c>
      <c r="M333" s="407" t="n">
        <v>15060</v>
      </c>
      <c r="N333" s="408" t="n">
        <v>10.5</v>
      </c>
      <c r="O333" s="407" t="n">
        <v>15980</v>
      </c>
      <c r="P333" s="407" t="n">
        <v>14302.1</v>
      </c>
      <c r="Q333" s="234" t="n">
        <v>2023</v>
      </c>
      <c r="R333" s="234"/>
      <c r="S333" s="248" t="n">
        <v>45103</v>
      </c>
      <c r="T333" s="407" t="n">
        <f aca="false">Таблица18[[#This Row],[Вес нетто]]-Таблица18[[#This Row],[Зачетный вес]]</f>
        <v>1677.9</v>
      </c>
      <c r="U333" s="409" t="n">
        <f aca="false">Таблица18[[#This Row],[Отход]]/Таблица18[[#This Row],[Вес нетто]]</f>
        <v>0.105</v>
      </c>
      <c r="V333" s="234" t="n">
        <f aca="false">MONTH(Таблица18[[#This Row],[Дата акта]])</f>
        <v>6</v>
      </c>
      <c r="W333" s="234" t="n">
        <v>26</v>
      </c>
      <c r="X333" s="248" t="n">
        <f aca="false">DATE(1900,Таблица18[[#This Row],[Месяц]],Таблица18[[#This Row],[Число]])</f>
        <v>178</v>
      </c>
      <c r="Y333" s="234"/>
      <c r="AF333" s="411"/>
      <c r="AG333" s="412"/>
    </row>
    <row r="334" s="410" customFormat="true" ht="15" hidden="true" customHeight="true" outlineLevel="0" collapsed="false">
      <c r="A334" s="199" t="s">
        <v>1820</v>
      </c>
      <c r="B334" s="199" t="s">
        <v>417</v>
      </c>
      <c r="C334" s="405" t="n">
        <v>489</v>
      </c>
      <c r="D334" s="199" t="s">
        <v>1821</v>
      </c>
      <c r="E334" s="199" t="s">
        <v>1785</v>
      </c>
      <c r="F334" s="199" t="s">
        <v>602</v>
      </c>
      <c r="G334" s="199" t="s">
        <v>606</v>
      </c>
      <c r="H334" s="199" t="s">
        <v>1810</v>
      </c>
      <c r="I334" s="199" t="s">
        <v>1810</v>
      </c>
      <c r="J334" s="199" t="s">
        <v>1750</v>
      </c>
      <c r="K334" s="199" t="s">
        <v>1435</v>
      </c>
      <c r="L334" s="407" t="n">
        <v>36010</v>
      </c>
      <c r="M334" s="407" t="n">
        <v>19490</v>
      </c>
      <c r="N334" s="408" t="n">
        <v>100</v>
      </c>
      <c r="O334" s="407" t="n">
        <v>16520</v>
      </c>
      <c r="P334" s="234"/>
      <c r="Q334" s="234" t="n">
        <v>2023</v>
      </c>
      <c r="R334" s="234"/>
      <c r="S334" s="248" t="n">
        <v>45103</v>
      </c>
      <c r="T334" s="407" t="n">
        <f aca="false">Таблица18[[#This Row],[Вес нетто]]-Таблица18[[#This Row],[Зачетный вес]]</f>
        <v>16520</v>
      </c>
      <c r="U334" s="409" t="n">
        <f aca="false">Таблица18[[#This Row],[Отход]]/Таблица18[[#This Row],[Вес нетто]]</f>
        <v>1</v>
      </c>
      <c r="V334" s="234" t="n">
        <f aca="false">MONTH(Таблица18[[#This Row],[Дата акта]])</f>
        <v>6</v>
      </c>
      <c r="W334" s="234" t="n">
        <v>26</v>
      </c>
      <c r="X334" s="248" t="n">
        <f aca="false">DATE(1900,Таблица18[[#This Row],[Месяц]],Таблица18[[#This Row],[Число]])</f>
        <v>178</v>
      </c>
      <c r="Y334" s="234"/>
      <c r="AF334" s="411"/>
      <c r="AG334" s="412"/>
    </row>
    <row r="335" s="410" customFormat="true" ht="15" hidden="true" customHeight="true" outlineLevel="0" collapsed="false">
      <c r="A335" s="199" t="s">
        <v>1822</v>
      </c>
      <c r="B335" s="199" t="s">
        <v>417</v>
      </c>
      <c r="C335" s="405" t="n">
        <v>490</v>
      </c>
      <c r="D335" s="406" t="n">
        <v>30</v>
      </c>
      <c r="E335" s="199" t="s">
        <v>1785</v>
      </c>
      <c r="F335" s="199" t="s">
        <v>359</v>
      </c>
      <c r="G335" s="199" t="s">
        <v>426</v>
      </c>
      <c r="H335" s="199" t="s">
        <v>1810</v>
      </c>
      <c r="I335" s="199" t="s">
        <v>1810</v>
      </c>
      <c r="J335" s="199" t="s">
        <v>1750</v>
      </c>
      <c r="K335" s="199" t="s">
        <v>1435</v>
      </c>
      <c r="L335" s="407" t="n">
        <v>29830</v>
      </c>
      <c r="M335" s="407" t="n">
        <v>13980</v>
      </c>
      <c r="N335" s="408" t="n">
        <v>10.5</v>
      </c>
      <c r="O335" s="407" t="n">
        <v>15850</v>
      </c>
      <c r="P335" s="407" t="n">
        <v>14185.7</v>
      </c>
      <c r="Q335" s="234" t="n">
        <v>2023</v>
      </c>
      <c r="R335" s="234"/>
      <c r="S335" s="248" t="n">
        <v>45103</v>
      </c>
      <c r="T335" s="407" t="n">
        <f aca="false">Таблица18[[#This Row],[Вес нетто]]-Таблица18[[#This Row],[Зачетный вес]]</f>
        <v>1664.3</v>
      </c>
      <c r="U335" s="409" t="n">
        <f aca="false">Таблица18[[#This Row],[Отход]]/Таблица18[[#This Row],[Вес нетто]]</f>
        <v>0.105003154574132</v>
      </c>
      <c r="V335" s="234" t="n">
        <f aca="false">MONTH(Таблица18[[#This Row],[Дата акта]])</f>
        <v>6</v>
      </c>
      <c r="W335" s="234" t="n">
        <v>26</v>
      </c>
      <c r="X335" s="248" t="n">
        <f aca="false">DATE(1900,Таблица18[[#This Row],[Месяц]],Таблица18[[#This Row],[Число]])</f>
        <v>178</v>
      </c>
      <c r="Y335" s="234"/>
      <c r="AF335" s="411"/>
      <c r="AG335" s="412"/>
    </row>
    <row r="336" s="410" customFormat="true" ht="15" hidden="true" customHeight="true" outlineLevel="0" collapsed="false">
      <c r="A336" s="199" t="s">
        <v>1823</v>
      </c>
      <c r="B336" s="199" t="s">
        <v>417</v>
      </c>
      <c r="C336" s="405" t="n">
        <v>491</v>
      </c>
      <c r="D336" s="406" t="n">
        <v>31</v>
      </c>
      <c r="E336" s="199" t="s">
        <v>1785</v>
      </c>
      <c r="F336" s="199" t="s">
        <v>1792</v>
      </c>
      <c r="G336" s="199" t="s">
        <v>1793</v>
      </c>
      <c r="H336" s="199" t="s">
        <v>1810</v>
      </c>
      <c r="I336" s="199" t="s">
        <v>1810</v>
      </c>
      <c r="J336" s="199" t="s">
        <v>1750</v>
      </c>
      <c r="K336" s="199" t="s">
        <v>1435</v>
      </c>
      <c r="L336" s="407" t="n">
        <v>31090</v>
      </c>
      <c r="M336" s="407" t="n">
        <v>15410</v>
      </c>
      <c r="N336" s="408" t="n">
        <v>12.5</v>
      </c>
      <c r="O336" s="407" t="n">
        <v>15680</v>
      </c>
      <c r="P336" s="407" t="n">
        <v>13720</v>
      </c>
      <c r="Q336" s="234" t="n">
        <v>2023</v>
      </c>
      <c r="R336" s="234"/>
      <c r="S336" s="248" t="n">
        <v>45103</v>
      </c>
      <c r="T336" s="407" t="n">
        <f aca="false">Таблица18[[#This Row],[Вес нетто]]-Таблица18[[#This Row],[Зачетный вес]]</f>
        <v>1960</v>
      </c>
      <c r="U336" s="409" t="n">
        <f aca="false">Таблица18[[#This Row],[Отход]]/Таблица18[[#This Row],[Вес нетто]]</f>
        <v>0.125</v>
      </c>
      <c r="V336" s="234" t="n">
        <f aca="false">MONTH(Таблица18[[#This Row],[Дата акта]])</f>
        <v>6</v>
      </c>
      <c r="W336" s="234" t="n">
        <v>26</v>
      </c>
      <c r="X336" s="248" t="n">
        <f aca="false">DATE(1900,Таблица18[[#This Row],[Месяц]],Таблица18[[#This Row],[Число]])</f>
        <v>178</v>
      </c>
      <c r="Y336" s="234"/>
      <c r="AF336" s="411"/>
      <c r="AG336" s="412"/>
    </row>
    <row r="337" s="410" customFormat="true" ht="15" hidden="true" customHeight="true" outlineLevel="0" collapsed="false">
      <c r="A337" s="199" t="s">
        <v>1824</v>
      </c>
      <c r="B337" s="199" t="s">
        <v>746</v>
      </c>
      <c r="C337" s="405" t="n">
        <v>492</v>
      </c>
      <c r="D337" s="406" t="n">
        <v>32</v>
      </c>
      <c r="E337" s="199" t="s">
        <v>1785</v>
      </c>
      <c r="F337" s="199" t="s">
        <v>1439</v>
      </c>
      <c r="G337" s="199" t="s">
        <v>1440</v>
      </c>
      <c r="H337" s="199" t="s">
        <v>1810</v>
      </c>
      <c r="I337" s="199" t="s">
        <v>1810</v>
      </c>
      <c r="J337" s="199" t="s">
        <v>1750</v>
      </c>
      <c r="K337" s="199" t="s">
        <v>1435</v>
      </c>
      <c r="L337" s="407" t="n">
        <v>28950</v>
      </c>
      <c r="M337" s="407" t="n">
        <v>13360</v>
      </c>
      <c r="N337" s="408" t="n">
        <v>9.5</v>
      </c>
      <c r="O337" s="407" t="n">
        <v>15590</v>
      </c>
      <c r="P337" s="407" t="n">
        <v>14108.9</v>
      </c>
      <c r="Q337" s="234" t="n">
        <v>2023</v>
      </c>
      <c r="R337" s="234"/>
      <c r="S337" s="248" t="n">
        <v>45103</v>
      </c>
      <c r="T337" s="407" t="n">
        <f aca="false">Таблица18[[#This Row],[Вес нетто]]-Таблица18[[#This Row],[Зачетный вес]]</f>
        <v>1481.1</v>
      </c>
      <c r="U337" s="409" t="n">
        <f aca="false">Таблица18[[#This Row],[Отход]]/Таблица18[[#This Row],[Вес нетто]]</f>
        <v>0.0950032071840924</v>
      </c>
      <c r="V337" s="234" t="n">
        <f aca="false">MONTH(Таблица18[[#This Row],[Дата акта]])</f>
        <v>6</v>
      </c>
      <c r="W337" s="234" t="n">
        <v>26</v>
      </c>
      <c r="X337" s="248" t="n">
        <f aca="false">DATE(1900,Таблица18[[#This Row],[Месяц]],Таблица18[[#This Row],[Число]])</f>
        <v>178</v>
      </c>
      <c r="Y337" s="234"/>
      <c r="AF337" s="411"/>
      <c r="AG337" s="412"/>
    </row>
    <row r="338" s="410" customFormat="true" ht="15" hidden="true" customHeight="true" outlineLevel="0" collapsed="false">
      <c r="A338" s="199" t="s">
        <v>1825</v>
      </c>
      <c r="B338" s="199" t="s">
        <v>417</v>
      </c>
      <c r="C338" s="405" t="n">
        <v>493</v>
      </c>
      <c r="D338" s="406" t="n">
        <v>33</v>
      </c>
      <c r="E338" s="199" t="s">
        <v>1785</v>
      </c>
      <c r="F338" s="199" t="s">
        <v>1449</v>
      </c>
      <c r="G338" s="199" t="s">
        <v>704</v>
      </c>
      <c r="H338" s="199" t="s">
        <v>1810</v>
      </c>
      <c r="I338" s="199" t="s">
        <v>1810</v>
      </c>
      <c r="J338" s="199" t="s">
        <v>1750</v>
      </c>
      <c r="K338" s="199" t="s">
        <v>1435</v>
      </c>
      <c r="L338" s="407" t="n">
        <v>30190</v>
      </c>
      <c r="M338" s="407" t="n">
        <v>14560</v>
      </c>
      <c r="N338" s="408" t="n">
        <v>11.5</v>
      </c>
      <c r="O338" s="407" t="n">
        <v>15630</v>
      </c>
      <c r="P338" s="407" t="n">
        <v>13832.5</v>
      </c>
      <c r="Q338" s="234" t="n">
        <v>2023</v>
      </c>
      <c r="R338" s="234"/>
      <c r="S338" s="248" t="n">
        <v>45103</v>
      </c>
      <c r="T338" s="407" t="n">
        <f aca="false">Таблица18[[#This Row],[Вес нетто]]-Таблица18[[#This Row],[Зачетный вес]]</f>
        <v>1797.5</v>
      </c>
      <c r="U338" s="409" t="n">
        <f aca="false">Таблица18[[#This Row],[Отход]]/Таблица18[[#This Row],[Вес нетто]]</f>
        <v>0.115003198976328</v>
      </c>
      <c r="V338" s="234" t="n">
        <f aca="false">MONTH(Таблица18[[#This Row],[Дата акта]])</f>
        <v>6</v>
      </c>
      <c r="W338" s="234" t="n">
        <v>26</v>
      </c>
      <c r="X338" s="248" t="n">
        <f aca="false">DATE(1900,Таблица18[[#This Row],[Месяц]],Таблица18[[#This Row],[Число]])</f>
        <v>178</v>
      </c>
      <c r="Y338" s="234"/>
      <c r="AF338" s="411"/>
      <c r="AG338" s="412"/>
    </row>
    <row r="339" s="410" customFormat="true" ht="15" hidden="true" customHeight="true" outlineLevel="0" collapsed="false">
      <c r="A339" s="199" t="s">
        <v>1826</v>
      </c>
      <c r="B339" s="199" t="s">
        <v>417</v>
      </c>
      <c r="C339" s="405" t="n">
        <v>496</v>
      </c>
      <c r="D339" s="406" t="n">
        <v>34</v>
      </c>
      <c r="E339" s="199" t="s">
        <v>1785</v>
      </c>
      <c r="F339" s="199" t="s">
        <v>610</v>
      </c>
      <c r="G339" s="199" t="s">
        <v>614</v>
      </c>
      <c r="H339" s="199" t="s">
        <v>1810</v>
      </c>
      <c r="I339" s="199" t="s">
        <v>1810</v>
      </c>
      <c r="J339" s="199" t="s">
        <v>1750</v>
      </c>
      <c r="K339" s="199" t="s">
        <v>1435</v>
      </c>
      <c r="L339" s="407" t="n">
        <v>32970</v>
      </c>
      <c r="M339" s="407" t="n">
        <v>17070</v>
      </c>
      <c r="N339" s="408" t="n">
        <v>8.5</v>
      </c>
      <c r="O339" s="407" t="n">
        <v>15900</v>
      </c>
      <c r="P339" s="407" t="n">
        <v>14548.5</v>
      </c>
      <c r="Q339" s="234" t="n">
        <v>2023</v>
      </c>
      <c r="R339" s="234"/>
      <c r="S339" s="248" t="n">
        <v>45103</v>
      </c>
      <c r="T339" s="407" t="n">
        <f aca="false">Таблица18[[#This Row],[Вес нетто]]-Таблица18[[#This Row],[Зачетный вес]]</f>
        <v>1351.5</v>
      </c>
      <c r="U339" s="409" t="n">
        <f aca="false">Таблица18[[#This Row],[Отход]]/Таблица18[[#This Row],[Вес нетто]]</f>
        <v>0.085</v>
      </c>
      <c r="V339" s="234" t="n">
        <f aca="false">MONTH(Таблица18[[#This Row],[Дата акта]])</f>
        <v>6</v>
      </c>
      <c r="W339" s="234" t="n">
        <v>26</v>
      </c>
      <c r="X339" s="248" t="n">
        <f aca="false">DATE(1900,Таблица18[[#This Row],[Месяц]],Таблица18[[#This Row],[Число]])</f>
        <v>178</v>
      </c>
      <c r="Y339" s="234"/>
      <c r="AF339" s="411"/>
      <c r="AG339" s="412"/>
    </row>
    <row r="340" s="410" customFormat="true" ht="15" hidden="true" customHeight="true" outlineLevel="0" collapsed="false">
      <c r="A340" s="199" t="s">
        <v>1827</v>
      </c>
      <c r="B340" s="199" t="s">
        <v>417</v>
      </c>
      <c r="C340" s="405" t="n">
        <v>497</v>
      </c>
      <c r="D340" s="406" t="n">
        <v>35</v>
      </c>
      <c r="E340" s="199" t="s">
        <v>1785</v>
      </c>
      <c r="F340" s="199" t="s">
        <v>1800</v>
      </c>
      <c r="G340" s="199" t="s">
        <v>621</v>
      </c>
      <c r="H340" s="199" t="s">
        <v>1810</v>
      </c>
      <c r="I340" s="199" t="s">
        <v>1810</v>
      </c>
      <c r="J340" s="199" t="s">
        <v>1750</v>
      </c>
      <c r="K340" s="199" t="s">
        <v>1435</v>
      </c>
      <c r="L340" s="407" t="n">
        <v>35860</v>
      </c>
      <c r="M340" s="407" t="n">
        <v>17620</v>
      </c>
      <c r="N340" s="408" t="n">
        <v>8.5</v>
      </c>
      <c r="O340" s="407" t="n">
        <v>18240</v>
      </c>
      <c r="P340" s="407" t="n">
        <v>16689.6</v>
      </c>
      <c r="Q340" s="234" t="n">
        <v>2023</v>
      </c>
      <c r="R340" s="234"/>
      <c r="S340" s="248" t="n">
        <v>45103</v>
      </c>
      <c r="T340" s="407" t="n">
        <f aca="false">Таблица18[[#This Row],[Вес нетто]]-Таблица18[[#This Row],[Зачетный вес]]</f>
        <v>1550.4</v>
      </c>
      <c r="U340" s="409" t="n">
        <f aca="false">Таблица18[[#This Row],[Отход]]/Таблица18[[#This Row],[Вес нетто]]</f>
        <v>0.0850000000000001</v>
      </c>
      <c r="V340" s="234" t="n">
        <f aca="false">MONTH(Таблица18[[#This Row],[Дата акта]])</f>
        <v>6</v>
      </c>
      <c r="W340" s="234" t="n">
        <v>26</v>
      </c>
      <c r="X340" s="248" t="n">
        <f aca="false">DATE(1900,Таблица18[[#This Row],[Месяц]],Таблица18[[#This Row],[Число]])</f>
        <v>178</v>
      </c>
      <c r="Y340" s="234"/>
      <c r="AF340" s="411"/>
      <c r="AG340" s="412"/>
    </row>
    <row r="341" s="410" customFormat="true" ht="15" hidden="true" customHeight="true" outlineLevel="0" collapsed="false">
      <c r="A341" s="199" t="s">
        <v>1828</v>
      </c>
      <c r="B341" s="199" t="s">
        <v>417</v>
      </c>
      <c r="C341" s="405" t="n">
        <v>498</v>
      </c>
      <c r="D341" s="406" t="n">
        <v>36</v>
      </c>
      <c r="E341" s="199" t="s">
        <v>1785</v>
      </c>
      <c r="F341" s="199" t="s">
        <v>395</v>
      </c>
      <c r="G341" s="199" t="s">
        <v>566</v>
      </c>
      <c r="H341" s="199" t="s">
        <v>1810</v>
      </c>
      <c r="I341" s="199" t="s">
        <v>1810</v>
      </c>
      <c r="J341" s="199" t="s">
        <v>1750</v>
      </c>
      <c r="K341" s="199" t="s">
        <v>1435</v>
      </c>
      <c r="L341" s="407" t="n">
        <v>30770</v>
      </c>
      <c r="M341" s="407" t="n">
        <v>14360</v>
      </c>
      <c r="N341" s="408" t="n">
        <v>8.5</v>
      </c>
      <c r="O341" s="407" t="n">
        <v>16410</v>
      </c>
      <c r="P341" s="407" t="n">
        <v>15015.1</v>
      </c>
      <c r="Q341" s="234" t="n">
        <v>2023</v>
      </c>
      <c r="R341" s="234"/>
      <c r="S341" s="248" t="n">
        <v>45103</v>
      </c>
      <c r="T341" s="407" t="n">
        <f aca="false">Таблица18[[#This Row],[Вес нетто]]-Таблица18[[#This Row],[Зачетный вес]]</f>
        <v>1394.9</v>
      </c>
      <c r="U341" s="409" t="n">
        <f aca="false">Таблица18[[#This Row],[Отход]]/Таблица18[[#This Row],[Вес нетто]]</f>
        <v>0.0850030469226081</v>
      </c>
      <c r="V341" s="234" t="n">
        <f aca="false">MONTH(Таблица18[[#This Row],[Дата акта]])</f>
        <v>6</v>
      </c>
      <c r="W341" s="234" t="n">
        <v>26</v>
      </c>
      <c r="X341" s="248" t="n">
        <f aca="false">DATE(1900,Таблица18[[#This Row],[Месяц]],Таблица18[[#This Row],[Число]])</f>
        <v>178</v>
      </c>
      <c r="Y341" s="234"/>
      <c r="AF341" s="411"/>
      <c r="AG341" s="412"/>
    </row>
    <row r="342" s="410" customFormat="true" ht="15" hidden="true" customHeight="true" outlineLevel="0" collapsed="false">
      <c r="A342" s="199" t="s">
        <v>1829</v>
      </c>
      <c r="B342" s="199" t="s">
        <v>417</v>
      </c>
      <c r="C342" s="405" t="n">
        <v>499</v>
      </c>
      <c r="D342" s="406" t="n">
        <v>37</v>
      </c>
      <c r="E342" s="199" t="s">
        <v>1785</v>
      </c>
      <c r="F342" s="199" t="s">
        <v>1792</v>
      </c>
      <c r="G342" s="199" t="s">
        <v>1793</v>
      </c>
      <c r="H342" s="199" t="s">
        <v>1810</v>
      </c>
      <c r="I342" s="199" t="s">
        <v>1810</v>
      </c>
      <c r="J342" s="199" t="s">
        <v>1750</v>
      </c>
      <c r="K342" s="199" t="s">
        <v>1435</v>
      </c>
      <c r="L342" s="407" t="n">
        <v>29050</v>
      </c>
      <c r="M342" s="407" t="n">
        <v>15290</v>
      </c>
      <c r="N342" s="408" t="n">
        <v>11.5</v>
      </c>
      <c r="O342" s="407" t="n">
        <v>13760</v>
      </c>
      <c r="P342" s="407" t="n">
        <v>12177.6</v>
      </c>
      <c r="Q342" s="234" t="n">
        <v>2023</v>
      </c>
      <c r="R342" s="234"/>
      <c r="S342" s="248" t="n">
        <v>45103</v>
      </c>
      <c r="T342" s="407" t="n">
        <f aca="false">Таблица18[[#This Row],[Вес нетто]]-Таблица18[[#This Row],[Зачетный вес]]</f>
        <v>1582.4</v>
      </c>
      <c r="U342" s="409" t="n">
        <f aca="false">Таблица18[[#This Row],[Отход]]/Таблица18[[#This Row],[Вес нетто]]</f>
        <v>0.115</v>
      </c>
      <c r="V342" s="234" t="n">
        <f aca="false">MONTH(Таблица18[[#This Row],[Дата акта]])</f>
        <v>6</v>
      </c>
      <c r="W342" s="234" t="n">
        <v>26</v>
      </c>
      <c r="X342" s="248" t="n">
        <f aca="false">DATE(1900,Таблица18[[#This Row],[Месяц]],Таблица18[[#This Row],[Число]])</f>
        <v>178</v>
      </c>
      <c r="Y342" s="234"/>
      <c r="AF342" s="411"/>
      <c r="AG342" s="412"/>
    </row>
    <row r="343" s="410" customFormat="true" ht="15" hidden="true" customHeight="true" outlineLevel="0" collapsed="false">
      <c r="A343" s="199" t="s">
        <v>1830</v>
      </c>
      <c r="B343" s="199" t="s">
        <v>746</v>
      </c>
      <c r="C343" s="405" t="n">
        <v>501</v>
      </c>
      <c r="D343" s="406" t="n">
        <v>21</v>
      </c>
      <c r="E343" s="199" t="s">
        <v>1785</v>
      </c>
      <c r="F343" s="199" t="s">
        <v>386</v>
      </c>
      <c r="G343" s="199" t="s">
        <v>387</v>
      </c>
      <c r="H343" s="199" t="s">
        <v>1810</v>
      </c>
      <c r="I343" s="199" t="s">
        <v>1810</v>
      </c>
      <c r="J343" s="199" t="s">
        <v>1750</v>
      </c>
      <c r="K343" s="199" t="s">
        <v>1435</v>
      </c>
      <c r="L343" s="407" t="n">
        <v>31710</v>
      </c>
      <c r="M343" s="407" t="n">
        <v>15220</v>
      </c>
      <c r="N343" s="408" t="n">
        <v>8</v>
      </c>
      <c r="O343" s="407" t="n">
        <v>16490</v>
      </c>
      <c r="P343" s="407" t="n">
        <v>15170.8</v>
      </c>
      <c r="Q343" s="234" t="n">
        <v>2023</v>
      </c>
      <c r="R343" s="234"/>
      <c r="S343" s="248" t="n">
        <v>45103</v>
      </c>
      <c r="T343" s="407" t="n">
        <f aca="false">Таблица18[[#This Row],[Вес нетто]]-Таблица18[[#This Row],[Зачетный вес]]</f>
        <v>1319.2</v>
      </c>
      <c r="U343" s="409" t="n">
        <f aca="false">Таблица18[[#This Row],[Отход]]/Таблица18[[#This Row],[Вес нетто]]</f>
        <v>0.08</v>
      </c>
      <c r="V343" s="234" t="n">
        <f aca="false">MONTH(Таблица18[[#This Row],[Дата акта]])</f>
        <v>6</v>
      </c>
      <c r="W343" s="234" t="n">
        <v>26</v>
      </c>
      <c r="X343" s="248" t="n">
        <f aca="false">DATE(1900,Таблица18[[#This Row],[Месяц]],Таблица18[[#This Row],[Число]])</f>
        <v>178</v>
      </c>
      <c r="Y343" s="234"/>
      <c r="AF343" s="411"/>
      <c r="AG343" s="412"/>
    </row>
    <row r="344" s="410" customFormat="true" ht="15" hidden="true" customHeight="true" outlineLevel="0" collapsed="false">
      <c r="A344" s="199" t="s">
        <v>1831</v>
      </c>
      <c r="B344" s="199" t="s">
        <v>417</v>
      </c>
      <c r="C344" s="405" t="n">
        <v>502</v>
      </c>
      <c r="D344" s="406" t="n">
        <v>39</v>
      </c>
      <c r="E344" s="199" t="s">
        <v>1785</v>
      </c>
      <c r="F344" s="199" t="s">
        <v>55</v>
      </c>
      <c r="G344" s="199" t="s">
        <v>56</v>
      </c>
      <c r="H344" s="199" t="s">
        <v>1810</v>
      </c>
      <c r="I344" s="199" t="s">
        <v>1810</v>
      </c>
      <c r="J344" s="199" t="s">
        <v>1750</v>
      </c>
      <c r="K344" s="199" t="s">
        <v>1435</v>
      </c>
      <c r="L344" s="407" t="n">
        <v>30920</v>
      </c>
      <c r="M344" s="407" t="n">
        <v>14560</v>
      </c>
      <c r="N344" s="408" t="n">
        <v>9.5</v>
      </c>
      <c r="O344" s="407" t="n">
        <v>16360</v>
      </c>
      <c r="P344" s="407" t="n">
        <v>14805.8</v>
      </c>
      <c r="Q344" s="234" t="n">
        <v>2023</v>
      </c>
      <c r="R344" s="234"/>
      <c r="S344" s="248" t="n">
        <v>45103</v>
      </c>
      <c r="T344" s="407" t="n">
        <f aca="false">Таблица18[[#This Row],[Вес нетто]]-Таблица18[[#This Row],[Зачетный вес]]</f>
        <v>1554.2</v>
      </c>
      <c r="U344" s="409" t="n">
        <f aca="false">Таблица18[[#This Row],[Отход]]/Таблица18[[#This Row],[Вес нетто]]</f>
        <v>0.095</v>
      </c>
      <c r="V344" s="234" t="n">
        <f aca="false">MONTH(Таблица18[[#This Row],[Дата акта]])</f>
        <v>6</v>
      </c>
      <c r="W344" s="234" t="n">
        <v>26</v>
      </c>
      <c r="X344" s="248" t="n">
        <f aca="false">DATE(1900,Таблица18[[#This Row],[Месяц]],Таблица18[[#This Row],[Число]])</f>
        <v>178</v>
      </c>
      <c r="Y344" s="234"/>
      <c r="AF344" s="411"/>
      <c r="AG344" s="412"/>
    </row>
    <row r="345" s="410" customFormat="true" ht="15" hidden="true" customHeight="true" outlineLevel="0" collapsed="false">
      <c r="A345" s="199" t="s">
        <v>1832</v>
      </c>
      <c r="B345" s="199" t="s">
        <v>746</v>
      </c>
      <c r="C345" s="405" t="n">
        <v>503</v>
      </c>
      <c r="D345" s="406" t="n">
        <v>40</v>
      </c>
      <c r="E345" s="199" t="s">
        <v>1785</v>
      </c>
      <c r="F345" s="199" t="s">
        <v>1439</v>
      </c>
      <c r="G345" s="199" t="s">
        <v>1440</v>
      </c>
      <c r="H345" s="199" t="s">
        <v>1810</v>
      </c>
      <c r="I345" s="199" t="s">
        <v>1810</v>
      </c>
      <c r="J345" s="199" t="s">
        <v>1750</v>
      </c>
      <c r="K345" s="199" t="s">
        <v>1435</v>
      </c>
      <c r="L345" s="407" t="n">
        <v>30210</v>
      </c>
      <c r="M345" s="407" t="n">
        <v>13270</v>
      </c>
      <c r="N345" s="408" t="n">
        <v>8.5</v>
      </c>
      <c r="O345" s="407" t="n">
        <v>16940</v>
      </c>
      <c r="P345" s="407" t="n">
        <v>15500.1</v>
      </c>
      <c r="Q345" s="234" t="n">
        <v>2023</v>
      </c>
      <c r="R345" s="234"/>
      <c r="S345" s="248" t="n">
        <v>45103</v>
      </c>
      <c r="T345" s="407" t="n">
        <f aca="false">Таблица18[[#This Row],[Вес нетто]]-Таблица18[[#This Row],[Зачетный вес]]</f>
        <v>1439.9</v>
      </c>
      <c r="U345" s="409" t="n">
        <f aca="false">Таблица18[[#This Row],[Отход]]/Таблица18[[#This Row],[Вес нетто]]</f>
        <v>0.085</v>
      </c>
      <c r="V345" s="234" t="n">
        <f aca="false">MONTH(Таблица18[[#This Row],[Дата акта]])</f>
        <v>6</v>
      </c>
      <c r="W345" s="234" t="n">
        <v>26</v>
      </c>
      <c r="X345" s="248" t="n">
        <f aca="false">DATE(1900,Таблица18[[#This Row],[Месяц]],Таблица18[[#This Row],[Число]])</f>
        <v>178</v>
      </c>
      <c r="Y345" s="234"/>
      <c r="AF345" s="411"/>
      <c r="AG345" s="412"/>
    </row>
    <row r="346" s="410" customFormat="true" ht="15" hidden="true" customHeight="true" outlineLevel="0" collapsed="false">
      <c r="A346" s="199" t="s">
        <v>1833</v>
      </c>
      <c r="B346" s="199" t="s">
        <v>417</v>
      </c>
      <c r="C346" s="405" t="n">
        <v>505</v>
      </c>
      <c r="D346" s="406" t="n">
        <v>41</v>
      </c>
      <c r="E346" s="199" t="s">
        <v>994</v>
      </c>
      <c r="F346" s="199" t="s">
        <v>1449</v>
      </c>
      <c r="G346" s="199" t="s">
        <v>704</v>
      </c>
      <c r="H346" s="199" t="s">
        <v>1810</v>
      </c>
      <c r="I346" s="199" t="s">
        <v>1810</v>
      </c>
      <c r="J346" s="199" t="s">
        <v>1750</v>
      </c>
      <c r="K346" s="199" t="s">
        <v>1435</v>
      </c>
      <c r="L346" s="407" t="n">
        <v>33310</v>
      </c>
      <c r="M346" s="407" t="n">
        <v>14850</v>
      </c>
      <c r="N346" s="408" t="n">
        <v>9.5</v>
      </c>
      <c r="O346" s="407" t="n">
        <v>18460</v>
      </c>
      <c r="P346" s="407" t="n">
        <v>16706.3</v>
      </c>
      <c r="Q346" s="234" t="n">
        <v>2023</v>
      </c>
      <c r="R346" s="234"/>
      <c r="S346" s="248" t="n">
        <v>45104</v>
      </c>
      <c r="T346" s="407" t="n">
        <f aca="false">Таблица18[[#This Row],[Вес нетто]]-Таблица18[[#This Row],[Зачетный вес]]</f>
        <v>1753.7</v>
      </c>
      <c r="U346" s="409" t="n">
        <f aca="false">Таблица18[[#This Row],[Отход]]/Таблица18[[#This Row],[Вес нетто]]</f>
        <v>0.095</v>
      </c>
      <c r="V346" s="234" t="n">
        <f aca="false">MONTH(Таблица18[[#This Row],[Дата акта]])</f>
        <v>6</v>
      </c>
      <c r="W346" s="234" t="n">
        <v>27</v>
      </c>
      <c r="X346" s="248" t="n">
        <f aca="false">DATE(1900,Таблица18[[#This Row],[Месяц]],Таблица18[[#This Row],[Число]])</f>
        <v>179</v>
      </c>
      <c r="Y346" s="234"/>
      <c r="AF346" s="411"/>
      <c r="AG346" s="412"/>
    </row>
    <row r="347" s="410" customFormat="true" ht="15" hidden="true" customHeight="true" outlineLevel="0" collapsed="false">
      <c r="A347" s="199" t="s">
        <v>1834</v>
      </c>
      <c r="B347" s="199" t="s">
        <v>746</v>
      </c>
      <c r="C347" s="405" t="n">
        <v>506</v>
      </c>
      <c r="D347" s="406" t="n">
        <v>42</v>
      </c>
      <c r="E347" s="199" t="s">
        <v>1785</v>
      </c>
      <c r="F347" s="199" t="s">
        <v>1797</v>
      </c>
      <c r="G347" s="199" t="s">
        <v>385</v>
      </c>
      <c r="H347" s="199" t="s">
        <v>1835</v>
      </c>
      <c r="I347" s="199" t="s">
        <v>1835</v>
      </c>
      <c r="J347" s="199" t="s">
        <v>1750</v>
      </c>
      <c r="K347" s="199" t="s">
        <v>1435</v>
      </c>
      <c r="L347" s="407" t="n">
        <v>30100</v>
      </c>
      <c r="M347" s="407" t="n">
        <v>14450</v>
      </c>
      <c r="N347" s="408" t="n">
        <v>7.5</v>
      </c>
      <c r="O347" s="407" t="n">
        <v>15650</v>
      </c>
      <c r="P347" s="407" t="n">
        <v>14476.2</v>
      </c>
      <c r="Q347" s="234" t="n">
        <v>2023</v>
      </c>
      <c r="R347" s="234"/>
      <c r="S347" s="248" t="n">
        <v>45104</v>
      </c>
      <c r="T347" s="407" t="n">
        <f aca="false">Таблица18[[#This Row],[Вес нетто]]-Таблица18[[#This Row],[Зачетный вес]]</f>
        <v>1173.8</v>
      </c>
      <c r="U347" s="409" t="n">
        <f aca="false">Таблица18[[#This Row],[Отход]]/Таблица18[[#This Row],[Вес нетто]]</f>
        <v>0.0750031948881789</v>
      </c>
      <c r="V347" s="234" t="n">
        <f aca="false">MONTH(Таблица18[[#This Row],[Дата акта]])</f>
        <v>6</v>
      </c>
      <c r="W347" s="234" t="n">
        <v>27</v>
      </c>
      <c r="X347" s="248" t="n">
        <f aca="false">DATE(1900,Таблица18[[#This Row],[Месяц]],Таблица18[[#This Row],[Число]])</f>
        <v>179</v>
      </c>
      <c r="Y347" s="234"/>
      <c r="AF347" s="411"/>
      <c r="AG347" s="412"/>
    </row>
    <row r="348" s="410" customFormat="true" ht="15" hidden="true" customHeight="true" outlineLevel="0" collapsed="false">
      <c r="A348" s="199" t="s">
        <v>1836</v>
      </c>
      <c r="B348" s="199" t="s">
        <v>746</v>
      </c>
      <c r="C348" s="405" t="n">
        <v>507</v>
      </c>
      <c r="D348" s="406" t="n">
        <v>43</v>
      </c>
      <c r="E348" s="199" t="s">
        <v>1785</v>
      </c>
      <c r="F348" s="199" t="s">
        <v>359</v>
      </c>
      <c r="G348" s="199" t="s">
        <v>426</v>
      </c>
      <c r="H348" s="199" t="s">
        <v>1810</v>
      </c>
      <c r="I348" s="199" t="s">
        <v>1810</v>
      </c>
      <c r="J348" s="199" t="s">
        <v>1750</v>
      </c>
      <c r="K348" s="199" t="s">
        <v>1435</v>
      </c>
      <c r="L348" s="407" t="n">
        <v>29820</v>
      </c>
      <c r="M348" s="407" t="n">
        <v>14110</v>
      </c>
      <c r="N348" s="408" t="n">
        <v>8.5</v>
      </c>
      <c r="O348" s="407" t="n">
        <v>15710</v>
      </c>
      <c r="P348" s="407" t="n">
        <v>14374.6</v>
      </c>
      <c r="Q348" s="234" t="n">
        <v>2023</v>
      </c>
      <c r="R348" s="234"/>
      <c r="S348" s="248" t="n">
        <v>45104</v>
      </c>
      <c r="T348" s="407" t="n">
        <f aca="false">Таблица18[[#This Row],[Вес нетто]]-Таблица18[[#This Row],[Зачетный вес]]</f>
        <v>1335.4</v>
      </c>
      <c r="U348" s="409" t="n">
        <f aca="false">Таблица18[[#This Row],[Отход]]/Таблица18[[#This Row],[Вес нетто]]</f>
        <v>0.0850031826861871</v>
      </c>
      <c r="V348" s="234" t="n">
        <f aca="false">MONTH(Таблица18[[#This Row],[Дата акта]])</f>
        <v>6</v>
      </c>
      <c r="W348" s="234" t="n">
        <v>27</v>
      </c>
      <c r="X348" s="248" t="n">
        <f aca="false">DATE(1900,Таблица18[[#This Row],[Месяц]],Таблица18[[#This Row],[Число]])</f>
        <v>179</v>
      </c>
      <c r="Y348" s="234"/>
      <c r="AF348" s="411"/>
      <c r="AG348" s="412"/>
    </row>
    <row r="349" s="410" customFormat="true" ht="15" hidden="true" customHeight="true" outlineLevel="0" collapsed="false">
      <c r="A349" s="199" t="s">
        <v>1837</v>
      </c>
      <c r="B349" s="199" t="s">
        <v>746</v>
      </c>
      <c r="C349" s="405" t="n">
        <v>508</v>
      </c>
      <c r="D349" s="406" t="n">
        <v>44</v>
      </c>
      <c r="E349" s="199" t="s">
        <v>1785</v>
      </c>
      <c r="F349" s="199" t="s">
        <v>457</v>
      </c>
      <c r="G349" s="199" t="s">
        <v>366</v>
      </c>
      <c r="H349" s="199" t="s">
        <v>1810</v>
      </c>
      <c r="I349" s="199" t="s">
        <v>1810</v>
      </c>
      <c r="J349" s="199" t="s">
        <v>1750</v>
      </c>
      <c r="K349" s="199" t="s">
        <v>1435</v>
      </c>
      <c r="L349" s="407" t="n">
        <v>35430</v>
      </c>
      <c r="M349" s="407" t="n">
        <v>17550</v>
      </c>
      <c r="N349" s="408" t="n">
        <v>8.5</v>
      </c>
      <c r="O349" s="407" t="n">
        <v>17880</v>
      </c>
      <c r="P349" s="407" t="n">
        <v>16360.2</v>
      </c>
      <c r="Q349" s="234" t="n">
        <v>2023</v>
      </c>
      <c r="R349" s="234"/>
      <c r="S349" s="248" t="n">
        <v>45104</v>
      </c>
      <c r="T349" s="407" t="n">
        <f aca="false">Таблица18[[#This Row],[Вес нетто]]-Таблица18[[#This Row],[Зачетный вес]]</f>
        <v>1519.8</v>
      </c>
      <c r="U349" s="409" t="n">
        <f aca="false">Таблица18[[#This Row],[Отход]]/Таблица18[[#This Row],[Вес нетто]]</f>
        <v>0.085</v>
      </c>
      <c r="V349" s="234" t="n">
        <f aca="false">MONTH(Таблица18[[#This Row],[Дата акта]])</f>
        <v>6</v>
      </c>
      <c r="W349" s="234" t="n">
        <v>27</v>
      </c>
      <c r="X349" s="248" t="n">
        <f aca="false">DATE(1900,Таблица18[[#This Row],[Месяц]],Таблица18[[#This Row],[Число]])</f>
        <v>179</v>
      </c>
      <c r="Y349" s="234"/>
      <c r="AF349" s="411"/>
      <c r="AG349" s="412"/>
    </row>
    <row r="350" s="410" customFormat="true" ht="15" hidden="true" customHeight="true" outlineLevel="0" collapsed="false">
      <c r="A350" s="199" t="s">
        <v>1838</v>
      </c>
      <c r="B350" s="199" t="s">
        <v>746</v>
      </c>
      <c r="C350" s="405" t="n">
        <v>509</v>
      </c>
      <c r="D350" s="406" t="n">
        <v>45</v>
      </c>
      <c r="E350" s="199" t="s">
        <v>1785</v>
      </c>
      <c r="F350" s="199" t="s">
        <v>371</v>
      </c>
      <c r="G350" s="199" t="s">
        <v>372</v>
      </c>
      <c r="H350" s="199" t="s">
        <v>1810</v>
      </c>
      <c r="I350" s="199" t="s">
        <v>1810</v>
      </c>
      <c r="J350" s="199" t="s">
        <v>1750</v>
      </c>
      <c r="K350" s="199" t="s">
        <v>1435</v>
      </c>
      <c r="L350" s="407" t="n">
        <v>30910</v>
      </c>
      <c r="M350" s="407" t="n">
        <v>15250</v>
      </c>
      <c r="N350" s="408" t="n">
        <v>6.5</v>
      </c>
      <c r="O350" s="407" t="n">
        <v>15660</v>
      </c>
      <c r="P350" s="407" t="n">
        <v>14642.1</v>
      </c>
      <c r="Q350" s="234" t="n">
        <v>2023</v>
      </c>
      <c r="R350" s="234"/>
      <c r="S350" s="248" t="n">
        <v>45104</v>
      </c>
      <c r="T350" s="407" t="n">
        <f aca="false">Таблица18[[#This Row],[Вес нетто]]-Таблица18[[#This Row],[Зачетный вес]]</f>
        <v>1017.9</v>
      </c>
      <c r="U350" s="409" t="n">
        <f aca="false">Таблица18[[#This Row],[Отход]]/Таблица18[[#This Row],[Вес нетто]]</f>
        <v>0.065</v>
      </c>
      <c r="V350" s="234" t="n">
        <f aca="false">MONTH(Таблица18[[#This Row],[Дата акта]])</f>
        <v>6</v>
      </c>
      <c r="W350" s="234" t="n">
        <v>27</v>
      </c>
      <c r="X350" s="248" t="n">
        <f aca="false">DATE(1900,Таблица18[[#This Row],[Месяц]],Таблица18[[#This Row],[Число]])</f>
        <v>179</v>
      </c>
      <c r="Y350" s="234"/>
      <c r="AF350" s="411"/>
      <c r="AG350" s="412"/>
    </row>
    <row r="351" s="410" customFormat="true" ht="15" hidden="true" customHeight="true" outlineLevel="0" collapsed="false">
      <c r="A351" s="199" t="s">
        <v>1839</v>
      </c>
      <c r="B351" s="199" t="s">
        <v>746</v>
      </c>
      <c r="C351" s="405" t="n">
        <v>510</v>
      </c>
      <c r="D351" s="406" t="n">
        <v>46</v>
      </c>
      <c r="E351" s="199" t="s">
        <v>1785</v>
      </c>
      <c r="F351" s="199" t="s">
        <v>1449</v>
      </c>
      <c r="G351" s="199" t="s">
        <v>704</v>
      </c>
      <c r="H351" s="199" t="s">
        <v>1810</v>
      </c>
      <c r="I351" s="199" t="s">
        <v>1810</v>
      </c>
      <c r="J351" s="199" t="s">
        <v>1750</v>
      </c>
      <c r="K351" s="199" t="s">
        <v>1435</v>
      </c>
      <c r="L351" s="407" t="n">
        <v>32480</v>
      </c>
      <c r="M351" s="407" t="n">
        <v>14880</v>
      </c>
      <c r="N351" s="408" t="n">
        <v>9.5</v>
      </c>
      <c r="O351" s="407" t="n">
        <v>17600</v>
      </c>
      <c r="P351" s="407" t="n">
        <v>15928</v>
      </c>
      <c r="Q351" s="234" t="n">
        <v>2023</v>
      </c>
      <c r="R351" s="234"/>
      <c r="S351" s="248" t="n">
        <v>45105</v>
      </c>
      <c r="T351" s="407" t="n">
        <f aca="false">Таблица18[[#This Row],[Вес нетто]]-Таблица18[[#This Row],[Зачетный вес]]</f>
        <v>1672</v>
      </c>
      <c r="U351" s="409" t="n">
        <f aca="false">Таблица18[[#This Row],[Отход]]/Таблица18[[#This Row],[Вес нетто]]</f>
        <v>0.095</v>
      </c>
      <c r="V351" s="234" t="n">
        <f aca="false">MONTH(Таблица18[[#This Row],[Дата акта]])</f>
        <v>6</v>
      </c>
      <c r="W351" s="234" t="n">
        <v>28</v>
      </c>
      <c r="X351" s="248" t="n">
        <f aca="false">DATE(1900,Таблица18[[#This Row],[Месяц]],Таблица18[[#This Row],[Число]])</f>
        <v>180</v>
      </c>
      <c r="Y351" s="234"/>
      <c r="AF351" s="411"/>
      <c r="AG351" s="412"/>
    </row>
    <row r="352" s="410" customFormat="true" ht="15" hidden="true" customHeight="true" outlineLevel="0" collapsed="false">
      <c r="A352" s="199" t="s">
        <v>1840</v>
      </c>
      <c r="B352" s="199" t="s">
        <v>746</v>
      </c>
      <c r="C352" s="405" t="n">
        <v>511</v>
      </c>
      <c r="D352" s="406" t="n">
        <v>47</v>
      </c>
      <c r="E352" s="199" t="s">
        <v>1785</v>
      </c>
      <c r="F352" s="199" t="s">
        <v>1576</v>
      </c>
      <c r="G352" s="199" t="s">
        <v>1455</v>
      </c>
      <c r="H352" s="199" t="s">
        <v>1810</v>
      </c>
      <c r="I352" s="199" t="s">
        <v>1810</v>
      </c>
      <c r="J352" s="199" t="s">
        <v>1750</v>
      </c>
      <c r="K352" s="199" t="s">
        <v>1435</v>
      </c>
      <c r="L352" s="407" t="n">
        <v>33200</v>
      </c>
      <c r="M352" s="407" t="n">
        <v>14470</v>
      </c>
      <c r="N352" s="408" t="n">
        <v>7.5</v>
      </c>
      <c r="O352" s="407" t="n">
        <v>18730</v>
      </c>
      <c r="P352" s="407" t="n">
        <v>17325.2</v>
      </c>
      <c r="Q352" s="234" t="n">
        <v>2023</v>
      </c>
      <c r="R352" s="234"/>
      <c r="S352" s="248" t="n">
        <v>45105</v>
      </c>
      <c r="T352" s="407" t="n">
        <f aca="false">Таблица18[[#This Row],[Вес нетто]]-Таблица18[[#This Row],[Зачетный вес]]</f>
        <v>1404.8</v>
      </c>
      <c r="U352" s="409" t="n">
        <f aca="false">Таблица18[[#This Row],[Отход]]/Таблица18[[#This Row],[Вес нетто]]</f>
        <v>0.0750026695141484</v>
      </c>
      <c r="V352" s="234" t="n">
        <f aca="false">MONTH(Таблица18[[#This Row],[Дата акта]])</f>
        <v>6</v>
      </c>
      <c r="W352" s="234" t="n">
        <v>28</v>
      </c>
      <c r="X352" s="248" t="n">
        <f aca="false">DATE(1900,Таблица18[[#This Row],[Месяц]],Таблица18[[#This Row],[Число]])</f>
        <v>180</v>
      </c>
      <c r="Y352" s="234"/>
      <c r="AF352" s="411"/>
      <c r="AG352" s="412"/>
    </row>
    <row r="353" s="410" customFormat="true" ht="15" hidden="true" customHeight="true" outlineLevel="0" collapsed="false">
      <c r="A353" s="199" t="s">
        <v>1841</v>
      </c>
      <c r="B353" s="199" t="s">
        <v>417</v>
      </c>
      <c r="C353" s="405" t="n">
        <v>512</v>
      </c>
      <c r="D353" s="406" t="n">
        <v>48</v>
      </c>
      <c r="E353" s="199" t="s">
        <v>1785</v>
      </c>
      <c r="F353" s="199" t="s">
        <v>1439</v>
      </c>
      <c r="G353" s="199" t="s">
        <v>1440</v>
      </c>
      <c r="H353" s="199" t="s">
        <v>1842</v>
      </c>
      <c r="I353" s="199" t="s">
        <v>1842</v>
      </c>
      <c r="J353" s="199" t="s">
        <v>1843</v>
      </c>
      <c r="K353" s="199" t="s">
        <v>1435</v>
      </c>
      <c r="L353" s="407" t="n">
        <v>29090</v>
      </c>
      <c r="M353" s="407" t="n">
        <v>13300</v>
      </c>
      <c r="N353" s="408" t="n">
        <v>15.5</v>
      </c>
      <c r="O353" s="407" t="n">
        <v>15790</v>
      </c>
      <c r="P353" s="407" t="n">
        <v>13342.5</v>
      </c>
      <c r="Q353" s="234" t="n">
        <v>2023</v>
      </c>
      <c r="R353" s="234"/>
      <c r="S353" s="248" t="n">
        <v>45105</v>
      </c>
      <c r="T353" s="407" t="n">
        <f aca="false">Таблица18[[#This Row],[Вес нетто]]-Таблица18[[#This Row],[Зачетный вес]]</f>
        <v>2447.5</v>
      </c>
      <c r="U353" s="409" t="n">
        <f aca="false">Таблица18[[#This Row],[Отход]]/Таблица18[[#This Row],[Вес нетто]]</f>
        <v>0.155003166561115</v>
      </c>
      <c r="V353" s="234" t="n">
        <f aca="false">MONTH(Таблица18[[#This Row],[Дата акта]])</f>
        <v>6</v>
      </c>
      <c r="W353" s="234" t="n">
        <v>28</v>
      </c>
      <c r="X353" s="248" t="n">
        <f aca="false">DATE(1900,Таблица18[[#This Row],[Месяц]],Таблица18[[#This Row],[Число]])</f>
        <v>180</v>
      </c>
      <c r="Y353" s="234"/>
      <c r="AF353" s="411"/>
      <c r="AG353" s="412"/>
    </row>
    <row r="354" s="410" customFormat="true" ht="15" hidden="true" customHeight="true" outlineLevel="0" collapsed="false">
      <c r="A354" s="199" t="s">
        <v>1844</v>
      </c>
      <c r="B354" s="199" t="s">
        <v>417</v>
      </c>
      <c r="C354" s="405" t="n">
        <v>513</v>
      </c>
      <c r="D354" s="406" t="n">
        <v>49</v>
      </c>
      <c r="E354" s="199" t="s">
        <v>1785</v>
      </c>
      <c r="F354" s="199" t="s">
        <v>386</v>
      </c>
      <c r="G354" s="199" t="s">
        <v>387</v>
      </c>
      <c r="H354" s="199" t="s">
        <v>1842</v>
      </c>
      <c r="I354" s="199" t="s">
        <v>1842</v>
      </c>
      <c r="J354" s="199"/>
      <c r="K354" s="199" t="s">
        <v>1435</v>
      </c>
      <c r="L354" s="407" t="n">
        <v>31080</v>
      </c>
      <c r="M354" s="407" t="n">
        <v>15360</v>
      </c>
      <c r="N354" s="408" t="n">
        <v>26</v>
      </c>
      <c r="O354" s="407" t="n">
        <v>15720</v>
      </c>
      <c r="P354" s="407" t="n">
        <v>11632.8</v>
      </c>
      <c r="Q354" s="234" t="n">
        <v>2023</v>
      </c>
      <c r="R354" s="234"/>
      <c r="S354" s="248" t="n">
        <v>45105</v>
      </c>
      <c r="T354" s="407" t="n">
        <f aca="false">Таблица18[[#This Row],[Вес нетто]]-Таблица18[[#This Row],[Зачетный вес]]</f>
        <v>4087.2</v>
      </c>
      <c r="U354" s="409" t="n">
        <f aca="false">Таблица18[[#This Row],[Отход]]/Таблица18[[#This Row],[Вес нетто]]</f>
        <v>0.26</v>
      </c>
      <c r="V354" s="234" t="n">
        <f aca="false">MONTH(Таблица18[[#This Row],[Дата акта]])</f>
        <v>6</v>
      </c>
      <c r="W354" s="234" t="n">
        <v>28</v>
      </c>
      <c r="X354" s="248" t="n">
        <f aca="false">DATE(1900,Таблица18[[#This Row],[Месяц]],Таблица18[[#This Row],[Число]])</f>
        <v>180</v>
      </c>
      <c r="Y354" s="234"/>
      <c r="AF354" s="411"/>
      <c r="AG354" s="412"/>
    </row>
    <row r="355" s="410" customFormat="true" ht="15" hidden="true" customHeight="true" outlineLevel="0" collapsed="false">
      <c r="A355" s="199" t="s">
        <v>1845</v>
      </c>
      <c r="B355" s="199" t="s">
        <v>417</v>
      </c>
      <c r="C355" s="405" t="n">
        <v>516</v>
      </c>
      <c r="D355" s="406" t="n">
        <v>50</v>
      </c>
      <c r="E355" s="199" t="s">
        <v>1785</v>
      </c>
      <c r="F355" s="199" t="s">
        <v>1485</v>
      </c>
      <c r="G355" s="199" t="s">
        <v>431</v>
      </c>
      <c r="H355" s="199" t="s">
        <v>1842</v>
      </c>
      <c r="I355" s="199" t="s">
        <v>1842</v>
      </c>
      <c r="J355" s="199" t="s">
        <v>1843</v>
      </c>
      <c r="K355" s="199" t="s">
        <v>1435</v>
      </c>
      <c r="L355" s="407" t="n">
        <v>39540</v>
      </c>
      <c r="M355" s="407" t="n">
        <v>20840</v>
      </c>
      <c r="N355" s="408" t="n">
        <v>16.5</v>
      </c>
      <c r="O355" s="407" t="n">
        <v>18700</v>
      </c>
      <c r="P355" s="407" t="n">
        <v>15614.5</v>
      </c>
      <c r="Q355" s="234" t="n">
        <v>2023</v>
      </c>
      <c r="R355" s="234"/>
      <c r="S355" s="248" t="n">
        <v>45105</v>
      </c>
      <c r="T355" s="407" t="n">
        <f aca="false">Таблица18[[#This Row],[Вес нетто]]-Таблица18[[#This Row],[Зачетный вес]]</f>
        <v>3085.5</v>
      </c>
      <c r="U355" s="409" t="n">
        <f aca="false">Таблица18[[#This Row],[Отход]]/Таблица18[[#This Row],[Вес нетто]]</f>
        <v>0.165</v>
      </c>
      <c r="V355" s="234" t="n">
        <f aca="false">MONTH(Таблица18[[#This Row],[Дата акта]])</f>
        <v>6</v>
      </c>
      <c r="W355" s="234" t="n">
        <v>28</v>
      </c>
      <c r="X355" s="248" t="n">
        <f aca="false">DATE(1900,Таблица18[[#This Row],[Месяц]],Таблица18[[#This Row],[Число]])</f>
        <v>180</v>
      </c>
      <c r="Y355" s="234"/>
      <c r="AF355" s="411"/>
      <c r="AG355" s="412"/>
    </row>
    <row r="356" s="410" customFormat="true" ht="15" hidden="true" customHeight="true" outlineLevel="0" collapsed="false">
      <c r="A356" s="199" t="s">
        <v>1846</v>
      </c>
      <c r="B356" s="199" t="s">
        <v>886</v>
      </c>
      <c r="C356" s="405" t="n">
        <v>517</v>
      </c>
      <c r="D356" s="406" t="n">
        <v>51</v>
      </c>
      <c r="E356" s="199" t="s">
        <v>1785</v>
      </c>
      <c r="F356" s="199" t="s">
        <v>610</v>
      </c>
      <c r="G356" s="199" t="s">
        <v>614</v>
      </c>
      <c r="H356" s="199" t="s">
        <v>1835</v>
      </c>
      <c r="I356" s="199" t="s">
        <v>1835</v>
      </c>
      <c r="J356" s="199" t="s">
        <v>1750</v>
      </c>
      <c r="K356" s="199" t="s">
        <v>1435</v>
      </c>
      <c r="L356" s="407" t="n">
        <v>32360</v>
      </c>
      <c r="M356" s="407" t="n">
        <v>16990</v>
      </c>
      <c r="N356" s="408" t="n">
        <v>6.5</v>
      </c>
      <c r="O356" s="407" t="n">
        <v>15370</v>
      </c>
      <c r="P356" s="407" t="n">
        <v>14370.9</v>
      </c>
      <c r="Q356" s="234" t="n">
        <v>2023</v>
      </c>
      <c r="R356" s="234"/>
      <c r="S356" s="248" t="n">
        <v>45105</v>
      </c>
      <c r="T356" s="407" t="n">
        <f aca="false">Таблица18[[#This Row],[Вес нетто]]-Таблица18[[#This Row],[Зачетный вес]]</f>
        <v>999.1</v>
      </c>
      <c r="U356" s="409" t="n">
        <f aca="false">Таблица18[[#This Row],[Отход]]/Таблица18[[#This Row],[Вес нетто]]</f>
        <v>0.0650032530904359</v>
      </c>
      <c r="V356" s="234" t="n">
        <f aca="false">MONTH(Таблица18[[#This Row],[Дата акта]])</f>
        <v>6</v>
      </c>
      <c r="W356" s="234" t="n">
        <v>28</v>
      </c>
      <c r="X356" s="248" t="n">
        <f aca="false">DATE(1900,Таблица18[[#This Row],[Месяц]],Таблица18[[#This Row],[Число]])</f>
        <v>180</v>
      </c>
      <c r="Y356" s="234"/>
      <c r="AF356" s="411"/>
      <c r="AG356" s="412"/>
    </row>
    <row r="357" s="410" customFormat="true" ht="15" hidden="true" customHeight="true" outlineLevel="0" collapsed="false">
      <c r="A357" s="199" t="s">
        <v>1847</v>
      </c>
      <c r="B357" s="199" t="s">
        <v>886</v>
      </c>
      <c r="C357" s="405" t="n">
        <v>518</v>
      </c>
      <c r="D357" s="406" t="n">
        <v>52</v>
      </c>
      <c r="E357" s="199" t="s">
        <v>1785</v>
      </c>
      <c r="F357" s="199" t="s">
        <v>1792</v>
      </c>
      <c r="G357" s="199" t="s">
        <v>1793</v>
      </c>
      <c r="H357" s="199" t="s">
        <v>1835</v>
      </c>
      <c r="I357" s="199" t="s">
        <v>1835</v>
      </c>
      <c r="J357" s="199" t="s">
        <v>1750</v>
      </c>
      <c r="K357" s="199" t="s">
        <v>1435</v>
      </c>
      <c r="L357" s="407" t="n">
        <v>30930</v>
      </c>
      <c r="M357" s="407" t="n">
        <v>15450</v>
      </c>
      <c r="N357" s="408" t="n">
        <v>5.5</v>
      </c>
      <c r="O357" s="407" t="n">
        <v>15480</v>
      </c>
      <c r="P357" s="407" t="n">
        <v>14628.6</v>
      </c>
      <c r="Q357" s="234" t="n">
        <v>2023</v>
      </c>
      <c r="R357" s="234"/>
      <c r="S357" s="248" t="n">
        <v>45105</v>
      </c>
      <c r="T357" s="407" t="n">
        <f aca="false">Таблица18[[#This Row],[Вес нетто]]-Таблица18[[#This Row],[Зачетный вес]]</f>
        <v>851.4</v>
      </c>
      <c r="U357" s="409" t="n">
        <f aca="false">Таблица18[[#This Row],[Отход]]/Таблица18[[#This Row],[Вес нетто]]</f>
        <v>0.055</v>
      </c>
      <c r="V357" s="234" t="n">
        <f aca="false">MONTH(Таблица18[[#This Row],[Дата акта]])</f>
        <v>6</v>
      </c>
      <c r="W357" s="234" t="n">
        <v>28</v>
      </c>
      <c r="X357" s="248" t="n">
        <f aca="false">DATE(1900,Таблица18[[#This Row],[Месяц]],Таблица18[[#This Row],[Число]])</f>
        <v>180</v>
      </c>
      <c r="Y357" s="234"/>
      <c r="AF357" s="411"/>
      <c r="AG357" s="412"/>
    </row>
    <row r="358" s="410" customFormat="true" ht="15" hidden="true" customHeight="true" outlineLevel="0" collapsed="false">
      <c r="A358" s="199" t="s">
        <v>1848</v>
      </c>
      <c r="B358" s="199" t="s">
        <v>746</v>
      </c>
      <c r="C358" s="405" t="n">
        <v>519</v>
      </c>
      <c r="D358" s="406" t="n">
        <v>53</v>
      </c>
      <c r="E358" s="199" t="s">
        <v>1785</v>
      </c>
      <c r="F358" s="199" t="s">
        <v>1483</v>
      </c>
      <c r="G358" s="199" t="s">
        <v>373</v>
      </c>
      <c r="H358" s="199" t="s">
        <v>1835</v>
      </c>
      <c r="I358" s="199" t="s">
        <v>1835</v>
      </c>
      <c r="J358" s="199" t="s">
        <v>1750</v>
      </c>
      <c r="K358" s="199" t="s">
        <v>1435</v>
      </c>
      <c r="L358" s="407" t="n">
        <v>36460</v>
      </c>
      <c r="M358" s="407" t="n">
        <v>18680</v>
      </c>
      <c r="N358" s="408" t="n">
        <v>5.5</v>
      </c>
      <c r="O358" s="407" t="n">
        <v>17780</v>
      </c>
      <c r="P358" s="407" t="n">
        <v>16802.1</v>
      </c>
      <c r="Q358" s="234" t="n">
        <v>2023</v>
      </c>
      <c r="R358" s="234"/>
      <c r="S358" s="248" t="n">
        <v>45105</v>
      </c>
      <c r="T358" s="407" t="n">
        <f aca="false">Таблица18[[#This Row],[Вес нетто]]-Таблица18[[#This Row],[Зачетный вес]]</f>
        <v>977.900000000002</v>
      </c>
      <c r="U358" s="409" t="n">
        <f aca="false">Таблица18[[#This Row],[Отход]]/Таблица18[[#This Row],[Вес нетто]]</f>
        <v>0.0550000000000001</v>
      </c>
      <c r="V358" s="234" t="n">
        <f aca="false">MONTH(Таблица18[[#This Row],[Дата акта]])</f>
        <v>6</v>
      </c>
      <c r="W358" s="234" t="n">
        <v>28</v>
      </c>
      <c r="X358" s="248" t="n">
        <f aca="false">DATE(1900,Таблица18[[#This Row],[Месяц]],Таблица18[[#This Row],[Число]])</f>
        <v>180</v>
      </c>
      <c r="Y358" s="234"/>
      <c r="AF358" s="411"/>
      <c r="AG358" s="412"/>
    </row>
    <row r="359" s="410" customFormat="true" ht="15" hidden="true" customHeight="true" outlineLevel="0" collapsed="false">
      <c r="A359" s="199" t="s">
        <v>1849</v>
      </c>
      <c r="B359" s="199" t="s">
        <v>886</v>
      </c>
      <c r="C359" s="405" t="n">
        <v>521</v>
      </c>
      <c r="D359" s="406" t="n">
        <v>54</v>
      </c>
      <c r="E359" s="199" t="s">
        <v>1785</v>
      </c>
      <c r="F359" s="199" t="s">
        <v>602</v>
      </c>
      <c r="G359" s="199" t="s">
        <v>606</v>
      </c>
      <c r="H359" s="199" t="s">
        <v>1835</v>
      </c>
      <c r="I359" s="199" t="s">
        <v>1835</v>
      </c>
      <c r="J359" s="199" t="s">
        <v>1750</v>
      </c>
      <c r="K359" s="199" t="s">
        <v>1435</v>
      </c>
      <c r="L359" s="407" t="n">
        <v>35660</v>
      </c>
      <c r="M359" s="407" t="n">
        <v>17980</v>
      </c>
      <c r="N359" s="408" t="n">
        <v>7.5</v>
      </c>
      <c r="O359" s="407" t="n">
        <v>17680</v>
      </c>
      <c r="P359" s="407" t="n">
        <v>16354</v>
      </c>
      <c r="Q359" s="234" t="n">
        <v>2023</v>
      </c>
      <c r="R359" s="234"/>
      <c r="S359" s="248" t="n">
        <v>45105</v>
      </c>
      <c r="T359" s="407" t="n">
        <f aca="false">Таблица18[[#This Row],[Вес нетто]]-Таблица18[[#This Row],[Зачетный вес]]</f>
        <v>1326</v>
      </c>
      <c r="U359" s="409" t="n">
        <f aca="false">Таблица18[[#This Row],[Отход]]/Таблица18[[#This Row],[Вес нетто]]</f>
        <v>0.075</v>
      </c>
      <c r="V359" s="234" t="n">
        <f aca="false">MONTH(Таблица18[[#This Row],[Дата акта]])</f>
        <v>6</v>
      </c>
      <c r="W359" s="234" t="n">
        <v>28</v>
      </c>
      <c r="X359" s="248" t="n">
        <f aca="false">DATE(1900,Таблица18[[#This Row],[Месяц]],Таблица18[[#This Row],[Число]])</f>
        <v>180</v>
      </c>
      <c r="Y359" s="234"/>
      <c r="AF359" s="411"/>
      <c r="AG359" s="412"/>
    </row>
    <row r="360" s="410" customFormat="true" ht="15" hidden="true" customHeight="true" outlineLevel="0" collapsed="false">
      <c r="A360" s="199" t="s">
        <v>1850</v>
      </c>
      <c r="B360" s="199" t="s">
        <v>886</v>
      </c>
      <c r="C360" s="405" t="n">
        <v>522</v>
      </c>
      <c r="D360" s="406" t="n">
        <v>55</v>
      </c>
      <c r="E360" s="199" t="s">
        <v>1785</v>
      </c>
      <c r="F360" s="199" t="s">
        <v>371</v>
      </c>
      <c r="G360" s="199" t="s">
        <v>372</v>
      </c>
      <c r="H360" s="199" t="s">
        <v>1835</v>
      </c>
      <c r="I360" s="199" t="s">
        <v>1835</v>
      </c>
      <c r="J360" s="199" t="s">
        <v>1750</v>
      </c>
      <c r="K360" s="199" t="s">
        <v>1435</v>
      </c>
      <c r="L360" s="407" t="n">
        <v>32700</v>
      </c>
      <c r="M360" s="407" t="n">
        <v>15090</v>
      </c>
      <c r="N360" s="408" t="n">
        <v>4.5</v>
      </c>
      <c r="O360" s="407" t="n">
        <v>17610</v>
      </c>
      <c r="P360" s="407" t="n">
        <v>16817.5</v>
      </c>
      <c r="Q360" s="234" t="n">
        <v>2023</v>
      </c>
      <c r="R360" s="234"/>
      <c r="S360" s="248" t="n">
        <v>45105</v>
      </c>
      <c r="T360" s="407" t="n">
        <f aca="false">Таблица18[[#This Row],[Вес нетто]]-Таблица18[[#This Row],[Зачетный вес]]</f>
        <v>792.5</v>
      </c>
      <c r="U360" s="409" t="n">
        <f aca="false">Таблица18[[#This Row],[Отход]]/Таблица18[[#This Row],[Вес нетто]]</f>
        <v>0.0450028392958546</v>
      </c>
      <c r="V360" s="234" t="n">
        <f aca="false">MONTH(Таблица18[[#This Row],[Дата акта]])</f>
        <v>6</v>
      </c>
      <c r="W360" s="234" t="n">
        <v>28</v>
      </c>
      <c r="X360" s="248" t="n">
        <f aca="false">DATE(1900,Таблица18[[#This Row],[Месяц]],Таблица18[[#This Row],[Число]])</f>
        <v>180</v>
      </c>
      <c r="Y360" s="234"/>
      <c r="AF360" s="411"/>
      <c r="AG360" s="412"/>
    </row>
    <row r="361" s="410" customFormat="true" ht="15" hidden="true" customHeight="true" outlineLevel="0" collapsed="false">
      <c r="A361" s="199" t="s">
        <v>1851</v>
      </c>
      <c r="B361" s="199" t="s">
        <v>886</v>
      </c>
      <c r="C361" s="405" t="n">
        <v>523</v>
      </c>
      <c r="D361" s="406" t="n">
        <v>57</v>
      </c>
      <c r="E361" s="199" t="s">
        <v>1785</v>
      </c>
      <c r="F361" s="199" t="s">
        <v>457</v>
      </c>
      <c r="G361" s="199" t="s">
        <v>366</v>
      </c>
      <c r="H361" s="199" t="s">
        <v>1835</v>
      </c>
      <c r="I361" s="199" t="s">
        <v>1835</v>
      </c>
      <c r="J361" s="199" t="s">
        <v>1750</v>
      </c>
      <c r="K361" s="199" t="s">
        <v>1435</v>
      </c>
      <c r="L361" s="407" t="n">
        <v>37070</v>
      </c>
      <c r="M361" s="407" t="n">
        <v>17360</v>
      </c>
      <c r="N361" s="408" t="n">
        <v>5.5</v>
      </c>
      <c r="O361" s="407" t="n">
        <v>19710</v>
      </c>
      <c r="P361" s="407" t="n">
        <v>18625.9</v>
      </c>
      <c r="Q361" s="234" t="n">
        <v>2023</v>
      </c>
      <c r="R361" s="234"/>
      <c r="S361" s="248" t="n">
        <v>45106</v>
      </c>
      <c r="T361" s="407" t="n">
        <f aca="false">Таблица18[[#This Row],[Вес нетто]]-Таблица18[[#This Row],[Зачетный вес]]</f>
        <v>1084.1</v>
      </c>
      <c r="U361" s="409" t="n">
        <f aca="false">Таблица18[[#This Row],[Отход]]/Таблица18[[#This Row],[Вес нетто]]</f>
        <v>0.0550025367833586</v>
      </c>
      <c r="V361" s="234" t="n">
        <f aca="false">MONTH(Таблица18[[#This Row],[Дата акта]])</f>
        <v>6</v>
      </c>
      <c r="W361" s="234" t="n">
        <v>29</v>
      </c>
      <c r="X361" s="248" t="n">
        <f aca="false">DATE(1900,Таблица18[[#This Row],[Месяц]],Таблица18[[#This Row],[Число]])</f>
        <v>181</v>
      </c>
      <c r="Y361" s="234"/>
      <c r="AF361" s="411"/>
      <c r="AG361" s="412"/>
    </row>
    <row r="362" s="410" customFormat="true" ht="15" hidden="true" customHeight="true" outlineLevel="0" collapsed="false">
      <c r="A362" s="199" t="s">
        <v>1852</v>
      </c>
      <c r="B362" s="199" t="s">
        <v>886</v>
      </c>
      <c r="C362" s="405" t="n">
        <v>524</v>
      </c>
      <c r="D362" s="406" t="n">
        <v>56</v>
      </c>
      <c r="E362" s="199" t="s">
        <v>1785</v>
      </c>
      <c r="F362" s="199" t="s">
        <v>55</v>
      </c>
      <c r="G362" s="199" t="s">
        <v>56</v>
      </c>
      <c r="H362" s="199" t="s">
        <v>1835</v>
      </c>
      <c r="I362" s="199" t="s">
        <v>1835</v>
      </c>
      <c r="J362" s="199" t="s">
        <v>1750</v>
      </c>
      <c r="K362" s="199" t="s">
        <v>1435</v>
      </c>
      <c r="L362" s="407" t="n">
        <v>32070</v>
      </c>
      <c r="M362" s="407" t="n">
        <v>14620</v>
      </c>
      <c r="N362" s="408" t="n">
        <v>4.5</v>
      </c>
      <c r="O362" s="407" t="n">
        <v>17450</v>
      </c>
      <c r="P362" s="407" t="n">
        <v>16664.7</v>
      </c>
      <c r="Q362" s="234" t="n">
        <v>2023</v>
      </c>
      <c r="R362" s="234"/>
      <c r="S362" s="248" t="n">
        <v>45106</v>
      </c>
      <c r="T362" s="407" t="n">
        <f aca="false">Таблица18[[#This Row],[Вес нетто]]-Таблица18[[#This Row],[Зачетный вес]]</f>
        <v>785.299999999999</v>
      </c>
      <c r="U362" s="409" t="n">
        <f aca="false">Таблица18[[#This Row],[Отход]]/Таблица18[[#This Row],[Вес нетто]]</f>
        <v>0.0450028653295129</v>
      </c>
      <c r="V362" s="234" t="n">
        <f aca="false">MONTH(Таблица18[[#This Row],[Дата акта]])</f>
        <v>6</v>
      </c>
      <c r="W362" s="234" t="n">
        <v>29</v>
      </c>
      <c r="X362" s="248" t="n">
        <f aca="false">DATE(1900,Таблица18[[#This Row],[Месяц]],Таблица18[[#This Row],[Число]])</f>
        <v>181</v>
      </c>
      <c r="Y362" s="234"/>
      <c r="AF362" s="411"/>
      <c r="AG362" s="412"/>
    </row>
    <row r="363" s="410" customFormat="true" ht="15" hidden="true" customHeight="true" outlineLevel="0" collapsed="false">
      <c r="A363" s="199" t="s">
        <v>1853</v>
      </c>
      <c r="B363" s="199" t="s">
        <v>886</v>
      </c>
      <c r="C363" s="405" t="n">
        <v>525</v>
      </c>
      <c r="D363" s="406" t="n">
        <v>58</v>
      </c>
      <c r="E363" s="199" t="s">
        <v>1785</v>
      </c>
      <c r="F363" s="199" t="s">
        <v>359</v>
      </c>
      <c r="G363" s="199" t="s">
        <v>426</v>
      </c>
      <c r="H363" s="199" t="s">
        <v>1835</v>
      </c>
      <c r="I363" s="199" t="s">
        <v>1835</v>
      </c>
      <c r="J363" s="199" t="s">
        <v>1750</v>
      </c>
      <c r="K363" s="199" t="s">
        <v>1435</v>
      </c>
      <c r="L363" s="407" t="n">
        <v>31760</v>
      </c>
      <c r="M363" s="407" t="n">
        <v>14170</v>
      </c>
      <c r="N363" s="408" t="n">
        <v>4.5</v>
      </c>
      <c r="O363" s="407" t="n">
        <v>17590</v>
      </c>
      <c r="P363" s="407" t="n">
        <v>16798.4</v>
      </c>
      <c r="Q363" s="234" t="n">
        <v>2023</v>
      </c>
      <c r="R363" s="234"/>
      <c r="S363" s="248" t="n">
        <v>45106</v>
      </c>
      <c r="T363" s="407" t="n">
        <f aca="false">Таблица18[[#This Row],[Вес нетто]]-Таблица18[[#This Row],[Зачетный вес]]</f>
        <v>791.599999999999</v>
      </c>
      <c r="U363" s="409" t="n">
        <f aca="false">Таблица18[[#This Row],[Отход]]/Таблица18[[#This Row],[Вес нетто]]</f>
        <v>0.0450028425241614</v>
      </c>
      <c r="V363" s="234" t="n">
        <f aca="false">MONTH(Таблица18[[#This Row],[Дата акта]])</f>
        <v>6</v>
      </c>
      <c r="W363" s="234" t="n">
        <v>29</v>
      </c>
      <c r="X363" s="248" t="n">
        <f aca="false">DATE(1900,Таблица18[[#This Row],[Месяц]],Таблица18[[#This Row],[Число]])</f>
        <v>181</v>
      </c>
      <c r="Y363" s="234"/>
      <c r="AF363" s="411"/>
      <c r="AG363" s="412"/>
    </row>
    <row r="364" s="410" customFormat="true" ht="15" hidden="true" customHeight="true" outlineLevel="0" collapsed="false">
      <c r="A364" s="199" t="s">
        <v>1854</v>
      </c>
      <c r="B364" s="199" t="s">
        <v>886</v>
      </c>
      <c r="C364" s="405" t="n">
        <v>526</v>
      </c>
      <c r="D364" s="406" t="n">
        <v>59</v>
      </c>
      <c r="E364" s="199" t="s">
        <v>1785</v>
      </c>
      <c r="F364" s="199" t="s">
        <v>1797</v>
      </c>
      <c r="G364" s="199" t="s">
        <v>385</v>
      </c>
      <c r="H364" s="199" t="s">
        <v>1835</v>
      </c>
      <c r="I364" s="199" t="s">
        <v>1835</v>
      </c>
      <c r="J364" s="199" t="s">
        <v>1750</v>
      </c>
      <c r="K364" s="199" t="s">
        <v>1435</v>
      </c>
      <c r="L364" s="407" t="n">
        <v>31870</v>
      </c>
      <c r="M364" s="407" t="n">
        <v>14390</v>
      </c>
      <c r="N364" s="408" t="n">
        <v>5.5</v>
      </c>
      <c r="O364" s="407" t="n">
        <v>17480</v>
      </c>
      <c r="P364" s="407" t="n">
        <v>16518.6</v>
      </c>
      <c r="Q364" s="234" t="n">
        <v>2023</v>
      </c>
      <c r="R364" s="234"/>
      <c r="S364" s="248" t="n">
        <v>45106</v>
      </c>
      <c r="T364" s="407" t="n">
        <f aca="false">Таблица18[[#This Row],[Вес нетто]]-Таблица18[[#This Row],[Зачетный вес]]</f>
        <v>961.400000000002</v>
      </c>
      <c r="U364" s="409" t="n">
        <f aca="false">Таблица18[[#This Row],[Отход]]/Таблица18[[#This Row],[Вес нетто]]</f>
        <v>0.0550000000000001</v>
      </c>
      <c r="V364" s="234" t="n">
        <f aca="false">MONTH(Таблица18[[#This Row],[Дата акта]])</f>
        <v>6</v>
      </c>
      <c r="W364" s="234" t="n">
        <v>29</v>
      </c>
      <c r="X364" s="248" t="n">
        <f aca="false">DATE(1900,Таблица18[[#This Row],[Месяц]],Таблица18[[#This Row],[Число]])</f>
        <v>181</v>
      </c>
      <c r="Y364" s="234"/>
      <c r="AF364" s="411"/>
      <c r="AG364" s="412"/>
    </row>
    <row r="365" s="410" customFormat="true" ht="15" hidden="true" customHeight="true" outlineLevel="0" collapsed="false">
      <c r="A365" s="199" t="s">
        <v>1855</v>
      </c>
      <c r="B365" s="199" t="s">
        <v>886</v>
      </c>
      <c r="C365" s="405" t="n">
        <v>527</v>
      </c>
      <c r="D365" s="406" t="n">
        <v>60</v>
      </c>
      <c r="E365" s="199" t="s">
        <v>1785</v>
      </c>
      <c r="F365" s="199" t="s">
        <v>1576</v>
      </c>
      <c r="G365" s="199" t="s">
        <v>1455</v>
      </c>
      <c r="H365" s="199" t="s">
        <v>1835</v>
      </c>
      <c r="I365" s="199" t="s">
        <v>1835</v>
      </c>
      <c r="J365" s="199" t="s">
        <v>1750</v>
      </c>
      <c r="K365" s="199" t="s">
        <v>1435</v>
      </c>
      <c r="L365" s="407" t="n">
        <v>31930</v>
      </c>
      <c r="M365" s="407" t="n">
        <v>14350</v>
      </c>
      <c r="N365" s="408" t="n">
        <v>4.5</v>
      </c>
      <c r="O365" s="407" t="n">
        <v>17580</v>
      </c>
      <c r="P365" s="407" t="n">
        <v>16788.9</v>
      </c>
      <c r="Q365" s="234" t="n">
        <v>2023</v>
      </c>
      <c r="R365" s="234"/>
      <c r="S365" s="248" t="n">
        <v>45106</v>
      </c>
      <c r="T365" s="407" t="n">
        <f aca="false">Таблица18[[#This Row],[Вес нетто]]-Таблица18[[#This Row],[Зачетный вес]]</f>
        <v>791.099999999999</v>
      </c>
      <c r="U365" s="409" t="n">
        <f aca="false">Таблица18[[#This Row],[Отход]]/Таблица18[[#This Row],[Вес нетто]]</f>
        <v>0.0449999999999999</v>
      </c>
      <c r="V365" s="234" t="n">
        <f aca="false">MONTH(Таблица18[[#This Row],[Дата акта]])</f>
        <v>6</v>
      </c>
      <c r="W365" s="234" t="n">
        <v>29</v>
      </c>
      <c r="X365" s="248" t="n">
        <f aca="false">DATE(1900,Таблица18[[#This Row],[Месяц]],Таблица18[[#This Row],[Число]])</f>
        <v>181</v>
      </c>
      <c r="Y365" s="234"/>
      <c r="AF365" s="411"/>
      <c r="AG365" s="412"/>
    </row>
    <row r="366" s="410" customFormat="true" ht="15" hidden="true" customHeight="true" outlineLevel="0" collapsed="false">
      <c r="A366" s="199" t="s">
        <v>1856</v>
      </c>
      <c r="B366" s="199" t="s">
        <v>886</v>
      </c>
      <c r="C366" s="405" t="n">
        <v>528</v>
      </c>
      <c r="D366" s="406" t="n">
        <v>61</v>
      </c>
      <c r="E366" s="199" t="s">
        <v>1785</v>
      </c>
      <c r="F366" s="199" t="s">
        <v>1792</v>
      </c>
      <c r="G366" s="199" t="s">
        <v>1793</v>
      </c>
      <c r="H366" s="199" t="s">
        <v>1835</v>
      </c>
      <c r="I366" s="199" t="s">
        <v>1835</v>
      </c>
      <c r="J366" s="199" t="s">
        <v>1750</v>
      </c>
      <c r="K366" s="199" t="s">
        <v>1435</v>
      </c>
      <c r="L366" s="407" t="n">
        <v>32870</v>
      </c>
      <c r="M366" s="407" t="n">
        <v>15370</v>
      </c>
      <c r="N366" s="408" t="n">
        <v>5.5</v>
      </c>
      <c r="O366" s="407" t="n">
        <v>17500</v>
      </c>
      <c r="P366" s="407" t="n">
        <v>16537.5</v>
      </c>
      <c r="Q366" s="234" t="n">
        <v>2023</v>
      </c>
      <c r="R366" s="234"/>
      <c r="S366" s="248" t="n">
        <v>45106</v>
      </c>
      <c r="T366" s="407" t="n">
        <f aca="false">Таблица18[[#This Row],[Вес нетто]]-Таблица18[[#This Row],[Зачетный вес]]</f>
        <v>962.5</v>
      </c>
      <c r="U366" s="409" t="n">
        <f aca="false">Таблица18[[#This Row],[Отход]]/Таблица18[[#This Row],[Вес нетто]]</f>
        <v>0.055</v>
      </c>
      <c r="V366" s="234" t="n">
        <f aca="false">MONTH(Таблица18[[#This Row],[Дата акта]])</f>
        <v>6</v>
      </c>
      <c r="W366" s="234" t="n">
        <v>29</v>
      </c>
      <c r="X366" s="248" t="n">
        <f aca="false">DATE(1900,Таблица18[[#This Row],[Месяц]],Таблица18[[#This Row],[Число]])</f>
        <v>181</v>
      </c>
      <c r="Y366" s="234"/>
      <c r="AF366" s="411"/>
      <c r="AG366" s="412"/>
    </row>
    <row r="367" s="410" customFormat="true" ht="15" hidden="true" customHeight="true" outlineLevel="0" collapsed="false">
      <c r="A367" s="199" t="s">
        <v>1857</v>
      </c>
      <c r="B367" s="199" t="s">
        <v>886</v>
      </c>
      <c r="C367" s="405" t="n">
        <v>531</v>
      </c>
      <c r="D367" s="406" t="n">
        <v>62</v>
      </c>
      <c r="E367" s="199" t="s">
        <v>1785</v>
      </c>
      <c r="F367" s="199" t="s">
        <v>1485</v>
      </c>
      <c r="G367" s="199" t="s">
        <v>431</v>
      </c>
      <c r="H367" s="199" t="s">
        <v>1835</v>
      </c>
      <c r="I367" s="199" t="s">
        <v>1835</v>
      </c>
      <c r="J367" s="199" t="s">
        <v>1750</v>
      </c>
      <c r="K367" s="199" t="s">
        <v>1435</v>
      </c>
      <c r="L367" s="407" t="n">
        <v>38730</v>
      </c>
      <c r="M367" s="407" t="n">
        <v>21070</v>
      </c>
      <c r="N367" s="408" t="n">
        <v>6.5</v>
      </c>
      <c r="O367" s="407" t="n">
        <v>17660</v>
      </c>
      <c r="P367" s="407" t="n">
        <v>16512.1</v>
      </c>
      <c r="Q367" s="234" t="n">
        <v>2023</v>
      </c>
      <c r="R367" s="234"/>
      <c r="S367" s="248" t="n">
        <v>45106</v>
      </c>
      <c r="T367" s="407" t="n">
        <f aca="false">Таблица18[[#This Row],[Вес нетто]]-Таблица18[[#This Row],[Зачетный вес]]</f>
        <v>1147.9</v>
      </c>
      <c r="U367" s="409" t="n">
        <f aca="false">Таблица18[[#This Row],[Отход]]/Таблица18[[#This Row],[Вес нетто]]</f>
        <v>0.0650000000000001</v>
      </c>
      <c r="V367" s="234" t="n">
        <f aca="false">MONTH(Таблица18[[#This Row],[Дата акта]])</f>
        <v>6</v>
      </c>
      <c r="W367" s="234" t="n">
        <v>29</v>
      </c>
      <c r="X367" s="248" t="n">
        <f aca="false">DATE(1900,Таблица18[[#This Row],[Месяц]],Таблица18[[#This Row],[Число]])</f>
        <v>181</v>
      </c>
      <c r="Y367" s="234"/>
      <c r="AF367" s="411"/>
      <c r="AG367" s="412"/>
    </row>
    <row r="368" s="410" customFormat="true" ht="15" hidden="true" customHeight="true" outlineLevel="0" collapsed="false">
      <c r="A368" s="199" t="s">
        <v>1858</v>
      </c>
      <c r="B368" s="199" t="s">
        <v>886</v>
      </c>
      <c r="C368" s="405" t="n">
        <v>534</v>
      </c>
      <c r="D368" s="406" t="n">
        <v>63</v>
      </c>
      <c r="E368" s="199" t="s">
        <v>1785</v>
      </c>
      <c r="F368" s="199" t="s">
        <v>610</v>
      </c>
      <c r="G368" s="199" t="s">
        <v>614</v>
      </c>
      <c r="H368" s="199" t="s">
        <v>1835</v>
      </c>
      <c r="I368" s="199" t="s">
        <v>1835</v>
      </c>
      <c r="J368" s="199" t="s">
        <v>1750</v>
      </c>
      <c r="K368" s="199" t="s">
        <v>1435</v>
      </c>
      <c r="L368" s="407" t="n">
        <v>34510</v>
      </c>
      <c r="M368" s="407" t="n">
        <v>16890</v>
      </c>
      <c r="N368" s="408" t="n">
        <v>6.5</v>
      </c>
      <c r="O368" s="407" t="n">
        <v>17620</v>
      </c>
      <c r="P368" s="407" t="n">
        <v>16474.7</v>
      </c>
      <c r="Q368" s="234" t="n">
        <v>2023</v>
      </c>
      <c r="R368" s="234"/>
      <c r="S368" s="248" t="n">
        <v>45106</v>
      </c>
      <c r="T368" s="407" t="n">
        <f aca="false">Таблица18[[#This Row],[Вес нетто]]-Таблица18[[#This Row],[Зачетный вес]]</f>
        <v>1145.3</v>
      </c>
      <c r="U368" s="409" t="n">
        <f aca="false">Таблица18[[#This Row],[Отход]]/Таблица18[[#This Row],[Вес нетто]]</f>
        <v>0.065</v>
      </c>
      <c r="V368" s="234" t="n">
        <f aca="false">MONTH(Таблица18[[#This Row],[Дата акта]])</f>
        <v>6</v>
      </c>
      <c r="W368" s="234" t="n">
        <v>29</v>
      </c>
      <c r="X368" s="248" t="n">
        <f aca="false">DATE(1900,Таблица18[[#This Row],[Месяц]],Таблица18[[#This Row],[Число]])</f>
        <v>181</v>
      </c>
      <c r="Y368" s="234"/>
      <c r="AF368" s="411"/>
      <c r="AG368" s="412"/>
    </row>
    <row r="369" s="410" customFormat="true" ht="15" hidden="true" customHeight="true" outlineLevel="0" collapsed="false">
      <c r="A369" s="199" t="s">
        <v>1859</v>
      </c>
      <c r="B369" s="199" t="s">
        <v>886</v>
      </c>
      <c r="C369" s="405" t="n">
        <v>535</v>
      </c>
      <c r="D369" s="406" t="n">
        <v>64</v>
      </c>
      <c r="E369" s="199" t="s">
        <v>1785</v>
      </c>
      <c r="F369" s="199" t="s">
        <v>602</v>
      </c>
      <c r="G369" s="199" t="s">
        <v>606</v>
      </c>
      <c r="H369" s="199" t="s">
        <v>1835</v>
      </c>
      <c r="I369" s="199" t="s">
        <v>1835</v>
      </c>
      <c r="J369" s="199" t="s">
        <v>1750</v>
      </c>
      <c r="K369" s="199" t="s">
        <v>1435</v>
      </c>
      <c r="L369" s="407" t="n">
        <v>37790</v>
      </c>
      <c r="M369" s="407" t="n">
        <v>17860</v>
      </c>
      <c r="N369" s="408" t="n">
        <v>8.5</v>
      </c>
      <c r="O369" s="407" t="n">
        <v>19930</v>
      </c>
      <c r="P369" s="407" t="n">
        <v>18235.9</v>
      </c>
      <c r="Q369" s="234" t="n">
        <v>2023</v>
      </c>
      <c r="R369" s="234"/>
      <c r="S369" s="248" t="n">
        <v>45106</v>
      </c>
      <c r="T369" s="407" t="n">
        <f aca="false">Таблица18[[#This Row],[Вес нетто]]-Таблица18[[#This Row],[Зачетный вес]]</f>
        <v>1694.1</v>
      </c>
      <c r="U369" s="409" t="n">
        <f aca="false">Таблица18[[#This Row],[Отход]]/Таблица18[[#This Row],[Вес нетто]]</f>
        <v>0.0850025087807325</v>
      </c>
      <c r="V369" s="234" t="n">
        <f aca="false">MONTH(Таблица18[[#This Row],[Дата акта]])</f>
        <v>6</v>
      </c>
      <c r="W369" s="234" t="n">
        <v>29</v>
      </c>
      <c r="X369" s="248" t="n">
        <f aca="false">DATE(1900,Таблица18[[#This Row],[Месяц]],Таблица18[[#This Row],[Число]])</f>
        <v>181</v>
      </c>
      <c r="Y369" s="234"/>
      <c r="AF369" s="411"/>
      <c r="AG369" s="412"/>
    </row>
    <row r="370" s="410" customFormat="true" ht="15" hidden="true" customHeight="true" outlineLevel="0" collapsed="false">
      <c r="A370" s="199" t="s">
        <v>1860</v>
      </c>
      <c r="B370" s="199" t="s">
        <v>886</v>
      </c>
      <c r="C370" s="405" t="n">
        <v>536</v>
      </c>
      <c r="D370" s="406" t="n">
        <v>65</v>
      </c>
      <c r="E370" s="199" t="s">
        <v>1785</v>
      </c>
      <c r="F370" s="199" t="s">
        <v>1483</v>
      </c>
      <c r="G370" s="199" t="s">
        <v>373</v>
      </c>
      <c r="H370" s="199" t="s">
        <v>1835</v>
      </c>
      <c r="I370" s="199" t="s">
        <v>1835</v>
      </c>
      <c r="J370" s="199" t="s">
        <v>1750</v>
      </c>
      <c r="K370" s="199" t="s">
        <v>1435</v>
      </c>
      <c r="L370" s="407" t="n">
        <v>38440</v>
      </c>
      <c r="M370" s="407" t="n">
        <v>26790</v>
      </c>
      <c r="N370" s="408" t="n">
        <v>5.5</v>
      </c>
      <c r="O370" s="407" t="n">
        <v>11650</v>
      </c>
      <c r="P370" s="407" t="n">
        <v>11009.2</v>
      </c>
      <c r="Q370" s="234" t="n">
        <v>2023</v>
      </c>
      <c r="R370" s="234"/>
      <c r="S370" s="248" t="n">
        <v>45107</v>
      </c>
      <c r="T370" s="407" t="n">
        <f aca="false">Таблица18[[#This Row],[Вес нетто]]-Таблица18[[#This Row],[Зачетный вес]]</f>
        <v>640.799999999999</v>
      </c>
      <c r="U370" s="409" t="n">
        <f aca="false">Таблица18[[#This Row],[Отход]]/Таблица18[[#This Row],[Вес нетто]]</f>
        <v>0.0550042918454935</v>
      </c>
      <c r="V370" s="234" t="n">
        <f aca="false">MONTH(Таблица18[[#This Row],[Дата акта]])</f>
        <v>6</v>
      </c>
      <c r="W370" s="234" t="n">
        <v>30</v>
      </c>
      <c r="X370" s="248" t="n">
        <f aca="false">DATE(1900,Таблица18[[#This Row],[Месяц]],Таблица18[[#This Row],[Число]])</f>
        <v>182</v>
      </c>
      <c r="Y370" s="234"/>
      <c r="AF370" s="411"/>
      <c r="AG370" s="412"/>
    </row>
    <row r="371" s="410" customFormat="true" ht="15" hidden="true" customHeight="true" outlineLevel="0" collapsed="false">
      <c r="A371" s="199" t="s">
        <v>1861</v>
      </c>
      <c r="B371" s="199" t="s">
        <v>886</v>
      </c>
      <c r="C371" s="405" t="n">
        <v>537</v>
      </c>
      <c r="D371" s="406" t="n">
        <v>66</v>
      </c>
      <c r="E371" s="199" t="s">
        <v>1785</v>
      </c>
      <c r="F371" s="199" t="s">
        <v>1449</v>
      </c>
      <c r="G371" s="199" t="s">
        <v>704</v>
      </c>
      <c r="H371" s="199" t="s">
        <v>1835</v>
      </c>
      <c r="I371" s="199" t="s">
        <v>1835</v>
      </c>
      <c r="J371" s="199" t="s">
        <v>1750</v>
      </c>
      <c r="K371" s="199" t="s">
        <v>1435</v>
      </c>
      <c r="L371" s="407" t="n">
        <v>32380</v>
      </c>
      <c r="M371" s="407" t="n">
        <v>14670</v>
      </c>
      <c r="N371" s="408" t="n">
        <v>4.5</v>
      </c>
      <c r="O371" s="407" t="n">
        <v>17710</v>
      </c>
      <c r="P371" s="407" t="n">
        <v>16913</v>
      </c>
      <c r="Q371" s="234" t="n">
        <v>2023</v>
      </c>
      <c r="R371" s="234"/>
      <c r="S371" s="248" t="n">
        <v>45106</v>
      </c>
      <c r="T371" s="407" t="n">
        <f aca="false">Таблица18[[#This Row],[Вес нетто]]-Таблица18[[#This Row],[Зачетный вес]]</f>
        <v>797</v>
      </c>
      <c r="U371" s="409" t="n">
        <f aca="false">Таблица18[[#This Row],[Отход]]/Таблица18[[#This Row],[Вес нетто]]</f>
        <v>0.0450028232636928</v>
      </c>
      <c r="V371" s="234" t="n">
        <f aca="false">MONTH(Таблица18[[#This Row],[Дата акта]])</f>
        <v>6</v>
      </c>
      <c r="W371" s="234" t="n">
        <v>29</v>
      </c>
      <c r="X371" s="248" t="n">
        <f aca="false">DATE(1900,Таблица18[[#This Row],[Месяц]],Таблица18[[#This Row],[Число]])</f>
        <v>181</v>
      </c>
      <c r="Y371" s="234"/>
      <c r="AF371" s="411"/>
      <c r="AG371" s="412"/>
    </row>
    <row r="372" s="410" customFormat="true" ht="15" hidden="true" customHeight="true" outlineLevel="0" collapsed="false">
      <c r="A372" s="199" t="s">
        <v>1862</v>
      </c>
      <c r="B372" s="199" t="s">
        <v>886</v>
      </c>
      <c r="C372" s="405" t="n">
        <v>538</v>
      </c>
      <c r="D372" s="406" t="n">
        <v>67</v>
      </c>
      <c r="E372" s="199" t="s">
        <v>1785</v>
      </c>
      <c r="F372" s="199" t="s">
        <v>1863</v>
      </c>
      <c r="G372" s="199" t="s">
        <v>1864</v>
      </c>
      <c r="H372" s="199" t="s">
        <v>1835</v>
      </c>
      <c r="I372" s="199" t="s">
        <v>1835</v>
      </c>
      <c r="J372" s="199" t="s">
        <v>1750</v>
      </c>
      <c r="K372" s="199" t="s">
        <v>1435</v>
      </c>
      <c r="L372" s="407" t="n">
        <v>33400</v>
      </c>
      <c r="M372" s="407" t="n">
        <v>15540</v>
      </c>
      <c r="N372" s="408" t="n">
        <v>6.5</v>
      </c>
      <c r="O372" s="407" t="n">
        <v>17860</v>
      </c>
      <c r="P372" s="407" t="n">
        <v>16699.1</v>
      </c>
      <c r="Q372" s="234" t="n">
        <v>2023</v>
      </c>
      <c r="R372" s="234"/>
      <c r="S372" s="248" t="n">
        <v>45106</v>
      </c>
      <c r="T372" s="407" t="n">
        <f aca="false">Таблица18[[#This Row],[Вес нетто]]-Таблица18[[#This Row],[Зачетный вес]]</f>
        <v>1160.9</v>
      </c>
      <c r="U372" s="409" t="n">
        <f aca="false">Таблица18[[#This Row],[Отход]]/Таблица18[[#This Row],[Вес нетто]]</f>
        <v>0.0650000000000001</v>
      </c>
      <c r="V372" s="234" t="n">
        <f aca="false">MONTH(Таблица18[[#This Row],[Дата акта]])</f>
        <v>6</v>
      </c>
      <c r="W372" s="234" t="n">
        <v>29</v>
      </c>
      <c r="X372" s="248" t="n">
        <f aca="false">DATE(1900,Таблица18[[#This Row],[Месяц]],Таблица18[[#This Row],[Число]])</f>
        <v>181</v>
      </c>
      <c r="Y372" s="234"/>
      <c r="AF372" s="411"/>
      <c r="AG372" s="412"/>
    </row>
    <row r="373" s="410" customFormat="true" ht="15" hidden="true" customHeight="true" outlineLevel="0" collapsed="false">
      <c r="A373" s="199" t="s">
        <v>1865</v>
      </c>
      <c r="B373" s="199" t="s">
        <v>886</v>
      </c>
      <c r="C373" s="405" t="n">
        <v>540</v>
      </c>
      <c r="D373" s="406" t="n">
        <v>68</v>
      </c>
      <c r="E373" s="199" t="s">
        <v>1785</v>
      </c>
      <c r="F373" s="199" t="s">
        <v>1866</v>
      </c>
      <c r="G373" s="199" t="s">
        <v>1867</v>
      </c>
      <c r="H373" s="199" t="s">
        <v>1835</v>
      </c>
      <c r="I373" s="199" t="s">
        <v>1835</v>
      </c>
      <c r="J373" s="199" t="s">
        <v>1868</v>
      </c>
      <c r="K373" s="199" t="s">
        <v>1435</v>
      </c>
      <c r="L373" s="407" t="n">
        <v>31980</v>
      </c>
      <c r="M373" s="407" t="n">
        <v>14390</v>
      </c>
      <c r="N373" s="408" t="n">
        <v>4.5</v>
      </c>
      <c r="O373" s="407" t="n">
        <v>17590</v>
      </c>
      <c r="P373" s="407" t="n">
        <v>16798.4</v>
      </c>
      <c r="Q373" s="234" t="n">
        <v>2023</v>
      </c>
      <c r="R373" s="234"/>
      <c r="S373" s="248" t="n">
        <v>45106</v>
      </c>
      <c r="T373" s="407" t="n">
        <f aca="false">Таблица18[[#This Row],[Вес нетто]]-Таблица18[[#This Row],[Зачетный вес]]</f>
        <v>791.599999999999</v>
      </c>
      <c r="U373" s="409" t="n">
        <f aca="false">Таблица18[[#This Row],[Отход]]/Таблица18[[#This Row],[Вес нетто]]</f>
        <v>0.0450028425241614</v>
      </c>
      <c r="V373" s="234" t="n">
        <f aca="false">MONTH(Таблица18[[#This Row],[Дата акта]])</f>
        <v>6</v>
      </c>
      <c r="W373" s="234" t="n">
        <v>29</v>
      </c>
      <c r="X373" s="248" t="n">
        <f aca="false">DATE(1900,Таблица18[[#This Row],[Месяц]],Таблица18[[#This Row],[Число]])</f>
        <v>181</v>
      </c>
      <c r="Y373" s="234"/>
      <c r="AF373" s="411"/>
      <c r="AG373" s="412"/>
    </row>
    <row r="374" s="410" customFormat="true" ht="15" hidden="true" customHeight="true" outlineLevel="0" collapsed="false">
      <c r="A374" s="199" t="s">
        <v>1869</v>
      </c>
      <c r="B374" s="199" t="s">
        <v>886</v>
      </c>
      <c r="C374" s="405" t="n">
        <v>541</v>
      </c>
      <c r="D374" s="406" t="n">
        <v>69</v>
      </c>
      <c r="E374" s="199" t="s">
        <v>1785</v>
      </c>
      <c r="F374" s="199" t="s">
        <v>1800</v>
      </c>
      <c r="G374" s="199" t="s">
        <v>621</v>
      </c>
      <c r="H374" s="199" t="s">
        <v>1835</v>
      </c>
      <c r="I374" s="199" t="s">
        <v>1835</v>
      </c>
      <c r="J374" s="199" t="s">
        <v>1750</v>
      </c>
      <c r="K374" s="199" t="s">
        <v>1435</v>
      </c>
      <c r="L374" s="407" t="n">
        <v>37580</v>
      </c>
      <c r="M374" s="407" t="n">
        <v>17500</v>
      </c>
      <c r="N374" s="408" t="n">
        <v>6.5</v>
      </c>
      <c r="O374" s="407" t="n">
        <v>20080</v>
      </c>
      <c r="P374" s="407" t="n">
        <v>18774.8</v>
      </c>
      <c r="Q374" s="234" t="n">
        <v>2023</v>
      </c>
      <c r="R374" s="234"/>
      <c r="S374" s="248" t="n">
        <v>45106</v>
      </c>
      <c r="T374" s="407" t="n">
        <f aca="false">Таблица18[[#This Row],[Вес нетто]]-Таблица18[[#This Row],[Зачетный вес]]</f>
        <v>1305.2</v>
      </c>
      <c r="U374" s="409" t="n">
        <f aca="false">Таблица18[[#This Row],[Отход]]/Таблица18[[#This Row],[Вес нетто]]</f>
        <v>0.065</v>
      </c>
      <c r="V374" s="234" t="n">
        <f aca="false">MONTH(Таблица18[[#This Row],[Дата акта]])</f>
        <v>6</v>
      </c>
      <c r="W374" s="234" t="n">
        <v>29</v>
      </c>
      <c r="X374" s="248" t="n">
        <f aca="false">DATE(1900,Таблица18[[#This Row],[Месяц]],Таблица18[[#This Row],[Число]])</f>
        <v>181</v>
      </c>
      <c r="Y374" s="234"/>
      <c r="AF374" s="411"/>
      <c r="AG374" s="412"/>
    </row>
    <row r="375" s="410" customFormat="true" ht="15" hidden="true" customHeight="true" outlineLevel="0" collapsed="false">
      <c r="A375" s="199" t="s">
        <v>1870</v>
      </c>
      <c r="B375" s="199" t="s">
        <v>886</v>
      </c>
      <c r="C375" s="405" t="n">
        <v>542</v>
      </c>
      <c r="D375" s="406" t="n">
        <v>70</v>
      </c>
      <c r="E375" s="199" t="s">
        <v>1785</v>
      </c>
      <c r="F375" s="199" t="s">
        <v>371</v>
      </c>
      <c r="G375" s="199" t="s">
        <v>372</v>
      </c>
      <c r="H375" s="199" t="s">
        <v>1835</v>
      </c>
      <c r="I375" s="199" t="s">
        <v>1835</v>
      </c>
      <c r="J375" s="199" t="s">
        <v>1750</v>
      </c>
      <c r="K375" s="199" t="s">
        <v>1435</v>
      </c>
      <c r="L375" s="407" t="n">
        <v>32960</v>
      </c>
      <c r="M375" s="407" t="n">
        <v>15050</v>
      </c>
      <c r="N375" s="408" t="n">
        <v>5.5</v>
      </c>
      <c r="O375" s="407" t="n">
        <v>17910</v>
      </c>
      <c r="P375" s="407" t="n">
        <v>16924.9</v>
      </c>
      <c r="Q375" s="234" t="n">
        <v>2023</v>
      </c>
      <c r="R375" s="234"/>
      <c r="S375" s="248" t="n">
        <v>45106</v>
      </c>
      <c r="T375" s="407" t="n">
        <f aca="false">Таблица18[[#This Row],[Вес нетто]]-Таблица18[[#This Row],[Зачетный вес]]</f>
        <v>985.099999999999</v>
      </c>
      <c r="U375" s="409" t="n">
        <f aca="false">Таблица18[[#This Row],[Отход]]/Таблица18[[#This Row],[Вес нетто]]</f>
        <v>0.05500279173646</v>
      </c>
      <c r="V375" s="234" t="n">
        <f aca="false">MONTH(Таблица18[[#This Row],[Дата акта]])</f>
        <v>6</v>
      </c>
      <c r="W375" s="234" t="n">
        <v>29</v>
      </c>
      <c r="X375" s="248" t="n">
        <f aca="false">DATE(1900,Таблица18[[#This Row],[Месяц]],Таблица18[[#This Row],[Число]])</f>
        <v>181</v>
      </c>
      <c r="Y375" s="234"/>
      <c r="AF375" s="411"/>
      <c r="AG375" s="412"/>
    </row>
    <row r="376" s="410" customFormat="true" ht="15" hidden="true" customHeight="true" outlineLevel="0" collapsed="false">
      <c r="A376" s="199" t="s">
        <v>1871</v>
      </c>
      <c r="B376" s="199" t="s">
        <v>417</v>
      </c>
      <c r="C376" s="405" t="n">
        <v>543</v>
      </c>
      <c r="D376" s="406" t="n">
        <v>71</v>
      </c>
      <c r="E376" s="199" t="s">
        <v>1785</v>
      </c>
      <c r="F376" s="199" t="s">
        <v>457</v>
      </c>
      <c r="G376" s="199" t="s">
        <v>366</v>
      </c>
      <c r="H376" s="199" t="s">
        <v>1842</v>
      </c>
      <c r="I376" s="199" t="s">
        <v>1842</v>
      </c>
      <c r="J376" s="199" t="s">
        <v>1843</v>
      </c>
      <c r="K376" s="199" t="s">
        <v>1435</v>
      </c>
      <c r="L376" s="407" t="n">
        <v>33020</v>
      </c>
      <c r="M376" s="407" t="n">
        <v>17340</v>
      </c>
      <c r="N376" s="408" t="n">
        <v>10.5</v>
      </c>
      <c r="O376" s="407" t="n">
        <v>15680</v>
      </c>
      <c r="P376" s="407" t="n">
        <v>14033.6</v>
      </c>
      <c r="Q376" s="234" t="n">
        <v>2023</v>
      </c>
      <c r="R376" s="234"/>
      <c r="S376" s="248" t="n">
        <v>45107</v>
      </c>
      <c r="T376" s="407" t="n">
        <f aca="false">Таблица18[[#This Row],[Вес нетто]]-Таблица18[[#This Row],[Зачетный вес]]</f>
        <v>1646.4</v>
      </c>
      <c r="U376" s="409" t="n">
        <f aca="false">Таблица18[[#This Row],[Отход]]/Таблица18[[#This Row],[Вес нетто]]</f>
        <v>0.105</v>
      </c>
      <c r="V376" s="234" t="n">
        <f aca="false">MONTH(Таблица18[[#This Row],[Дата акта]])</f>
        <v>6</v>
      </c>
      <c r="W376" s="234" t="n">
        <v>30</v>
      </c>
      <c r="X376" s="248" t="n">
        <f aca="false">DATE(1900,Таблица18[[#This Row],[Месяц]],Таблица18[[#This Row],[Число]])</f>
        <v>182</v>
      </c>
      <c r="Y376" s="234"/>
      <c r="AF376" s="411"/>
      <c r="AG376" s="412"/>
    </row>
    <row r="377" s="410" customFormat="true" ht="15" hidden="true" customHeight="true" outlineLevel="0" collapsed="false">
      <c r="A377" s="199" t="s">
        <v>1872</v>
      </c>
      <c r="B377" s="199" t="s">
        <v>417</v>
      </c>
      <c r="C377" s="405" t="n">
        <v>544</v>
      </c>
      <c r="D377" s="406" t="n">
        <v>72</v>
      </c>
      <c r="E377" s="199" t="s">
        <v>1785</v>
      </c>
      <c r="F377" s="199" t="s">
        <v>359</v>
      </c>
      <c r="G377" s="199" t="s">
        <v>426</v>
      </c>
      <c r="H377" s="199" t="s">
        <v>1842</v>
      </c>
      <c r="I377" s="199" t="s">
        <v>1842</v>
      </c>
      <c r="J377" s="199" t="s">
        <v>1843</v>
      </c>
      <c r="K377" s="199" t="s">
        <v>1435</v>
      </c>
      <c r="L377" s="407" t="n">
        <v>27430</v>
      </c>
      <c r="M377" s="407" t="n">
        <v>14180</v>
      </c>
      <c r="N377" s="408" t="n">
        <v>11.5</v>
      </c>
      <c r="O377" s="407" t="n">
        <v>13250</v>
      </c>
      <c r="P377" s="407" t="n">
        <v>11726.2</v>
      </c>
      <c r="Q377" s="234" t="n">
        <v>2023</v>
      </c>
      <c r="R377" s="234"/>
      <c r="S377" s="248" t="n">
        <v>45107</v>
      </c>
      <c r="T377" s="407" t="n">
        <f aca="false">Таблица18[[#This Row],[Вес нетто]]-Таблица18[[#This Row],[Зачетный вес]]</f>
        <v>1523.8</v>
      </c>
      <c r="U377" s="409" t="n">
        <f aca="false">Таблица18[[#This Row],[Отход]]/Таблица18[[#This Row],[Вес нетто]]</f>
        <v>0.115003773584906</v>
      </c>
      <c r="V377" s="234" t="n">
        <f aca="false">MONTH(Таблица18[[#This Row],[Дата акта]])</f>
        <v>6</v>
      </c>
      <c r="W377" s="234" t="n">
        <v>30</v>
      </c>
      <c r="X377" s="248" t="n">
        <f aca="false">DATE(1900,Таблица18[[#This Row],[Месяц]],Таблица18[[#This Row],[Число]])</f>
        <v>182</v>
      </c>
      <c r="Y377" s="234"/>
      <c r="AF377" s="411"/>
      <c r="AG377" s="412"/>
    </row>
    <row r="378" s="410" customFormat="true" ht="15" hidden="true" customHeight="true" outlineLevel="0" collapsed="false">
      <c r="A378" s="199" t="s">
        <v>1873</v>
      </c>
      <c r="B378" s="199" t="s">
        <v>417</v>
      </c>
      <c r="C378" s="405" t="n">
        <v>545</v>
      </c>
      <c r="D378" s="406" t="n">
        <v>73</v>
      </c>
      <c r="E378" s="199" t="s">
        <v>1785</v>
      </c>
      <c r="F378" s="199" t="s">
        <v>1485</v>
      </c>
      <c r="G378" s="199" t="s">
        <v>431</v>
      </c>
      <c r="H378" s="199" t="s">
        <v>1842</v>
      </c>
      <c r="I378" s="199" t="s">
        <v>1842</v>
      </c>
      <c r="J378" s="199" t="s">
        <v>1843</v>
      </c>
      <c r="K378" s="199" t="s">
        <v>1435</v>
      </c>
      <c r="L378" s="407" t="n">
        <v>38610</v>
      </c>
      <c r="M378" s="407" t="n">
        <v>20880</v>
      </c>
      <c r="N378" s="408" t="n">
        <v>12.5</v>
      </c>
      <c r="O378" s="407" t="n">
        <v>17730</v>
      </c>
      <c r="P378" s="407" t="n">
        <v>15513.7</v>
      </c>
      <c r="Q378" s="234" t="n">
        <v>2023</v>
      </c>
      <c r="R378" s="234"/>
      <c r="S378" s="248" t="n">
        <v>45107</v>
      </c>
      <c r="T378" s="407" t="n">
        <f aca="false">Таблица18[[#This Row],[Вес нетто]]-Таблица18[[#This Row],[Зачетный вес]]</f>
        <v>2216.3</v>
      </c>
      <c r="U378" s="409" t="n">
        <f aca="false">Таблица18[[#This Row],[Отход]]/Таблица18[[#This Row],[Вес нетто]]</f>
        <v>0.125002820078962</v>
      </c>
      <c r="V378" s="234" t="n">
        <f aca="false">MONTH(Таблица18[[#This Row],[Дата акта]])</f>
        <v>6</v>
      </c>
      <c r="W378" s="234" t="n">
        <v>30</v>
      </c>
      <c r="X378" s="248" t="n">
        <f aca="false">DATE(1900,Таблица18[[#This Row],[Месяц]],Таблица18[[#This Row],[Число]])</f>
        <v>182</v>
      </c>
      <c r="Y378" s="234"/>
      <c r="AF378" s="411"/>
      <c r="AG378" s="412"/>
    </row>
    <row r="379" s="410" customFormat="true" ht="15" hidden="true" customHeight="true" outlineLevel="0" collapsed="false">
      <c r="A379" s="199" t="s">
        <v>1874</v>
      </c>
      <c r="B379" s="199" t="s">
        <v>417</v>
      </c>
      <c r="C379" s="405" t="n">
        <v>546</v>
      </c>
      <c r="D379" s="406" t="n">
        <v>74</v>
      </c>
      <c r="E379" s="199" t="s">
        <v>1785</v>
      </c>
      <c r="F379" s="199" t="s">
        <v>55</v>
      </c>
      <c r="G379" s="199" t="s">
        <v>56</v>
      </c>
      <c r="H379" s="199" t="s">
        <v>1842</v>
      </c>
      <c r="I379" s="199" t="s">
        <v>1842</v>
      </c>
      <c r="J379" s="199" t="s">
        <v>1843</v>
      </c>
      <c r="K379" s="199" t="s">
        <v>1435</v>
      </c>
      <c r="L379" s="407" t="n">
        <v>28230</v>
      </c>
      <c r="M379" s="407" t="n">
        <v>14620</v>
      </c>
      <c r="N379" s="408" t="n">
        <v>9.5</v>
      </c>
      <c r="O379" s="407" t="n">
        <v>13610</v>
      </c>
      <c r="P379" s="407" t="n">
        <v>12317</v>
      </c>
      <c r="Q379" s="234" t="n">
        <v>2023</v>
      </c>
      <c r="R379" s="234"/>
      <c r="S379" s="248" t="n">
        <v>45107</v>
      </c>
      <c r="T379" s="407" t="n">
        <f aca="false">Таблица18[[#This Row],[Вес нетто]]-Таблица18[[#This Row],[Зачетный вес]]</f>
        <v>1293</v>
      </c>
      <c r="U379" s="409" t="n">
        <f aca="false">Таблица18[[#This Row],[Отход]]/Таблица18[[#This Row],[Вес нетто]]</f>
        <v>0.0950036737692873</v>
      </c>
      <c r="V379" s="234" t="n">
        <f aca="false">MONTH(Таблица18[[#This Row],[Дата акта]])</f>
        <v>6</v>
      </c>
      <c r="W379" s="234" t="n">
        <v>30</v>
      </c>
      <c r="X379" s="248" t="n">
        <f aca="false">DATE(1900,Таблица18[[#This Row],[Месяц]],Таблица18[[#This Row],[Число]])</f>
        <v>182</v>
      </c>
      <c r="Y379" s="234"/>
      <c r="AF379" s="411"/>
      <c r="AG379" s="412"/>
    </row>
    <row r="380" s="410" customFormat="true" ht="15" hidden="true" customHeight="true" outlineLevel="0" collapsed="false">
      <c r="A380" s="199" t="s">
        <v>1875</v>
      </c>
      <c r="B380" s="199" t="s">
        <v>417</v>
      </c>
      <c r="C380" s="405" t="n">
        <v>549</v>
      </c>
      <c r="D380" s="406" t="n">
        <v>75</v>
      </c>
      <c r="E380" s="199" t="s">
        <v>1785</v>
      </c>
      <c r="F380" s="199" t="s">
        <v>1876</v>
      </c>
      <c r="G380" s="199" t="s">
        <v>1877</v>
      </c>
      <c r="H380" s="199" t="s">
        <v>1842</v>
      </c>
      <c r="I380" s="199" t="s">
        <v>1842</v>
      </c>
      <c r="J380" s="199" t="s">
        <v>1843</v>
      </c>
      <c r="K380" s="199" t="s">
        <v>1435</v>
      </c>
      <c r="L380" s="407" t="n">
        <v>30380</v>
      </c>
      <c r="M380" s="407" t="n">
        <v>14720</v>
      </c>
      <c r="N380" s="408" t="n">
        <v>10.5</v>
      </c>
      <c r="O380" s="407" t="n">
        <v>15660</v>
      </c>
      <c r="P380" s="407" t="n">
        <v>14015.7</v>
      </c>
      <c r="Q380" s="234" t="n">
        <v>2023</v>
      </c>
      <c r="R380" s="234"/>
      <c r="S380" s="248" t="n">
        <v>45107</v>
      </c>
      <c r="T380" s="407" t="n">
        <f aca="false">Таблица18[[#This Row],[Вес нетто]]-Таблица18[[#This Row],[Зачетный вес]]</f>
        <v>1644.3</v>
      </c>
      <c r="U380" s="409" t="n">
        <f aca="false">Таблица18[[#This Row],[Отход]]/Таблица18[[#This Row],[Вес нетто]]</f>
        <v>0.105</v>
      </c>
      <c r="V380" s="234" t="n">
        <f aca="false">MONTH(Таблица18[[#This Row],[Дата акта]])</f>
        <v>6</v>
      </c>
      <c r="W380" s="234" t="n">
        <v>30</v>
      </c>
      <c r="X380" s="248" t="n">
        <f aca="false">DATE(1900,Таблица18[[#This Row],[Месяц]],Таблица18[[#This Row],[Число]])</f>
        <v>182</v>
      </c>
      <c r="Y380" s="234"/>
      <c r="AF380" s="411"/>
      <c r="AG380" s="412"/>
    </row>
    <row r="381" s="410" customFormat="true" ht="15" hidden="true" customHeight="true" outlineLevel="0" collapsed="false">
      <c r="A381" s="199" t="s">
        <v>1878</v>
      </c>
      <c r="B381" s="199" t="s">
        <v>417</v>
      </c>
      <c r="C381" s="405" t="n">
        <v>550</v>
      </c>
      <c r="D381" s="406" t="n">
        <v>76</v>
      </c>
      <c r="E381" s="199" t="s">
        <v>1785</v>
      </c>
      <c r="F381" s="199" t="s">
        <v>602</v>
      </c>
      <c r="G381" s="199" t="s">
        <v>606</v>
      </c>
      <c r="H381" s="199" t="s">
        <v>1842</v>
      </c>
      <c r="I381" s="199" t="s">
        <v>1842</v>
      </c>
      <c r="J381" s="199" t="s">
        <v>1750</v>
      </c>
      <c r="K381" s="199" t="s">
        <v>1435</v>
      </c>
      <c r="L381" s="407" t="n">
        <v>36090</v>
      </c>
      <c r="M381" s="407" t="n">
        <v>17930</v>
      </c>
      <c r="N381" s="408" t="n">
        <v>10.5</v>
      </c>
      <c r="O381" s="407" t="n">
        <v>18160</v>
      </c>
      <c r="P381" s="407" t="n">
        <v>16253.2</v>
      </c>
      <c r="Q381" s="234" t="n">
        <v>2023</v>
      </c>
      <c r="R381" s="234"/>
      <c r="S381" s="248" t="n">
        <v>45107</v>
      </c>
      <c r="T381" s="407" t="n">
        <f aca="false">Таблица18[[#This Row],[Вес нетто]]-Таблица18[[#This Row],[Зачетный вес]]</f>
        <v>1906.8</v>
      </c>
      <c r="U381" s="409" t="n">
        <f aca="false">Таблица18[[#This Row],[Отход]]/Таблица18[[#This Row],[Вес нетто]]</f>
        <v>0.105</v>
      </c>
      <c r="V381" s="234" t="n">
        <f aca="false">MONTH(Таблица18[[#This Row],[Дата акта]])</f>
        <v>6</v>
      </c>
      <c r="W381" s="234" t="n">
        <v>30</v>
      </c>
      <c r="X381" s="248" t="n">
        <f aca="false">DATE(1900,Таблица18[[#This Row],[Месяц]],Таблица18[[#This Row],[Число]])</f>
        <v>182</v>
      </c>
      <c r="Y381" s="234"/>
      <c r="AF381" s="411"/>
      <c r="AG381" s="412"/>
    </row>
    <row r="382" s="410" customFormat="true" ht="15" hidden="true" customHeight="true" outlineLevel="0" collapsed="false">
      <c r="A382" s="199" t="s">
        <v>1879</v>
      </c>
      <c r="B382" s="199" t="s">
        <v>886</v>
      </c>
      <c r="C382" s="405" t="n">
        <v>552</v>
      </c>
      <c r="D382" s="199" t="s">
        <v>1880</v>
      </c>
      <c r="E382" s="199" t="s">
        <v>1785</v>
      </c>
      <c r="F382" s="199" t="s">
        <v>1483</v>
      </c>
      <c r="G382" s="199" t="s">
        <v>373</v>
      </c>
      <c r="H382" s="199" t="s">
        <v>1835</v>
      </c>
      <c r="I382" s="199" t="s">
        <v>1835</v>
      </c>
      <c r="J382" s="199" t="s">
        <v>1750</v>
      </c>
      <c r="K382" s="199" t="s">
        <v>1435</v>
      </c>
      <c r="L382" s="407" t="n">
        <v>18660</v>
      </c>
      <c r="M382" s="407" t="n">
        <v>10730</v>
      </c>
      <c r="N382" s="234"/>
      <c r="O382" s="407" t="n">
        <v>7930</v>
      </c>
      <c r="P382" s="407" t="n">
        <v>7930</v>
      </c>
      <c r="Q382" s="234" t="n">
        <v>2023</v>
      </c>
      <c r="R382" s="234"/>
      <c r="S382" s="248" t="n">
        <v>45107</v>
      </c>
      <c r="T382" s="407" t="n">
        <f aca="false">Таблица18[[#This Row],[Вес нетто]]-Таблица18[[#This Row],[Зачетный вес]]</f>
        <v>0</v>
      </c>
      <c r="U382" s="409" t="n">
        <f aca="false">Таблица18[[#This Row],[Отход]]/Таблица18[[#This Row],[Вес нетто]]</f>
        <v>0</v>
      </c>
      <c r="V382" s="234" t="n">
        <f aca="false">MONTH(Таблица18[[#This Row],[Дата акта]])</f>
        <v>6</v>
      </c>
      <c r="W382" s="234" t="n">
        <v>30</v>
      </c>
      <c r="X382" s="248" t="n">
        <f aca="false">DATE(1900,Таблица18[[#This Row],[Месяц]],Таблица18[[#This Row],[Число]])</f>
        <v>182</v>
      </c>
      <c r="Y382" s="234"/>
      <c r="AF382" s="411"/>
      <c r="AG382" s="412"/>
    </row>
    <row r="383" s="410" customFormat="true" ht="15" hidden="true" customHeight="true" outlineLevel="0" collapsed="false">
      <c r="A383" s="199" t="s">
        <v>1881</v>
      </c>
      <c r="B383" s="199" t="s">
        <v>417</v>
      </c>
      <c r="C383" s="405" t="n">
        <v>553</v>
      </c>
      <c r="D383" s="406" t="n">
        <v>77</v>
      </c>
      <c r="E383" s="199" t="s">
        <v>1785</v>
      </c>
      <c r="F383" s="199" t="s">
        <v>610</v>
      </c>
      <c r="G383" s="199" t="s">
        <v>614</v>
      </c>
      <c r="H383" s="199" t="s">
        <v>1842</v>
      </c>
      <c r="I383" s="199" t="s">
        <v>1842</v>
      </c>
      <c r="J383" s="199" t="s">
        <v>1843</v>
      </c>
      <c r="K383" s="199" t="s">
        <v>1435</v>
      </c>
      <c r="L383" s="407" t="n">
        <v>33140</v>
      </c>
      <c r="M383" s="407" t="n">
        <v>17070</v>
      </c>
      <c r="N383" s="408" t="n">
        <v>11.5</v>
      </c>
      <c r="O383" s="407" t="n">
        <v>16070</v>
      </c>
      <c r="P383" s="407" t="n">
        <v>14221.9</v>
      </c>
      <c r="Q383" s="234" t="n">
        <v>2023</v>
      </c>
      <c r="R383" s="234"/>
      <c r="S383" s="248" t="n">
        <v>45107</v>
      </c>
      <c r="T383" s="407" t="n">
        <f aca="false">Таблица18[[#This Row],[Вес нетто]]-Таблица18[[#This Row],[Зачетный вес]]</f>
        <v>1848.1</v>
      </c>
      <c r="U383" s="409" t="n">
        <f aca="false">Таблица18[[#This Row],[Отход]]/Таблица18[[#This Row],[Вес нетто]]</f>
        <v>0.115003111387679</v>
      </c>
      <c r="V383" s="234" t="n">
        <f aca="false">MONTH(Таблица18[[#This Row],[Дата акта]])</f>
        <v>6</v>
      </c>
      <c r="W383" s="234" t="n">
        <v>30</v>
      </c>
      <c r="X383" s="248" t="n">
        <f aca="false">DATE(1900,Таблица18[[#This Row],[Месяц]],Таблица18[[#This Row],[Число]])</f>
        <v>182</v>
      </c>
      <c r="Y383" s="234"/>
      <c r="AF383" s="411"/>
      <c r="AG383" s="412"/>
    </row>
    <row r="384" s="410" customFormat="true" ht="15" hidden="true" customHeight="true" outlineLevel="0" collapsed="false">
      <c r="A384" s="199" t="s">
        <v>1882</v>
      </c>
      <c r="B384" s="199" t="s">
        <v>417</v>
      </c>
      <c r="C384" s="405" t="n">
        <v>555</v>
      </c>
      <c r="D384" s="406" t="n">
        <v>78</v>
      </c>
      <c r="E384" s="199" t="s">
        <v>1785</v>
      </c>
      <c r="F384" s="199" t="s">
        <v>1800</v>
      </c>
      <c r="G384" s="199" t="s">
        <v>621</v>
      </c>
      <c r="H384" s="199" t="s">
        <v>1842</v>
      </c>
      <c r="I384" s="199" t="s">
        <v>1842</v>
      </c>
      <c r="J384" s="199" t="s">
        <v>1843</v>
      </c>
      <c r="K384" s="199" t="s">
        <v>1435</v>
      </c>
      <c r="L384" s="407" t="n">
        <v>35820</v>
      </c>
      <c r="M384" s="407" t="n">
        <v>17600</v>
      </c>
      <c r="N384" s="408" t="n">
        <v>10.5</v>
      </c>
      <c r="O384" s="407" t="n">
        <v>18220</v>
      </c>
      <c r="P384" s="407" t="n">
        <v>16306.9</v>
      </c>
      <c r="Q384" s="234" t="n">
        <v>2023</v>
      </c>
      <c r="R384" s="234"/>
      <c r="S384" s="248" t="n">
        <v>45107</v>
      </c>
      <c r="T384" s="407" t="n">
        <f aca="false">Таблица18[[#This Row],[Вес нетто]]-Таблица18[[#This Row],[Зачетный вес]]</f>
        <v>1913.1</v>
      </c>
      <c r="U384" s="409" t="n">
        <f aca="false">Таблица18[[#This Row],[Отход]]/Таблица18[[#This Row],[Вес нетто]]</f>
        <v>0.105</v>
      </c>
      <c r="V384" s="234" t="n">
        <f aca="false">MONTH(Таблица18[[#This Row],[Дата акта]])</f>
        <v>6</v>
      </c>
      <c r="W384" s="234" t="n">
        <v>30</v>
      </c>
      <c r="X384" s="248" t="n">
        <f aca="false">DATE(1900,Таблица18[[#This Row],[Месяц]],Таблица18[[#This Row],[Число]])</f>
        <v>182</v>
      </c>
      <c r="Y384" s="234"/>
      <c r="AF384" s="411"/>
      <c r="AG384" s="412"/>
    </row>
    <row r="385" s="410" customFormat="true" ht="15" hidden="true" customHeight="true" outlineLevel="0" collapsed="false">
      <c r="A385" s="199" t="s">
        <v>1883</v>
      </c>
      <c r="B385" s="199" t="s">
        <v>746</v>
      </c>
      <c r="C385" s="405" t="n">
        <v>556</v>
      </c>
      <c r="D385" s="406" t="n">
        <v>79</v>
      </c>
      <c r="E385" s="199" t="s">
        <v>1785</v>
      </c>
      <c r="F385" s="199" t="s">
        <v>1439</v>
      </c>
      <c r="G385" s="199" t="s">
        <v>1440</v>
      </c>
      <c r="H385" s="199" t="s">
        <v>1842</v>
      </c>
      <c r="I385" s="199" t="s">
        <v>1842</v>
      </c>
      <c r="J385" s="199" t="s">
        <v>1843</v>
      </c>
      <c r="K385" s="199" t="s">
        <v>1435</v>
      </c>
      <c r="L385" s="407" t="n">
        <v>29100</v>
      </c>
      <c r="M385" s="407" t="n">
        <v>13190</v>
      </c>
      <c r="N385" s="408" t="n">
        <v>8.5</v>
      </c>
      <c r="O385" s="407" t="n">
        <v>15910</v>
      </c>
      <c r="P385" s="407" t="n">
        <v>14557.6</v>
      </c>
      <c r="Q385" s="234" t="n">
        <v>2023</v>
      </c>
      <c r="R385" s="234"/>
      <c r="S385" s="248" t="n">
        <v>45107</v>
      </c>
      <c r="T385" s="407" t="n">
        <f aca="false">Таблица18[[#This Row],[Вес нетто]]-Таблица18[[#This Row],[Зачетный вес]]</f>
        <v>1352.4</v>
      </c>
      <c r="U385" s="409" t="n">
        <f aca="false">Таблица18[[#This Row],[Отход]]/Таблица18[[#This Row],[Вес нетто]]</f>
        <v>0.0850031426775613</v>
      </c>
      <c r="V385" s="234" t="n">
        <f aca="false">MONTH(Таблица18[[#This Row],[Дата акта]])</f>
        <v>6</v>
      </c>
      <c r="W385" s="234" t="n">
        <v>30</v>
      </c>
      <c r="X385" s="248" t="n">
        <f aca="false">DATE(1900,Таблица18[[#This Row],[Месяц]],Таблица18[[#This Row],[Число]])</f>
        <v>182</v>
      </c>
      <c r="Y385" s="234"/>
      <c r="AF385" s="411"/>
      <c r="AG385" s="412"/>
    </row>
    <row r="386" s="410" customFormat="true" ht="15" hidden="true" customHeight="true" outlineLevel="0" collapsed="false">
      <c r="A386" s="199" t="s">
        <v>1884</v>
      </c>
      <c r="B386" s="199" t="s">
        <v>746</v>
      </c>
      <c r="C386" s="405" t="n">
        <v>557</v>
      </c>
      <c r="D386" s="406" t="n">
        <v>80</v>
      </c>
      <c r="E386" s="199" t="s">
        <v>1785</v>
      </c>
      <c r="F386" s="199" t="s">
        <v>1792</v>
      </c>
      <c r="G386" s="199" t="s">
        <v>1793</v>
      </c>
      <c r="H386" s="199" t="s">
        <v>1842</v>
      </c>
      <c r="I386" s="199" t="s">
        <v>1842</v>
      </c>
      <c r="J386" s="199" t="s">
        <v>1843</v>
      </c>
      <c r="K386" s="199" t="s">
        <v>1435</v>
      </c>
      <c r="L386" s="407" t="n">
        <v>31210</v>
      </c>
      <c r="M386" s="407" t="n">
        <v>15420</v>
      </c>
      <c r="N386" s="408" t="n">
        <v>9.5</v>
      </c>
      <c r="O386" s="407" t="n">
        <v>15790</v>
      </c>
      <c r="P386" s="407" t="n">
        <v>14289.9</v>
      </c>
      <c r="Q386" s="234" t="n">
        <v>2023</v>
      </c>
      <c r="R386" s="234"/>
      <c r="S386" s="248" t="n">
        <v>45107</v>
      </c>
      <c r="T386" s="407" t="n">
        <f aca="false">Таблица18[[#This Row],[Вес нетто]]-Таблица18[[#This Row],[Зачетный вес]]</f>
        <v>1500.1</v>
      </c>
      <c r="U386" s="409" t="n">
        <f aca="false">Таблица18[[#This Row],[Отход]]/Таблица18[[#This Row],[Вес нетто]]</f>
        <v>0.0950031665611147</v>
      </c>
      <c r="V386" s="234" t="n">
        <f aca="false">MONTH(Таблица18[[#This Row],[Дата акта]])</f>
        <v>6</v>
      </c>
      <c r="W386" s="234" t="n">
        <v>30</v>
      </c>
      <c r="X386" s="248" t="n">
        <f aca="false">DATE(1900,Таблица18[[#This Row],[Месяц]],Таблица18[[#This Row],[Число]])</f>
        <v>182</v>
      </c>
      <c r="Y386" s="234"/>
      <c r="AF386" s="411"/>
      <c r="AG386" s="412"/>
    </row>
    <row r="387" s="410" customFormat="true" ht="15" hidden="true" customHeight="true" outlineLevel="0" collapsed="false">
      <c r="A387" s="199" t="s">
        <v>1885</v>
      </c>
      <c r="B387" s="199" t="s">
        <v>746</v>
      </c>
      <c r="C387" s="405" t="n">
        <v>558</v>
      </c>
      <c r="D387" s="406" t="n">
        <v>81</v>
      </c>
      <c r="E387" s="199" t="s">
        <v>1785</v>
      </c>
      <c r="F387" s="199" t="s">
        <v>1485</v>
      </c>
      <c r="G387" s="199" t="s">
        <v>1886</v>
      </c>
      <c r="H387" s="199" t="s">
        <v>1842</v>
      </c>
      <c r="I387" s="199" t="s">
        <v>1842</v>
      </c>
      <c r="J387" s="199" t="s">
        <v>1843</v>
      </c>
      <c r="K387" s="199" t="s">
        <v>1435</v>
      </c>
      <c r="L387" s="407" t="n">
        <v>38880</v>
      </c>
      <c r="M387" s="407" t="n">
        <v>21040</v>
      </c>
      <c r="N387" s="408" t="n">
        <v>7.5</v>
      </c>
      <c r="O387" s="407" t="n">
        <v>17840</v>
      </c>
      <c r="P387" s="407" t="n">
        <v>16502</v>
      </c>
      <c r="Q387" s="234" t="n">
        <v>2023</v>
      </c>
      <c r="R387" s="234"/>
      <c r="S387" s="248" t="n">
        <v>45107</v>
      </c>
      <c r="T387" s="407" t="n">
        <f aca="false">Таблица18[[#This Row],[Вес нетто]]-Таблица18[[#This Row],[Зачетный вес]]</f>
        <v>1338</v>
      </c>
      <c r="U387" s="409" t="n">
        <f aca="false">Таблица18[[#This Row],[Отход]]/Таблица18[[#This Row],[Вес нетто]]</f>
        <v>0.075</v>
      </c>
      <c r="V387" s="234" t="n">
        <f aca="false">MONTH(Таблица18[[#This Row],[Дата акта]])</f>
        <v>6</v>
      </c>
      <c r="W387" s="234" t="n">
        <v>30</v>
      </c>
      <c r="X387" s="248" t="n">
        <f aca="false">DATE(1900,Таблица18[[#This Row],[Месяц]],Таблица18[[#This Row],[Число]])</f>
        <v>182</v>
      </c>
      <c r="Y387" s="234"/>
      <c r="AF387" s="411"/>
      <c r="AG387" s="412"/>
    </row>
    <row r="388" s="410" customFormat="true" ht="15" hidden="true" customHeight="true" outlineLevel="0" collapsed="false">
      <c r="A388" s="199" t="s">
        <v>1887</v>
      </c>
      <c r="B388" s="199" t="s">
        <v>746</v>
      </c>
      <c r="C388" s="405" t="n">
        <v>560</v>
      </c>
      <c r="D388" s="406" t="n">
        <v>82</v>
      </c>
      <c r="E388" s="199" t="s">
        <v>1785</v>
      </c>
      <c r="F388" s="199" t="s">
        <v>371</v>
      </c>
      <c r="G388" s="199" t="s">
        <v>372</v>
      </c>
      <c r="H388" s="199" t="s">
        <v>1842</v>
      </c>
      <c r="I388" s="199" t="s">
        <v>1842</v>
      </c>
      <c r="J388" s="199" t="s">
        <v>1843</v>
      </c>
      <c r="K388" s="199" t="s">
        <v>1435</v>
      </c>
      <c r="L388" s="407" t="n">
        <v>30610</v>
      </c>
      <c r="M388" s="407" t="n">
        <v>15020</v>
      </c>
      <c r="N388" s="408" t="n">
        <v>9.5</v>
      </c>
      <c r="O388" s="407" t="n">
        <v>15590</v>
      </c>
      <c r="P388" s="407" t="n">
        <v>14108.9</v>
      </c>
      <c r="Q388" s="234" t="n">
        <v>2023</v>
      </c>
      <c r="R388" s="234"/>
      <c r="S388" s="248" t="n">
        <v>45108</v>
      </c>
      <c r="T388" s="407" t="n">
        <f aca="false">Таблица18[[#This Row],[Вес нетто]]-Таблица18[[#This Row],[Зачетный вес]]</f>
        <v>1481.1</v>
      </c>
      <c r="U388" s="409" t="n">
        <f aca="false">Таблица18[[#This Row],[Отход]]/Таблица18[[#This Row],[Вес нетто]]</f>
        <v>0.0950032071840924</v>
      </c>
      <c r="V388" s="234" t="n">
        <f aca="false">MONTH(Таблица18[[#This Row],[Дата акта]])</f>
        <v>7</v>
      </c>
      <c r="W388" s="234" t="n">
        <v>1</v>
      </c>
      <c r="X388" s="248" t="n">
        <f aca="false">DATE(1900,Таблица18[[#This Row],[Месяц]],Таблица18[[#This Row],[Число]])</f>
        <v>183</v>
      </c>
      <c r="Y388" s="234"/>
      <c r="AF388" s="411"/>
      <c r="AG388" s="412"/>
    </row>
    <row r="389" s="410" customFormat="true" ht="15" hidden="true" customHeight="true" outlineLevel="0" collapsed="false">
      <c r="A389" s="199" t="s">
        <v>1888</v>
      </c>
      <c r="B389" s="199" t="s">
        <v>746</v>
      </c>
      <c r="C389" s="405" t="n">
        <v>561</v>
      </c>
      <c r="D389" s="406" t="n">
        <v>83</v>
      </c>
      <c r="E389" s="199" t="s">
        <v>1785</v>
      </c>
      <c r="F389" s="199" t="s">
        <v>602</v>
      </c>
      <c r="G389" s="199" t="s">
        <v>606</v>
      </c>
      <c r="H389" s="199" t="s">
        <v>1842</v>
      </c>
      <c r="I389" s="199" t="s">
        <v>1842</v>
      </c>
      <c r="J389" s="199" t="s">
        <v>1843</v>
      </c>
      <c r="K389" s="199" t="s">
        <v>1435</v>
      </c>
      <c r="L389" s="407" t="n">
        <v>35700</v>
      </c>
      <c r="M389" s="407" t="n">
        <v>17810</v>
      </c>
      <c r="N389" s="408" t="n">
        <v>10.5</v>
      </c>
      <c r="O389" s="407" t="n">
        <v>17890</v>
      </c>
      <c r="P389" s="407" t="n">
        <v>16011.5</v>
      </c>
      <c r="Q389" s="234" t="n">
        <v>2023</v>
      </c>
      <c r="R389" s="234"/>
      <c r="S389" s="248" t="n">
        <v>45108</v>
      </c>
      <c r="T389" s="407" t="n">
        <f aca="false">Таблица18[[#This Row],[Вес нетто]]-Таблица18[[#This Row],[Зачетный вес]]</f>
        <v>1878.5</v>
      </c>
      <c r="U389" s="409" t="n">
        <f aca="false">Таблица18[[#This Row],[Отход]]/Таблица18[[#This Row],[Вес нетто]]</f>
        <v>0.105002794857462</v>
      </c>
      <c r="V389" s="234" t="n">
        <f aca="false">MONTH(Таблица18[[#This Row],[Дата акта]])</f>
        <v>7</v>
      </c>
      <c r="W389" s="234" t="n">
        <v>1</v>
      </c>
      <c r="X389" s="248" t="n">
        <f aca="false">DATE(1900,Таблица18[[#This Row],[Месяц]],Таблица18[[#This Row],[Число]])</f>
        <v>183</v>
      </c>
      <c r="Y389" s="234"/>
      <c r="AF389" s="411"/>
      <c r="AG389" s="412"/>
    </row>
    <row r="390" s="410" customFormat="true" ht="15" hidden="true" customHeight="true" outlineLevel="0" collapsed="false">
      <c r="A390" s="199" t="s">
        <v>1889</v>
      </c>
      <c r="B390" s="199" t="s">
        <v>746</v>
      </c>
      <c r="C390" s="405" t="n">
        <v>562</v>
      </c>
      <c r="D390" s="406" t="n">
        <v>84</v>
      </c>
      <c r="E390" s="199" t="s">
        <v>1785</v>
      </c>
      <c r="F390" s="199" t="s">
        <v>1449</v>
      </c>
      <c r="G390" s="199" t="s">
        <v>704</v>
      </c>
      <c r="H390" s="199" t="s">
        <v>1842</v>
      </c>
      <c r="I390" s="199" t="s">
        <v>1842</v>
      </c>
      <c r="J390" s="199" t="s">
        <v>1843</v>
      </c>
      <c r="K390" s="199" t="s">
        <v>1435</v>
      </c>
      <c r="L390" s="407" t="n">
        <v>32540</v>
      </c>
      <c r="M390" s="407" t="n">
        <v>14660</v>
      </c>
      <c r="N390" s="408" t="n">
        <v>8.5</v>
      </c>
      <c r="O390" s="407" t="n">
        <v>17880</v>
      </c>
      <c r="P390" s="407" t="n">
        <v>16360.2</v>
      </c>
      <c r="Q390" s="234" t="n">
        <v>2023</v>
      </c>
      <c r="R390" s="234"/>
      <c r="S390" s="248" t="n">
        <v>45108</v>
      </c>
      <c r="T390" s="407" t="n">
        <f aca="false">Таблица18[[#This Row],[Вес нетто]]-Таблица18[[#This Row],[Зачетный вес]]</f>
        <v>1519.8</v>
      </c>
      <c r="U390" s="409" t="n">
        <f aca="false">Таблица18[[#This Row],[Отход]]/Таблица18[[#This Row],[Вес нетто]]</f>
        <v>0.085</v>
      </c>
      <c r="V390" s="234" t="n">
        <f aca="false">MONTH(Таблица18[[#This Row],[Дата акта]])</f>
        <v>7</v>
      </c>
      <c r="W390" s="234" t="n">
        <v>1</v>
      </c>
      <c r="X390" s="248" t="n">
        <f aca="false">DATE(1900,Таблица18[[#This Row],[Месяц]],Таблица18[[#This Row],[Число]])</f>
        <v>183</v>
      </c>
      <c r="Y390" s="234"/>
      <c r="AF390" s="411"/>
      <c r="AG390" s="412"/>
    </row>
    <row r="391" s="410" customFormat="true" ht="15" hidden="true" customHeight="true" outlineLevel="0" collapsed="false">
      <c r="A391" s="199" t="s">
        <v>1890</v>
      </c>
      <c r="B391" s="199" t="s">
        <v>746</v>
      </c>
      <c r="C391" s="405" t="n">
        <v>563</v>
      </c>
      <c r="D391" s="406" t="n">
        <v>85</v>
      </c>
      <c r="E391" s="199" t="s">
        <v>1785</v>
      </c>
      <c r="F391" s="199" t="s">
        <v>1866</v>
      </c>
      <c r="G391" s="199" t="s">
        <v>1867</v>
      </c>
      <c r="H391" s="199" t="s">
        <v>1842</v>
      </c>
      <c r="I391" s="199" t="s">
        <v>1842</v>
      </c>
      <c r="J391" s="199" t="s">
        <v>1843</v>
      </c>
      <c r="K391" s="199" t="s">
        <v>1435</v>
      </c>
      <c r="L391" s="407" t="n">
        <v>32420</v>
      </c>
      <c r="M391" s="407" t="n">
        <v>14600</v>
      </c>
      <c r="N391" s="408" t="n">
        <v>8.5</v>
      </c>
      <c r="O391" s="407" t="n">
        <v>17820</v>
      </c>
      <c r="P391" s="407" t="n">
        <v>16305.3</v>
      </c>
      <c r="Q391" s="234" t="n">
        <v>2023</v>
      </c>
      <c r="R391" s="234"/>
      <c r="S391" s="248" t="n">
        <v>45108</v>
      </c>
      <c r="T391" s="407" t="n">
        <f aca="false">Таблица18[[#This Row],[Вес нетто]]-Таблица18[[#This Row],[Зачетный вес]]</f>
        <v>1514.7</v>
      </c>
      <c r="U391" s="409" t="n">
        <f aca="false">Таблица18[[#This Row],[Отход]]/Таблица18[[#This Row],[Вес нетто]]</f>
        <v>0.0850000000000001</v>
      </c>
      <c r="V391" s="234" t="n">
        <f aca="false">MONTH(Таблица18[[#This Row],[Дата акта]])</f>
        <v>7</v>
      </c>
      <c r="W391" s="234" t="n">
        <v>1</v>
      </c>
      <c r="X391" s="248" t="n">
        <f aca="false">DATE(1900,Таблица18[[#This Row],[Месяц]],Таблица18[[#This Row],[Число]])</f>
        <v>183</v>
      </c>
      <c r="Y391" s="234"/>
      <c r="AF391" s="411"/>
      <c r="AG391" s="412"/>
    </row>
    <row r="392" s="410" customFormat="true" ht="15" hidden="true" customHeight="true" outlineLevel="0" collapsed="false">
      <c r="A392" s="199" t="s">
        <v>1891</v>
      </c>
      <c r="B392" s="199" t="s">
        <v>746</v>
      </c>
      <c r="C392" s="405" t="n">
        <v>564</v>
      </c>
      <c r="D392" s="406" t="n">
        <v>86</v>
      </c>
      <c r="E392" s="199" t="s">
        <v>1785</v>
      </c>
      <c r="F392" s="199" t="s">
        <v>610</v>
      </c>
      <c r="G392" s="199" t="s">
        <v>614</v>
      </c>
      <c r="H392" s="199" t="s">
        <v>1842</v>
      </c>
      <c r="I392" s="199" t="s">
        <v>1842</v>
      </c>
      <c r="J392" s="199" t="s">
        <v>1843</v>
      </c>
      <c r="K392" s="199" t="s">
        <v>1435</v>
      </c>
      <c r="L392" s="407" t="n">
        <v>30950</v>
      </c>
      <c r="M392" s="407" t="n">
        <v>16960</v>
      </c>
      <c r="N392" s="408" t="n">
        <v>8.5</v>
      </c>
      <c r="O392" s="407" t="n">
        <v>13990</v>
      </c>
      <c r="P392" s="407" t="n">
        <v>12800.8</v>
      </c>
      <c r="Q392" s="234" t="n">
        <v>2023</v>
      </c>
      <c r="R392" s="234"/>
      <c r="S392" s="248" t="n">
        <v>45108</v>
      </c>
      <c r="T392" s="407" t="n">
        <f aca="false">Таблица18[[#This Row],[Вес нетто]]-Таблица18[[#This Row],[Зачетный вес]]</f>
        <v>1189.2</v>
      </c>
      <c r="U392" s="409" t="n">
        <f aca="false">Таблица18[[#This Row],[Отход]]/Таблица18[[#This Row],[Вес нетто]]</f>
        <v>0.0850035739814154</v>
      </c>
      <c r="V392" s="234" t="n">
        <f aca="false">MONTH(Таблица18[[#This Row],[Дата акта]])</f>
        <v>7</v>
      </c>
      <c r="W392" s="234" t="n">
        <v>1</v>
      </c>
      <c r="X392" s="248" t="n">
        <f aca="false">DATE(1900,Таблица18[[#This Row],[Месяц]],Таблица18[[#This Row],[Число]])</f>
        <v>183</v>
      </c>
      <c r="Y392" s="234"/>
      <c r="AF392" s="411"/>
      <c r="AG392" s="412"/>
    </row>
    <row r="393" s="410" customFormat="true" ht="15" hidden="true" customHeight="true" outlineLevel="0" collapsed="false">
      <c r="A393" s="199" t="s">
        <v>1892</v>
      </c>
      <c r="B393" s="199" t="s">
        <v>886</v>
      </c>
      <c r="C393" s="405" t="n">
        <v>565</v>
      </c>
      <c r="D393" s="406" t="n">
        <v>87</v>
      </c>
      <c r="E393" s="199" t="s">
        <v>1785</v>
      </c>
      <c r="F393" s="199" t="s">
        <v>1483</v>
      </c>
      <c r="G393" s="199" t="s">
        <v>373</v>
      </c>
      <c r="H393" s="199" t="s">
        <v>1893</v>
      </c>
      <c r="I393" s="199" t="s">
        <v>1893</v>
      </c>
      <c r="J393" s="199" t="s">
        <v>1843</v>
      </c>
      <c r="K393" s="199" t="s">
        <v>1435</v>
      </c>
      <c r="L393" s="407" t="n">
        <v>36580</v>
      </c>
      <c r="M393" s="407" t="n">
        <v>18620</v>
      </c>
      <c r="N393" s="408" t="n">
        <v>5</v>
      </c>
      <c r="O393" s="407" t="n">
        <v>17960</v>
      </c>
      <c r="P393" s="407" t="n">
        <v>17062</v>
      </c>
      <c r="Q393" s="234" t="n">
        <v>2023</v>
      </c>
      <c r="R393" s="234"/>
      <c r="S393" s="248" t="n">
        <v>45108</v>
      </c>
      <c r="T393" s="407" t="n">
        <f aca="false">Таблица18[[#This Row],[Вес нетто]]-Таблица18[[#This Row],[Зачетный вес]]</f>
        <v>898</v>
      </c>
      <c r="U393" s="409" t="n">
        <f aca="false">Таблица18[[#This Row],[Отход]]/Таблица18[[#This Row],[Вес нетто]]</f>
        <v>0.05</v>
      </c>
      <c r="V393" s="234" t="n">
        <f aca="false">MONTH(Таблица18[[#This Row],[Дата акта]])</f>
        <v>7</v>
      </c>
      <c r="W393" s="234" t="n">
        <v>1</v>
      </c>
      <c r="X393" s="248" t="n">
        <f aca="false">DATE(1900,Таблица18[[#This Row],[Месяц]],Таблица18[[#This Row],[Число]])</f>
        <v>183</v>
      </c>
      <c r="Y393" s="234"/>
      <c r="AF393" s="411"/>
      <c r="AG393" s="412"/>
    </row>
    <row r="394" s="410" customFormat="true" ht="15" hidden="true" customHeight="true" outlineLevel="0" collapsed="false">
      <c r="A394" s="199" t="s">
        <v>1894</v>
      </c>
      <c r="B394" s="199" t="s">
        <v>886</v>
      </c>
      <c r="C394" s="405" t="n">
        <v>566</v>
      </c>
      <c r="D394" s="406" t="n">
        <v>88</v>
      </c>
      <c r="E394" s="199" t="s">
        <v>1785</v>
      </c>
      <c r="F394" s="199" t="s">
        <v>457</v>
      </c>
      <c r="G394" s="199" t="s">
        <v>366</v>
      </c>
      <c r="H394" s="199" t="s">
        <v>1893</v>
      </c>
      <c r="I394" s="199" t="s">
        <v>1893</v>
      </c>
      <c r="J394" s="199" t="s">
        <v>1843</v>
      </c>
      <c r="K394" s="199" t="s">
        <v>1435</v>
      </c>
      <c r="L394" s="407" t="n">
        <v>35110</v>
      </c>
      <c r="M394" s="407" t="n">
        <v>17430</v>
      </c>
      <c r="N394" s="408" t="n">
        <v>7</v>
      </c>
      <c r="O394" s="407" t="n">
        <v>17680</v>
      </c>
      <c r="P394" s="407" t="n">
        <v>16442.4</v>
      </c>
      <c r="Q394" s="234" t="n">
        <v>2023</v>
      </c>
      <c r="R394" s="234"/>
      <c r="S394" s="248" t="n">
        <v>45108</v>
      </c>
      <c r="T394" s="407" t="n">
        <f aca="false">Таблица18[[#This Row],[Вес нетто]]-Таблица18[[#This Row],[Зачетный вес]]</f>
        <v>1237.6</v>
      </c>
      <c r="U394" s="409" t="n">
        <f aca="false">Таблица18[[#This Row],[Отход]]/Таблица18[[#This Row],[Вес нетто]]</f>
        <v>0.0699999999999999</v>
      </c>
      <c r="V394" s="234" t="n">
        <f aca="false">MONTH(Таблица18[[#This Row],[Дата акта]])</f>
        <v>7</v>
      </c>
      <c r="W394" s="234" t="n">
        <v>1</v>
      </c>
      <c r="X394" s="248" t="n">
        <f aca="false">DATE(1900,Таблица18[[#This Row],[Месяц]],Таблица18[[#This Row],[Число]])</f>
        <v>183</v>
      </c>
      <c r="Y394" s="234"/>
      <c r="AF394" s="411"/>
      <c r="AG394" s="412"/>
    </row>
    <row r="395" s="410" customFormat="true" ht="15" hidden="true" customHeight="true" outlineLevel="0" collapsed="false">
      <c r="A395" s="199" t="s">
        <v>1895</v>
      </c>
      <c r="B395" s="199" t="s">
        <v>886</v>
      </c>
      <c r="C395" s="405" t="n">
        <v>567</v>
      </c>
      <c r="D395" s="406" t="n">
        <v>90</v>
      </c>
      <c r="E395" s="199" t="s">
        <v>1785</v>
      </c>
      <c r="F395" s="199" t="s">
        <v>371</v>
      </c>
      <c r="G395" s="199" t="s">
        <v>372</v>
      </c>
      <c r="H395" s="199" t="s">
        <v>1893</v>
      </c>
      <c r="I395" s="199" t="s">
        <v>1893</v>
      </c>
      <c r="J395" s="199" t="s">
        <v>1843</v>
      </c>
      <c r="K395" s="199" t="s">
        <v>1435</v>
      </c>
      <c r="L395" s="407" t="n">
        <v>30740</v>
      </c>
      <c r="M395" s="407" t="n">
        <v>15030</v>
      </c>
      <c r="N395" s="408" t="n">
        <v>6</v>
      </c>
      <c r="O395" s="407" t="n">
        <v>15710</v>
      </c>
      <c r="P395" s="407" t="n">
        <v>14767.4</v>
      </c>
      <c r="Q395" s="234" t="n">
        <v>2023</v>
      </c>
      <c r="R395" s="234"/>
      <c r="S395" s="248" t="n">
        <v>45108</v>
      </c>
      <c r="T395" s="407" t="n">
        <f aca="false">Таблица18[[#This Row],[Вес нетто]]-Таблица18[[#This Row],[Зачетный вес]]</f>
        <v>942.6</v>
      </c>
      <c r="U395" s="409" t="n">
        <f aca="false">Таблица18[[#This Row],[Отход]]/Таблица18[[#This Row],[Вес нетто]]</f>
        <v>0.06</v>
      </c>
      <c r="V395" s="234" t="n">
        <f aca="false">MONTH(Таблица18[[#This Row],[Дата акта]])</f>
        <v>7</v>
      </c>
      <c r="W395" s="234" t="n">
        <v>1</v>
      </c>
      <c r="X395" s="248" t="n">
        <f aca="false">DATE(1900,Таблица18[[#This Row],[Месяц]],Таблица18[[#This Row],[Число]])</f>
        <v>183</v>
      </c>
      <c r="Y395" s="234"/>
      <c r="AF395" s="411"/>
      <c r="AG395" s="412"/>
    </row>
    <row r="396" s="410" customFormat="true" ht="15" hidden="true" customHeight="true" outlineLevel="0" collapsed="false">
      <c r="A396" s="199" t="s">
        <v>1896</v>
      </c>
      <c r="B396" s="199" t="s">
        <v>746</v>
      </c>
      <c r="C396" s="405" t="n">
        <v>568</v>
      </c>
      <c r="D396" s="406" t="n">
        <v>89</v>
      </c>
      <c r="E396" s="199" t="s">
        <v>1785</v>
      </c>
      <c r="F396" s="199" t="s">
        <v>1439</v>
      </c>
      <c r="G396" s="199" t="s">
        <v>1440</v>
      </c>
      <c r="H396" s="199" t="s">
        <v>1893</v>
      </c>
      <c r="I396" s="199" t="s">
        <v>1893</v>
      </c>
      <c r="J396" s="199" t="s">
        <v>1843</v>
      </c>
      <c r="K396" s="199" t="s">
        <v>1435</v>
      </c>
      <c r="L396" s="407" t="n">
        <v>28850</v>
      </c>
      <c r="M396" s="407" t="n">
        <v>13130</v>
      </c>
      <c r="N396" s="408" t="n">
        <v>7</v>
      </c>
      <c r="O396" s="407" t="n">
        <v>15720</v>
      </c>
      <c r="P396" s="407" t="n">
        <v>14619.6</v>
      </c>
      <c r="Q396" s="234" t="n">
        <v>2023</v>
      </c>
      <c r="R396" s="234"/>
      <c r="S396" s="248" t="n">
        <v>45108</v>
      </c>
      <c r="T396" s="407" t="n">
        <f aca="false">Таблица18[[#This Row],[Вес нетто]]-Таблица18[[#This Row],[Зачетный вес]]</f>
        <v>1100.4</v>
      </c>
      <c r="U396" s="409" t="n">
        <f aca="false">Таблица18[[#This Row],[Отход]]/Таблица18[[#This Row],[Вес нетто]]</f>
        <v>0.07</v>
      </c>
      <c r="V396" s="234" t="n">
        <f aca="false">MONTH(Таблица18[[#This Row],[Дата акта]])</f>
        <v>7</v>
      </c>
      <c r="W396" s="234" t="n">
        <v>1</v>
      </c>
      <c r="X396" s="248" t="n">
        <f aca="false">DATE(1900,Таблица18[[#This Row],[Месяц]],Таблица18[[#This Row],[Число]])</f>
        <v>183</v>
      </c>
      <c r="Y396" s="234"/>
      <c r="AF396" s="411"/>
      <c r="AG396" s="412"/>
    </row>
    <row r="397" s="410" customFormat="true" ht="15" hidden="true" customHeight="true" outlineLevel="0" collapsed="false">
      <c r="A397" s="199" t="s">
        <v>1897</v>
      </c>
      <c r="B397" s="199" t="s">
        <v>746</v>
      </c>
      <c r="C397" s="405" t="n">
        <v>569</v>
      </c>
      <c r="D397" s="406" t="n">
        <v>91</v>
      </c>
      <c r="E397" s="199" t="s">
        <v>1785</v>
      </c>
      <c r="F397" s="199" t="s">
        <v>1800</v>
      </c>
      <c r="G397" s="199" t="s">
        <v>621</v>
      </c>
      <c r="H397" s="199" t="s">
        <v>1893</v>
      </c>
      <c r="I397" s="199" t="s">
        <v>1893</v>
      </c>
      <c r="J397" s="199" t="s">
        <v>1843</v>
      </c>
      <c r="K397" s="199" t="s">
        <v>1435</v>
      </c>
      <c r="L397" s="407" t="n">
        <v>35230</v>
      </c>
      <c r="M397" s="407" t="n">
        <v>17490</v>
      </c>
      <c r="N397" s="408" t="n">
        <v>8</v>
      </c>
      <c r="O397" s="407" t="n">
        <v>17740</v>
      </c>
      <c r="P397" s="407" t="n">
        <v>16320.8</v>
      </c>
      <c r="Q397" s="234" t="n">
        <v>2023</v>
      </c>
      <c r="R397" s="234"/>
      <c r="S397" s="248" t="n">
        <v>45108</v>
      </c>
      <c r="T397" s="407" t="n">
        <f aca="false">Таблица18[[#This Row],[Вес нетто]]-Таблица18[[#This Row],[Зачетный вес]]</f>
        <v>1419.2</v>
      </c>
      <c r="U397" s="409" t="n">
        <f aca="false">Таблица18[[#This Row],[Отход]]/Таблица18[[#This Row],[Вес нетто]]</f>
        <v>0.08</v>
      </c>
      <c r="V397" s="234" t="n">
        <f aca="false">MONTH(Таблица18[[#This Row],[Дата акта]])</f>
        <v>7</v>
      </c>
      <c r="W397" s="234" t="n">
        <v>1</v>
      </c>
      <c r="X397" s="248" t="n">
        <f aca="false">DATE(1900,Таблица18[[#This Row],[Месяц]],Таблица18[[#This Row],[Число]])</f>
        <v>183</v>
      </c>
      <c r="Y397" s="234"/>
      <c r="AF397" s="411"/>
      <c r="AG397" s="412"/>
    </row>
    <row r="398" s="410" customFormat="true" ht="15" hidden="true" customHeight="true" outlineLevel="0" collapsed="false">
      <c r="A398" s="199" t="s">
        <v>1898</v>
      </c>
      <c r="B398" s="199" t="s">
        <v>886</v>
      </c>
      <c r="C398" s="405" t="n">
        <v>571</v>
      </c>
      <c r="D398" s="199" t="s">
        <v>1899</v>
      </c>
      <c r="E398" s="199" t="s">
        <v>1785</v>
      </c>
      <c r="F398" s="199" t="s">
        <v>359</v>
      </c>
      <c r="G398" s="199" t="s">
        <v>426</v>
      </c>
      <c r="H398" s="199" t="s">
        <v>1893</v>
      </c>
      <c r="I398" s="199" t="s">
        <v>1893</v>
      </c>
      <c r="J398" s="199" t="s">
        <v>1843</v>
      </c>
      <c r="K398" s="199" t="s">
        <v>1435</v>
      </c>
      <c r="L398" s="407" t="n">
        <v>22960</v>
      </c>
      <c r="M398" s="407" t="n">
        <v>13950</v>
      </c>
      <c r="N398" s="408" t="n">
        <v>0.8</v>
      </c>
      <c r="O398" s="407" t="n">
        <v>9010</v>
      </c>
      <c r="P398" s="407" t="n">
        <v>8940</v>
      </c>
      <c r="Q398" s="234" t="n">
        <v>2023</v>
      </c>
      <c r="R398" s="234"/>
      <c r="S398" s="248" t="n">
        <v>45108</v>
      </c>
      <c r="T398" s="407" t="n">
        <f aca="false">Таблица18[[#This Row],[Вес нетто]]-Таблица18[[#This Row],[Зачетный вес]]</f>
        <v>70</v>
      </c>
      <c r="U398" s="409" t="n">
        <f aca="false">Таблица18[[#This Row],[Отход]]/Таблица18[[#This Row],[Вес нетто]]</f>
        <v>0.00776914539400666</v>
      </c>
      <c r="V398" s="234" t="n">
        <f aca="false">MONTH(Таблица18[[#This Row],[Дата акта]])</f>
        <v>7</v>
      </c>
      <c r="W398" s="234" t="n">
        <v>1</v>
      </c>
      <c r="X398" s="248" t="n">
        <f aca="false">DATE(1900,Таблица18[[#This Row],[Месяц]],Таблица18[[#This Row],[Число]])</f>
        <v>183</v>
      </c>
      <c r="Y398" s="234"/>
      <c r="AF398" s="411"/>
      <c r="AG398" s="412"/>
    </row>
    <row r="399" s="410" customFormat="true" ht="15" hidden="true" customHeight="true" outlineLevel="0" collapsed="false">
      <c r="A399" s="199" t="s">
        <v>1900</v>
      </c>
      <c r="B399" s="199" t="s">
        <v>886</v>
      </c>
      <c r="C399" s="405" t="n">
        <v>572</v>
      </c>
      <c r="D399" s="199" t="s">
        <v>1901</v>
      </c>
      <c r="E399" s="199" t="s">
        <v>1785</v>
      </c>
      <c r="F399" s="199" t="s">
        <v>1485</v>
      </c>
      <c r="G399" s="199" t="s">
        <v>431</v>
      </c>
      <c r="H399" s="199" t="s">
        <v>1893</v>
      </c>
      <c r="I399" s="199" t="s">
        <v>1893</v>
      </c>
      <c r="J399" s="199" t="s">
        <v>1843</v>
      </c>
      <c r="K399" s="199" t="s">
        <v>1435</v>
      </c>
      <c r="L399" s="407" t="n">
        <v>38810</v>
      </c>
      <c r="M399" s="407" t="n">
        <v>20810</v>
      </c>
      <c r="N399" s="234"/>
      <c r="O399" s="407" t="n">
        <v>18000</v>
      </c>
      <c r="P399" s="407" t="n">
        <v>18000</v>
      </c>
      <c r="Q399" s="234" t="n">
        <v>2023</v>
      </c>
      <c r="R399" s="234"/>
      <c r="S399" s="248" t="n">
        <v>45109</v>
      </c>
      <c r="T399" s="407" t="n">
        <f aca="false">Таблица18[[#This Row],[Вес нетто]]-Таблица18[[#This Row],[Зачетный вес]]</f>
        <v>0</v>
      </c>
      <c r="U399" s="409" t="n">
        <f aca="false">Таблица18[[#This Row],[Отход]]/Таблица18[[#This Row],[Вес нетто]]</f>
        <v>0</v>
      </c>
      <c r="V399" s="234" t="n">
        <f aca="false">MONTH(Таблица18[[#This Row],[Дата акта]])</f>
        <v>7</v>
      </c>
      <c r="W399" s="234" t="n">
        <v>2</v>
      </c>
      <c r="X399" s="248" t="n">
        <f aca="false">DATE(1900,Таблица18[[#This Row],[Месяц]],Таблица18[[#This Row],[Число]])</f>
        <v>184</v>
      </c>
      <c r="Y399" s="234"/>
      <c r="AF399" s="411"/>
      <c r="AG399" s="412"/>
    </row>
    <row r="400" s="410" customFormat="true" ht="15" hidden="true" customHeight="true" outlineLevel="0" collapsed="false">
      <c r="A400" s="199" t="s">
        <v>1902</v>
      </c>
      <c r="B400" s="199" t="s">
        <v>886</v>
      </c>
      <c r="C400" s="405" t="n">
        <v>573</v>
      </c>
      <c r="D400" s="199" t="s">
        <v>1903</v>
      </c>
      <c r="E400" s="199" t="s">
        <v>994</v>
      </c>
      <c r="F400" s="199" t="s">
        <v>1523</v>
      </c>
      <c r="G400" s="199" t="s">
        <v>1447</v>
      </c>
      <c r="H400" s="199" t="s">
        <v>1893</v>
      </c>
      <c r="I400" s="199" t="s">
        <v>1893</v>
      </c>
      <c r="J400" s="199" t="s">
        <v>1843</v>
      </c>
      <c r="K400" s="199" t="s">
        <v>1435</v>
      </c>
      <c r="L400" s="407" t="n">
        <v>30240</v>
      </c>
      <c r="M400" s="407" t="n">
        <v>14550</v>
      </c>
      <c r="N400" s="408" t="n">
        <v>2.9</v>
      </c>
      <c r="O400" s="407" t="n">
        <v>15690</v>
      </c>
      <c r="P400" s="407" t="n">
        <v>15240</v>
      </c>
      <c r="Q400" s="234" t="n">
        <v>2023</v>
      </c>
      <c r="R400" s="234"/>
      <c r="S400" s="248" t="n">
        <v>45109</v>
      </c>
      <c r="T400" s="407" t="n">
        <f aca="false">Таблица18[[#This Row],[Вес нетто]]-Таблица18[[#This Row],[Зачетный вес]]</f>
        <v>450</v>
      </c>
      <c r="U400" s="409" t="n">
        <f aca="false">Таблица18[[#This Row],[Отход]]/Таблица18[[#This Row],[Вес нетто]]</f>
        <v>0.0286806883365201</v>
      </c>
      <c r="V400" s="234" t="n">
        <f aca="false">MONTH(Таблица18[[#This Row],[Дата акта]])</f>
        <v>7</v>
      </c>
      <c r="W400" s="234" t="n">
        <v>2</v>
      </c>
      <c r="X400" s="248" t="n">
        <f aca="false">DATE(1900,Таблица18[[#This Row],[Месяц]],Таблица18[[#This Row],[Число]])</f>
        <v>184</v>
      </c>
      <c r="Y400" s="234"/>
      <c r="AF400" s="411"/>
      <c r="AG400" s="412"/>
    </row>
    <row r="401" s="410" customFormat="true" ht="15" hidden="true" customHeight="true" outlineLevel="0" collapsed="false">
      <c r="A401" s="199" t="s">
        <v>1904</v>
      </c>
      <c r="B401" s="199" t="s">
        <v>886</v>
      </c>
      <c r="C401" s="405" t="n">
        <v>577</v>
      </c>
      <c r="D401" s="406" t="n">
        <v>99</v>
      </c>
      <c r="E401" s="199" t="s">
        <v>1785</v>
      </c>
      <c r="F401" s="199" t="s">
        <v>602</v>
      </c>
      <c r="G401" s="199" t="s">
        <v>606</v>
      </c>
      <c r="H401" s="199" t="s">
        <v>1893</v>
      </c>
      <c r="I401" s="199" t="s">
        <v>1893</v>
      </c>
      <c r="J401" s="199" t="s">
        <v>1843</v>
      </c>
      <c r="K401" s="199" t="s">
        <v>1435</v>
      </c>
      <c r="L401" s="407" t="n">
        <v>35700</v>
      </c>
      <c r="M401" s="407" t="n">
        <v>17910</v>
      </c>
      <c r="N401" s="408" t="n">
        <v>4.5</v>
      </c>
      <c r="O401" s="407" t="n">
        <v>17790</v>
      </c>
      <c r="P401" s="407" t="n">
        <v>16989.4</v>
      </c>
      <c r="Q401" s="234" t="n">
        <v>2023</v>
      </c>
      <c r="R401" s="234"/>
      <c r="S401" s="248" t="n">
        <v>45109</v>
      </c>
      <c r="T401" s="407" t="n">
        <f aca="false">Таблица18[[#This Row],[Вес нетто]]-Таблица18[[#This Row],[Зачетный вес]]</f>
        <v>800.599999999999</v>
      </c>
      <c r="U401" s="409" t="n">
        <f aca="false">Таблица18[[#This Row],[Отход]]/Таблица18[[#This Row],[Вес нетто]]</f>
        <v>0.0450028105677346</v>
      </c>
      <c r="V401" s="234" t="n">
        <f aca="false">MONTH(Таблица18[[#This Row],[Дата акта]])</f>
        <v>7</v>
      </c>
      <c r="W401" s="234" t="n">
        <v>2</v>
      </c>
      <c r="X401" s="248" t="n">
        <f aca="false">DATE(1900,Таблица18[[#This Row],[Месяц]],Таблица18[[#This Row],[Число]])</f>
        <v>184</v>
      </c>
      <c r="Y401" s="234"/>
      <c r="AF401" s="411"/>
      <c r="AG401" s="412"/>
    </row>
    <row r="402" s="410" customFormat="true" ht="15" hidden="true" customHeight="true" outlineLevel="0" collapsed="false">
      <c r="A402" s="199" t="s">
        <v>1905</v>
      </c>
      <c r="B402" s="199" t="s">
        <v>886</v>
      </c>
      <c r="C402" s="405" t="n">
        <v>578</v>
      </c>
      <c r="D402" s="406" t="n">
        <v>100</v>
      </c>
      <c r="E402" s="199" t="s">
        <v>1785</v>
      </c>
      <c r="F402" s="199" t="s">
        <v>610</v>
      </c>
      <c r="G402" s="199" t="s">
        <v>614</v>
      </c>
      <c r="H402" s="199" t="s">
        <v>1893</v>
      </c>
      <c r="I402" s="199" t="s">
        <v>1893</v>
      </c>
      <c r="J402" s="199" t="s">
        <v>1843</v>
      </c>
      <c r="K402" s="199" t="s">
        <v>1435</v>
      </c>
      <c r="L402" s="407" t="n">
        <v>32660</v>
      </c>
      <c r="M402" s="407" t="n">
        <v>17060</v>
      </c>
      <c r="N402" s="408" t="n">
        <v>4.5</v>
      </c>
      <c r="O402" s="407" t="n">
        <v>15600</v>
      </c>
      <c r="P402" s="407" t="n">
        <v>14898</v>
      </c>
      <c r="Q402" s="234" t="n">
        <v>2023</v>
      </c>
      <c r="R402" s="234"/>
      <c r="S402" s="248" t="n">
        <v>45109</v>
      </c>
      <c r="T402" s="407" t="n">
        <f aca="false">Таблица18[[#This Row],[Вес нетто]]-Таблица18[[#This Row],[Зачетный вес]]</f>
        <v>702</v>
      </c>
      <c r="U402" s="409" t="n">
        <f aca="false">Таблица18[[#This Row],[Отход]]/Таблица18[[#This Row],[Вес нетто]]</f>
        <v>0.045</v>
      </c>
      <c r="V402" s="234" t="n">
        <f aca="false">MONTH(Таблица18[[#This Row],[Дата акта]])</f>
        <v>7</v>
      </c>
      <c r="W402" s="234" t="n">
        <v>2</v>
      </c>
      <c r="X402" s="248" t="n">
        <f aca="false">DATE(1900,Таблица18[[#This Row],[Месяц]],Таблица18[[#This Row],[Число]])</f>
        <v>184</v>
      </c>
      <c r="Y402" s="234"/>
      <c r="AF402" s="411"/>
      <c r="AG402" s="412"/>
    </row>
    <row r="403" s="410" customFormat="true" ht="15" hidden="true" customHeight="true" outlineLevel="0" collapsed="false">
      <c r="A403" s="199" t="s">
        <v>1906</v>
      </c>
      <c r="B403" s="199" t="s">
        <v>886</v>
      </c>
      <c r="C403" s="405" t="n">
        <v>579</v>
      </c>
      <c r="D403" s="406" t="n">
        <v>80</v>
      </c>
      <c r="E403" s="199" t="s">
        <v>1785</v>
      </c>
      <c r="F403" s="199" t="s">
        <v>1792</v>
      </c>
      <c r="G403" s="199" t="s">
        <v>1793</v>
      </c>
      <c r="H403" s="199" t="s">
        <v>1893</v>
      </c>
      <c r="I403" s="199" t="s">
        <v>1893</v>
      </c>
      <c r="J403" s="199" t="s">
        <v>1843</v>
      </c>
      <c r="K403" s="199" t="s">
        <v>1435</v>
      </c>
      <c r="L403" s="407" t="n">
        <v>31130</v>
      </c>
      <c r="M403" s="407" t="n">
        <v>15420</v>
      </c>
      <c r="N403" s="408" t="n">
        <v>4.5</v>
      </c>
      <c r="O403" s="407" t="n">
        <v>15710</v>
      </c>
      <c r="P403" s="407" t="n">
        <v>15003</v>
      </c>
      <c r="Q403" s="234" t="n">
        <v>2023</v>
      </c>
      <c r="R403" s="234"/>
      <c r="S403" s="248" t="n">
        <v>45109</v>
      </c>
      <c r="T403" s="407" t="n">
        <f aca="false">Таблица18[[#This Row],[Вес нетто]]-Таблица18[[#This Row],[Зачетный вес]]</f>
        <v>707</v>
      </c>
      <c r="U403" s="409" t="n">
        <f aca="false">Таблица18[[#This Row],[Отход]]/Таблица18[[#This Row],[Вес нетто]]</f>
        <v>0.0450031826861871</v>
      </c>
      <c r="V403" s="234" t="n">
        <f aca="false">MONTH(Таблица18[[#This Row],[Дата акта]])</f>
        <v>7</v>
      </c>
      <c r="W403" s="234" t="n">
        <v>2</v>
      </c>
      <c r="X403" s="248" t="n">
        <f aca="false">DATE(1900,Таблица18[[#This Row],[Месяц]],Таблица18[[#This Row],[Число]])</f>
        <v>184</v>
      </c>
      <c r="Y403" s="234"/>
      <c r="AF403" s="411"/>
      <c r="AG403" s="412"/>
    </row>
    <row r="404" s="410" customFormat="true" ht="15" hidden="true" customHeight="true" outlineLevel="0" collapsed="false">
      <c r="A404" s="199" t="s">
        <v>1907</v>
      </c>
      <c r="B404" s="199" t="s">
        <v>886</v>
      </c>
      <c r="C404" s="405" t="n">
        <v>580</v>
      </c>
      <c r="D404" s="406" t="n">
        <v>106</v>
      </c>
      <c r="E404" s="199" t="s">
        <v>1785</v>
      </c>
      <c r="F404" s="199" t="s">
        <v>1449</v>
      </c>
      <c r="G404" s="199" t="s">
        <v>704</v>
      </c>
      <c r="H404" s="199" t="s">
        <v>1893</v>
      </c>
      <c r="I404" s="199" t="s">
        <v>1893</v>
      </c>
      <c r="J404" s="199" t="s">
        <v>1843</v>
      </c>
      <c r="K404" s="199" t="s">
        <v>1435</v>
      </c>
      <c r="L404" s="407" t="n">
        <v>30250</v>
      </c>
      <c r="M404" s="407" t="n">
        <v>14680</v>
      </c>
      <c r="N404" s="408" t="n">
        <v>4.5</v>
      </c>
      <c r="O404" s="407" t="n">
        <v>15570</v>
      </c>
      <c r="P404" s="407" t="n">
        <v>14869.3</v>
      </c>
      <c r="Q404" s="234" t="n">
        <v>2023</v>
      </c>
      <c r="R404" s="234"/>
      <c r="S404" s="248" t="n">
        <v>45109</v>
      </c>
      <c r="T404" s="407" t="n">
        <f aca="false">Таблица18[[#This Row],[Вес нетто]]-Таблица18[[#This Row],[Зачетный вес]]</f>
        <v>700.700000000001</v>
      </c>
      <c r="U404" s="409" t="n">
        <f aca="false">Таблица18[[#This Row],[Отход]]/Таблица18[[#This Row],[Вес нетто]]</f>
        <v>0.0450032113037894</v>
      </c>
      <c r="V404" s="234" t="n">
        <f aca="false">MONTH(Таблица18[[#This Row],[Дата акта]])</f>
        <v>7</v>
      </c>
      <c r="W404" s="234" t="n">
        <v>2</v>
      </c>
      <c r="X404" s="248" t="n">
        <f aca="false">DATE(1900,Таблица18[[#This Row],[Месяц]],Таблица18[[#This Row],[Число]])</f>
        <v>184</v>
      </c>
      <c r="Y404" s="234"/>
      <c r="AF404" s="411"/>
      <c r="AG404" s="412"/>
    </row>
    <row r="405" s="410" customFormat="true" ht="15" hidden="true" customHeight="true" outlineLevel="0" collapsed="false">
      <c r="A405" s="199" t="s">
        <v>1908</v>
      </c>
      <c r="B405" s="199" t="s">
        <v>886</v>
      </c>
      <c r="C405" s="405" t="n">
        <v>581</v>
      </c>
      <c r="D405" s="406" t="n">
        <v>105</v>
      </c>
      <c r="E405" s="199" t="s">
        <v>1785</v>
      </c>
      <c r="F405" s="199" t="s">
        <v>1863</v>
      </c>
      <c r="G405" s="199" t="s">
        <v>1864</v>
      </c>
      <c r="H405" s="199" t="s">
        <v>1893</v>
      </c>
      <c r="I405" s="199" t="s">
        <v>1893</v>
      </c>
      <c r="J405" s="199" t="s">
        <v>1843</v>
      </c>
      <c r="K405" s="199" t="s">
        <v>1435</v>
      </c>
      <c r="L405" s="407" t="n">
        <v>31250</v>
      </c>
      <c r="M405" s="407" t="n">
        <v>15540</v>
      </c>
      <c r="N405" s="408" t="n">
        <v>6.5</v>
      </c>
      <c r="O405" s="407" t="n">
        <v>15710</v>
      </c>
      <c r="P405" s="407" t="n">
        <v>14688.8</v>
      </c>
      <c r="Q405" s="234" t="n">
        <v>2023</v>
      </c>
      <c r="R405" s="234"/>
      <c r="S405" s="248" t="n">
        <v>45110</v>
      </c>
      <c r="T405" s="407" t="n">
        <f aca="false">Таблица18[[#This Row],[Вес нетто]]-Таблица18[[#This Row],[Зачетный вес]]</f>
        <v>1021.2</v>
      </c>
      <c r="U405" s="409" t="n">
        <f aca="false">Таблица18[[#This Row],[Отход]]/Таблица18[[#This Row],[Вес нетто]]</f>
        <v>0.0650031826861872</v>
      </c>
      <c r="V405" s="234" t="n">
        <f aca="false">MONTH(Таблица18[[#This Row],[Дата акта]])</f>
        <v>7</v>
      </c>
      <c r="W405" s="234" t="n">
        <v>3</v>
      </c>
      <c r="X405" s="248" t="n">
        <f aca="false">DATE(1900,Таблица18[[#This Row],[Месяц]],Таблица18[[#This Row],[Число]])</f>
        <v>185</v>
      </c>
      <c r="Y405" s="234"/>
      <c r="AF405" s="411"/>
      <c r="AG405" s="412"/>
    </row>
    <row r="406" s="410" customFormat="true" ht="15" hidden="true" customHeight="true" outlineLevel="0" collapsed="false">
      <c r="A406" s="199" t="s">
        <v>1909</v>
      </c>
      <c r="B406" s="199" t="s">
        <v>886</v>
      </c>
      <c r="C406" s="405" t="n">
        <v>582</v>
      </c>
      <c r="D406" s="406" t="n">
        <v>107</v>
      </c>
      <c r="E406" s="199" t="s">
        <v>1785</v>
      </c>
      <c r="F406" s="199" t="s">
        <v>1866</v>
      </c>
      <c r="G406" s="199" t="s">
        <v>1867</v>
      </c>
      <c r="H406" s="199" t="s">
        <v>1893</v>
      </c>
      <c r="I406" s="199" t="s">
        <v>1893</v>
      </c>
      <c r="J406" s="199" t="s">
        <v>1843</v>
      </c>
      <c r="K406" s="199" t="s">
        <v>1435</v>
      </c>
      <c r="L406" s="407" t="n">
        <v>32450</v>
      </c>
      <c r="M406" s="407" t="n">
        <v>14510</v>
      </c>
      <c r="N406" s="408" t="n">
        <v>5.5</v>
      </c>
      <c r="O406" s="407" t="n">
        <v>17940</v>
      </c>
      <c r="P406" s="407" t="n">
        <v>16953.3</v>
      </c>
      <c r="Q406" s="234" t="n">
        <v>2023</v>
      </c>
      <c r="R406" s="234"/>
      <c r="S406" s="248" t="n">
        <v>45110</v>
      </c>
      <c r="T406" s="407" t="n">
        <f aca="false">Таблица18[[#This Row],[Вес нетто]]-Таблица18[[#This Row],[Зачетный вес]]</f>
        <v>986.700000000001</v>
      </c>
      <c r="U406" s="409" t="n">
        <f aca="false">Таблица18[[#This Row],[Отход]]/Таблица18[[#This Row],[Вес нетто]]</f>
        <v>0.055</v>
      </c>
      <c r="V406" s="234" t="n">
        <f aca="false">MONTH(Таблица18[[#This Row],[Дата акта]])</f>
        <v>7</v>
      </c>
      <c r="W406" s="234" t="n">
        <v>3</v>
      </c>
      <c r="X406" s="248" t="n">
        <f aca="false">DATE(1900,Таблица18[[#This Row],[Месяц]],Таблица18[[#This Row],[Число]])</f>
        <v>185</v>
      </c>
      <c r="Y406" s="234"/>
      <c r="AF406" s="411"/>
      <c r="AG406" s="412"/>
    </row>
    <row r="407" s="410" customFormat="true" ht="15" hidden="true" customHeight="true" outlineLevel="0" collapsed="false">
      <c r="A407" s="199" t="s">
        <v>1910</v>
      </c>
      <c r="B407" s="199" t="s">
        <v>417</v>
      </c>
      <c r="C407" s="405" t="n">
        <v>583</v>
      </c>
      <c r="D407" s="406" t="n">
        <v>104</v>
      </c>
      <c r="E407" s="199" t="s">
        <v>1785</v>
      </c>
      <c r="F407" s="199" t="s">
        <v>1797</v>
      </c>
      <c r="G407" s="199" t="s">
        <v>385</v>
      </c>
      <c r="H407" s="199" t="s">
        <v>1911</v>
      </c>
      <c r="I407" s="199" t="s">
        <v>1911</v>
      </c>
      <c r="J407" s="199" t="s">
        <v>1912</v>
      </c>
      <c r="K407" s="199" t="s">
        <v>1435</v>
      </c>
      <c r="L407" s="407" t="n">
        <v>32020</v>
      </c>
      <c r="M407" s="407" t="n">
        <v>14380</v>
      </c>
      <c r="N407" s="408" t="n">
        <v>10.5</v>
      </c>
      <c r="O407" s="407" t="n">
        <v>17640</v>
      </c>
      <c r="P407" s="407" t="n">
        <v>15787.8</v>
      </c>
      <c r="Q407" s="234" t="n">
        <v>2023</v>
      </c>
      <c r="R407" s="234"/>
      <c r="S407" s="248" t="n">
        <v>45110</v>
      </c>
      <c r="T407" s="407" t="n">
        <f aca="false">Таблица18[[#This Row],[Вес нетто]]-Таблица18[[#This Row],[Зачетный вес]]</f>
        <v>1852.2</v>
      </c>
      <c r="U407" s="409" t="n">
        <f aca="false">Таблица18[[#This Row],[Отход]]/Таблица18[[#This Row],[Вес нетто]]</f>
        <v>0.105</v>
      </c>
      <c r="V407" s="234" t="n">
        <f aca="false">MONTH(Таблица18[[#This Row],[Дата акта]])</f>
        <v>7</v>
      </c>
      <c r="W407" s="234" t="n">
        <v>3</v>
      </c>
      <c r="X407" s="248" t="n">
        <f aca="false">DATE(1900,Таблица18[[#This Row],[Месяц]],Таблица18[[#This Row],[Число]])</f>
        <v>185</v>
      </c>
      <c r="Y407" s="234"/>
      <c r="AF407" s="411"/>
      <c r="AG407" s="412"/>
    </row>
    <row r="408" s="410" customFormat="true" ht="15" hidden="true" customHeight="true" outlineLevel="0" collapsed="false">
      <c r="A408" s="199" t="s">
        <v>1913</v>
      </c>
      <c r="B408" s="199" t="s">
        <v>417</v>
      </c>
      <c r="C408" s="405" t="n">
        <v>584</v>
      </c>
      <c r="D408" s="406" t="n">
        <v>60</v>
      </c>
      <c r="E408" s="199" t="s">
        <v>1785</v>
      </c>
      <c r="F408" s="199" t="s">
        <v>1576</v>
      </c>
      <c r="G408" s="199" t="s">
        <v>1455</v>
      </c>
      <c r="H408" s="199" t="s">
        <v>1911</v>
      </c>
      <c r="I408" s="199" t="s">
        <v>1911</v>
      </c>
      <c r="J408" s="199" t="s">
        <v>1912</v>
      </c>
      <c r="K408" s="199" t="s">
        <v>1435</v>
      </c>
      <c r="L408" s="407" t="n">
        <v>32140</v>
      </c>
      <c r="M408" s="407" t="n">
        <v>14380</v>
      </c>
      <c r="N408" s="408" t="n">
        <v>10.5</v>
      </c>
      <c r="O408" s="407" t="n">
        <v>17760</v>
      </c>
      <c r="P408" s="407" t="n">
        <v>15895.2</v>
      </c>
      <c r="Q408" s="234" t="n">
        <v>2023</v>
      </c>
      <c r="R408" s="234"/>
      <c r="S408" s="248" t="n">
        <v>45110</v>
      </c>
      <c r="T408" s="407" t="n">
        <f aca="false">Таблица18[[#This Row],[Вес нетто]]-Таблица18[[#This Row],[Зачетный вес]]</f>
        <v>1864.8</v>
      </c>
      <c r="U408" s="409" t="n">
        <f aca="false">Таблица18[[#This Row],[Отход]]/Таблица18[[#This Row],[Вес нетто]]</f>
        <v>0.105</v>
      </c>
      <c r="V408" s="234" t="n">
        <f aca="false">MONTH(Таблица18[[#This Row],[Дата акта]])</f>
        <v>7</v>
      </c>
      <c r="W408" s="234" t="n">
        <v>3</v>
      </c>
      <c r="X408" s="248" t="n">
        <f aca="false">DATE(1900,Таблица18[[#This Row],[Месяц]],Таблица18[[#This Row],[Число]])</f>
        <v>185</v>
      </c>
      <c r="Y408" s="234"/>
      <c r="AF408" s="411"/>
      <c r="AG408" s="412"/>
    </row>
    <row r="409" s="410" customFormat="true" ht="15" hidden="true" customHeight="true" outlineLevel="0" collapsed="false">
      <c r="A409" s="199" t="s">
        <v>1914</v>
      </c>
      <c r="B409" s="199" t="s">
        <v>417</v>
      </c>
      <c r="C409" s="405" t="n">
        <v>586</v>
      </c>
      <c r="D409" s="406" t="n">
        <v>112</v>
      </c>
      <c r="E409" s="199" t="s">
        <v>1785</v>
      </c>
      <c r="F409" s="199" t="s">
        <v>602</v>
      </c>
      <c r="G409" s="199" t="s">
        <v>606</v>
      </c>
      <c r="H409" s="199" t="s">
        <v>1911</v>
      </c>
      <c r="I409" s="199" t="s">
        <v>1911</v>
      </c>
      <c r="J409" s="199" t="s">
        <v>1912</v>
      </c>
      <c r="K409" s="199" t="s">
        <v>1435</v>
      </c>
      <c r="L409" s="407" t="n">
        <v>35400</v>
      </c>
      <c r="M409" s="407" t="n">
        <v>17800</v>
      </c>
      <c r="N409" s="408" t="n">
        <v>10.5</v>
      </c>
      <c r="O409" s="407" t="n">
        <v>17600</v>
      </c>
      <c r="P409" s="407" t="n">
        <v>15752</v>
      </c>
      <c r="Q409" s="234" t="n">
        <v>2023</v>
      </c>
      <c r="R409" s="234"/>
      <c r="S409" s="248" t="n">
        <v>45110</v>
      </c>
      <c r="T409" s="407" t="n">
        <f aca="false">Таблица18[[#This Row],[Вес нетто]]-Таблица18[[#This Row],[Зачетный вес]]</f>
        <v>1848</v>
      </c>
      <c r="U409" s="409" t="n">
        <f aca="false">Таблица18[[#This Row],[Отход]]/Таблица18[[#This Row],[Вес нетто]]</f>
        <v>0.105</v>
      </c>
      <c r="V409" s="234" t="n">
        <f aca="false">MONTH(Таблица18[[#This Row],[Дата акта]])</f>
        <v>7</v>
      </c>
      <c r="W409" s="234" t="n">
        <v>3</v>
      </c>
      <c r="X409" s="248" t="n">
        <f aca="false">DATE(1900,Таблица18[[#This Row],[Месяц]],Таблица18[[#This Row],[Число]])</f>
        <v>185</v>
      </c>
      <c r="Y409" s="234"/>
      <c r="AF409" s="411"/>
      <c r="AG409" s="412"/>
    </row>
    <row r="410" s="410" customFormat="true" ht="15" hidden="true" customHeight="true" outlineLevel="0" collapsed="false">
      <c r="A410" s="199" t="s">
        <v>1915</v>
      </c>
      <c r="B410" s="199" t="s">
        <v>417</v>
      </c>
      <c r="C410" s="405" t="n">
        <v>587</v>
      </c>
      <c r="D410" s="406" t="n">
        <v>110</v>
      </c>
      <c r="E410" s="199" t="s">
        <v>1785</v>
      </c>
      <c r="F410" s="199" t="s">
        <v>610</v>
      </c>
      <c r="G410" s="199" t="s">
        <v>614</v>
      </c>
      <c r="H410" s="199" t="s">
        <v>1911</v>
      </c>
      <c r="I410" s="199" t="s">
        <v>1911</v>
      </c>
      <c r="J410" s="199" t="s">
        <v>1912</v>
      </c>
      <c r="K410" s="199" t="s">
        <v>1435</v>
      </c>
      <c r="L410" s="407" t="n">
        <v>30100</v>
      </c>
      <c r="M410" s="407" t="n">
        <v>16960</v>
      </c>
      <c r="N410" s="408" t="n">
        <v>12.5</v>
      </c>
      <c r="O410" s="407" t="n">
        <v>13140</v>
      </c>
      <c r="P410" s="407" t="n">
        <v>11497.5</v>
      </c>
      <c r="Q410" s="234" t="n">
        <v>2023</v>
      </c>
      <c r="R410" s="234"/>
      <c r="S410" s="248" t="n">
        <v>45110</v>
      </c>
      <c r="T410" s="407" t="n">
        <f aca="false">Таблица18[[#This Row],[Вес нетто]]-Таблица18[[#This Row],[Зачетный вес]]</f>
        <v>1642.5</v>
      </c>
      <c r="U410" s="409" t="n">
        <f aca="false">Таблица18[[#This Row],[Отход]]/Таблица18[[#This Row],[Вес нетто]]</f>
        <v>0.125</v>
      </c>
      <c r="V410" s="234" t="n">
        <f aca="false">MONTH(Таблица18[[#This Row],[Дата акта]])</f>
        <v>7</v>
      </c>
      <c r="W410" s="234" t="n">
        <v>3</v>
      </c>
      <c r="X410" s="248" t="n">
        <f aca="false">DATE(1900,Таблица18[[#This Row],[Месяц]],Таблица18[[#This Row],[Число]])</f>
        <v>185</v>
      </c>
      <c r="Y410" s="234"/>
      <c r="AF410" s="411"/>
      <c r="AG410" s="412"/>
    </row>
    <row r="411" s="410" customFormat="true" ht="15" hidden="true" customHeight="true" outlineLevel="0" collapsed="false">
      <c r="A411" s="199" t="s">
        <v>1916</v>
      </c>
      <c r="B411" s="199" t="s">
        <v>886</v>
      </c>
      <c r="C411" s="405" t="n">
        <v>588</v>
      </c>
      <c r="D411" s="406" t="n">
        <v>111</v>
      </c>
      <c r="E411" s="199" t="s">
        <v>1785</v>
      </c>
      <c r="F411" s="199" t="s">
        <v>1792</v>
      </c>
      <c r="G411" s="199" t="s">
        <v>1793</v>
      </c>
      <c r="H411" s="199" t="s">
        <v>1911</v>
      </c>
      <c r="I411" s="199" t="s">
        <v>1911</v>
      </c>
      <c r="J411" s="199" t="s">
        <v>1912</v>
      </c>
      <c r="K411" s="199" t="s">
        <v>1435</v>
      </c>
      <c r="L411" s="407" t="n">
        <v>30700</v>
      </c>
      <c r="M411" s="407" t="n">
        <v>15290</v>
      </c>
      <c r="N411" s="408" t="n">
        <v>9.5</v>
      </c>
      <c r="O411" s="407" t="n">
        <v>15410</v>
      </c>
      <c r="P411" s="407" t="n">
        <v>13946</v>
      </c>
      <c r="Q411" s="234" t="n">
        <v>2023</v>
      </c>
      <c r="R411" s="234"/>
      <c r="S411" s="248" t="n">
        <v>45110</v>
      </c>
      <c r="T411" s="407" t="n">
        <f aca="false">Таблица18[[#This Row],[Вес нетто]]-Таблица18[[#This Row],[Зачетный вес]]</f>
        <v>1464</v>
      </c>
      <c r="U411" s="409" t="n">
        <f aca="false">Таблица18[[#This Row],[Отход]]/Таблица18[[#This Row],[Вес нетто]]</f>
        <v>0.0950032446463335</v>
      </c>
      <c r="V411" s="234" t="n">
        <f aca="false">MONTH(Таблица18[[#This Row],[Дата акта]])</f>
        <v>7</v>
      </c>
      <c r="W411" s="234" t="n">
        <v>3</v>
      </c>
      <c r="X411" s="248" t="n">
        <f aca="false">DATE(1900,Таблица18[[#This Row],[Месяц]],Таблица18[[#This Row],[Число]])</f>
        <v>185</v>
      </c>
      <c r="Y411" s="234"/>
      <c r="AF411" s="411"/>
      <c r="AG411" s="412"/>
    </row>
    <row r="412" s="410" customFormat="true" ht="15" hidden="true" customHeight="true" outlineLevel="0" collapsed="false">
      <c r="A412" s="199" t="s">
        <v>1917</v>
      </c>
      <c r="B412" s="199" t="s">
        <v>746</v>
      </c>
      <c r="C412" s="405" t="n">
        <v>589</v>
      </c>
      <c r="D412" s="406" t="n">
        <v>113</v>
      </c>
      <c r="E412" s="199" t="s">
        <v>1785</v>
      </c>
      <c r="F412" s="199" t="s">
        <v>457</v>
      </c>
      <c r="G412" s="199" t="s">
        <v>366</v>
      </c>
      <c r="H412" s="199" t="s">
        <v>1893</v>
      </c>
      <c r="I412" s="199" t="s">
        <v>1893</v>
      </c>
      <c r="J412" s="199" t="s">
        <v>1912</v>
      </c>
      <c r="K412" s="199" t="s">
        <v>1435</v>
      </c>
      <c r="L412" s="407" t="n">
        <v>32790</v>
      </c>
      <c r="M412" s="407" t="n">
        <v>17320</v>
      </c>
      <c r="N412" s="408" t="n">
        <v>7.5</v>
      </c>
      <c r="O412" s="407" t="n">
        <v>15470</v>
      </c>
      <c r="P412" s="407" t="n">
        <v>14309.7</v>
      </c>
      <c r="Q412" s="234" t="n">
        <v>2023</v>
      </c>
      <c r="R412" s="234"/>
      <c r="S412" s="248" t="n">
        <v>45110</v>
      </c>
      <c r="T412" s="407" t="n">
        <f aca="false">Таблица18[[#This Row],[Вес нетто]]-Таблица18[[#This Row],[Зачетный вес]]</f>
        <v>1160.3</v>
      </c>
      <c r="U412" s="409" t="n">
        <f aca="false">Таблица18[[#This Row],[Отход]]/Таблица18[[#This Row],[Вес нетто]]</f>
        <v>0.0750032320620555</v>
      </c>
      <c r="V412" s="234" t="n">
        <f aca="false">MONTH(Таблица18[[#This Row],[Дата акта]])</f>
        <v>7</v>
      </c>
      <c r="W412" s="234" t="n">
        <v>3</v>
      </c>
      <c r="X412" s="248" t="n">
        <f aca="false">DATE(1900,Таблица18[[#This Row],[Месяц]],Таблица18[[#This Row],[Число]])</f>
        <v>185</v>
      </c>
      <c r="Y412" s="234"/>
      <c r="AF412" s="411"/>
      <c r="AG412" s="412"/>
    </row>
    <row r="413" s="410" customFormat="true" ht="15" hidden="true" customHeight="true" outlineLevel="0" collapsed="false">
      <c r="A413" s="199" t="s">
        <v>1918</v>
      </c>
      <c r="B413" s="199" t="s">
        <v>886</v>
      </c>
      <c r="C413" s="405" t="n">
        <v>590</v>
      </c>
      <c r="D413" s="406" t="n">
        <v>114</v>
      </c>
      <c r="E413" s="199" t="s">
        <v>1785</v>
      </c>
      <c r="F413" s="199" t="s">
        <v>1483</v>
      </c>
      <c r="G413" s="199" t="s">
        <v>373</v>
      </c>
      <c r="H413" s="199" t="s">
        <v>1893</v>
      </c>
      <c r="I413" s="199" t="s">
        <v>1893</v>
      </c>
      <c r="J413" s="199" t="s">
        <v>1919</v>
      </c>
      <c r="K413" s="199" t="s">
        <v>1435</v>
      </c>
      <c r="L413" s="407" t="n">
        <v>34480</v>
      </c>
      <c r="M413" s="407" t="n">
        <v>18690</v>
      </c>
      <c r="N413" s="408" t="n">
        <v>5.5</v>
      </c>
      <c r="O413" s="407" t="n">
        <v>15790</v>
      </c>
      <c r="P413" s="407" t="n">
        <v>14921.5</v>
      </c>
      <c r="Q413" s="234" t="n">
        <v>2023</v>
      </c>
      <c r="R413" s="234"/>
      <c r="S413" s="248" t="n">
        <v>45110</v>
      </c>
      <c r="T413" s="407" t="n">
        <f aca="false">Таблица18[[#This Row],[Вес нетто]]-Таблица18[[#This Row],[Зачетный вес]]</f>
        <v>868.5</v>
      </c>
      <c r="U413" s="409" t="n">
        <f aca="false">Таблица18[[#This Row],[Отход]]/Таблица18[[#This Row],[Вес нетто]]</f>
        <v>0.0550031665611146</v>
      </c>
      <c r="V413" s="234" t="n">
        <f aca="false">MONTH(Таблица18[[#This Row],[Дата акта]])</f>
        <v>7</v>
      </c>
      <c r="W413" s="234" t="n">
        <v>3</v>
      </c>
      <c r="X413" s="248" t="n">
        <f aca="false">DATE(1900,Таблица18[[#This Row],[Месяц]],Таблица18[[#This Row],[Число]])</f>
        <v>185</v>
      </c>
      <c r="Y413" s="234"/>
      <c r="AF413" s="411"/>
      <c r="AG413" s="412"/>
    </row>
    <row r="414" s="410" customFormat="true" ht="15" hidden="true" customHeight="true" outlineLevel="0" collapsed="false">
      <c r="A414" s="199" t="s">
        <v>1920</v>
      </c>
      <c r="B414" s="199" t="s">
        <v>886</v>
      </c>
      <c r="C414" s="405" t="n">
        <v>591</v>
      </c>
      <c r="D414" s="406" t="n">
        <v>115</v>
      </c>
      <c r="E414" s="199" t="s">
        <v>1785</v>
      </c>
      <c r="F414" s="199" t="s">
        <v>1800</v>
      </c>
      <c r="G414" s="199" t="s">
        <v>621</v>
      </c>
      <c r="H414" s="199" t="s">
        <v>1911</v>
      </c>
      <c r="I414" s="199" t="s">
        <v>1911</v>
      </c>
      <c r="J414" s="199" t="s">
        <v>1912</v>
      </c>
      <c r="K414" s="199" t="s">
        <v>1435</v>
      </c>
      <c r="L414" s="407" t="n">
        <v>32820</v>
      </c>
      <c r="M414" s="407" t="n">
        <v>17370</v>
      </c>
      <c r="N414" s="408" t="n">
        <v>7.5</v>
      </c>
      <c r="O414" s="407" t="n">
        <v>15450</v>
      </c>
      <c r="P414" s="407" t="n">
        <v>14291.2</v>
      </c>
      <c r="Q414" s="234" t="n">
        <v>2023</v>
      </c>
      <c r="R414" s="234"/>
      <c r="S414" s="248" t="n">
        <v>45110</v>
      </c>
      <c r="T414" s="407" t="n">
        <f aca="false">Таблица18[[#This Row],[Вес нетто]]-Таблица18[[#This Row],[Зачетный вес]]</f>
        <v>1158.8</v>
      </c>
      <c r="U414" s="409" t="n">
        <f aca="false">Таблица18[[#This Row],[Отход]]/Таблица18[[#This Row],[Вес нетто]]</f>
        <v>0.0750032362459547</v>
      </c>
      <c r="V414" s="234" t="n">
        <f aca="false">MONTH(Таблица18[[#This Row],[Дата акта]])</f>
        <v>7</v>
      </c>
      <c r="W414" s="234" t="n">
        <v>3</v>
      </c>
      <c r="X414" s="248" t="n">
        <f aca="false">DATE(1900,Таблица18[[#This Row],[Месяц]],Таблица18[[#This Row],[Число]])</f>
        <v>185</v>
      </c>
      <c r="Y414" s="234"/>
      <c r="AF414" s="411"/>
      <c r="AG414" s="412"/>
    </row>
    <row r="415" s="410" customFormat="true" ht="15" hidden="true" customHeight="true" outlineLevel="0" collapsed="false">
      <c r="A415" s="199" t="s">
        <v>1921</v>
      </c>
      <c r="B415" s="199" t="s">
        <v>886</v>
      </c>
      <c r="C415" s="405" t="n">
        <v>595</v>
      </c>
      <c r="D415" s="406" t="n">
        <v>116</v>
      </c>
      <c r="E415" s="199" t="s">
        <v>994</v>
      </c>
      <c r="F415" s="199" t="s">
        <v>1523</v>
      </c>
      <c r="G415" s="199" t="s">
        <v>1447</v>
      </c>
      <c r="H415" s="199" t="s">
        <v>1893</v>
      </c>
      <c r="I415" s="199" t="s">
        <v>1893</v>
      </c>
      <c r="J415" s="199" t="s">
        <v>1919</v>
      </c>
      <c r="K415" s="199" t="s">
        <v>1435</v>
      </c>
      <c r="L415" s="407" t="n">
        <v>30200</v>
      </c>
      <c r="M415" s="407" t="n">
        <v>14610</v>
      </c>
      <c r="N415" s="408" t="n">
        <v>6.5</v>
      </c>
      <c r="O415" s="407" t="n">
        <v>15590</v>
      </c>
      <c r="P415" s="407" t="n">
        <v>14576.6</v>
      </c>
      <c r="Q415" s="234" t="n">
        <v>2023</v>
      </c>
      <c r="R415" s="234"/>
      <c r="S415" s="248" t="n">
        <v>45110</v>
      </c>
      <c r="T415" s="407" t="n">
        <f aca="false">Таблица18[[#This Row],[Вес нетто]]-Таблица18[[#This Row],[Зачетный вес]]</f>
        <v>1013.4</v>
      </c>
      <c r="U415" s="409" t="n">
        <f aca="false">Таблица18[[#This Row],[Отход]]/Таблица18[[#This Row],[Вес нетто]]</f>
        <v>0.0650032071840924</v>
      </c>
      <c r="V415" s="234" t="n">
        <f aca="false">MONTH(Таблица18[[#This Row],[Дата акта]])</f>
        <v>7</v>
      </c>
      <c r="W415" s="234" t="n">
        <v>3</v>
      </c>
      <c r="X415" s="248" t="n">
        <f aca="false">DATE(1900,Таблица18[[#This Row],[Месяц]],Таблица18[[#This Row],[Число]])</f>
        <v>185</v>
      </c>
      <c r="Y415" s="234"/>
      <c r="AF415" s="411"/>
      <c r="AG415" s="412"/>
    </row>
    <row r="416" s="410" customFormat="true" ht="15" hidden="true" customHeight="true" outlineLevel="0" collapsed="false">
      <c r="A416" s="199" t="s">
        <v>1922</v>
      </c>
      <c r="B416" s="199" t="s">
        <v>886</v>
      </c>
      <c r="C416" s="405" t="n">
        <v>596</v>
      </c>
      <c r="D416" s="406" t="n">
        <v>117</v>
      </c>
      <c r="E416" s="199" t="s">
        <v>1785</v>
      </c>
      <c r="F416" s="199" t="s">
        <v>359</v>
      </c>
      <c r="G416" s="199" t="s">
        <v>426</v>
      </c>
      <c r="H416" s="199" t="s">
        <v>1893</v>
      </c>
      <c r="I416" s="199" t="s">
        <v>1893</v>
      </c>
      <c r="J416" s="199" t="s">
        <v>1919</v>
      </c>
      <c r="K416" s="199" t="s">
        <v>1435</v>
      </c>
      <c r="L416" s="407" t="n">
        <v>29470</v>
      </c>
      <c r="M416" s="407" t="n">
        <v>14010</v>
      </c>
      <c r="N416" s="408" t="n">
        <v>4.5</v>
      </c>
      <c r="O416" s="407" t="n">
        <v>15460</v>
      </c>
      <c r="P416" s="407" t="n">
        <v>14764.3</v>
      </c>
      <c r="Q416" s="234" t="n">
        <v>2023</v>
      </c>
      <c r="R416" s="234"/>
      <c r="S416" s="248" t="n">
        <v>45111</v>
      </c>
      <c r="T416" s="407" t="n">
        <f aca="false">Таблица18[[#This Row],[Вес нетто]]-Таблица18[[#This Row],[Зачетный вес]]</f>
        <v>695.700000000001</v>
      </c>
      <c r="U416" s="409" t="n">
        <f aca="false">Таблица18[[#This Row],[Отход]]/Таблица18[[#This Row],[Вес нетто]]</f>
        <v>0.0450000000000001</v>
      </c>
      <c r="V416" s="234" t="n">
        <f aca="false">MONTH(Таблица18[[#This Row],[Дата акта]])</f>
        <v>7</v>
      </c>
      <c r="W416" s="234" t="n">
        <v>4</v>
      </c>
      <c r="X416" s="248" t="n">
        <f aca="false">DATE(1900,Таблица18[[#This Row],[Месяц]],Таблица18[[#This Row],[Число]])</f>
        <v>186</v>
      </c>
      <c r="Y416" s="234"/>
      <c r="AF416" s="411"/>
      <c r="AG416" s="412"/>
    </row>
    <row r="417" s="410" customFormat="true" ht="15" hidden="true" customHeight="true" outlineLevel="0" collapsed="false">
      <c r="A417" s="199" t="s">
        <v>1923</v>
      </c>
      <c r="B417" s="199" t="s">
        <v>886</v>
      </c>
      <c r="C417" s="405" t="n">
        <v>597</v>
      </c>
      <c r="D417" s="406" t="n">
        <v>118</v>
      </c>
      <c r="E417" s="199" t="s">
        <v>1785</v>
      </c>
      <c r="F417" s="199" t="s">
        <v>1548</v>
      </c>
      <c r="G417" s="199" t="s">
        <v>1549</v>
      </c>
      <c r="H417" s="199" t="s">
        <v>1893</v>
      </c>
      <c r="I417" s="199" t="s">
        <v>1893</v>
      </c>
      <c r="J417" s="199" t="s">
        <v>1919</v>
      </c>
      <c r="K417" s="199" t="s">
        <v>1435</v>
      </c>
      <c r="L417" s="407" t="n">
        <v>30420</v>
      </c>
      <c r="M417" s="407" t="n">
        <v>14980</v>
      </c>
      <c r="N417" s="408" t="n">
        <v>5.5</v>
      </c>
      <c r="O417" s="407" t="n">
        <v>15440</v>
      </c>
      <c r="P417" s="407" t="n">
        <v>14590.8</v>
      </c>
      <c r="Q417" s="234" t="n">
        <v>2023</v>
      </c>
      <c r="R417" s="234"/>
      <c r="S417" s="248" t="n">
        <v>45111</v>
      </c>
      <c r="T417" s="407" t="n">
        <f aca="false">Таблица18[[#This Row],[Вес нетто]]-Таблица18[[#This Row],[Зачетный вес]]</f>
        <v>849.200000000001</v>
      </c>
      <c r="U417" s="409" t="n">
        <f aca="false">Таблица18[[#This Row],[Отход]]/Таблица18[[#This Row],[Вес нетто]]</f>
        <v>0.0550000000000001</v>
      </c>
      <c r="V417" s="234" t="n">
        <f aca="false">MONTH(Таблица18[[#This Row],[Дата акта]])</f>
        <v>7</v>
      </c>
      <c r="W417" s="234" t="n">
        <v>4</v>
      </c>
      <c r="X417" s="248" t="n">
        <f aca="false">DATE(1900,Таблица18[[#This Row],[Месяц]],Таблица18[[#This Row],[Число]])</f>
        <v>186</v>
      </c>
      <c r="Y417" s="234"/>
      <c r="AF417" s="411"/>
      <c r="AG417" s="412"/>
    </row>
    <row r="418" s="410" customFormat="true" ht="15" hidden="true" customHeight="true" outlineLevel="0" collapsed="false">
      <c r="A418" s="199" t="s">
        <v>1924</v>
      </c>
      <c r="B418" s="199" t="s">
        <v>886</v>
      </c>
      <c r="C418" s="405" t="n">
        <v>598</v>
      </c>
      <c r="D418" s="406" t="n">
        <v>119</v>
      </c>
      <c r="E418" s="199" t="s">
        <v>1785</v>
      </c>
      <c r="F418" s="199" t="s">
        <v>1449</v>
      </c>
      <c r="G418" s="199" t="s">
        <v>704</v>
      </c>
      <c r="H418" s="199" t="s">
        <v>1893</v>
      </c>
      <c r="I418" s="199" t="s">
        <v>1893</v>
      </c>
      <c r="J418" s="199" t="s">
        <v>1919</v>
      </c>
      <c r="K418" s="199" t="s">
        <v>1435</v>
      </c>
      <c r="L418" s="407" t="n">
        <v>30270</v>
      </c>
      <c r="M418" s="407" t="n">
        <v>14680</v>
      </c>
      <c r="N418" s="408" t="n">
        <v>5.5</v>
      </c>
      <c r="O418" s="407" t="n">
        <v>15590</v>
      </c>
      <c r="P418" s="407" t="n">
        <v>14732.5</v>
      </c>
      <c r="Q418" s="234" t="n">
        <v>2023</v>
      </c>
      <c r="R418" s="234"/>
      <c r="S418" s="248" t="n">
        <v>45111</v>
      </c>
      <c r="T418" s="407" t="n">
        <f aca="false">Таблица18[[#This Row],[Вес нетто]]-Таблица18[[#This Row],[Зачетный вес]]</f>
        <v>857.5</v>
      </c>
      <c r="U418" s="409" t="n">
        <f aca="false">Таблица18[[#This Row],[Отход]]/Таблица18[[#This Row],[Вес нетто]]</f>
        <v>0.0550032071840924</v>
      </c>
      <c r="V418" s="234" t="n">
        <f aca="false">MONTH(Таблица18[[#This Row],[Дата акта]])</f>
        <v>7</v>
      </c>
      <c r="W418" s="234" t="n">
        <v>4</v>
      </c>
      <c r="X418" s="248" t="n">
        <f aca="false">DATE(1900,Таблица18[[#This Row],[Месяц]],Таблица18[[#This Row],[Число]])</f>
        <v>186</v>
      </c>
      <c r="Y418" s="234"/>
      <c r="AF418" s="411"/>
      <c r="AG418" s="412"/>
    </row>
    <row r="419" s="410" customFormat="true" ht="15" hidden="true" customHeight="true" outlineLevel="0" collapsed="false">
      <c r="A419" s="199" t="s">
        <v>1925</v>
      </c>
      <c r="B419" s="199" t="s">
        <v>886</v>
      </c>
      <c r="C419" s="405" t="n">
        <v>599</v>
      </c>
      <c r="D419" s="406" t="n">
        <v>120</v>
      </c>
      <c r="E419" s="199" t="s">
        <v>1785</v>
      </c>
      <c r="F419" s="199" t="s">
        <v>1863</v>
      </c>
      <c r="G419" s="199" t="s">
        <v>1864</v>
      </c>
      <c r="H419" s="199" t="s">
        <v>1893</v>
      </c>
      <c r="I419" s="199" t="s">
        <v>1893</v>
      </c>
      <c r="J419" s="199" t="s">
        <v>1919</v>
      </c>
      <c r="K419" s="199" t="s">
        <v>1435</v>
      </c>
      <c r="L419" s="407" t="n">
        <v>31320</v>
      </c>
      <c r="M419" s="407" t="n">
        <v>15640</v>
      </c>
      <c r="N419" s="408" t="n">
        <v>5</v>
      </c>
      <c r="O419" s="407" t="n">
        <v>15680</v>
      </c>
      <c r="P419" s="407" t="n">
        <v>14896</v>
      </c>
      <c r="Q419" s="234" t="n">
        <v>2023</v>
      </c>
      <c r="R419" s="234"/>
      <c r="S419" s="248" t="n">
        <v>45111</v>
      </c>
      <c r="T419" s="407" t="n">
        <f aca="false">Таблица18[[#This Row],[Вес нетто]]-Таблица18[[#This Row],[Зачетный вес]]</f>
        <v>784</v>
      </c>
      <c r="U419" s="409" t="n">
        <f aca="false">Таблица18[[#This Row],[Отход]]/Таблица18[[#This Row],[Вес нетто]]</f>
        <v>0.05</v>
      </c>
      <c r="V419" s="234" t="n">
        <f aca="false">MONTH(Таблица18[[#This Row],[Дата акта]])</f>
        <v>7</v>
      </c>
      <c r="W419" s="234" t="n">
        <v>4</v>
      </c>
      <c r="X419" s="248" t="n">
        <f aca="false">DATE(1900,Таблица18[[#This Row],[Месяц]],Таблица18[[#This Row],[Число]])</f>
        <v>186</v>
      </c>
      <c r="Y419" s="234"/>
      <c r="AF419" s="411"/>
      <c r="AG419" s="412"/>
    </row>
    <row r="420" s="410" customFormat="true" ht="15" hidden="true" customHeight="true" outlineLevel="0" collapsed="false">
      <c r="A420" s="199" t="s">
        <v>1926</v>
      </c>
      <c r="B420" s="199" t="s">
        <v>886</v>
      </c>
      <c r="C420" s="405" t="n">
        <v>600</v>
      </c>
      <c r="D420" s="406" t="n">
        <v>121</v>
      </c>
      <c r="E420" s="199" t="s">
        <v>1785</v>
      </c>
      <c r="F420" s="199" t="s">
        <v>1866</v>
      </c>
      <c r="G420" s="199" t="s">
        <v>1867</v>
      </c>
      <c r="H420" s="199" t="s">
        <v>1911</v>
      </c>
      <c r="I420" s="199" t="s">
        <v>1911</v>
      </c>
      <c r="J420" s="199" t="s">
        <v>1912</v>
      </c>
      <c r="K420" s="199" t="s">
        <v>1435</v>
      </c>
      <c r="L420" s="407" t="n">
        <v>30090</v>
      </c>
      <c r="M420" s="407" t="n">
        <v>14500</v>
      </c>
      <c r="N420" s="408" t="n">
        <v>9.5</v>
      </c>
      <c r="O420" s="407" t="n">
        <v>15590</v>
      </c>
      <c r="P420" s="407" t="n">
        <v>14108.9</v>
      </c>
      <c r="Q420" s="234" t="n">
        <v>2023</v>
      </c>
      <c r="R420" s="234"/>
      <c r="S420" s="248" t="n">
        <v>45111</v>
      </c>
      <c r="T420" s="407" t="n">
        <f aca="false">Таблица18[[#This Row],[Вес нетто]]-Таблица18[[#This Row],[Зачетный вес]]</f>
        <v>1481.1</v>
      </c>
      <c r="U420" s="409" t="n">
        <f aca="false">Таблица18[[#This Row],[Отход]]/Таблица18[[#This Row],[Вес нетто]]</f>
        <v>0.0950032071840924</v>
      </c>
      <c r="V420" s="234" t="n">
        <f aca="false">MONTH(Таблица18[[#This Row],[Дата акта]])</f>
        <v>7</v>
      </c>
      <c r="W420" s="234" t="n">
        <v>4</v>
      </c>
      <c r="X420" s="248" t="n">
        <f aca="false">DATE(1900,Таблица18[[#This Row],[Месяц]],Таблица18[[#This Row],[Число]])</f>
        <v>186</v>
      </c>
      <c r="Y420" s="234"/>
      <c r="AF420" s="411"/>
      <c r="AG420" s="412"/>
    </row>
    <row r="421" s="410" customFormat="true" ht="15" hidden="true" customHeight="true" outlineLevel="0" collapsed="false">
      <c r="A421" s="199" t="s">
        <v>1927</v>
      </c>
      <c r="B421" s="199" t="s">
        <v>886</v>
      </c>
      <c r="C421" s="405" t="n">
        <v>601</v>
      </c>
      <c r="D421" s="406" t="n">
        <v>122</v>
      </c>
      <c r="E421" s="199" t="s">
        <v>1785</v>
      </c>
      <c r="F421" s="199" t="s">
        <v>1797</v>
      </c>
      <c r="G421" s="199" t="s">
        <v>385</v>
      </c>
      <c r="H421" s="199" t="s">
        <v>1911</v>
      </c>
      <c r="I421" s="199" t="s">
        <v>1911</v>
      </c>
      <c r="J421" s="199" t="s">
        <v>1912</v>
      </c>
      <c r="K421" s="199" t="s">
        <v>1435</v>
      </c>
      <c r="L421" s="407" t="n">
        <v>29820</v>
      </c>
      <c r="M421" s="407" t="n">
        <v>22170</v>
      </c>
      <c r="N421" s="408" t="n">
        <v>7</v>
      </c>
      <c r="O421" s="407" t="n">
        <v>7650</v>
      </c>
      <c r="P421" s="407" t="n">
        <v>7114.5</v>
      </c>
      <c r="Q421" s="234" t="n">
        <v>2023</v>
      </c>
      <c r="R421" s="234"/>
      <c r="S421" s="248" t="n">
        <v>45111</v>
      </c>
      <c r="T421" s="407" t="n">
        <f aca="false">Таблица18[[#This Row],[Вес нетто]]-Таблица18[[#This Row],[Зачетный вес]]</f>
        <v>535.5</v>
      </c>
      <c r="U421" s="409" t="n">
        <f aca="false">Таблица18[[#This Row],[Отход]]/Таблица18[[#This Row],[Вес нетто]]</f>
        <v>0.07</v>
      </c>
      <c r="V421" s="234" t="n">
        <f aca="false">MONTH(Таблица18[[#This Row],[Дата акта]])</f>
        <v>7</v>
      </c>
      <c r="W421" s="234" t="n">
        <v>4</v>
      </c>
      <c r="X421" s="248" t="n">
        <f aca="false">DATE(1900,Таблица18[[#This Row],[Месяц]],Таблица18[[#This Row],[Число]])</f>
        <v>186</v>
      </c>
      <c r="Y421" s="234"/>
      <c r="AF421" s="411"/>
      <c r="AG421" s="412"/>
    </row>
    <row r="422" s="410" customFormat="true" ht="15" hidden="true" customHeight="true" outlineLevel="0" collapsed="false">
      <c r="A422" s="199" t="s">
        <v>1928</v>
      </c>
      <c r="B422" s="199" t="s">
        <v>886</v>
      </c>
      <c r="C422" s="405" t="n">
        <v>602</v>
      </c>
      <c r="D422" s="406" t="n">
        <v>123</v>
      </c>
      <c r="E422" s="199" t="s">
        <v>1785</v>
      </c>
      <c r="F422" s="199" t="s">
        <v>1485</v>
      </c>
      <c r="G422" s="199" t="s">
        <v>431</v>
      </c>
      <c r="H422" s="199" t="s">
        <v>1911</v>
      </c>
      <c r="I422" s="199" t="s">
        <v>1911</v>
      </c>
      <c r="J422" s="199" t="s">
        <v>1912</v>
      </c>
      <c r="K422" s="199" t="s">
        <v>1435</v>
      </c>
      <c r="L422" s="407" t="n">
        <v>38770</v>
      </c>
      <c r="M422" s="407" t="n">
        <v>20940</v>
      </c>
      <c r="N422" s="408" t="n">
        <v>12.5</v>
      </c>
      <c r="O422" s="407" t="n">
        <v>17830</v>
      </c>
      <c r="P422" s="407" t="n">
        <v>15601.2</v>
      </c>
      <c r="Q422" s="234" t="n">
        <v>2023</v>
      </c>
      <c r="R422" s="234"/>
      <c r="S422" s="248" t="n">
        <v>45111</v>
      </c>
      <c r="T422" s="407" t="n">
        <f aca="false">Таблица18[[#This Row],[Вес нетто]]-Таблица18[[#This Row],[Зачетный вес]]</f>
        <v>2228.8</v>
      </c>
      <c r="U422" s="409" t="n">
        <f aca="false">Таблица18[[#This Row],[Отход]]/Таблица18[[#This Row],[Вес нетто]]</f>
        <v>0.125002804262479</v>
      </c>
      <c r="V422" s="234" t="n">
        <f aca="false">MONTH(Таблица18[[#This Row],[Дата акта]])</f>
        <v>7</v>
      </c>
      <c r="W422" s="234" t="n">
        <v>4</v>
      </c>
      <c r="X422" s="248" t="n">
        <f aca="false">DATE(1900,Таблица18[[#This Row],[Месяц]],Таблица18[[#This Row],[Число]])</f>
        <v>186</v>
      </c>
      <c r="Y422" s="234"/>
      <c r="AF422" s="411"/>
      <c r="AG422" s="412"/>
    </row>
    <row r="423" s="410" customFormat="true" ht="15" hidden="true" customHeight="true" outlineLevel="0" collapsed="false">
      <c r="A423" s="199" t="s">
        <v>1929</v>
      </c>
      <c r="B423" s="199" t="s">
        <v>886</v>
      </c>
      <c r="C423" s="405" t="n">
        <v>603</v>
      </c>
      <c r="D423" s="199" t="s">
        <v>1930</v>
      </c>
      <c r="E423" s="199" t="s">
        <v>1785</v>
      </c>
      <c r="F423" s="199" t="s">
        <v>1797</v>
      </c>
      <c r="G423" s="199" t="s">
        <v>385</v>
      </c>
      <c r="H423" s="199" t="s">
        <v>1911</v>
      </c>
      <c r="I423" s="199" t="s">
        <v>1911</v>
      </c>
      <c r="J423" s="199" t="s">
        <v>1912</v>
      </c>
      <c r="K423" s="199" t="s">
        <v>1435</v>
      </c>
      <c r="L423" s="407" t="n">
        <v>22170</v>
      </c>
      <c r="M423" s="407" t="n">
        <v>14370</v>
      </c>
      <c r="N423" s="234"/>
      <c r="O423" s="407" t="n">
        <v>7800</v>
      </c>
      <c r="P423" s="407" t="n">
        <v>7800</v>
      </c>
      <c r="Q423" s="234" t="n">
        <v>2023</v>
      </c>
      <c r="R423" s="234"/>
      <c r="S423" s="248" t="n">
        <v>45111</v>
      </c>
      <c r="T423" s="407" t="n">
        <f aca="false">Таблица18[[#This Row],[Вес нетто]]-Таблица18[[#This Row],[Зачетный вес]]</f>
        <v>0</v>
      </c>
      <c r="U423" s="409" t="n">
        <f aca="false">Таблица18[[#This Row],[Отход]]/Таблица18[[#This Row],[Вес нетто]]</f>
        <v>0</v>
      </c>
      <c r="V423" s="234" t="n">
        <f aca="false">MONTH(Таблица18[[#This Row],[Дата акта]])</f>
        <v>7</v>
      </c>
      <c r="W423" s="234" t="n">
        <v>4</v>
      </c>
      <c r="X423" s="248" t="n">
        <f aca="false">DATE(1900,Таблица18[[#This Row],[Месяц]],Таблица18[[#This Row],[Число]])</f>
        <v>186</v>
      </c>
      <c r="Y423" s="234"/>
      <c r="AF423" s="411"/>
      <c r="AG423" s="412"/>
    </row>
    <row r="424" s="410" customFormat="true" ht="15" hidden="true" customHeight="true" outlineLevel="0" collapsed="false">
      <c r="A424" s="199" t="s">
        <v>1931</v>
      </c>
      <c r="B424" s="199" t="s">
        <v>746</v>
      </c>
      <c r="C424" s="405" t="n">
        <v>606</v>
      </c>
      <c r="D424" s="406" t="n">
        <v>112</v>
      </c>
      <c r="E424" s="199" t="s">
        <v>1785</v>
      </c>
      <c r="F424" s="199" t="s">
        <v>602</v>
      </c>
      <c r="G424" s="199" t="s">
        <v>606</v>
      </c>
      <c r="H424" s="199" t="s">
        <v>1932</v>
      </c>
      <c r="I424" s="199" t="s">
        <v>1932</v>
      </c>
      <c r="J424" s="199" t="s">
        <v>1912</v>
      </c>
      <c r="K424" s="199" t="s">
        <v>1435</v>
      </c>
      <c r="L424" s="407" t="n">
        <v>35930</v>
      </c>
      <c r="M424" s="407" t="n">
        <v>17900</v>
      </c>
      <c r="N424" s="408" t="n">
        <v>7.5</v>
      </c>
      <c r="O424" s="407" t="n">
        <v>18030</v>
      </c>
      <c r="P424" s="407" t="n">
        <v>16677.7</v>
      </c>
      <c r="Q424" s="234" t="n">
        <v>2023</v>
      </c>
      <c r="R424" s="234"/>
      <c r="S424" s="248" t="n">
        <v>45111</v>
      </c>
      <c r="T424" s="407" t="n">
        <f aca="false">Таблица18[[#This Row],[Вес нетто]]-Таблица18[[#This Row],[Зачетный вес]]</f>
        <v>1352.3</v>
      </c>
      <c r="U424" s="409" t="n">
        <f aca="false">Таблица18[[#This Row],[Отход]]/Таблица18[[#This Row],[Вес нетто]]</f>
        <v>0.0750027731558513</v>
      </c>
      <c r="V424" s="234" t="n">
        <f aca="false">MONTH(Таблица18[[#This Row],[Дата акта]])</f>
        <v>7</v>
      </c>
      <c r="W424" s="234" t="n">
        <v>4</v>
      </c>
      <c r="X424" s="248" t="n">
        <f aca="false">DATE(1900,Таблица18[[#This Row],[Месяц]],Таблица18[[#This Row],[Число]])</f>
        <v>186</v>
      </c>
      <c r="Y424" s="234"/>
      <c r="AF424" s="411"/>
      <c r="AG424" s="412"/>
    </row>
    <row r="425" s="410" customFormat="true" ht="15" hidden="true" customHeight="true" outlineLevel="0" collapsed="false">
      <c r="A425" s="199" t="s">
        <v>1933</v>
      </c>
      <c r="B425" s="199" t="s">
        <v>886</v>
      </c>
      <c r="C425" s="405" t="n">
        <v>607</v>
      </c>
      <c r="D425" s="406" t="n">
        <v>124</v>
      </c>
      <c r="E425" s="199" t="s">
        <v>1785</v>
      </c>
      <c r="F425" s="199" t="s">
        <v>1792</v>
      </c>
      <c r="G425" s="199" t="s">
        <v>1793</v>
      </c>
      <c r="H425" s="199" t="s">
        <v>1911</v>
      </c>
      <c r="I425" s="199" t="s">
        <v>1911</v>
      </c>
      <c r="J425" s="199" t="s">
        <v>1912</v>
      </c>
      <c r="K425" s="199" t="s">
        <v>1435</v>
      </c>
      <c r="L425" s="407" t="n">
        <v>31220</v>
      </c>
      <c r="M425" s="407" t="n">
        <v>15420</v>
      </c>
      <c r="N425" s="408" t="n">
        <v>7.5</v>
      </c>
      <c r="O425" s="407" t="n">
        <v>15800</v>
      </c>
      <c r="P425" s="407" t="n">
        <v>14615</v>
      </c>
      <c r="Q425" s="234" t="n">
        <v>2023</v>
      </c>
      <c r="R425" s="234"/>
      <c r="S425" s="248" t="n">
        <v>45111</v>
      </c>
      <c r="T425" s="407" t="n">
        <f aca="false">Таблица18[[#This Row],[Вес нетто]]-Таблица18[[#This Row],[Зачетный вес]]</f>
        <v>1185</v>
      </c>
      <c r="U425" s="409" t="n">
        <f aca="false">Таблица18[[#This Row],[Отход]]/Таблица18[[#This Row],[Вес нетто]]</f>
        <v>0.075</v>
      </c>
      <c r="V425" s="234" t="n">
        <f aca="false">MONTH(Таблица18[[#This Row],[Дата акта]])</f>
        <v>7</v>
      </c>
      <c r="W425" s="234" t="n">
        <v>4</v>
      </c>
      <c r="X425" s="248" t="n">
        <f aca="false">DATE(1900,Таблица18[[#This Row],[Месяц]],Таблица18[[#This Row],[Число]])</f>
        <v>186</v>
      </c>
      <c r="Y425" s="234"/>
      <c r="AF425" s="411"/>
      <c r="AG425" s="412"/>
    </row>
    <row r="426" s="410" customFormat="true" ht="15" hidden="true" customHeight="true" outlineLevel="0" collapsed="false">
      <c r="A426" s="199" t="s">
        <v>1934</v>
      </c>
      <c r="B426" s="199" t="s">
        <v>417</v>
      </c>
      <c r="C426" s="405" t="n">
        <v>608</v>
      </c>
      <c r="D426" s="406" t="n">
        <v>126</v>
      </c>
      <c r="E426" s="199" t="s">
        <v>1785</v>
      </c>
      <c r="F426" s="199" t="s">
        <v>610</v>
      </c>
      <c r="G426" s="199" t="s">
        <v>614</v>
      </c>
      <c r="H426" s="199" t="s">
        <v>1932</v>
      </c>
      <c r="I426" s="199" t="s">
        <v>1932</v>
      </c>
      <c r="J426" s="199" t="s">
        <v>1912</v>
      </c>
      <c r="K426" s="199" t="s">
        <v>1435</v>
      </c>
      <c r="L426" s="407" t="n">
        <v>32890</v>
      </c>
      <c r="M426" s="407" t="n">
        <v>16860</v>
      </c>
      <c r="N426" s="408" t="n">
        <v>8.5</v>
      </c>
      <c r="O426" s="407" t="n">
        <v>16030</v>
      </c>
      <c r="P426" s="407" t="n">
        <v>14667.4</v>
      </c>
      <c r="Q426" s="234" t="n">
        <v>2023</v>
      </c>
      <c r="R426" s="234"/>
      <c r="S426" s="248" t="n">
        <v>45111</v>
      </c>
      <c r="T426" s="407" t="n">
        <f aca="false">Таблица18[[#This Row],[Вес нетто]]-Таблица18[[#This Row],[Зачетный вес]]</f>
        <v>1362.6</v>
      </c>
      <c r="U426" s="409" t="n">
        <f aca="false">Таблица18[[#This Row],[Отход]]/Таблица18[[#This Row],[Вес нетто]]</f>
        <v>0.0850031191515908</v>
      </c>
      <c r="V426" s="234" t="n">
        <f aca="false">MONTH(Таблица18[[#This Row],[Дата акта]])</f>
        <v>7</v>
      </c>
      <c r="W426" s="234" t="n">
        <v>4</v>
      </c>
      <c r="X426" s="248" t="n">
        <f aca="false">DATE(1900,Таблица18[[#This Row],[Месяц]],Таблица18[[#This Row],[Число]])</f>
        <v>186</v>
      </c>
      <c r="Y426" s="234"/>
      <c r="AF426" s="411"/>
      <c r="AG426" s="412"/>
    </row>
    <row r="427" s="410" customFormat="true" ht="15" hidden="true" customHeight="true" outlineLevel="0" collapsed="false">
      <c r="A427" s="199" t="s">
        <v>1935</v>
      </c>
      <c r="B427" s="199" t="s">
        <v>746</v>
      </c>
      <c r="C427" s="405" t="n">
        <v>612</v>
      </c>
      <c r="D427" s="406" t="n">
        <v>127</v>
      </c>
      <c r="E427" s="199" t="s">
        <v>1785</v>
      </c>
      <c r="F427" s="199" t="s">
        <v>1800</v>
      </c>
      <c r="G427" s="199" t="s">
        <v>621</v>
      </c>
      <c r="H427" s="199" t="s">
        <v>1932</v>
      </c>
      <c r="I427" s="199" t="s">
        <v>1932</v>
      </c>
      <c r="J427" s="199" t="s">
        <v>1912</v>
      </c>
      <c r="K427" s="199" t="s">
        <v>1435</v>
      </c>
      <c r="L427" s="407" t="n">
        <v>35910</v>
      </c>
      <c r="M427" s="407" t="n">
        <v>17600</v>
      </c>
      <c r="N427" s="408" t="n">
        <v>10.5</v>
      </c>
      <c r="O427" s="407" t="n">
        <v>18310</v>
      </c>
      <c r="P427" s="407" t="n">
        <v>16387.4</v>
      </c>
      <c r="Q427" s="234" t="n">
        <v>2023</v>
      </c>
      <c r="R427" s="234"/>
      <c r="S427" s="248" t="n">
        <v>45111</v>
      </c>
      <c r="T427" s="407" t="n">
        <f aca="false">Таблица18[[#This Row],[Вес нетто]]-Таблица18[[#This Row],[Зачетный вес]]</f>
        <v>1922.6</v>
      </c>
      <c r="U427" s="409" t="n">
        <f aca="false">Таблица18[[#This Row],[Отход]]/Таблица18[[#This Row],[Вес нетто]]</f>
        <v>0.105002730748225</v>
      </c>
      <c r="V427" s="234" t="n">
        <f aca="false">MONTH(Таблица18[[#This Row],[Дата акта]])</f>
        <v>7</v>
      </c>
      <c r="W427" s="234" t="n">
        <v>4</v>
      </c>
      <c r="X427" s="248" t="n">
        <f aca="false">DATE(1900,Таблица18[[#This Row],[Месяц]],Таблица18[[#This Row],[Число]])</f>
        <v>186</v>
      </c>
      <c r="Y427" s="234"/>
      <c r="AF427" s="411"/>
      <c r="AG427" s="412"/>
    </row>
    <row r="428" s="410" customFormat="true" ht="15" hidden="true" customHeight="true" outlineLevel="0" collapsed="false">
      <c r="A428" s="199" t="s">
        <v>1936</v>
      </c>
      <c r="B428" s="199" t="s">
        <v>417</v>
      </c>
      <c r="C428" s="405" t="n">
        <v>613</v>
      </c>
      <c r="D428" s="406" t="n">
        <v>128</v>
      </c>
      <c r="E428" s="199" t="s">
        <v>1785</v>
      </c>
      <c r="F428" s="199" t="s">
        <v>1483</v>
      </c>
      <c r="G428" s="199" t="s">
        <v>373</v>
      </c>
      <c r="H428" s="199" t="s">
        <v>1932</v>
      </c>
      <c r="I428" s="199" t="s">
        <v>1932</v>
      </c>
      <c r="J428" s="199" t="s">
        <v>1912</v>
      </c>
      <c r="K428" s="199" t="s">
        <v>1435</v>
      </c>
      <c r="L428" s="407" t="n">
        <v>36970</v>
      </c>
      <c r="M428" s="407" t="n">
        <v>18730</v>
      </c>
      <c r="N428" s="408" t="n">
        <v>11.5</v>
      </c>
      <c r="O428" s="407" t="n">
        <v>18240</v>
      </c>
      <c r="P428" s="407" t="n">
        <v>16142.4</v>
      </c>
      <c r="Q428" s="234" t="n">
        <v>2023</v>
      </c>
      <c r="R428" s="234"/>
      <c r="S428" s="248" t="n">
        <v>45111</v>
      </c>
      <c r="T428" s="407" t="n">
        <f aca="false">Таблица18[[#This Row],[Вес нетто]]-Таблица18[[#This Row],[Зачетный вес]]</f>
        <v>2097.6</v>
      </c>
      <c r="U428" s="409" t="n">
        <f aca="false">Таблица18[[#This Row],[Отход]]/Таблица18[[#This Row],[Вес нетто]]</f>
        <v>0.115</v>
      </c>
      <c r="V428" s="234" t="n">
        <f aca="false">MONTH(Таблица18[[#This Row],[Дата акта]])</f>
        <v>7</v>
      </c>
      <c r="W428" s="234" t="n">
        <v>4</v>
      </c>
      <c r="X428" s="248" t="n">
        <f aca="false">DATE(1900,Таблица18[[#This Row],[Месяц]],Таблица18[[#This Row],[Число]])</f>
        <v>186</v>
      </c>
      <c r="Y428" s="234"/>
      <c r="AF428" s="411"/>
      <c r="AG428" s="412"/>
    </row>
    <row r="429" s="410" customFormat="true" ht="15" hidden="true" customHeight="true" outlineLevel="0" collapsed="false">
      <c r="A429" s="199" t="s">
        <v>1937</v>
      </c>
      <c r="B429" s="199" t="s">
        <v>417</v>
      </c>
      <c r="C429" s="405" t="n">
        <v>614</v>
      </c>
      <c r="D429" s="406" t="n">
        <v>129</v>
      </c>
      <c r="E429" s="199" t="s">
        <v>1785</v>
      </c>
      <c r="F429" s="199" t="s">
        <v>457</v>
      </c>
      <c r="G429" s="199" t="s">
        <v>366</v>
      </c>
      <c r="H429" s="199" t="s">
        <v>1932</v>
      </c>
      <c r="I429" s="199" t="s">
        <v>1932</v>
      </c>
      <c r="J429" s="199" t="s">
        <v>1912</v>
      </c>
      <c r="K429" s="199" t="s">
        <v>1435</v>
      </c>
      <c r="L429" s="407" t="n">
        <v>35470</v>
      </c>
      <c r="M429" s="407" t="n">
        <v>17450</v>
      </c>
      <c r="N429" s="408" t="n">
        <v>12.5</v>
      </c>
      <c r="O429" s="407" t="n">
        <v>18020</v>
      </c>
      <c r="P429" s="407" t="n">
        <v>15767.5</v>
      </c>
      <c r="Q429" s="234" t="n">
        <v>2023</v>
      </c>
      <c r="R429" s="234"/>
      <c r="S429" s="248" t="n">
        <v>45112</v>
      </c>
      <c r="T429" s="407" t="n">
        <f aca="false">Таблица18[[#This Row],[Вес нетто]]-Таблица18[[#This Row],[Зачетный вес]]</f>
        <v>2252.5</v>
      </c>
      <c r="U429" s="409" t="n">
        <f aca="false">Таблица18[[#This Row],[Отход]]/Таблица18[[#This Row],[Вес нетто]]</f>
        <v>0.125</v>
      </c>
      <c r="V429" s="234" t="n">
        <f aca="false">MONTH(Таблица18[[#This Row],[Дата акта]])</f>
        <v>7</v>
      </c>
      <c r="W429" s="234" t="n">
        <v>5</v>
      </c>
      <c r="X429" s="248" t="n">
        <f aca="false">DATE(1900,Таблица18[[#This Row],[Месяц]],Таблица18[[#This Row],[Число]])</f>
        <v>187</v>
      </c>
      <c r="Y429" s="234"/>
      <c r="AF429" s="411"/>
      <c r="AG429" s="412"/>
    </row>
    <row r="430" s="410" customFormat="true" ht="15" hidden="true" customHeight="true" outlineLevel="0" collapsed="false">
      <c r="A430" s="199" t="s">
        <v>1938</v>
      </c>
      <c r="B430" s="199" t="s">
        <v>417</v>
      </c>
      <c r="C430" s="405" t="n">
        <v>615</v>
      </c>
      <c r="D430" s="406" t="n">
        <v>130</v>
      </c>
      <c r="E430" s="199" t="s">
        <v>1785</v>
      </c>
      <c r="F430" s="199" t="s">
        <v>371</v>
      </c>
      <c r="G430" s="199" t="s">
        <v>372</v>
      </c>
      <c r="H430" s="199" t="s">
        <v>1932</v>
      </c>
      <c r="I430" s="199" t="s">
        <v>1932</v>
      </c>
      <c r="J430" s="199" t="s">
        <v>1912</v>
      </c>
      <c r="K430" s="199" t="s">
        <v>1435</v>
      </c>
      <c r="L430" s="407" t="n">
        <v>30940</v>
      </c>
      <c r="M430" s="407" t="n">
        <v>15030</v>
      </c>
      <c r="N430" s="408" t="n">
        <v>13.5</v>
      </c>
      <c r="O430" s="407" t="n">
        <v>15910</v>
      </c>
      <c r="P430" s="407" t="n">
        <v>13762.1</v>
      </c>
      <c r="Q430" s="234" t="n">
        <v>2023</v>
      </c>
      <c r="R430" s="234"/>
      <c r="S430" s="248" t="n">
        <v>45112</v>
      </c>
      <c r="T430" s="407" t="n">
        <f aca="false">Таблица18[[#This Row],[Вес нетто]]-Таблица18[[#This Row],[Зачетный вес]]</f>
        <v>2147.9</v>
      </c>
      <c r="U430" s="409" t="n">
        <f aca="false">Таблица18[[#This Row],[Отход]]/Таблица18[[#This Row],[Вес нетто]]</f>
        <v>0.135003142677561</v>
      </c>
      <c r="V430" s="234" t="n">
        <f aca="false">MONTH(Таблица18[[#This Row],[Дата акта]])</f>
        <v>7</v>
      </c>
      <c r="W430" s="234" t="n">
        <v>5</v>
      </c>
      <c r="X430" s="248" t="n">
        <f aca="false">DATE(1900,Таблица18[[#This Row],[Месяц]],Таблица18[[#This Row],[Число]])</f>
        <v>187</v>
      </c>
      <c r="Y430" s="234"/>
      <c r="AF430" s="411"/>
      <c r="AG430" s="412"/>
    </row>
    <row r="431" s="410" customFormat="true" ht="15" hidden="true" customHeight="true" outlineLevel="0" collapsed="false">
      <c r="A431" s="199" t="s">
        <v>1939</v>
      </c>
      <c r="B431" s="199" t="s">
        <v>417</v>
      </c>
      <c r="C431" s="405" t="n">
        <v>616</v>
      </c>
      <c r="D431" s="406" t="n">
        <v>131</v>
      </c>
      <c r="E431" s="199" t="s">
        <v>1785</v>
      </c>
      <c r="F431" s="199" t="s">
        <v>359</v>
      </c>
      <c r="G431" s="199" t="s">
        <v>426</v>
      </c>
      <c r="H431" s="199" t="s">
        <v>1932</v>
      </c>
      <c r="I431" s="199" t="s">
        <v>1932</v>
      </c>
      <c r="J431" s="199" t="s">
        <v>1912</v>
      </c>
      <c r="K431" s="199" t="s">
        <v>1435</v>
      </c>
      <c r="L431" s="407" t="n">
        <v>29930</v>
      </c>
      <c r="M431" s="407" t="n">
        <v>14000</v>
      </c>
      <c r="N431" s="408" t="n">
        <v>12.5</v>
      </c>
      <c r="O431" s="407" t="n">
        <v>15930</v>
      </c>
      <c r="P431" s="407" t="n">
        <v>13938.7</v>
      </c>
      <c r="Q431" s="234" t="n">
        <v>2023</v>
      </c>
      <c r="R431" s="234"/>
      <c r="S431" s="248" t="n">
        <v>45112</v>
      </c>
      <c r="T431" s="407" t="n">
        <f aca="false">Таблица18[[#This Row],[Вес нетто]]-Таблица18[[#This Row],[Зачетный вес]]</f>
        <v>1991.3</v>
      </c>
      <c r="U431" s="409" t="n">
        <f aca="false">Таблица18[[#This Row],[Отход]]/Таблица18[[#This Row],[Вес нетто]]</f>
        <v>0.125003138731952</v>
      </c>
      <c r="V431" s="234" t="n">
        <f aca="false">MONTH(Таблица18[[#This Row],[Дата акта]])</f>
        <v>7</v>
      </c>
      <c r="W431" s="234" t="n">
        <v>5</v>
      </c>
      <c r="X431" s="248" t="n">
        <f aca="false">DATE(1900,Таблица18[[#This Row],[Месяц]],Таблица18[[#This Row],[Число]])</f>
        <v>187</v>
      </c>
      <c r="Y431" s="234"/>
      <c r="AF431" s="411"/>
      <c r="AG431" s="412"/>
    </row>
    <row r="432" s="410" customFormat="true" ht="15" hidden="true" customHeight="true" outlineLevel="0" collapsed="false">
      <c r="A432" s="199" t="s">
        <v>1940</v>
      </c>
      <c r="B432" s="199" t="s">
        <v>417</v>
      </c>
      <c r="C432" s="405" t="n">
        <v>617</v>
      </c>
      <c r="D432" s="406" t="n">
        <v>132</v>
      </c>
      <c r="E432" s="199" t="s">
        <v>1785</v>
      </c>
      <c r="F432" s="199" t="s">
        <v>1548</v>
      </c>
      <c r="G432" s="199" t="s">
        <v>1549</v>
      </c>
      <c r="H432" s="199" t="s">
        <v>1932</v>
      </c>
      <c r="I432" s="199" t="s">
        <v>1932</v>
      </c>
      <c r="J432" s="199" t="s">
        <v>1912</v>
      </c>
      <c r="K432" s="199" t="s">
        <v>1435</v>
      </c>
      <c r="L432" s="407" t="n">
        <v>30800</v>
      </c>
      <c r="M432" s="407" t="n">
        <v>15000</v>
      </c>
      <c r="N432" s="408" t="n">
        <v>12.5</v>
      </c>
      <c r="O432" s="407" t="n">
        <v>15800</v>
      </c>
      <c r="P432" s="407" t="n">
        <v>13825</v>
      </c>
      <c r="Q432" s="234" t="n">
        <v>2023</v>
      </c>
      <c r="R432" s="234"/>
      <c r="S432" s="248" t="n">
        <v>45112</v>
      </c>
      <c r="T432" s="407" t="n">
        <f aca="false">Таблица18[[#This Row],[Вес нетто]]-Таблица18[[#This Row],[Зачетный вес]]</f>
        <v>1975</v>
      </c>
      <c r="U432" s="409" t="n">
        <f aca="false">Таблица18[[#This Row],[Отход]]/Таблица18[[#This Row],[Вес нетто]]</f>
        <v>0.125</v>
      </c>
      <c r="V432" s="234" t="n">
        <f aca="false">MONTH(Таблица18[[#This Row],[Дата акта]])</f>
        <v>7</v>
      </c>
      <c r="W432" s="234" t="n">
        <v>5</v>
      </c>
      <c r="X432" s="248" t="n">
        <f aca="false">DATE(1900,Таблица18[[#This Row],[Месяц]],Таблица18[[#This Row],[Число]])</f>
        <v>187</v>
      </c>
      <c r="Y432" s="234"/>
      <c r="AF432" s="411"/>
      <c r="AG432" s="412"/>
    </row>
    <row r="433" s="410" customFormat="true" ht="15" hidden="true" customHeight="true" outlineLevel="0" collapsed="false">
      <c r="A433" s="199" t="s">
        <v>1941</v>
      </c>
      <c r="B433" s="199" t="s">
        <v>417</v>
      </c>
      <c r="C433" s="405" t="n">
        <v>618</v>
      </c>
      <c r="D433" s="406" t="n">
        <v>133</v>
      </c>
      <c r="E433" s="199" t="s">
        <v>1785</v>
      </c>
      <c r="F433" s="199" t="s">
        <v>1449</v>
      </c>
      <c r="G433" s="199" t="s">
        <v>704</v>
      </c>
      <c r="H433" s="199" t="s">
        <v>1932</v>
      </c>
      <c r="I433" s="199" t="s">
        <v>1932</v>
      </c>
      <c r="J433" s="199" t="s">
        <v>1912</v>
      </c>
      <c r="K433" s="199" t="s">
        <v>1435</v>
      </c>
      <c r="L433" s="407" t="n">
        <v>30680</v>
      </c>
      <c r="M433" s="407" t="n">
        <v>14680</v>
      </c>
      <c r="N433" s="408" t="n">
        <v>16.5</v>
      </c>
      <c r="O433" s="407" t="n">
        <v>16000</v>
      </c>
      <c r="P433" s="407" t="n">
        <v>13360</v>
      </c>
      <c r="Q433" s="234" t="n">
        <v>2023</v>
      </c>
      <c r="R433" s="234"/>
      <c r="S433" s="248" t="n">
        <v>45112</v>
      </c>
      <c r="T433" s="407" t="n">
        <f aca="false">Таблица18[[#This Row],[Вес нетто]]-Таблица18[[#This Row],[Зачетный вес]]</f>
        <v>2640</v>
      </c>
      <c r="U433" s="409" t="n">
        <f aca="false">Таблица18[[#This Row],[Отход]]/Таблица18[[#This Row],[Вес нетто]]</f>
        <v>0.165</v>
      </c>
      <c r="V433" s="234" t="n">
        <f aca="false">MONTH(Таблица18[[#This Row],[Дата акта]])</f>
        <v>7</v>
      </c>
      <c r="W433" s="234" t="n">
        <v>5</v>
      </c>
      <c r="X433" s="248" t="n">
        <f aca="false">DATE(1900,Таблица18[[#This Row],[Месяц]],Таблица18[[#This Row],[Число]])</f>
        <v>187</v>
      </c>
      <c r="Y433" s="234"/>
      <c r="AF433" s="411"/>
      <c r="AG433" s="412"/>
    </row>
    <row r="434" s="410" customFormat="true" ht="15" hidden="true" customHeight="true" outlineLevel="0" collapsed="false">
      <c r="A434" s="199" t="s">
        <v>1942</v>
      </c>
      <c r="B434" s="199" t="s">
        <v>417</v>
      </c>
      <c r="C434" s="405" t="n">
        <v>619</v>
      </c>
      <c r="D434" s="199" t="s">
        <v>1943</v>
      </c>
      <c r="E434" s="199" t="s">
        <v>1785</v>
      </c>
      <c r="F434" s="199" t="s">
        <v>1792</v>
      </c>
      <c r="G434" s="199" t="s">
        <v>1793</v>
      </c>
      <c r="H434" s="199" t="s">
        <v>1932</v>
      </c>
      <c r="I434" s="199" t="s">
        <v>1932</v>
      </c>
      <c r="J434" s="199" t="s">
        <v>1912</v>
      </c>
      <c r="K434" s="199" t="s">
        <v>1435</v>
      </c>
      <c r="L434" s="407" t="n">
        <v>31230</v>
      </c>
      <c r="M434" s="407" t="n">
        <v>15330</v>
      </c>
      <c r="N434" s="408" t="n">
        <v>17.5</v>
      </c>
      <c r="O434" s="407" t="n">
        <v>15900</v>
      </c>
      <c r="P434" s="407" t="n">
        <v>13117.5</v>
      </c>
      <c r="Q434" s="234" t="n">
        <v>2023</v>
      </c>
      <c r="R434" s="234"/>
      <c r="S434" s="248" t="n">
        <v>45112</v>
      </c>
      <c r="T434" s="407" t="n">
        <f aca="false">Таблица18[[#This Row],[Вес нетто]]-Таблица18[[#This Row],[Зачетный вес]]</f>
        <v>2782.5</v>
      </c>
      <c r="U434" s="409" t="n">
        <f aca="false">Таблица18[[#This Row],[Отход]]/Таблица18[[#This Row],[Вес нетто]]</f>
        <v>0.175</v>
      </c>
      <c r="V434" s="234" t="n">
        <f aca="false">MONTH(Таблица18[[#This Row],[Дата акта]])</f>
        <v>7</v>
      </c>
      <c r="W434" s="234" t="n">
        <v>5</v>
      </c>
      <c r="X434" s="248" t="n">
        <f aca="false">DATE(1900,Таблица18[[#This Row],[Месяц]],Таблица18[[#This Row],[Число]])</f>
        <v>187</v>
      </c>
      <c r="Y434" s="234"/>
      <c r="AF434" s="411"/>
      <c r="AG434" s="412"/>
    </row>
    <row r="435" s="410" customFormat="true" ht="15" hidden="true" customHeight="true" outlineLevel="0" collapsed="false">
      <c r="A435" s="199" t="s">
        <v>1944</v>
      </c>
      <c r="B435" s="199" t="s">
        <v>417</v>
      </c>
      <c r="C435" s="405" t="n">
        <v>621</v>
      </c>
      <c r="D435" s="199" t="s">
        <v>1945</v>
      </c>
      <c r="E435" s="199" t="s">
        <v>1785</v>
      </c>
      <c r="F435" s="199" t="s">
        <v>602</v>
      </c>
      <c r="G435" s="199" t="s">
        <v>606</v>
      </c>
      <c r="H435" s="199" t="s">
        <v>1932</v>
      </c>
      <c r="I435" s="199" t="s">
        <v>1932</v>
      </c>
      <c r="J435" s="199" t="s">
        <v>1912</v>
      </c>
      <c r="K435" s="199" t="s">
        <v>1435</v>
      </c>
      <c r="L435" s="407" t="n">
        <v>33740</v>
      </c>
      <c r="M435" s="407" t="n">
        <v>17800</v>
      </c>
      <c r="N435" s="408" t="n">
        <v>10.5</v>
      </c>
      <c r="O435" s="407" t="n">
        <v>15940</v>
      </c>
      <c r="P435" s="407" t="n">
        <v>14266.3</v>
      </c>
      <c r="Q435" s="234" t="n">
        <v>2023</v>
      </c>
      <c r="R435" s="234"/>
      <c r="S435" s="248" t="n">
        <v>45112</v>
      </c>
      <c r="T435" s="407" t="n">
        <f aca="false">Таблица18[[#This Row],[Вес нетто]]-Таблица18[[#This Row],[Зачетный вес]]</f>
        <v>1673.7</v>
      </c>
      <c r="U435" s="409" t="n">
        <f aca="false">Таблица18[[#This Row],[Отход]]/Таблица18[[#This Row],[Вес нетто]]</f>
        <v>0.105</v>
      </c>
      <c r="V435" s="234" t="n">
        <f aca="false">MONTH(Таблица18[[#This Row],[Дата акта]])</f>
        <v>7</v>
      </c>
      <c r="W435" s="234" t="n">
        <v>5</v>
      </c>
      <c r="X435" s="248" t="n">
        <f aca="false">DATE(1900,Таблица18[[#This Row],[Месяц]],Таблица18[[#This Row],[Число]])</f>
        <v>187</v>
      </c>
      <c r="Y435" s="234"/>
      <c r="AF435" s="411"/>
      <c r="AG435" s="412"/>
    </row>
    <row r="436" s="410" customFormat="true" ht="15" hidden="true" customHeight="true" outlineLevel="0" collapsed="false">
      <c r="A436" s="199" t="s">
        <v>1946</v>
      </c>
      <c r="B436" s="199" t="s">
        <v>417</v>
      </c>
      <c r="C436" s="405" t="n">
        <v>622</v>
      </c>
      <c r="D436" s="199" t="s">
        <v>1947</v>
      </c>
      <c r="E436" s="199" t="s">
        <v>1785</v>
      </c>
      <c r="F436" s="199" t="s">
        <v>610</v>
      </c>
      <c r="G436" s="199" t="s">
        <v>614</v>
      </c>
      <c r="H436" s="199" t="s">
        <v>1932</v>
      </c>
      <c r="I436" s="199" t="s">
        <v>1932</v>
      </c>
      <c r="J436" s="199" t="s">
        <v>1843</v>
      </c>
      <c r="K436" s="199" t="s">
        <v>1435</v>
      </c>
      <c r="L436" s="407" t="n">
        <v>33240</v>
      </c>
      <c r="M436" s="407" t="n">
        <v>17060</v>
      </c>
      <c r="N436" s="408" t="n">
        <v>13.5</v>
      </c>
      <c r="O436" s="407" t="n">
        <v>16180</v>
      </c>
      <c r="P436" s="407" t="n">
        <v>13995.7</v>
      </c>
      <c r="Q436" s="234" t="n">
        <v>2023</v>
      </c>
      <c r="R436" s="234"/>
      <c r="S436" s="248" t="n">
        <v>45112</v>
      </c>
      <c r="T436" s="407" t="n">
        <f aca="false">Таблица18[[#This Row],[Вес нетто]]-Таблица18[[#This Row],[Зачетный вес]]</f>
        <v>2184.3</v>
      </c>
      <c r="U436" s="409" t="n">
        <f aca="false">Таблица18[[#This Row],[Отход]]/Таблица18[[#This Row],[Вес нетто]]</f>
        <v>0.135</v>
      </c>
      <c r="V436" s="234" t="n">
        <f aca="false">MONTH(Таблица18[[#This Row],[Дата акта]])</f>
        <v>7</v>
      </c>
      <c r="W436" s="234" t="n">
        <v>5</v>
      </c>
      <c r="X436" s="248" t="n">
        <f aca="false">DATE(1900,Таблица18[[#This Row],[Месяц]],Таблица18[[#This Row],[Число]])</f>
        <v>187</v>
      </c>
      <c r="Y436" s="234"/>
      <c r="AF436" s="411"/>
      <c r="AG436" s="412"/>
    </row>
    <row r="437" s="410" customFormat="true" ht="15" hidden="true" customHeight="true" outlineLevel="0" collapsed="false">
      <c r="A437" s="199" t="s">
        <v>1948</v>
      </c>
      <c r="B437" s="199" t="s">
        <v>417</v>
      </c>
      <c r="C437" s="405" t="n">
        <v>623</v>
      </c>
      <c r="D437" s="199" t="s">
        <v>1949</v>
      </c>
      <c r="E437" s="199" t="s">
        <v>1785</v>
      </c>
      <c r="F437" s="199" t="s">
        <v>1485</v>
      </c>
      <c r="G437" s="199" t="s">
        <v>431</v>
      </c>
      <c r="H437" s="199" t="s">
        <v>1932</v>
      </c>
      <c r="I437" s="199" t="s">
        <v>1932</v>
      </c>
      <c r="J437" s="199" t="s">
        <v>1843</v>
      </c>
      <c r="K437" s="199" t="s">
        <v>1435</v>
      </c>
      <c r="L437" s="407" t="n">
        <v>39010</v>
      </c>
      <c r="M437" s="407" t="n">
        <v>20840</v>
      </c>
      <c r="N437" s="408" t="n">
        <v>137</v>
      </c>
      <c r="O437" s="407" t="n">
        <v>18170</v>
      </c>
      <c r="P437" s="407" t="n">
        <v>18170</v>
      </c>
      <c r="Q437" s="234" t="n">
        <v>2023</v>
      </c>
      <c r="R437" s="234"/>
      <c r="S437" s="248" t="n">
        <v>45112</v>
      </c>
      <c r="T437" s="407" t="n">
        <f aca="false">Таблица18[[#This Row],[Вес нетто]]-Таблица18[[#This Row],[Зачетный вес]]</f>
        <v>0</v>
      </c>
      <c r="U437" s="409" t="n">
        <f aca="false">Таблица18[[#This Row],[Отход]]/Таблица18[[#This Row],[Вес нетто]]</f>
        <v>0</v>
      </c>
      <c r="V437" s="234" t="n">
        <f aca="false">MONTH(Таблица18[[#This Row],[Дата акта]])</f>
        <v>7</v>
      </c>
      <c r="W437" s="234" t="n">
        <v>5</v>
      </c>
      <c r="X437" s="248" t="n">
        <f aca="false">DATE(1900,Таблица18[[#This Row],[Месяц]],Таблица18[[#This Row],[Число]])</f>
        <v>187</v>
      </c>
      <c r="Y437" s="234"/>
      <c r="AF437" s="411"/>
      <c r="AG437" s="412"/>
    </row>
    <row r="438" s="410" customFormat="true" ht="15" hidden="true" customHeight="true" outlineLevel="0" collapsed="false">
      <c r="A438" s="199" t="s">
        <v>1950</v>
      </c>
      <c r="B438" s="199" t="s">
        <v>417</v>
      </c>
      <c r="C438" s="405" t="n">
        <v>623</v>
      </c>
      <c r="D438" s="199" t="s">
        <v>1951</v>
      </c>
      <c r="E438" s="199" t="s">
        <v>1785</v>
      </c>
      <c r="F438" s="199" t="s">
        <v>1952</v>
      </c>
      <c r="G438" s="406" t="n">
        <v>586</v>
      </c>
      <c r="H438" s="199" t="s">
        <v>1953</v>
      </c>
      <c r="I438" s="199" t="s">
        <v>1953</v>
      </c>
      <c r="J438" s="199" t="s">
        <v>997</v>
      </c>
      <c r="K438" s="199" t="s">
        <v>1435</v>
      </c>
      <c r="L438" s="407" t="n">
        <v>32180</v>
      </c>
      <c r="M438" s="407" t="n">
        <v>13740</v>
      </c>
      <c r="N438" s="234"/>
      <c r="O438" s="407" t="n">
        <v>18440</v>
      </c>
      <c r="P438" s="407" t="n">
        <v>18440</v>
      </c>
      <c r="Q438" s="234" t="n">
        <v>2023</v>
      </c>
      <c r="R438" s="234"/>
      <c r="S438" s="248" t="n">
        <v>45113</v>
      </c>
      <c r="T438" s="407" t="n">
        <f aca="false">Таблица18[[#This Row],[Вес нетто]]-Таблица18[[#This Row],[Зачетный вес]]</f>
        <v>0</v>
      </c>
      <c r="U438" s="409" t="n">
        <f aca="false">Таблица18[[#This Row],[Отход]]/Таблица18[[#This Row],[Вес нетто]]</f>
        <v>0</v>
      </c>
      <c r="V438" s="234" t="n">
        <f aca="false">MONTH(Таблица18[[#This Row],[Дата акта]])</f>
        <v>7</v>
      </c>
      <c r="W438" s="234" t="n">
        <v>6</v>
      </c>
      <c r="X438" s="248" t="n">
        <f aca="false">DATE(1900,Таблица18[[#This Row],[Месяц]],Таблица18[[#This Row],[Число]])</f>
        <v>188</v>
      </c>
      <c r="Y438" s="234"/>
      <c r="AF438" s="411"/>
      <c r="AG438" s="412"/>
    </row>
    <row r="439" s="410" customFormat="true" ht="15" hidden="true" customHeight="true" outlineLevel="0" collapsed="false">
      <c r="A439" s="199" t="s">
        <v>1954</v>
      </c>
      <c r="B439" s="199" t="s">
        <v>417</v>
      </c>
      <c r="C439" s="405" t="n">
        <v>623</v>
      </c>
      <c r="D439" s="199" t="s">
        <v>1955</v>
      </c>
      <c r="E439" s="199" t="s">
        <v>1785</v>
      </c>
      <c r="F439" s="199" t="s">
        <v>1956</v>
      </c>
      <c r="G439" s="406" t="n">
        <v>587</v>
      </c>
      <c r="H439" s="199" t="s">
        <v>1953</v>
      </c>
      <c r="I439" s="199" t="s">
        <v>1953</v>
      </c>
      <c r="J439" s="199" t="s">
        <v>997</v>
      </c>
      <c r="K439" s="199" t="s">
        <v>1435</v>
      </c>
      <c r="L439" s="407" t="n">
        <v>31920</v>
      </c>
      <c r="M439" s="407" t="n">
        <v>13920</v>
      </c>
      <c r="N439" s="234"/>
      <c r="O439" s="407" t="n">
        <v>18000</v>
      </c>
      <c r="P439" s="407" t="n">
        <v>18000</v>
      </c>
      <c r="Q439" s="234" t="n">
        <v>2023</v>
      </c>
      <c r="R439" s="234"/>
      <c r="S439" s="248" t="n">
        <v>45113</v>
      </c>
      <c r="T439" s="407" t="n">
        <f aca="false">Таблица18[[#This Row],[Вес нетто]]-Таблица18[[#This Row],[Зачетный вес]]</f>
        <v>0</v>
      </c>
      <c r="U439" s="409" t="n">
        <f aca="false">Таблица18[[#This Row],[Отход]]/Таблица18[[#This Row],[Вес нетто]]</f>
        <v>0</v>
      </c>
      <c r="V439" s="234" t="n">
        <f aca="false">MONTH(Таблица18[[#This Row],[Дата акта]])</f>
        <v>7</v>
      </c>
      <c r="W439" s="234" t="n">
        <v>6</v>
      </c>
      <c r="X439" s="248" t="n">
        <f aca="false">DATE(1900,Таблица18[[#This Row],[Месяц]],Таблица18[[#This Row],[Число]])</f>
        <v>188</v>
      </c>
      <c r="Y439" s="234"/>
      <c r="AF439" s="411"/>
      <c r="AG439" s="412"/>
    </row>
    <row r="440" s="410" customFormat="true" ht="15" hidden="true" customHeight="true" outlineLevel="0" collapsed="false">
      <c r="A440" s="199" t="s">
        <v>1957</v>
      </c>
      <c r="B440" s="199" t="s">
        <v>417</v>
      </c>
      <c r="C440" s="405" t="n">
        <v>623</v>
      </c>
      <c r="D440" s="199" t="s">
        <v>1958</v>
      </c>
      <c r="E440" s="199" t="s">
        <v>1785</v>
      </c>
      <c r="F440" s="199" t="s">
        <v>1959</v>
      </c>
      <c r="G440" s="199" t="s">
        <v>1960</v>
      </c>
      <c r="H440" s="199" t="s">
        <v>1953</v>
      </c>
      <c r="I440" s="199" t="s">
        <v>1953</v>
      </c>
      <c r="J440" s="199" t="s">
        <v>997</v>
      </c>
      <c r="K440" s="199" t="s">
        <v>1435</v>
      </c>
      <c r="L440" s="407" t="n">
        <v>31800</v>
      </c>
      <c r="M440" s="407" t="n">
        <v>13820</v>
      </c>
      <c r="N440" s="234"/>
      <c r="O440" s="407" t="n">
        <v>17980</v>
      </c>
      <c r="P440" s="407" t="n">
        <v>17980</v>
      </c>
      <c r="Q440" s="234" t="n">
        <v>2023</v>
      </c>
      <c r="R440" s="234"/>
      <c r="S440" s="248" t="n">
        <v>45113</v>
      </c>
      <c r="T440" s="407" t="n">
        <f aca="false">Таблица18[[#This Row],[Вес нетто]]-Таблица18[[#This Row],[Зачетный вес]]</f>
        <v>0</v>
      </c>
      <c r="U440" s="409" t="n">
        <f aca="false">Таблица18[[#This Row],[Отход]]/Таблица18[[#This Row],[Вес нетто]]</f>
        <v>0</v>
      </c>
      <c r="V440" s="234" t="n">
        <f aca="false">MONTH(Таблица18[[#This Row],[Дата акта]])</f>
        <v>7</v>
      </c>
      <c r="W440" s="234" t="n">
        <v>6</v>
      </c>
      <c r="X440" s="248" t="n">
        <f aca="false">DATE(1900,Таблица18[[#This Row],[Месяц]],Таблица18[[#This Row],[Число]])</f>
        <v>188</v>
      </c>
      <c r="Y440" s="234"/>
      <c r="AF440" s="411"/>
      <c r="AG440" s="412"/>
    </row>
    <row r="441" s="410" customFormat="true" ht="15" hidden="true" customHeight="true" outlineLevel="0" collapsed="false">
      <c r="A441" s="199" t="s">
        <v>1961</v>
      </c>
      <c r="B441" s="199" t="s">
        <v>417</v>
      </c>
      <c r="C441" s="199"/>
      <c r="D441" s="199" t="s">
        <v>1962</v>
      </c>
      <c r="E441" s="199" t="s">
        <v>1432</v>
      </c>
      <c r="F441" s="199" t="s">
        <v>371</v>
      </c>
      <c r="G441" s="199"/>
      <c r="H441" s="199" t="s">
        <v>1434</v>
      </c>
      <c r="I441" s="199" t="s">
        <v>1434</v>
      </c>
      <c r="J441" s="199" t="s">
        <v>252</v>
      </c>
      <c r="K441" s="199" t="s">
        <v>1435</v>
      </c>
      <c r="L441" s="407" t="n">
        <v>32910</v>
      </c>
      <c r="M441" s="407" t="n">
        <v>15150</v>
      </c>
      <c r="N441" s="408" t="n">
        <v>9</v>
      </c>
      <c r="O441" s="407" t="n">
        <v>17760</v>
      </c>
      <c r="P441" s="407" t="n">
        <v>16160.6</v>
      </c>
      <c r="Q441" s="234" t="n">
        <v>2023</v>
      </c>
      <c r="R441" s="234"/>
      <c r="S441" s="248" t="n">
        <v>45079</v>
      </c>
      <c r="T441" s="407" t="n">
        <f aca="false">Таблица18[[#This Row],[Вес нетто]]-Таблица18[[#This Row],[Зачетный вес]]</f>
        <v>1599.4</v>
      </c>
      <c r="U441" s="409" t="n">
        <f aca="false">Таблица18[[#This Row],[Отход]]/Таблица18[[#This Row],[Вес нетто]]</f>
        <v>0.0900563063063063</v>
      </c>
      <c r="V441" s="234" t="n">
        <f aca="false">MONTH(Таблица18[[#This Row],[Дата акта]])</f>
        <v>6</v>
      </c>
      <c r="W441" s="234" t="n">
        <v>2</v>
      </c>
      <c r="X441" s="248" t="n">
        <f aca="false">DATE(1900,Таблица18[[#This Row],[Месяц]],Таблица18[[#This Row],[Число]])</f>
        <v>154</v>
      </c>
      <c r="Y441" s="234"/>
      <c r="AF441" s="411"/>
      <c r="AG441" s="412"/>
    </row>
    <row r="442" s="410" customFormat="true" ht="15" hidden="true" customHeight="true" outlineLevel="0" collapsed="false">
      <c r="A442" s="199" t="s">
        <v>1963</v>
      </c>
      <c r="B442" s="199" t="s">
        <v>417</v>
      </c>
      <c r="C442" s="199"/>
      <c r="D442" s="199" t="s">
        <v>1964</v>
      </c>
      <c r="E442" s="199" t="s">
        <v>1432</v>
      </c>
      <c r="F442" s="199" t="s">
        <v>1488</v>
      </c>
      <c r="G442" s="199"/>
      <c r="H442" s="199" t="s">
        <v>1434</v>
      </c>
      <c r="I442" s="199" t="s">
        <v>1434</v>
      </c>
      <c r="J442" s="199" t="s">
        <v>252</v>
      </c>
      <c r="K442" s="199" t="s">
        <v>1435</v>
      </c>
      <c r="L442" s="407" t="n">
        <v>33360</v>
      </c>
      <c r="M442" s="407" t="n">
        <v>15580</v>
      </c>
      <c r="N442" s="408" t="n">
        <v>9.1</v>
      </c>
      <c r="O442" s="407" t="n">
        <v>17780</v>
      </c>
      <c r="P442" s="407" t="n">
        <v>16161.1</v>
      </c>
      <c r="Q442" s="234" t="n">
        <v>2023</v>
      </c>
      <c r="R442" s="234"/>
      <c r="S442" s="248" t="n">
        <v>45079</v>
      </c>
      <c r="T442" s="407" t="n">
        <f aca="false">Таблица18[[#This Row],[Вес нетто]]-Таблица18[[#This Row],[Зачетный вес]]</f>
        <v>1618.9</v>
      </c>
      <c r="U442" s="409" t="n">
        <f aca="false">Таблица18[[#This Row],[Отход]]/Таблица18[[#This Row],[Вес нетто]]</f>
        <v>0.0910517435320585</v>
      </c>
      <c r="V442" s="234" t="n">
        <f aca="false">MONTH(Таблица18[[#This Row],[Дата акта]])</f>
        <v>6</v>
      </c>
      <c r="W442" s="234" t="n">
        <v>2</v>
      </c>
      <c r="X442" s="248" t="n">
        <f aca="false">DATE(1900,Таблица18[[#This Row],[Месяц]],Таблица18[[#This Row],[Число]])</f>
        <v>154</v>
      </c>
      <c r="Y442" s="234"/>
      <c r="AF442" s="411"/>
      <c r="AG442" s="412"/>
    </row>
    <row r="443" s="410" customFormat="true" ht="15" hidden="true" customHeight="true" outlineLevel="0" collapsed="false">
      <c r="A443" s="199" t="s">
        <v>1965</v>
      </c>
      <c r="B443" s="199" t="s">
        <v>746</v>
      </c>
      <c r="C443" s="199"/>
      <c r="D443" s="199" t="s">
        <v>1966</v>
      </c>
      <c r="E443" s="199" t="s">
        <v>1432</v>
      </c>
      <c r="F443" s="199" t="s">
        <v>792</v>
      </c>
      <c r="G443" s="199" t="s">
        <v>1967</v>
      </c>
      <c r="H443" s="199" t="s">
        <v>1434</v>
      </c>
      <c r="I443" s="199" t="s">
        <v>1434</v>
      </c>
      <c r="J443" s="199" t="s">
        <v>1516</v>
      </c>
      <c r="K443" s="199" t="s">
        <v>1435</v>
      </c>
      <c r="L443" s="407" t="n">
        <v>36240</v>
      </c>
      <c r="M443" s="407" t="n">
        <v>16200</v>
      </c>
      <c r="N443" s="408" t="n">
        <v>9.6</v>
      </c>
      <c r="O443" s="407" t="n">
        <v>20040</v>
      </c>
      <c r="P443" s="407" t="n">
        <v>18116.2</v>
      </c>
      <c r="Q443" s="234" t="n">
        <v>2023</v>
      </c>
      <c r="R443" s="234"/>
      <c r="S443" s="248" t="n">
        <v>45082</v>
      </c>
      <c r="T443" s="407" t="n">
        <f aca="false">Таблица18[[#This Row],[Вес нетто]]-Таблица18[[#This Row],[Зачетный вес]]</f>
        <v>1923.8</v>
      </c>
      <c r="U443" s="409" t="n">
        <f aca="false">Таблица18[[#This Row],[Отход]]/Таблица18[[#This Row],[Вес нетто]]</f>
        <v>0.0959980039920159</v>
      </c>
      <c r="V443" s="234" t="n">
        <f aca="false">MONTH(Таблица18[[#This Row],[Дата акта]])</f>
        <v>6</v>
      </c>
      <c r="W443" s="234" t="n">
        <v>5</v>
      </c>
      <c r="X443" s="248" t="n">
        <f aca="false">DATE(1900,Таблица18[[#This Row],[Месяц]],Таблица18[[#This Row],[Число]])</f>
        <v>157</v>
      </c>
      <c r="Y443" s="234"/>
      <c r="AF443" s="411"/>
      <c r="AG443" s="412"/>
    </row>
    <row r="444" s="410" customFormat="true" ht="15" hidden="true" customHeight="true" outlineLevel="0" collapsed="false">
      <c r="A444" s="199" t="s">
        <v>1968</v>
      </c>
      <c r="B444" s="199" t="s">
        <v>746</v>
      </c>
      <c r="C444" s="199"/>
      <c r="D444" s="199" t="s">
        <v>1969</v>
      </c>
      <c r="E444" s="199" t="s">
        <v>1432</v>
      </c>
      <c r="F444" s="199" t="s">
        <v>799</v>
      </c>
      <c r="G444" s="199" t="s">
        <v>1970</v>
      </c>
      <c r="H444" s="199" t="s">
        <v>1434</v>
      </c>
      <c r="I444" s="199" t="s">
        <v>1434</v>
      </c>
      <c r="J444" s="199" t="s">
        <v>1516</v>
      </c>
      <c r="K444" s="199" t="s">
        <v>1435</v>
      </c>
      <c r="L444" s="407" t="n">
        <v>33540</v>
      </c>
      <c r="M444" s="407" t="n">
        <v>16060</v>
      </c>
      <c r="N444" s="408" t="n">
        <v>10.1</v>
      </c>
      <c r="O444" s="407" t="n">
        <v>17480</v>
      </c>
      <c r="P444" s="407" t="n">
        <v>15714.5</v>
      </c>
      <c r="Q444" s="234" t="n">
        <v>2023</v>
      </c>
      <c r="R444" s="234"/>
      <c r="S444" s="248" t="n">
        <v>45082</v>
      </c>
      <c r="T444" s="407" t="n">
        <f aca="false">Таблица18[[#This Row],[Вес нетто]]-Таблица18[[#This Row],[Зачетный вес]]</f>
        <v>1765.5</v>
      </c>
      <c r="U444" s="409" t="n">
        <f aca="false">Таблица18[[#This Row],[Отход]]/Таблица18[[#This Row],[Вес нетто]]</f>
        <v>0.10100114416476</v>
      </c>
      <c r="V444" s="234" t="n">
        <f aca="false">MONTH(Таблица18[[#This Row],[Дата акта]])</f>
        <v>6</v>
      </c>
      <c r="W444" s="234" t="n">
        <v>5</v>
      </c>
      <c r="X444" s="248" t="n">
        <f aca="false">DATE(1900,Таблица18[[#This Row],[Месяц]],Таблица18[[#This Row],[Число]])</f>
        <v>157</v>
      </c>
      <c r="Y444" s="234"/>
      <c r="AF444" s="411"/>
      <c r="AG444" s="412"/>
    </row>
    <row r="445" s="410" customFormat="true" ht="15" hidden="true" customHeight="true" outlineLevel="0" collapsed="false">
      <c r="A445" s="199" t="s">
        <v>1971</v>
      </c>
      <c r="B445" s="199" t="s">
        <v>746</v>
      </c>
      <c r="C445" s="199"/>
      <c r="D445" s="199" t="s">
        <v>1972</v>
      </c>
      <c r="E445" s="199" t="s">
        <v>1432</v>
      </c>
      <c r="F445" s="199" t="s">
        <v>792</v>
      </c>
      <c r="G445" s="413" t="n">
        <v>63375</v>
      </c>
      <c r="H445" s="199" t="s">
        <v>1434</v>
      </c>
      <c r="I445" s="199" t="s">
        <v>1434</v>
      </c>
      <c r="J445" s="199" t="s">
        <v>1516</v>
      </c>
      <c r="K445" s="199" t="s">
        <v>1435</v>
      </c>
      <c r="L445" s="407" t="n">
        <v>33860</v>
      </c>
      <c r="M445" s="407" t="n">
        <v>16300</v>
      </c>
      <c r="N445" s="408" t="n">
        <v>9.1</v>
      </c>
      <c r="O445" s="407" t="n">
        <v>17560</v>
      </c>
      <c r="P445" s="407" t="n">
        <v>15962</v>
      </c>
      <c r="Q445" s="234" t="n">
        <v>2023</v>
      </c>
      <c r="R445" s="234"/>
      <c r="S445" s="248" t="n">
        <v>45082</v>
      </c>
      <c r="T445" s="407" t="n">
        <f aca="false">Таблица18[[#This Row],[Вес нетто]]-Таблица18[[#This Row],[Зачетный вес]]</f>
        <v>1598</v>
      </c>
      <c r="U445" s="409" t="n">
        <f aca="false">Таблица18[[#This Row],[Отход]]/Таблица18[[#This Row],[Вес нетто]]</f>
        <v>0.091002277904328</v>
      </c>
      <c r="V445" s="234" t="n">
        <f aca="false">MONTH(Таблица18[[#This Row],[Дата акта]])</f>
        <v>6</v>
      </c>
      <c r="W445" s="234" t="n">
        <v>5</v>
      </c>
      <c r="X445" s="248" t="n">
        <f aca="false">DATE(1900,Таблица18[[#This Row],[Месяц]],Таблица18[[#This Row],[Число]])</f>
        <v>157</v>
      </c>
      <c r="Y445" s="234"/>
      <c r="AF445" s="411"/>
      <c r="AG445" s="412"/>
    </row>
    <row r="446" s="410" customFormat="true" ht="15" hidden="true" customHeight="true" outlineLevel="0" collapsed="false">
      <c r="A446" s="199" t="s">
        <v>1973</v>
      </c>
      <c r="B446" s="199" t="s">
        <v>746</v>
      </c>
      <c r="C446" s="199"/>
      <c r="D446" s="199" t="s">
        <v>1974</v>
      </c>
      <c r="E446" s="199" t="s">
        <v>1432</v>
      </c>
      <c r="F446" s="199" t="s">
        <v>795</v>
      </c>
      <c r="G446" s="413" t="n">
        <v>63375</v>
      </c>
      <c r="H446" s="199" t="s">
        <v>1434</v>
      </c>
      <c r="I446" s="199" t="s">
        <v>1434</v>
      </c>
      <c r="J446" s="199" t="s">
        <v>1516</v>
      </c>
      <c r="K446" s="199" t="s">
        <v>1435</v>
      </c>
      <c r="L446" s="407" t="n">
        <v>35980</v>
      </c>
      <c r="M446" s="407" t="n">
        <v>18320</v>
      </c>
      <c r="N446" s="408" t="n">
        <v>12.7</v>
      </c>
      <c r="O446" s="407" t="n">
        <v>17660</v>
      </c>
      <c r="P446" s="407" t="n">
        <v>15417.2</v>
      </c>
      <c r="Q446" s="234" t="n">
        <v>2023</v>
      </c>
      <c r="R446" s="234"/>
      <c r="S446" s="248" t="n">
        <v>45081</v>
      </c>
      <c r="T446" s="407" t="n">
        <f aca="false">Таблица18[[#This Row],[Вес нетто]]-Таблица18[[#This Row],[Зачетный вес]]</f>
        <v>2242.8</v>
      </c>
      <c r="U446" s="409" t="n">
        <f aca="false">Таблица18[[#This Row],[Отход]]/Таблица18[[#This Row],[Вес нетто]]</f>
        <v>0.126998867497169</v>
      </c>
      <c r="V446" s="234" t="n">
        <f aca="false">MONTH(Таблица18[[#This Row],[Дата акта]])</f>
        <v>6</v>
      </c>
      <c r="W446" s="234" t="n">
        <v>4</v>
      </c>
      <c r="X446" s="248" t="n">
        <f aca="false">DATE(1900,Таблица18[[#This Row],[Месяц]],Таблица18[[#This Row],[Число]])</f>
        <v>156</v>
      </c>
      <c r="Y446" s="234"/>
      <c r="AF446" s="411"/>
      <c r="AG446" s="412"/>
    </row>
    <row r="447" s="410" customFormat="true" ht="15" hidden="true" customHeight="true" outlineLevel="0" collapsed="false">
      <c r="A447" s="199" t="s">
        <v>1975</v>
      </c>
      <c r="B447" s="199" t="s">
        <v>417</v>
      </c>
      <c r="C447" s="199"/>
      <c r="D447" s="199" t="s">
        <v>1976</v>
      </c>
      <c r="E447" s="199" t="s">
        <v>1977</v>
      </c>
      <c r="F447" s="199" t="s">
        <v>1978</v>
      </c>
      <c r="G447" s="199" t="s">
        <v>1979</v>
      </c>
      <c r="H447" s="406" t="n">
        <v>7</v>
      </c>
      <c r="I447" s="406" t="n">
        <v>7</v>
      </c>
      <c r="J447" s="199" t="s">
        <v>997</v>
      </c>
      <c r="K447" s="199" t="s">
        <v>1435</v>
      </c>
      <c r="L447" s="407" t="n">
        <v>38740</v>
      </c>
      <c r="M447" s="407" t="n">
        <v>15820</v>
      </c>
      <c r="N447" s="234"/>
      <c r="O447" s="407" t="n">
        <v>22920</v>
      </c>
      <c r="P447" s="407" t="n">
        <v>22920</v>
      </c>
      <c r="Q447" s="234" t="n">
        <v>2023</v>
      </c>
      <c r="R447" s="234"/>
      <c r="S447" s="248" t="n">
        <v>45116</v>
      </c>
      <c r="T447" s="407" t="n">
        <f aca="false">Таблица18[[#This Row],[Вес нетто]]-Таблица18[[#This Row],[Зачетный вес]]</f>
        <v>0</v>
      </c>
      <c r="U447" s="409" t="n">
        <f aca="false">Таблица18[[#This Row],[Отход]]/Таблица18[[#This Row],[Вес нетто]]</f>
        <v>0</v>
      </c>
      <c r="V447" s="234" t="n">
        <f aca="false">MONTH(Таблица18[[#This Row],[Дата акта]])</f>
        <v>7</v>
      </c>
      <c r="W447" s="234" t="n">
        <v>9</v>
      </c>
      <c r="X447" s="248" t="n">
        <f aca="false">DATE(1900,Таблица18[[#This Row],[Месяц]],Таблица18[[#This Row],[Число]])</f>
        <v>191</v>
      </c>
      <c r="Y447" s="234"/>
      <c r="AF447" s="411"/>
      <c r="AG447" s="412"/>
    </row>
    <row r="448" s="410" customFormat="true" ht="15" hidden="true" customHeight="true" outlineLevel="0" collapsed="false">
      <c r="A448" s="199" t="s">
        <v>1980</v>
      </c>
      <c r="B448" s="199" t="s">
        <v>417</v>
      </c>
      <c r="C448" s="199"/>
      <c r="D448" s="199" t="s">
        <v>1981</v>
      </c>
      <c r="E448" s="199" t="s">
        <v>1977</v>
      </c>
      <c r="F448" s="199" t="s">
        <v>1982</v>
      </c>
      <c r="G448" s="199" t="s">
        <v>1983</v>
      </c>
      <c r="H448" s="406" t="n">
        <v>7</v>
      </c>
      <c r="I448" s="406" t="n">
        <v>7</v>
      </c>
      <c r="J448" s="199" t="s">
        <v>997</v>
      </c>
      <c r="K448" s="199" t="s">
        <v>1435</v>
      </c>
      <c r="L448" s="407" t="n">
        <v>27920</v>
      </c>
      <c r="M448" s="407" t="n">
        <v>15160</v>
      </c>
      <c r="N448" s="234"/>
      <c r="O448" s="407" t="n">
        <v>12760</v>
      </c>
      <c r="P448" s="407" t="n">
        <v>12760</v>
      </c>
      <c r="Q448" s="234" t="n">
        <v>2023</v>
      </c>
      <c r="R448" s="234"/>
      <c r="S448" s="248" t="n">
        <v>45117</v>
      </c>
      <c r="T448" s="407" t="n">
        <f aca="false">Таблица18[[#This Row],[Вес нетто]]-Таблица18[[#This Row],[Зачетный вес]]</f>
        <v>0</v>
      </c>
      <c r="U448" s="409" t="n">
        <f aca="false">Таблица18[[#This Row],[Отход]]/Таблица18[[#This Row],[Вес нетто]]</f>
        <v>0</v>
      </c>
      <c r="V448" s="234" t="n">
        <f aca="false">MONTH(Таблица18[[#This Row],[Дата акта]])</f>
        <v>7</v>
      </c>
      <c r="W448" s="234" t="n">
        <v>10</v>
      </c>
      <c r="X448" s="248" t="n">
        <f aca="false">DATE(1900,Таблица18[[#This Row],[Месяц]],Таблица18[[#This Row],[Число]])</f>
        <v>192</v>
      </c>
      <c r="Y448" s="234"/>
      <c r="AF448" s="411"/>
      <c r="AG448" s="412"/>
    </row>
    <row r="449" s="410" customFormat="true" ht="15" hidden="true" customHeight="true" outlineLevel="0" collapsed="false">
      <c r="A449" s="199" t="s">
        <v>1984</v>
      </c>
      <c r="B449" s="199" t="s">
        <v>417</v>
      </c>
      <c r="C449" s="199"/>
      <c r="D449" s="199" t="s">
        <v>1985</v>
      </c>
      <c r="E449" s="199" t="s">
        <v>1785</v>
      </c>
      <c r="F449" s="199" t="s">
        <v>1986</v>
      </c>
      <c r="G449" s="199" t="s">
        <v>1987</v>
      </c>
      <c r="H449" s="199" t="s">
        <v>1988</v>
      </c>
      <c r="I449" s="199" t="s">
        <v>1988</v>
      </c>
      <c r="J449" s="199" t="s">
        <v>997</v>
      </c>
      <c r="K449" s="199" t="s">
        <v>1435</v>
      </c>
      <c r="L449" s="407" t="n">
        <v>33080</v>
      </c>
      <c r="M449" s="407" t="n">
        <v>15200</v>
      </c>
      <c r="N449" s="234"/>
      <c r="O449" s="407" t="n">
        <v>17880</v>
      </c>
      <c r="P449" s="407" t="n">
        <v>17880</v>
      </c>
      <c r="Q449" s="234" t="n">
        <v>2023</v>
      </c>
      <c r="R449" s="234"/>
      <c r="S449" s="248" t="n">
        <v>45115</v>
      </c>
      <c r="T449" s="407" t="n">
        <f aca="false">Таблица18[[#This Row],[Вес нетто]]-Таблица18[[#This Row],[Зачетный вес]]</f>
        <v>0</v>
      </c>
      <c r="U449" s="409" t="n">
        <f aca="false">Таблица18[[#This Row],[Отход]]/Таблица18[[#This Row],[Вес нетто]]</f>
        <v>0</v>
      </c>
      <c r="V449" s="234" t="n">
        <f aca="false">MONTH(Таблица18[[#This Row],[Дата акта]])</f>
        <v>7</v>
      </c>
      <c r="W449" s="234" t="n">
        <v>8</v>
      </c>
      <c r="X449" s="248" t="n">
        <f aca="false">DATE(1900,Таблица18[[#This Row],[Месяц]],Таблица18[[#This Row],[Число]])</f>
        <v>190</v>
      </c>
      <c r="Y449" s="234"/>
      <c r="AF449" s="411"/>
      <c r="AG449" s="412"/>
    </row>
    <row r="450" s="410" customFormat="true" ht="15" hidden="true" customHeight="true" outlineLevel="0" collapsed="false">
      <c r="A450" s="199" t="s">
        <v>1989</v>
      </c>
      <c r="B450" s="199" t="s">
        <v>417</v>
      </c>
      <c r="C450" s="199"/>
      <c r="D450" s="199" t="s">
        <v>1990</v>
      </c>
      <c r="E450" s="199" t="s">
        <v>1785</v>
      </c>
      <c r="F450" s="199" t="s">
        <v>1991</v>
      </c>
      <c r="G450" s="199" t="s">
        <v>1992</v>
      </c>
      <c r="H450" s="199" t="s">
        <v>1988</v>
      </c>
      <c r="I450" s="199" t="s">
        <v>1988</v>
      </c>
      <c r="J450" s="199" t="s">
        <v>997</v>
      </c>
      <c r="K450" s="199" t="s">
        <v>1435</v>
      </c>
      <c r="L450" s="407" t="n">
        <v>34180</v>
      </c>
      <c r="M450" s="407" t="n">
        <v>16300</v>
      </c>
      <c r="N450" s="234"/>
      <c r="O450" s="407" t="n">
        <v>17880</v>
      </c>
      <c r="P450" s="407" t="n">
        <v>17880</v>
      </c>
      <c r="Q450" s="234" t="n">
        <v>2023</v>
      </c>
      <c r="R450" s="234"/>
      <c r="S450" s="248" t="n">
        <v>45115</v>
      </c>
      <c r="T450" s="407" t="n">
        <f aca="false">Таблица18[[#This Row],[Вес нетто]]-Таблица18[[#This Row],[Зачетный вес]]</f>
        <v>0</v>
      </c>
      <c r="U450" s="409" t="n">
        <f aca="false">Таблица18[[#This Row],[Отход]]/Таблица18[[#This Row],[Вес нетто]]</f>
        <v>0</v>
      </c>
      <c r="V450" s="234" t="n">
        <f aca="false">MONTH(Таблица18[[#This Row],[Дата акта]])</f>
        <v>7</v>
      </c>
      <c r="W450" s="234" t="n">
        <v>8</v>
      </c>
      <c r="X450" s="248" t="n">
        <f aca="false">DATE(1900,Таблица18[[#This Row],[Месяц]],Таблица18[[#This Row],[Число]])</f>
        <v>190</v>
      </c>
      <c r="Y450" s="234"/>
      <c r="AF450" s="411"/>
      <c r="AG450" s="412"/>
    </row>
    <row r="451" s="410" customFormat="true" ht="15" hidden="true" customHeight="true" outlineLevel="0" collapsed="false">
      <c r="A451" s="199" t="s">
        <v>1993</v>
      </c>
      <c r="B451" s="199" t="s">
        <v>417</v>
      </c>
      <c r="C451" s="199"/>
      <c r="D451" s="199" t="s">
        <v>1994</v>
      </c>
      <c r="E451" s="199" t="s">
        <v>1785</v>
      </c>
      <c r="F451" s="199" t="s">
        <v>1995</v>
      </c>
      <c r="G451" s="199" t="s">
        <v>1996</v>
      </c>
      <c r="H451" s="199" t="s">
        <v>1988</v>
      </c>
      <c r="I451" s="199" t="s">
        <v>1988</v>
      </c>
      <c r="J451" s="199" t="s">
        <v>997</v>
      </c>
      <c r="K451" s="199" t="s">
        <v>1435</v>
      </c>
      <c r="L451" s="407" t="n">
        <v>33600</v>
      </c>
      <c r="M451" s="407" t="n">
        <v>15500</v>
      </c>
      <c r="N451" s="234"/>
      <c r="O451" s="407" t="n">
        <v>18100</v>
      </c>
      <c r="P451" s="407" t="n">
        <v>18100</v>
      </c>
      <c r="Q451" s="234" t="n">
        <v>2023</v>
      </c>
      <c r="R451" s="234"/>
      <c r="S451" s="248" t="n">
        <v>45115</v>
      </c>
      <c r="T451" s="407" t="n">
        <f aca="false">Таблица18[[#This Row],[Вес нетто]]-Таблица18[[#This Row],[Зачетный вес]]</f>
        <v>0</v>
      </c>
      <c r="U451" s="409" t="n">
        <f aca="false">Таблица18[[#This Row],[Отход]]/Таблица18[[#This Row],[Вес нетто]]</f>
        <v>0</v>
      </c>
      <c r="V451" s="234" t="n">
        <f aca="false">MONTH(Таблица18[[#This Row],[Дата акта]])</f>
        <v>7</v>
      </c>
      <c r="W451" s="234" t="n">
        <v>8</v>
      </c>
      <c r="X451" s="248" t="n">
        <f aca="false">DATE(1900,Таблица18[[#This Row],[Месяц]],Таблица18[[#This Row],[Число]])</f>
        <v>190</v>
      </c>
      <c r="Y451" s="234"/>
      <c r="AF451" s="411"/>
      <c r="AG451" s="412"/>
    </row>
    <row r="452" s="410" customFormat="true" ht="15" hidden="true" customHeight="true" outlineLevel="0" collapsed="false">
      <c r="A452" s="199" t="s">
        <v>1997</v>
      </c>
      <c r="B452" s="199" t="s">
        <v>417</v>
      </c>
      <c r="C452" s="199"/>
      <c r="D452" s="199" t="s">
        <v>1998</v>
      </c>
      <c r="E452" s="199" t="s">
        <v>1785</v>
      </c>
      <c r="F452" s="199" t="s">
        <v>1995</v>
      </c>
      <c r="G452" s="199" t="s">
        <v>1999</v>
      </c>
      <c r="H452" s="199" t="s">
        <v>1988</v>
      </c>
      <c r="I452" s="199" t="s">
        <v>1988</v>
      </c>
      <c r="J452" s="199" t="s">
        <v>997</v>
      </c>
      <c r="K452" s="199" t="s">
        <v>1435</v>
      </c>
      <c r="L452" s="407" t="n">
        <v>33200</v>
      </c>
      <c r="M452" s="407" t="n">
        <v>15340</v>
      </c>
      <c r="N452" s="234"/>
      <c r="O452" s="407" t="n">
        <v>17860</v>
      </c>
      <c r="P452" s="407" t="n">
        <v>17860</v>
      </c>
      <c r="Q452" s="234" t="n">
        <v>2023</v>
      </c>
      <c r="R452" s="234"/>
      <c r="S452" s="248" t="n">
        <v>45116</v>
      </c>
      <c r="T452" s="407" t="n">
        <f aca="false">Таблица18[[#This Row],[Вес нетто]]-Таблица18[[#This Row],[Зачетный вес]]</f>
        <v>0</v>
      </c>
      <c r="U452" s="409" t="n">
        <f aca="false">Таблица18[[#This Row],[Отход]]/Таблица18[[#This Row],[Вес нетто]]</f>
        <v>0</v>
      </c>
      <c r="V452" s="234" t="n">
        <f aca="false">MONTH(Таблица18[[#This Row],[Дата акта]])</f>
        <v>7</v>
      </c>
      <c r="W452" s="234" t="n">
        <v>9</v>
      </c>
      <c r="X452" s="248" t="n">
        <f aca="false">DATE(1900,Таблица18[[#This Row],[Месяц]],Таблица18[[#This Row],[Число]])</f>
        <v>191</v>
      </c>
      <c r="Y452" s="234"/>
      <c r="AF452" s="411"/>
      <c r="AG452" s="412"/>
    </row>
    <row r="453" s="410" customFormat="true" ht="15" hidden="true" customHeight="true" outlineLevel="0" collapsed="false">
      <c r="A453" s="199" t="s">
        <v>2000</v>
      </c>
      <c r="B453" s="199" t="s">
        <v>417</v>
      </c>
      <c r="C453" s="199"/>
      <c r="D453" s="199" t="s">
        <v>2001</v>
      </c>
      <c r="E453" s="199" t="s">
        <v>1785</v>
      </c>
      <c r="F453" s="199" t="s">
        <v>1986</v>
      </c>
      <c r="G453" s="199" t="s">
        <v>1987</v>
      </c>
      <c r="H453" s="199" t="s">
        <v>1988</v>
      </c>
      <c r="I453" s="199" t="s">
        <v>1988</v>
      </c>
      <c r="J453" s="199" t="s">
        <v>997</v>
      </c>
      <c r="K453" s="199" t="s">
        <v>1435</v>
      </c>
      <c r="L453" s="407" t="n">
        <v>32820</v>
      </c>
      <c r="M453" s="407" t="n">
        <v>15000</v>
      </c>
      <c r="N453" s="234"/>
      <c r="O453" s="407" t="n">
        <v>17820</v>
      </c>
      <c r="P453" s="407" t="n">
        <v>17820</v>
      </c>
      <c r="Q453" s="234" t="n">
        <v>2023</v>
      </c>
      <c r="R453" s="234"/>
      <c r="S453" s="248" t="n">
        <v>45116</v>
      </c>
      <c r="T453" s="407" t="n">
        <f aca="false">Таблица18[[#This Row],[Вес нетто]]-Таблица18[[#This Row],[Зачетный вес]]</f>
        <v>0</v>
      </c>
      <c r="U453" s="409" t="n">
        <f aca="false">Таблица18[[#This Row],[Отход]]/Таблица18[[#This Row],[Вес нетто]]</f>
        <v>0</v>
      </c>
      <c r="V453" s="234" t="n">
        <f aca="false">MONTH(Таблица18[[#This Row],[Дата акта]])</f>
        <v>7</v>
      </c>
      <c r="W453" s="234" t="n">
        <v>9</v>
      </c>
      <c r="X453" s="248" t="n">
        <f aca="false">DATE(1900,Таблица18[[#This Row],[Месяц]],Таблица18[[#This Row],[Число]])</f>
        <v>191</v>
      </c>
      <c r="Y453" s="234"/>
      <c r="AF453" s="411"/>
      <c r="AG453" s="412"/>
    </row>
    <row r="454" s="410" customFormat="true" ht="15" hidden="true" customHeight="true" outlineLevel="0" collapsed="false">
      <c r="A454" s="199" t="s">
        <v>2002</v>
      </c>
      <c r="B454" s="199" t="s">
        <v>417</v>
      </c>
      <c r="C454" s="199"/>
      <c r="D454" s="199" t="s">
        <v>2003</v>
      </c>
      <c r="E454" s="199" t="s">
        <v>1977</v>
      </c>
      <c r="F454" s="199" t="s">
        <v>1991</v>
      </c>
      <c r="G454" s="199" t="s">
        <v>2004</v>
      </c>
      <c r="H454" s="406" t="n">
        <v>7</v>
      </c>
      <c r="I454" s="406" t="n">
        <v>7</v>
      </c>
      <c r="J454" s="199" t="s">
        <v>997</v>
      </c>
      <c r="K454" s="199" t="s">
        <v>1435</v>
      </c>
      <c r="L454" s="407" t="n">
        <v>31600</v>
      </c>
      <c r="M454" s="407" t="n">
        <v>16140</v>
      </c>
      <c r="N454" s="234"/>
      <c r="O454" s="407" t="n">
        <v>15460</v>
      </c>
      <c r="P454" s="407" t="n">
        <v>15460</v>
      </c>
      <c r="Q454" s="234" t="n">
        <v>2023</v>
      </c>
      <c r="R454" s="234"/>
      <c r="S454" s="248" t="n">
        <v>45116</v>
      </c>
      <c r="T454" s="407" t="n">
        <f aca="false">Таблица18[[#This Row],[Вес нетто]]-Таблица18[[#This Row],[Зачетный вес]]</f>
        <v>0</v>
      </c>
      <c r="U454" s="409" t="n">
        <f aca="false">Таблица18[[#This Row],[Отход]]/Таблица18[[#This Row],[Вес нетто]]</f>
        <v>0</v>
      </c>
      <c r="V454" s="234" t="n">
        <f aca="false">MONTH(Таблица18[[#This Row],[Дата акта]])</f>
        <v>7</v>
      </c>
      <c r="W454" s="234" t="n">
        <v>9</v>
      </c>
      <c r="X454" s="248" t="n">
        <f aca="false">DATE(1900,Таблица18[[#This Row],[Месяц]],Таблица18[[#This Row],[Число]])</f>
        <v>191</v>
      </c>
      <c r="Y454" s="234"/>
      <c r="AF454" s="411"/>
      <c r="AG454" s="412"/>
    </row>
    <row r="455" s="410" customFormat="true" ht="15" hidden="true" customHeight="true" outlineLevel="0" collapsed="false">
      <c r="A455" s="199" t="s">
        <v>2005</v>
      </c>
      <c r="B455" s="199" t="s">
        <v>417</v>
      </c>
      <c r="C455" s="199"/>
      <c r="D455" s="199" t="s">
        <v>2006</v>
      </c>
      <c r="E455" s="199" t="s">
        <v>1785</v>
      </c>
      <c r="F455" s="199" t="s">
        <v>371</v>
      </c>
      <c r="G455" s="406" t="n">
        <v>400</v>
      </c>
      <c r="H455" s="199" t="s">
        <v>1953</v>
      </c>
      <c r="I455" s="199" t="s">
        <v>1953</v>
      </c>
      <c r="J455" s="199" t="s">
        <v>997</v>
      </c>
      <c r="K455" s="199" t="s">
        <v>1435</v>
      </c>
      <c r="L455" s="407" t="n">
        <v>31100</v>
      </c>
      <c r="M455" s="407" t="n">
        <v>15160</v>
      </c>
      <c r="N455" s="408" t="n">
        <v>11.7</v>
      </c>
      <c r="O455" s="407" t="n">
        <v>15940</v>
      </c>
      <c r="P455" s="407" t="n">
        <v>14078</v>
      </c>
      <c r="Q455" s="234" t="n">
        <v>2023</v>
      </c>
      <c r="R455" s="234"/>
      <c r="S455" s="248" t="n">
        <v>45113</v>
      </c>
      <c r="T455" s="407" t="n">
        <f aca="false">Таблица18[[#This Row],[Вес нетто]]-Таблица18[[#This Row],[Зачетный вес]]</f>
        <v>1862</v>
      </c>
      <c r="U455" s="409" t="n">
        <f aca="false">Таблица18[[#This Row],[Отход]]/Таблица18[[#This Row],[Вес нетто]]</f>
        <v>0.116813048933501</v>
      </c>
      <c r="V455" s="234" t="n">
        <f aca="false">MONTH(Таблица18[[#This Row],[Дата акта]])</f>
        <v>7</v>
      </c>
      <c r="W455" s="234" t="n">
        <v>6</v>
      </c>
      <c r="X455" s="248" t="n">
        <f aca="false">DATE(1900,Таблица18[[#This Row],[Месяц]],Таблица18[[#This Row],[Число]])</f>
        <v>188</v>
      </c>
      <c r="Y455" s="234"/>
      <c r="AF455" s="411"/>
      <c r="AG455" s="412"/>
    </row>
    <row r="456" s="410" customFormat="true" ht="15" hidden="true" customHeight="true" outlineLevel="0" collapsed="false">
      <c r="A456" s="199" t="s">
        <v>2007</v>
      </c>
      <c r="B456" s="199" t="s">
        <v>417</v>
      </c>
      <c r="C456" s="199"/>
      <c r="D456" s="199" t="s">
        <v>2008</v>
      </c>
      <c r="E456" s="199" t="s">
        <v>1785</v>
      </c>
      <c r="F456" s="199" t="s">
        <v>1548</v>
      </c>
      <c r="G456" s="406" t="n">
        <v>317</v>
      </c>
      <c r="H456" s="199" t="s">
        <v>1953</v>
      </c>
      <c r="I456" s="199" t="s">
        <v>1953</v>
      </c>
      <c r="J456" s="199" t="s">
        <v>997</v>
      </c>
      <c r="K456" s="199" t="s">
        <v>1435</v>
      </c>
      <c r="L456" s="407" t="n">
        <v>30760</v>
      </c>
      <c r="M456" s="407" t="n">
        <v>14940</v>
      </c>
      <c r="N456" s="408" t="n">
        <v>13.5</v>
      </c>
      <c r="O456" s="407" t="n">
        <v>15820</v>
      </c>
      <c r="P456" s="407" t="n">
        <v>13686</v>
      </c>
      <c r="Q456" s="234" t="n">
        <v>2023</v>
      </c>
      <c r="R456" s="234"/>
      <c r="S456" s="248" t="n">
        <v>45113</v>
      </c>
      <c r="T456" s="407" t="n">
        <f aca="false">Таблица18[[#This Row],[Вес нетто]]-Таблица18[[#This Row],[Зачетный вес]]</f>
        <v>2134</v>
      </c>
      <c r="U456" s="409" t="n">
        <f aca="false">Таблица18[[#This Row],[Отход]]/Таблица18[[#This Row],[Вес нетто]]</f>
        <v>0.134892541087231</v>
      </c>
      <c r="V456" s="234" t="n">
        <f aca="false">MONTH(Таблица18[[#This Row],[Дата акта]])</f>
        <v>7</v>
      </c>
      <c r="W456" s="234" t="n">
        <v>6</v>
      </c>
      <c r="X456" s="248" t="n">
        <f aca="false">DATE(1900,Таблица18[[#This Row],[Месяц]],Таблица18[[#This Row],[Число]])</f>
        <v>188</v>
      </c>
      <c r="Y456" s="234"/>
      <c r="AF456" s="411"/>
      <c r="AG456" s="412"/>
    </row>
    <row r="457" s="410" customFormat="true" ht="15" hidden="true" customHeight="true" outlineLevel="0" collapsed="false">
      <c r="A457" s="199" t="s">
        <v>2009</v>
      </c>
      <c r="B457" s="199" t="s">
        <v>417</v>
      </c>
      <c r="C457" s="199"/>
      <c r="D457" s="199" t="s">
        <v>2010</v>
      </c>
      <c r="E457" s="199" t="s">
        <v>1785</v>
      </c>
      <c r="F457" s="199" t="s">
        <v>1792</v>
      </c>
      <c r="G457" s="406" t="n">
        <v>317</v>
      </c>
      <c r="H457" s="199" t="s">
        <v>1953</v>
      </c>
      <c r="I457" s="199" t="s">
        <v>1953</v>
      </c>
      <c r="J457" s="199" t="s">
        <v>997</v>
      </c>
      <c r="K457" s="199" t="s">
        <v>1435</v>
      </c>
      <c r="L457" s="407" t="n">
        <v>31380</v>
      </c>
      <c r="M457" s="407" t="n">
        <v>15460</v>
      </c>
      <c r="N457" s="408" t="n">
        <v>13.3</v>
      </c>
      <c r="O457" s="407" t="n">
        <v>15920</v>
      </c>
      <c r="P457" s="407" t="n">
        <v>13809</v>
      </c>
      <c r="Q457" s="234" t="n">
        <v>2023</v>
      </c>
      <c r="R457" s="234"/>
      <c r="S457" s="248" t="n">
        <v>45113</v>
      </c>
      <c r="T457" s="407" t="n">
        <f aca="false">Таблица18[[#This Row],[Вес нетто]]-Таблица18[[#This Row],[Зачетный вес]]</f>
        <v>2111</v>
      </c>
      <c r="U457" s="409" t="n">
        <f aca="false">Таблица18[[#This Row],[Отход]]/Таблица18[[#This Row],[Вес нетто]]</f>
        <v>0.132600502512563</v>
      </c>
      <c r="V457" s="234" t="n">
        <f aca="false">MONTH(Таблица18[[#This Row],[Дата акта]])</f>
        <v>7</v>
      </c>
      <c r="W457" s="234" t="n">
        <v>6</v>
      </c>
      <c r="X457" s="248" t="n">
        <f aca="false">DATE(1900,Таблица18[[#This Row],[Месяц]],Таблица18[[#This Row],[Число]])</f>
        <v>188</v>
      </c>
      <c r="Y457" s="234"/>
      <c r="AF457" s="411"/>
      <c r="AG457" s="412"/>
    </row>
    <row r="458" s="410" customFormat="true" ht="15" hidden="true" customHeight="true" outlineLevel="0" collapsed="false">
      <c r="A458" s="199" t="s">
        <v>2011</v>
      </c>
      <c r="B458" s="199" t="s">
        <v>417</v>
      </c>
      <c r="C458" s="199"/>
      <c r="D458" s="199" t="s">
        <v>2012</v>
      </c>
      <c r="E458" s="199" t="s">
        <v>1785</v>
      </c>
      <c r="F458" s="199" t="s">
        <v>2013</v>
      </c>
      <c r="G458" s="199" t="s">
        <v>2014</v>
      </c>
      <c r="H458" s="199" t="s">
        <v>1953</v>
      </c>
      <c r="I458" s="199" t="s">
        <v>1953</v>
      </c>
      <c r="J458" s="199" t="s">
        <v>997</v>
      </c>
      <c r="K458" s="199" t="s">
        <v>1435</v>
      </c>
      <c r="L458" s="407" t="n">
        <v>30880</v>
      </c>
      <c r="M458" s="407" t="n">
        <v>13900</v>
      </c>
      <c r="N458" s="234"/>
      <c r="O458" s="407" t="n">
        <v>16980</v>
      </c>
      <c r="P458" s="407" t="n">
        <v>16980</v>
      </c>
      <c r="Q458" s="234" t="n">
        <v>2023</v>
      </c>
      <c r="R458" s="234"/>
      <c r="S458" s="248" t="n">
        <v>45113</v>
      </c>
      <c r="T458" s="407" t="n">
        <f aca="false">Таблица18[[#This Row],[Вес нетто]]-Таблица18[[#This Row],[Зачетный вес]]</f>
        <v>0</v>
      </c>
      <c r="U458" s="409" t="n">
        <f aca="false">Таблица18[[#This Row],[Отход]]/Таблица18[[#This Row],[Вес нетто]]</f>
        <v>0</v>
      </c>
      <c r="V458" s="234" t="n">
        <f aca="false">MONTH(Таблица18[[#This Row],[Дата акта]])</f>
        <v>7</v>
      </c>
      <c r="W458" s="234" t="n">
        <v>6</v>
      </c>
      <c r="X458" s="248" t="n">
        <f aca="false">DATE(1900,Таблица18[[#This Row],[Месяц]],Таблица18[[#This Row],[Число]])</f>
        <v>188</v>
      </c>
      <c r="Y458" s="234"/>
      <c r="AF458" s="411"/>
      <c r="AG458" s="412"/>
    </row>
    <row r="459" s="410" customFormat="true" ht="15" hidden="true" customHeight="true" outlineLevel="0" collapsed="false">
      <c r="A459" s="199" t="s">
        <v>2015</v>
      </c>
      <c r="B459" s="199" t="s">
        <v>417</v>
      </c>
      <c r="C459" s="199"/>
      <c r="D459" s="199" t="s">
        <v>2016</v>
      </c>
      <c r="E459" s="199" t="s">
        <v>1785</v>
      </c>
      <c r="F459" s="199" t="s">
        <v>1800</v>
      </c>
      <c r="G459" s="406" t="n">
        <v>688</v>
      </c>
      <c r="H459" s="199" t="s">
        <v>1953</v>
      </c>
      <c r="I459" s="199" t="s">
        <v>1953</v>
      </c>
      <c r="J459" s="199" t="s">
        <v>2017</v>
      </c>
      <c r="K459" s="199" t="s">
        <v>1435</v>
      </c>
      <c r="L459" s="407" t="n">
        <v>33400</v>
      </c>
      <c r="M459" s="407" t="n">
        <v>17520</v>
      </c>
      <c r="N459" s="408" t="n">
        <v>12.3</v>
      </c>
      <c r="O459" s="407" t="n">
        <v>15880</v>
      </c>
      <c r="P459" s="407" t="n">
        <v>13934</v>
      </c>
      <c r="Q459" s="234" t="n">
        <v>2023</v>
      </c>
      <c r="R459" s="234"/>
      <c r="S459" s="248" t="n">
        <v>45114</v>
      </c>
      <c r="T459" s="407" t="n">
        <f aca="false">Таблица18[[#This Row],[Вес нетто]]-Таблица18[[#This Row],[Зачетный вес]]</f>
        <v>1946</v>
      </c>
      <c r="U459" s="409" t="n">
        <f aca="false">Таблица18[[#This Row],[Отход]]/Таблица18[[#This Row],[Вес нетто]]</f>
        <v>0.122544080604534</v>
      </c>
      <c r="V459" s="234" t="n">
        <f aca="false">MONTH(Таблица18[[#This Row],[Дата акта]])</f>
        <v>7</v>
      </c>
      <c r="W459" s="234" t="n">
        <v>7</v>
      </c>
      <c r="X459" s="248" t="n">
        <f aca="false">DATE(1900,Таблица18[[#This Row],[Месяц]],Таблица18[[#This Row],[Число]])</f>
        <v>189</v>
      </c>
      <c r="Y459" s="234"/>
      <c r="AF459" s="411"/>
      <c r="AG459" s="412"/>
    </row>
    <row r="460" s="410" customFormat="true" ht="15" hidden="true" customHeight="true" outlineLevel="0" collapsed="false">
      <c r="A460" s="199" t="s">
        <v>2018</v>
      </c>
      <c r="B460" s="199" t="s">
        <v>417</v>
      </c>
      <c r="C460" s="199"/>
      <c r="D460" s="199" t="s">
        <v>2019</v>
      </c>
      <c r="E460" s="199" t="s">
        <v>1785</v>
      </c>
      <c r="F460" s="199" t="s">
        <v>602</v>
      </c>
      <c r="G460" s="199" t="s">
        <v>2020</v>
      </c>
      <c r="H460" s="199" t="s">
        <v>1953</v>
      </c>
      <c r="I460" s="199" t="s">
        <v>1953</v>
      </c>
      <c r="J460" s="199" t="s">
        <v>2017</v>
      </c>
      <c r="K460" s="199" t="s">
        <v>1435</v>
      </c>
      <c r="L460" s="407" t="n">
        <v>34260</v>
      </c>
      <c r="M460" s="407" t="n">
        <v>17720</v>
      </c>
      <c r="N460" s="408" t="n">
        <v>5.9</v>
      </c>
      <c r="O460" s="407" t="n">
        <v>16540</v>
      </c>
      <c r="P460" s="407" t="n">
        <v>15564</v>
      </c>
      <c r="Q460" s="234" t="n">
        <v>2023</v>
      </c>
      <c r="R460" s="234"/>
      <c r="S460" s="248" t="n">
        <v>45114</v>
      </c>
      <c r="T460" s="407" t="n">
        <f aca="false">Таблица18[[#This Row],[Вес нетто]]-Таблица18[[#This Row],[Зачетный вес]]</f>
        <v>976</v>
      </c>
      <c r="U460" s="409" t="n">
        <f aca="false">Таблица18[[#This Row],[Отход]]/Таблица18[[#This Row],[Вес нетто]]</f>
        <v>0.0590084643288996</v>
      </c>
      <c r="V460" s="234" t="n">
        <f aca="false">MONTH(Таблица18[[#This Row],[Дата акта]])</f>
        <v>7</v>
      </c>
      <c r="W460" s="234" t="n">
        <v>7</v>
      </c>
      <c r="X460" s="248" t="n">
        <f aca="false">DATE(1900,Таблица18[[#This Row],[Месяц]],Таблица18[[#This Row],[Число]])</f>
        <v>189</v>
      </c>
      <c r="Y460" s="234"/>
      <c r="AF460" s="411"/>
      <c r="AG460" s="412"/>
    </row>
    <row r="461" s="410" customFormat="true" ht="15" hidden="true" customHeight="true" outlineLevel="0" collapsed="false">
      <c r="A461" s="199" t="s">
        <v>2021</v>
      </c>
      <c r="B461" s="199" t="s">
        <v>886</v>
      </c>
      <c r="C461" s="199"/>
      <c r="D461" s="199" t="s">
        <v>2022</v>
      </c>
      <c r="E461" s="199" t="s">
        <v>1785</v>
      </c>
      <c r="F461" s="199" t="s">
        <v>1986</v>
      </c>
      <c r="G461" s="199" t="s">
        <v>2023</v>
      </c>
      <c r="H461" s="199" t="s">
        <v>1893</v>
      </c>
      <c r="I461" s="199" t="s">
        <v>1893</v>
      </c>
      <c r="J461" s="199" t="s">
        <v>1843</v>
      </c>
      <c r="K461" s="199" t="s">
        <v>1435</v>
      </c>
      <c r="L461" s="407" t="n">
        <v>30880</v>
      </c>
      <c r="M461" s="407" t="n">
        <v>15060</v>
      </c>
      <c r="N461" s="234"/>
      <c r="O461" s="407" t="n">
        <v>15820</v>
      </c>
      <c r="P461" s="407" t="n">
        <v>15820</v>
      </c>
      <c r="Q461" s="234" t="n">
        <v>2023</v>
      </c>
      <c r="R461" s="234"/>
      <c r="S461" s="248" t="n">
        <v>45109</v>
      </c>
      <c r="T461" s="407" t="n">
        <f aca="false">Таблица18[[#This Row],[Вес нетто]]-Таблица18[[#This Row],[Зачетный вес]]</f>
        <v>0</v>
      </c>
      <c r="U461" s="409" t="n">
        <f aca="false">Таблица18[[#This Row],[Отход]]/Таблица18[[#This Row],[Вес нетто]]</f>
        <v>0</v>
      </c>
      <c r="V461" s="234" t="n">
        <f aca="false">MONTH(Таблица18[[#This Row],[Дата акта]])</f>
        <v>7</v>
      </c>
      <c r="W461" s="234" t="n">
        <v>2</v>
      </c>
      <c r="X461" s="248" t="n">
        <f aca="false">DATE(1900,Таблица18[[#This Row],[Месяц]],Таблица18[[#This Row],[Число]])</f>
        <v>184</v>
      </c>
      <c r="Y461" s="234"/>
      <c r="AF461" s="411"/>
      <c r="AG461" s="412"/>
    </row>
    <row r="462" s="410" customFormat="true" ht="15" hidden="true" customHeight="true" outlineLevel="0" collapsed="false">
      <c r="A462" s="199" t="s">
        <v>2024</v>
      </c>
      <c r="B462" s="199" t="s">
        <v>886</v>
      </c>
      <c r="C462" s="199"/>
      <c r="D462" s="199" t="s">
        <v>2025</v>
      </c>
      <c r="E462" s="199" t="s">
        <v>1785</v>
      </c>
      <c r="F462" s="199" t="s">
        <v>1991</v>
      </c>
      <c r="G462" s="199" t="s">
        <v>2023</v>
      </c>
      <c r="H462" s="199" t="s">
        <v>1893</v>
      </c>
      <c r="I462" s="199" t="s">
        <v>1893</v>
      </c>
      <c r="J462" s="199" t="s">
        <v>1843</v>
      </c>
      <c r="K462" s="199" t="s">
        <v>1435</v>
      </c>
      <c r="L462" s="407" t="n">
        <v>32420</v>
      </c>
      <c r="M462" s="407" t="n">
        <v>16780</v>
      </c>
      <c r="N462" s="234"/>
      <c r="O462" s="407" t="n">
        <v>15640</v>
      </c>
      <c r="P462" s="407" t="n">
        <v>15640</v>
      </c>
      <c r="Q462" s="234" t="n">
        <v>2023</v>
      </c>
      <c r="R462" s="234"/>
      <c r="S462" s="248" t="n">
        <v>45109</v>
      </c>
      <c r="T462" s="407" t="n">
        <f aca="false">Таблица18[[#This Row],[Вес нетто]]-Таблица18[[#This Row],[Зачетный вес]]</f>
        <v>0</v>
      </c>
      <c r="U462" s="409" t="n">
        <f aca="false">Таблица18[[#This Row],[Отход]]/Таблица18[[#This Row],[Вес нетто]]</f>
        <v>0</v>
      </c>
      <c r="V462" s="234" t="n">
        <f aca="false">MONTH(Таблица18[[#This Row],[Дата акта]])</f>
        <v>7</v>
      </c>
      <c r="W462" s="234" t="n">
        <v>2</v>
      </c>
      <c r="X462" s="248" t="n">
        <f aca="false">DATE(1900,Таблица18[[#This Row],[Месяц]],Таблица18[[#This Row],[Число]])</f>
        <v>184</v>
      </c>
      <c r="Y462" s="234"/>
      <c r="AF462" s="411"/>
      <c r="AG462" s="412"/>
    </row>
    <row r="463" s="410" customFormat="true" ht="15" hidden="true" customHeight="true" outlineLevel="0" collapsed="false">
      <c r="A463" s="199" t="s">
        <v>2026</v>
      </c>
      <c r="B463" s="199" t="s">
        <v>886</v>
      </c>
      <c r="C463" s="199"/>
      <c r="D463" s="199" t="s">
        <v>2027</v>
      </c>
      <c r="E463" s="199" t="s">
        <v>1785</v>
      </c>
      <c r="F463" s="199" t="s">
        <v>2028</v>
      </c>
      <c r="G463" s="199" t="s">
        <v>2029</v>
      </c>
      <c r="H463" s="199" t="s">
        <v>1893</v>
      </c>
      <c r="I463" s="199" t="s">
        <v>1893</v>
      </c>
      <c r="J463" s="199" t="s">
        <v>1843</v>
      </c>
      <c r="K463" s="199" t="s">
        <v>1435</v>
      </c>
      <c r="L463" s="407" t="n">
        <v>30700</v>
      </c>
      <c r="M463" s="407" t="n">
        <v>15020</v>
      </c>
      <c r="N463" s="234"/>
      <c r="O463" s="407" t="n">
        <v>15680</v>
      </c>
      <c r="P463" s="407" t="n">
        <v>15680</v>
      </c>
      <c r="Q463" s="234" t="n">
        <v>2023</v>
      </c>
      <c r="R463" s="234"/>
      <c r="S463" s="248" t="n">
        <v>45109</v>
      </c>
      <c r="T463" s="407" t="n">
        <f aca="false">Таблица18[[#This Row],[Вес нетто]]-Таблица18[[#This Row],[Зачетный вес]]</f>
        <v>0</v>
      </c>
      <c r="U463" s="409" t="n">
        <f aca="false">Таблица18[[#This Row],[Отход]]/Таблица18[[#This Row],[Вес нетто]]</f>
        <v>0</v>
      </c>
      <c r="V463" s="234" t="n">
        <f aca="false">MONTH(Таблица18[[#This Row],[Дата акта]])</f>
        <v>7</v>
      </c>
      <c r="W463" s="234" t="n">
        <v>2</v>
      </c>
      <c r="X463" s="248" t="n">
        <f aca="false">DATE(1900,Таблица18[[#This Row],[Месяц]],Таблица18[[#This Row],[Число]])</f>
        <v>184</v>
      </c>
      <c r="Y463" s="234"/>
      <c r="AF463" s="411"/>
      <c r="AG463" s="412"/>
    </row>
    <row r="464" s="410" customFormat="true" ht="15" hidden="true" customHeight="true" outlineLevel="0" collapsed="false">
      <c r="A464" s="199" t="s">
        <v>2030</v>
      </c>
      <c r="B464" s="199" t="s">
        <v>886</v>
      </c>
      <c r="C464" s="199"/>
      <c r="D464" s="199" t="s">
        <v>2031</v>
      </c>
      <c r="E464" s="199" t="s">
        <v>1785</v>
      </c>
      <c r="F464" s="199" t="s">
        <v>2032</v>
      </c>
      <c r="G464" s="199" t="s">
        <v>2033</v>
      </c>
      <c r="H464" s="199" t="s">
        <v>1893</v>
      </c>
      <c r="I464" s="199" t="s">
        <v>1893</v>
      </c>
      <c r="J464" s="199" t="s">
        <v>1843</v>
      </c>
      <c r="K464" s="199" t="s">
        <v>1435</v>
      </c>
      <c r="L464" s="407" t="n">
        <v>31060</v>
      </c>
      <c r="M464" s="407" t="n">
        <v>15480</v>
      </c>
      <c r="N464" s="234"/>
      <c r="O464" s="407" t="n">
        <v>15580</v>
      </c>
      <c r="P464" s="407" t="n">
        <v>15580</v>
      </c>
      <c r="Q464" s="234" t="n">
        <v>2023</v>
      </c>
      <c r="R464" s="234"/>
      <c r="S464" s="248" t="n">
        <v>45109</v>
      </c>
      <c r="T464" s="407" t="n">
        <f aca="false">Таблица18[[#This Row],[Вес нетто]]-Таблица18[[#This Row],[Зачетный вес]]</f>
        <v>0</v>
      </c>
      <c r="U464" s="409" t="n">
        <f aca="false">Таблица18[[#This Row],[Отход]]/Таблица18[[#This Row],[Вес нетто]]</f>
        <v>0</v>
      </c>
      <c r="V464" s="234" t="n">
        <f aca="false">MONTH(Таблица18[[#This Row],[Дата акта]])</f>
        <v>7</v>
      </c>
      <c r="W464" s="234" t="n">
        <v>2</v>
      </c>
      <c r="X464" s="248" t="n">
        <f aca="false">DATE(1900,Таблица18[[#This Row],[Месяц]],Таблица18[[#This Row],[Число]])</f>
        <v>184</v>
      </c>
      <c r="Y464" s="234"/>
      <c r="AF464" s="411"/>
      <c r="AG464" s="412"/>
    </row>
    <row r="465" s="410" customFormat="true" ht="15" hidden="true" customHeight="true" outlineLevel="0" collapsed="false">
      <c r="A465" s="199" t="s">
        <v>2034</v>
      </c>
      <c r="B465" s="199" t="s">
        <v>886</v>
      </c>
      <c r="C465" s="199"/>
      <c r="D465" s="199" t="s">
        <v>2035</v>
      </c>
      <c r="E465" s="199" t="s">
        <v>1785</v>
      </c>
      <c r="F465" s="199" t="s">
        <v>2036</v>
      </c>
      <c r="G465" s="199" t="s">
        <v>2023</v>
      </c>
      <c r="H465" s="199" t="s">
        <v>1893</v>
      </c>
      <c r="I465" s="199" t="s">
        <v>1893</v>
      </c>
      <c r="J465" s="199" t="s">
        <v>1843</v>
      </c>
      <c r="K465" s="199" t="s">
        <v>1435</v>
      </c>
      <c r="L465" s="407" t="n">
        <v>30480</v>
      </c>
      <c r="M465" s="407" t="n">
        <v>14940</v>
      </c>
      <c r="N465" s="234"/>
      <c r="O465" s="407" t="n">
        <v>15540</v>
      </c>
      <c r="P465" s="407" t="n">
        <v>15540</v>
      </c>
      <c r="Q465" s="234" t="n">
        <v>2023</v>
      </c>
      <c r="R465" s="234"/>
      <c r="S465" s="248" t="n">
        <v>45109</v>
      </c>
      <c r="T465" s="407" t="n">
        <f aca="false">Таблица18[[#This Row],[Вес нетто]]-Таблица18[[#This Row],[Зачетный вес]]</f>
        <v>0</v>
      </c>
      <c r="U465" s="409" t="n">
        <f aca="false">Таблица18[[#This Row],[Отход]]/Таблица18[[#This Row],[Вес нетто]]</f>
        <v>0</v>
      </c>
      <c r="V465" s="234" t="n">
        <f aca="false">MONTH(Таблица18[[#This Row],[Дата акта]])</f>
        <v>7</v>
      </c>
      <c r="W465" s="234" t="n">
        <v>2</v>
      </c>
      <c r="X465" s="248" t="n">
        <f aca="false">DATE(1900,Таблица18[[#This Row],[Месяц]],Таблица18[[#This Row],[Число]])</f>
        <v>184</v>
      </c>
      <c r="Y465" s="234"/>
      <c r="AF465" s="411"/>
      <c r="AG465" s="412"/>
    </row>
    <row r="466" s="410" customFormat="true" ht="15" hidden="true" customHeight="true" outlineLevel="0" collapsed="false">
      <c r="A466" s="199" t="s">
        <v>2037</v>
      </c>
      <c r="B466" s="199" t="s">
        <v>417</v>
      </c>
      <c r="C466" s="199"/>
      <c r="D466" s="199" t="s">
        <v>2038</v>
      </c>
      <c r="E466" s="199" t="s">
        <v>1785</v>
      </c>
      <c r="F466" s="199" t="s">
        <v>1523</v>
      </c>
      <c r="G466" s="406" t="n">
        <v>688</v>
      </c>
      <c r="H466" s="199" t="s">
        <v>1932</v>
      </c>
      <c r="I466" s="199" t="s">
        <v>1932</v>
      </c>
      <c r="J466" s="199" t="s">
        <v>1912</v>
      </c>
      <c r="K466" s="199" t="s">
        <v>1435</v>
      </c>
      <c r="L466" s="407" t="n">
        <v>30900</v>
      </c>
      <c r="M466" s="407" t="n">
        <v>14660</v>
      </c>
      <c r="N466" s="408" t="n">
        <v>12</v>
      </c>
      <c r="O466" s="407" t="n">
        <v>16240</v>
      </c>
      <c r="P466" s="407" t="n">
        <v>14288</v>
      </c>
      <c r="Q466" s="234" t="n">
        <v>2023</v>
      </c>
      <c r="R466" s="234"/>
      <c r="S466" s="248" t="n">
        <v>45112</v>
      </c>
      <c r="T466" s="407" t="n">
        <f aca="false">Таблица18[[#This Row],[Вес нетто]]-Таблица18[[#This Row],[Зачетный вес]]</f>
        <v>1952</v>
      </c>
      <c r="U466" s="409" t="n">
        <f aca="false">Таблица18[[#This Row],[Отход]]/Таблица18[[#This Row],[Вес нетто]]</f>
        <v>0.120197044334975</v>
      </c>
      <c r="V466" s="234" t="n">
        <f aca="false">MONTH(Таблица18[[#This Row],[Дата акта]])</f>
        <v>7</v>
      </c>
      <c r="W466" s="234" t="n">
        <v>5</v>
      </c>
      <c r="X466" s="248" t="n">
        <f aca="false">DATE(1900,Таблица18[[#This Row],[Месяц]],Таблица18[[#This Row],[Число]])</f>
        <v>187</v>
      </c>
      <c r="Y466" s="234"/>
      <c r="AF466" s="411"/>
      <c r="AG466" s="412"/>
    </row>
    <row r="467" s="410" customFormat="true" ht="15" hidden="true" customHeight="true" outlineLevel="0" collapsed="false">
      <c r="A467" s="199" t="s">
        <v>2039</v>
      </c>
      <c r="B467" s="199" t="s">
        <v>417</v>
      </c>
      <c r="C467" s="199"/>
      <c r="D467" s="199" t="s">
        <v>2040</v>
      </c>
      <c r="E467" s="199" t="s">
        <v>422</v>
      </c>
      <c r="F467" s="199" t="s">
        <v>2041</v>
      </c>
      <c r="G467" s="199" t="s">
        <v>2042</v>
      </c>
      <c r="H467" s="199" t="s">
        <v>1513</v>
      </c>
      <c r="I467" s="199" t="s">
        <v>1513</v>
      </c>
      <c r="J467" s="199" t="s">
        <v>252</v>
      </c>
      <c r="K467" s="199" t="s">
        <v>1435</v>
      </c>
      <c r="L467" s="407" t="n">
        <v>23850</v>
      </c>
      <c r="M467" s="407" t="n">
        <v>14460</v>
      </c>
      <c r="N467" s="234"/>
      <c r="O467" s="407" t="n">
        <v>9390</v>
      </c>
      <c r="P467" s="407" t="n">
        <v>9390</v>
      </c>
      <c r="Q467" s="234" t="n">
        <v>2023</v>
      </c>
      <c r="R467" s="234"/>
      <c r="S467" s="248" t="n">
        <v>45086</v>
      </c>
      <c r="T467" s="407" t="n">
        <f aca="false">Таблица18[[#This Row],[Вес нетто]]-Таблица18[[#This Row],[Зачетный вес]]</f>
        <v>0</v>
      </c>
      <c r="U467" s="409" t="n">
        <f aca="false">Таблица18[[#This Row],[Отход]]/Таблица18[[#This Row],[Вес нетто]]</f>
        <v>0</v>
      </c>
      <c r="V467" s="234" t="n">
        <f aca="false">MONTH(Таблица18[[#This Row],[Дата акта]])</f>
        <v>6</v>
      </c>
      <c r="W467" s="234" t="n">
        <v>9</v>
      </c>
      <c r="X467" s="248" t="n">
        <f aca="false">DATE(1900,Таблица18[[#This Row],[Месяц]],Таблица18[[#This Row],[Число]])</f>
        <v>161</v>
      </c>
      <c r="Y467" s="234"/>
      <c r="AF467" s="411"/>
      <c r="AG467" s="412"/>
    </row>
    <row r="468" s="410" customFormat="true" ht="15" hidden="true" customHeight="true" outlineLevel="0" collapsed="false">
      <c r="A468" s="199" t="s">
        <v>2043</v>
      </c>
      <c r="B468" s="199" t="s">
        <v>417</v>
      </c>
      <c r="C468" s="199"/>
      <c r="D468" s="199" t="s">
        <v>2044</v>
      </c>
      <c r="E468" s="199" t="s">
        <v>422</v>
      </c>
      <c r="F468" s="199" t="s">
        <v>2045</v>
      </c>
      <c r="G468" s="199" t="s">
        <v>2046</v>
      </c>
      <c r="H468" s="199" t="s">
        <v>94</v>
      </c>
      <c r="I468" s="199" t="s">
        <v>94</v>
      </c>
      <c r="J468" s="199" t="s">
        <v>68</v>
      </c>
      <c r="K468" s="199" t="s">
        <v>1435</v>
      </c>
      <c r="L468" s="407" t="n">
        <v>35010</v>
      </c>
      <c r="M468" s="407" t="n">
        <v>17110</v>
      </c>
      <c r="N468" s="234"/>
      <c r="O468" s="407" t="n">
        <v>17900</v>
      </c>
      <c r="P468" s="407" t="n">
        <v>17900</v>
      </c>
      <c r="Q468" s="234" t="n">
        <v>2023</v>
      </c>
      <c r="R468" s="234"/>
      <c r="S468" s="248" t="n">
        <v>45088</v>
      </c>
      <c r="T468" s="407" t="n">
        <f aca="false">Таблица18[[#This Row],[Вес нетто]]-Таблица18[[#This Row],[Зачетный вес]]</f>
        <v>0</v>
      </c>
      <c r="U468" s="409" t="n">
        <f aca="false">Таблица18[[#This Row],[Отход]]/Таблица18[[#This Row],[Вес нетто]]</f>
        <v>0</v>
      </c>
      <c r="V468" s="234" t="n">
        <f aca="false">MONTH(Таблица18[[#This Row],[Дата акта]])</f>
        <v>6</v>
      </c>
      <c r="W468" s="234" t="n">
        <v>11</v>
      </c>
      <c r="X468" s="248" t="n">
        <f aca="false">DATE(1900,Таблица18[[#This Row],[Месяц]],Таблица18[[#This Row],[Число]])</f>
        <v>163</v>
      </c>
      <c r="Y468" s="234"/>
      <c r="AF468" s="411"/>
      <c r="AG468" s="412"/>
    </row>
    <row r="469" s="410" customFormat="true" ht="15" hidden="true" customHeight="true" outlineLevel="0" collapsed="false">
      <c r="A469" s="199" t="s">
        <v>2047</v>
      </c>
      <c r="B469" s="199" t="s">
        <v>417</v>
      </c>
      <c r="C469" s="199"/>
      <c r="D469" s="199" t="s">
        <v>2048</v>
      </c>
      <c r="E469" s="199" t="s">
        <v>422</v>
      </c>
      <c r="F469" s="199" t="s">
        <v>2049</v>
      </c>
      <c r="G469" s="199" t="s">
        <v>2050</v>
      </c>
      <c r="H469" s="199" t="s">
        <v>94</v>
      </c>
      <c r="I469" s="199" t="s">
        <v>94</v>
      </c>
      <c r="J469" s="199" t="s">
        <v>68</v>
      </c>
      <c r="K469" s="199" t="s">
        <v>1435</v>
      </c>
      <c r="L469" s="407" t="n">
        <v>35220</v>
      </c>
      <c r="M469" s="407" t="n">
        <v>16940</v>
      </c>
      <c r="N469" s="234"/>
      <c r="O469" s="407" t="n">
        <v>18280</v>
      </c>
      <c r="P469" s="407" t="n">
        <v>18280</v>
      </c>
      <c r="Q469" s="234" t="n">
        <v>2023</v>
      </c>
      <c r="R469" s="234"/>
      <c r="S469" s="248" t="n">
        <v>45088</v>
      </c>
      <c r="T469" s="407" t="n">
        <f aca="false">Таблица18[[#This Row],[Вес нетто]]-Таблица18[[#This Row],[Зачетный вес]]</f>
        <v>0</v>
      </c>
      <c r="U469" s="409" t="n">
        <f aca="false">Таблица18[[#This Row],[Отход]]/Таблица18[[#This Row],[Вес нетто]]</f>
        <v>0</v>
      </c>
      <c r="V469" s="234" t="n">
        <f aca="false">MONTH(Таблица18[[#This Row],[Дата акта]])</f>
        <v>6</v>
      </c>
      <c r="W469" s="234" t="n">
        <v>11</v>
      </c>
      <c r="X469" s="248" t="n">
        <f aca="false">DATE(1900,Таблица18[[#This Row],[Месяц]],Таблица18[[#This Row],[Число]])</f>
        <v>163</v>
      </c>
      <c r="Y469" s="234"/>
      <c r="AF469" s="411"/>
      <c r="AG469" s="412"/>
    </row>
    <row r="470" s="410" customFormat="true" ht="15" hidden="true" customHeight="true" outlineLevel="0" collapsed="false">
      <c r="A470" s="199" t="s">
        <v>2051</v>
      </c>
      <c r="B470" s="199" t="s">
        <v>746</v>
      </c>
      <c r="C470" s="199"/>
      <c r="D470" s="199" t="s">
        <v>2052</v>
      </c>
      <c r="E470" s="199" t="s">
        <v>422</v>
      </c>
      <c r="F470" s="199" t="s">
        <v>1523</v>
      </c>
      <c r="G470" s="199" t="s">
        <v>2053</v>
      </c>
      <c r="H470" s="199" t="s">
        <v>94</v>
      </c>
      <c r="I470" s="199" t="s">
        <v>94</v>
      </c>
      <c r="J470" s="199" t="s">
        <v>252</v>
      </c>
      <c r="K470" s="199" t="s">
        <v>1435</v>
      </c>
      <c r="L470" s="407" t="n">
        <v>27850</v>
      </c>
      <c r="M470" s="407" t="n">
        <v>14620</v>
      </c>
      <c r="N470" s="234"/>
      <c r="O470" s="407" t="n">
        <v>13230</v>
      </c>
      <c r="P470" s="407" t="n">
        <v>13230</v>
      </c>
      <c r="Q470" s="234" t="n">
        <v>2023</v>
      </c>
      <c r="R470" s="234"/>
      <c r="S470" s="248" t="n">
        <v>45086</v>
      </c>
      <c r="T470" s="407" t="n">
        <f aca="false">Таблица18[[#This Row],[Вес нетто]]-Таблица18[[#This Row],[Зачетный вес]]</f>
        <v>0</v>
      </c>
      <c r="U470" s="409" t="n">
        <f aca="false">Таблица18[[#This Row],[Отход]]/Таблица18[[#This Row],[Вес нетто]]</f>
        <v>0</v>
      </c>
      <c r="V470" s="234" t="n">
        <f aca="false">MONTH(Таблица18[[#This Row],[Дата акта]])</f>
        <v>6</v>
      </c>
      <c r="W470" s="234" t="n">
        <v>9</v>
      </c>
      <c r="X470" s="248" t="n">
        <f aca="false">DATE(1900,Таблица18[[#This Row],[Месяц]],Таблица18[[#This Row],[Число]])</f>
        <v>161</v>
      </c>
      <c r="Y470" s="234"/>
      <c r="AF470" s="411"/>
      <c r="AG470" s="412"/>
    </row>
    <row r="471" s="410" customFormat="true" ht="15" hidden="true" customHeight="true" outlineLevel="0" collapsed="false">
      <c r="A471" s="199" t="s">
        <v>2054</v>
      </c>
      <c r="B471" s="199" t="s">
        <v>886</v>
      </c>
      <c r="C471" s="199"/>
      <c r="D471" s="199" t="s">
        <v>2055</v>
      </c>
      <c r="E471" s="199" t="s">
        <v>1785</v>
      </c>
      <c r="F471" s="199" t="s">
        <v>2056</v>
      </c>
      <c r="G471" s="199" t="s">
        <v>1999</v>
      </c>
      <c r="H471" s="199" t="s">
        <v>1893</v>
      </c>
      <c r="I471" s="199" t="s">
        <v>1893</v>
      </c>
      <c r="J471" s="199" t="s">
        <v>1843</v>
      </c>
      <c r="K471" s="199" t="s">
        <v>1435</v>
      </c>
      <c r="L471" s="407" t="n">
        <v>30960</v>
      </c>
      <c r="M471" s="407" t="n">
        <v>15320</v>
      </c>
      <c r="N471" s="234"/>
      <c r="O471" s="407" t="n">
        <v>15640</v>
      </c>
      <c r="P471" s="407" t="n">
        <v>15640</v>
      </c>
      <c r="Q471" s="234" t="n">
        <v>2023</v>
      </c>
      <c r="R471" s="234"/>
      <c r="S471" s="248" t="n">
        <v>45109</v>
      </c>
      <c r="T471" s="407" t="n">
        <f aca="false">Таблица18[[#This Row],[Вес нетто]]-Таблица18[[#This Row],[Зачетный вес]]</f>
        <v>0</v>
      </c>
      <c r="U471" s="409" t="n">
        <f aca="false">Таблица18[[#This Row],[Отход]]/Таблица18[[#This Row],[Вес нетто]]</f>
        <v>0</v>
      </c>
      <c r="V471" s="234" t="n">
        <f aca="false">MONTH(Таблица18[[#This Row],[Дата акта]])</f>
        <v>7</v>
      </c>
      <c r="W471" s="234" t="n">
        <v>2</v>
      </c>
      <c r="X471" s="248" t="n">
        <f aca="false">DATE(1900,Таблица18[[#This Row],[Месяц]],Таблица18[[#This Row],[Число]])</f>
        <v>184</v>
      </c>
      <c r="Y471" s="234"/>
      <c r="AF471" s="411"/>
      <c r="AG471" s="412"/>
    </row>
    <row r="472" s="410" customFormat="true" ht="15" hidden="true" customHeight="true" outlineLevel="0" collapsed="false">
      <c r="A472" s="199" t="s">
        <v>2057</v>
      </c>
      <c r="B472" s="199" t="s">
        <v>886</v>
      </c>
      <c r="C472" s="199"/>
      <c r="D472" s="199" t="s">
        <v>2058</v>
      </c>
      <c r="E472" s="199" t="s">
        <v>1785</v>
      </c>
      <c r="F472" s="199" t="s">
        <v>2059</v>
      </c>
      <c r="G472" s="199" t="s">
        <v>1992</v>
      </c>
      <c r="H472" s="199" t="s">
        <v>1893</v>
      </c>
      <c r="I472" s="199" t="s">
        <v>1893</v>
      </c>
      <c r="J472" s="199" t="s">
        <v>1843</v>
      </c>
      <c r="K472" s="199" t="s">
        <v>1435</v>
      </c>
      <c r="L472" s="407" t="n">
        <v>30740</v>
      </c>
      <c r="M472" s="407" t="n">
        <v>15140</v>
      </c>
      <c r="N472" s="234"/>
      <c r="O472" s="407" t="n">
        <v>15600</v>
      </c>
      <c r="P472" s="407" t="n">
        <v>15600</v>
      </c>
      <c r="Q472" s="234" t="n">
        <v>2023</v>
      </c>
      <c r="R472" s="234"/>
      <c r="S472" s="248" t="n">
        <v>45109</v>
      </c>
      <c r="T472" s="407" t="n">
        <f aca="false">Таблица18[[#This Row],[Вес нетто]]-Таблица18[[#This Row],[Зачетный вес]]</f>
        <v>0</v>
      </c>
      <c r="U472" s="409" t="n">
        <f aca="false">Таблица18[[#This Row],[Отход]]/Таблица18[[#This Row],[Вес нетто]]</f>
        <v>0</v>
      </c>
      <c r="V472" s="234" t="n">
        <f aca="false">MONTH(Таблица18[[#This Row],[Дата акта]])</f>
        <v>7</v>
      </c>
      <c r="W472" s="234" t="n">
        <v>2</v>
      </c>
      <c r="X472" s="248" t="n">
        <f aca="false">DATE(1900,Таблица18[[#This Row],[Месяц]],Таблица18[[#This Row],[Число]])</f>
        <v>184</v>
      </c>
      <c r="Y472" s="234"/>
      <c r="AF472" s="411"/>
      <c r="AG472" s="412"/>
    </row>
    <row r="473" s="410" customFormat="true" ht="15" hidden="true" customHeight="true" outlineLevel="0" collapsed="false">
      <c r="A473" s="198" t="s">
        <v>2060</v>
      </c>
      <c r="B473" s="199" t="s">
        <v>417</v>
      </c>
      <c r="C473" s="198" t="n">
        <v>71</v>
      </c>
      <c r="D473" s="198" t="n">
        <v>77687</v>
      </c>
      <c r="E473" s="198" t="s">
        <v>409</v>
      </c>
      <c r="F473" s="198" t="s">
        <v>376</v>
      </c>
      <c r="G473" s="198" t="s">
        <v>377</v>
      </c>
      <c r="H473" s="198" t="s">
        <v>2061</v>
      </c>
      <c r="I473" s="199"/>
      <c r="J473" s="198" t="s">
        <v>252</v>
      </c>
      <c r="K473" s="198" t="s">
        <v>1435</v>
      </c>
      <c r="L473" s="234" t="n">
        <v>22110</v>
      </c>
      <c r="M473" s="234" t="n">
        <v>17530</v>
      </c>
      <c r="N473" s="234" t="n">
        <v>29.5</v>
      </c>
      <c r="O473" s="407" t="n">
        <v>4580</v>
      </c>
      <c r="P473" s="407" t="n">
        <v>3228.9</v>
      </c>
      <c r="Q473" s="234" t="n">
        <v>2024</v>
      </c>
      <c r="R473" s="234"/>
      <c r="S473" s="248" t="n">
        <v>45429</v>
      </c>
      <c r="T473" s="407" t="n">
        <f aca="false">Таблица18[[#This Row],[Вес нетто]]-Таблица18[[#This Row],[Зачетный вес]]</f>
        <v>1351.1</v>
      </c>
      <c r="U473" s="409" t="n">
        <f aca="false">Таблица18[[#This Row],[Отход]]/Таблица18[[#This Row],[Вес нетто]]</f>
        <v>0.295</v>
      </c>
      <c r="V473" s="234" t="n">
        <f aca="false">MONTH(Таблица18[[#This Row],[Дата акта]])</f>
        <v>5</v>
      </c>
      <c r="W473" s="234" t="n">
        <v>17</v>
      </c>
      <c r="X473" s="248" t="n">
        <f aca="false">DATE(1900,Таблица18[[#This Row],[Месяц]],Таблица18[[#This Row],[Число]])</f>
        <v>138</v>
      </c>
      <c r="Y473" s="234"/>
      <c r="AF473" s="411"/>
      <c r="AG473" s="412"/>
    </row>
    <row r="474" s="410" customFormat="true" ht="15" hidden="true" customHeight="true" outlineLevel="0" collapsed="false">
      <c r="A474" s="198" t="s">
        <v>2062</v>
      </c>
      <c r="B474" s="199" t="s">
        <v>417</v>
      </c>
      <c r="C474" s="198" t="n">
        <v>72</v>
      </c>
      <c r="D474" s="198" t="n">
        <v>77687</v>
      </c>
      <c r="E474" s="198" t="s">
        <v>409</v>
      </c>
      <c r="F474" s="198" t="s">
        <v>376</v>
      </c>
      <c r="G474" s="198" t="s">
        <v>377</v>
      </c>
      <c r="H474" s="198" t="s">
        <v>2061</v>
      </c>
      <c r="I474" s="199"/>
      <c r="J474" s="198" t="s">
        <v>1516</v>
      </c>
      <c r="K474" s="198" t="s">
        <v>1435</v>
      </c>
      <c r="L474" s="234" t="n">
        <v>17530</v>
      </c>
      <c r="M474" s="234" t="n">
        <v>14180</v>
      </c>
      <c r="N474" s="234" t="n">
        <v>54</v>
      </c>
      <c r="O474" s="407" t="n">
        <v>3350</v>
      </c>
      <c r="P474" s="407" t="n">
        <v>1541</v>
      </c>
      <c r="Q474" s="234" t="n">
        <v>2024</v>
      </c>
      <c r="R474" s="234"/>
      <c r="S474" s="248" t="n">
        <v>45429</v>
      </c>
      <c r="T474" s="407" t="n">
        <f aca="false">Таблица18[[#This Row],[Вес нетто]]-Таблица18[[#This Row],[Зачетный вес]]</f>
        <v>1809</v>
      </c>
      <c r="U474" s="409" t="n">
        <f aca="false">Таблица18[[#This Row],[Отход]]/Таблица18[[#This Row],[Вес нетто]]</f>
        <v>0.54</v>
      </c>
      <c r="V474" s="234" t="n">
        <f aca="false">MONTH(Таблица18[[#This Row],[Дата акта]])</f>
        <v>5</v>
      </c>
      <c r="W474" s="234" t="n">
        <v>17</v>
      </c>
      <c r="X474" s="248" t="n">
        <f aca="false">DATE(1900,Таблица18[[#This Row],[Месяц]],Таблица18[[#This Row],[Число]])</f>
        <v>138</v>
      </c>
      <c r="Y474" s="234"/>
      <c r="AF474" s="411"/>
      <c r="AG474" s="412"/>
    </row>
    <row r="475" s="410" customFormat="true" ht="15" hidden="true" customHeight="true" outlineLevel="0" collapsed="false">
      <c r="A475" s="198" t="s">
        <v>2063</v>
      </c>
      <c r="B475" s="199" t="s">
        <v>417</v>
      </c>
      <c r="C475" s="198" t="n">
        <v>73</v>
      </c>
      <c r="D475" s="198" t="n">
        <v>77688</v>
      </c>
      <c r="E475" s="198" t="s">
        <v>409</v>
      </c>
      <c r="F475" s="198" t="s">
        <v>363</v>
      </c>
      <c r="G475" s="198" t="s">
        <v>364</v>
      </c>
      <c r="H475" s="198" t="s">
        <v>2061</v>
      </c>
      <c r="I475" s="199"/>
      <c r="J475" s="198" t="s">
        <v>252</v>
      </c>
      <c r="K475" s="198" t="s">
        <v>1435</v>
      </c>
      <c r="L475" s="234" t="n">
        <v>27580</v>
      </c>
      <c r="M475" s="234" t="n">
        <v>14430</v>
      </c>
      <c r="N475" s="234" t="n">
        <v>50</v>
      </c>
      <c r="O475" s="407" t="n">
        <v>13150</v>
      </c>
      <c r="P475" s="407" t="n">
        <v>6575</v>
      </c>
      <c r="Q475" s="234" t="n">
        <v>2024</v>
      </c>
      <c r="R475" s="234"/>
      <c r="S475" s="248" t="n">
        <v>45429</v>
      </c>
      <c r="T475" s="407" t="n">
        <f aca="false">Таблица18[[#This Row],[Вес нетто]]-Таблица18[[#This Row],[Зачетный вес]]</f>
        <v>6575</v>
      </c>
      <c r="U475" s="409" t="n">
        <f aca="false">Таблица18[[#This Row],[Отход]]/Таблица18[[#This Row],[Вес нетто]]</f>
        <v>0.5</v>
      </c>
      <c r="V475" s="234" t="n">
        <f aca="false">MONTH(Таблица18[[#This Row],[Дата акта]])</f>
        <v>5</v>
      </c>
      <c r="W475" s="234" t="n">
        <v>17</v>
      </c>
      <c r="X475" s="248" t="n">
        <f aca="false">DATE(1900,Таблица18[[#This Row],[Месяц]],Таблица18[[#This Row],[Число]])</f>
        <v>138</v>
      </c>
      <c r="Y475" s="234"/>
      <c r="AF475" s="411"/>
      <c r="AG475" s="412"/>
    </row>
    <row r="476" s="410" customFormat="true" ht="15" hidden="true" customHeight="true" outlineLevel="0" collapsed="false">
      <c r="A476" s="198" t="s">
        <v>2064</v>
      </c>
      <c r="B476" s="199" t="s">
        <v>417</v>
      </c>
      <c r="C476" s="198" t="n">
        <v>74</v>
      </c>
      <c r="D476" s="198" t="n">
        <v>77689</v>
      </c>
      <c r="E476" s="198" t="s">
        <v>409</v>
      </c>
      <c r="F476" s="198" t="s">
        <v>386</v>
      </c>
      <c r="G476" s="198" t="s">
        <v>387</v>
      </c>
      <c r="H476" s="198" t="s">
        <v>2061</v>
      </c>
      <c r="I476" s="199"/>
      <c r="J476" s="198" t="s">
        <v>252</v>
      </c>
      <c r="K476" s="198" t="s">
        <v>1435</v>
      </c>
      <c r="L476" s="234" t="n">
        <v>28410</v>
      </c>
      <c r="M476" s="234" t="n">
        <v>15150</v>
      </c>
      <c r="N476" s="234" t="n">
        <v>43.5</v>
      </c>
      <c r="O476" s="407" t="n">
        <v>13260</v>
      </c>
      <c r="P476" s="407" t="n">
        <v>7491.9</v>
      </c>
      <c r="Q476" s="234" t="n">
        <v>2024</v>
      </c>
      <c r="R476" s="234"/>
      <c r="S476" s="248" t="n">
        <v>45430</v>
      </c>
      <c r="T476" s="407" t="n">
        <f aca="false">Таблица18[[#This Row],[Вес нетто]]-Таблица18[[#This Row],[Зачетный вес]]</f>
        <v>5768.1</v>
      </c>
      <c r="U476" s="409" t="n">
        <f aca="false">Таблица18[[#This Row],[Отход]]/Таблица18[[#This Row],[Вес нетто]]</f>
        <v>0.435</v>
      </c>
      <c r="V476" s="234" t="n">
        <f aca="false">MONTH(Таблица18[[#This Row],[Дата акта]])</f>
        <v>5</v>
      </c>
      <c r="W476" s="234" t="n">
        <v>18</v>
      </c>
      <c r="X476" s="248" t="n">
        <f aca="false">DATE(1900,Таблица18[[#This Row],[Месяц]],Таблица18[[#This Row],[Число]])</f>
        <v>139</v>
      </c>
      <c r="Y476" s="234"/>
      <c r="AF476" s="411"/>
      <c r="AG476" s="412"/>
    </row>
    <row r="477" s="410" customFormat="true" ht="15" hidden="true" customHeight="true" outlineLevel="0" collapsed="false">
      <c r="A477" s="198" t="s">
        <v>2065</v>
      </c>
      <c r="B477" s="199" t="s">
        <v>417</v>
      </c>
      <c r="C477" s="198" t="n">
        <v>76</v>
      </c>
      <c r="D477" s="198" t="n">
        <v>77690</v>
      </c>
      <c r="E477" s="198" t="s">
        <v>409</v>
      </c>
      <c r="F477" s="198" t="s">
        <v>1485</v>
      </c>
      <c r="G477" s="198" t="s">
        <v>431</v>
      </c>
      <c r="H477" s="198" t="s">
        <v>2061</v>
      </c>
      <c r="I477" s="199"/>
      <c r="J477" s="198" t="s">
        <v>252</v>
      </c>
      <c r="K477" s="198" t="s">
        <v>1435</v>
      </c>
      <c r="L477" s="234" t="n">
        <v>38340</v>
      </c>
      <c r="M477" s="234" t="n">
        <v>20920</v>
      </c>
      <c r="N477" s="234" t="n">
        <v>47</v>
      </c>
      <c r="O477" s="407" t="n">
        <v>17420</v>
      </c>
      <c r="P477" s="407" t="n">
        <v>9232.6</v>
      </c>
      <c r="Q477" s="234" t="n">
        <v>2024</v>
      </c>
      <c r="R477" s="234"/>
      <c r="S477" s="248" t="n">
        <v>45430</v>
      </c>
      <c r="T477" s="407" t="n">
        <f aca="false">Таблица18[[#This Row],[Вес нетто]]-Таблица18[[#This Row],[Зачетный вес]]</f>
        <v>8187.4</v>
      </c>
      <c r="U477" s="409" t="n">
        <f aca="false">Таблица18[[#This Row],[Отход]]/Таблица18[[#This Row],[Вес нетто]]</f>
        <v>0.47</v>
      </c>
      <c r="V477" s="234" t="n">
        <f aca="false">MONTH(Таблица18[[#This Row],[Дата акта]])</f>
        <v>5</v>
      </c>
      <c r="W477" s="234" t="n">
        <v>18</v>
      </c>
      <c r="X477" s="248" t="n">
        <f aca="false">DATE(1900,Таблица18[[#This Row],[Месяц]],Таблица18[[#This Row],[Число]])</f>
        <v>139</v>
      </c>
      <c r="Y477" s="234"/>
      <c r="AF477" s="411"/>
      <c r="AG477" s="412"/>
    </row>
    <row r="478" s="410" customFormat="true" ht="15" hidden="true" customHeight="true" outlineLevel="0" collapsed="false">
      <c r="A478" s="198" t="s">
        <v>2066</v>
      </c>
      <c r="B478" s="199" t="s">
        <v>417</v>
      </c>
      <c r="C478" s="198" t="n">
        <v>77</v>
      </c>
      <c r="D478" s="198" t="n">
        <v>77692</v>
      </c>
      <c r="E478" s="198" t="s">
        <v>409</v>
      </c>
      <c r="F478" s="198" t="s">
        <v>1863</v>
      </c>
      <c r="G478" s="198" t="s">
        <v>1864</v>
      </c>
      <c r="H478" s="198" t="s">
        <v>2061</v>
      </c>
      <c r="I478" s="199"/>
      <c r="J478" s="198" t="s">
        <v>252</v>
      </c>
      <c r="K478" s="198" t="s">
        <v>1435</v>
      </c>
      <c r="L478" s="234" t="n">
        <v>28730</v>
      </c>
      <c r="M478" s="234" t="n">
        <v>15600</v>
      </c>
      <c r="N478" s="234" t="n">
        <v>43.5</v>
      </c>
      <c r="O478" s="407" t="n">
        <v>13130</v>
      </c>
      <c r="P478" s="407" t="n">
        <v>7418.4</v>
      </c>
      <c r="Q478" s="234" t="n">
        <v>2024</v>
      </c>
      <c r="R478" s="234"/>
      <c r="S478" s="248" t="n">
        <v>45430</v>
      </c>
      <c r="T478" s="407" t="n">
        <f aca="false">Таблица18[[#This Row],[Вес нетто]]-Таблица18[[#This Row],[Зачетный вес]]</f>
        <v>5711.6</v>
      </c>
      <c r="U478" s="409" t="n">
        <f aca="false">Таблица18[[#This Row],[Отход]]/Таблица18[[#This Row],[Вес нетто]]</f>
        <v>0.435003808073115</v>
      </c>
      <c r="V478" s="234" t="n">
        <f aca="false">MONTH(Таблица18[[#This Row],[Дата акта]])</f>
        <v>5</v>
      </c>
      <c r="W478" s="234" t="n">
        <v>18</v>
      </c>
      <c r="X478" s="248" t="n">
        <f aca="false">DATE(1900,Таблица18[[#This Row],[Месяц]],Таблица18[[#This Row],[Число]])</f>
        <v>139</v>
      </c>
      <c r="Y478" s="234"/>
      <c r="AF478" s="411"/>
      <c r="AG478" s="412"/>
    </row>
    <row r="479" s="410" customFormat="true" ht="15" hidden="true" customHeight="true" outlineLevel="0" collapsed="false">
      <c r="A479" s="198" t="s">
        <v>2067</v>
      </c>
      <c r="B479" s="199" t="s">
        <v>417</v>
      </c>
      <c r="C479" s="198" t="n">
        <v>78</v>
      </c>
      <c r="D479" s="198" t="n">
        <v>77691</v>
      </c>
      <c r="E479" s="198" t="s">
        <v>409</v>
      </c>
      <c r="F479" s="198" t="s">
        <v>1866</v>
      </c>
      <c r="G479" s="198" t="s">
        <v>1867</v>
      </c>
      <c r="H479" s="198" t="s">
        <v>2061</v>
      </c>
      <c r="I479" s="199"/>
      <c r="J479" s="198" t="s">
        <v>252</v>
      </c>
      <c r="K479" s="198" t="s">
        <v>1435</v>
      </c>
      <c r="L479" s="234" t="n">
        <v>27810</v>
      </c>
      <c r="M479" s="234" t="n">
        <v>14580</v>
      </c>
      <c r="N479" s="234" t="n">
        <v>42</v>
      </c>
      <c r="O479" s="407" t="n">
        <v>13230</v>
      </c>
      <c r="P479" s="407" t="n">
        <v>7673.4</v>
      </c>
      <c r="Q479" s="234" t="n">
        <v>2024</v>
      </c>
      <c r="R479" s="234"/>
      <c r="S479" s="248" t="n">
        <v>45430</v>
      </c>
      <c r="T479" s="407" t="n">
        <f aca="false">Таблица18[[#This Row],[Вес нетто]]-Таблица18[[#This Row],[Зачетный вес]]</f>
        <v>5556.6</v>
      </c>
      <c r="U479" s="409" t="n">
        <f aca="false">Таблица18[[#This Row],[Отход]]/Таблица18[[#This Row],[Вес нетто]]</f>
        <v>0.42</v>
      </c>
      <c r="V479" s="234" t="n">
        <f aca="false">MONTH(Таблица18[[#This Row],[Дата акта]])</f>
        <v>5</v>
      </c>
      <c r="W479" s="234" t="n">
        <v>18</v>
      </c>
      <c r="X479" s="248" t="n">
        <f aca="false">DATE(1900,Таблица18[[#This Row],[Месяц]],Таблица18[[#This Row],[Число]])</f>
        <v>139</v>
      </c>
      <c r="Y479" s="234"/>
      <c r="AF479" s="411"/>
      <c r="AG479" s="412"/>
    </row>
    <row r="480" s="410" customFormat="true" ht="15" hidden="true" customHeight="true" outlineLevel="0" collapsed="false">
      <c r="A480" s="198" t="s">
        <v>2068</v>
      </c>
      <c r="B480" s="199" t="s">
        <v>417</v>
      </c>
      <c r="C480" s="198" t="n">
        <v>79</v>
      </c>
      <c r="D480" s="198" t="n">
        <v>77693</v>
      </c>
      <c r="E480" s="198" t="s">
        <v>409</v>
      </c>
      <c r="F480" s="198" t="s">
        <v>1576</v>
      </c>
      <c r="G480" s="198" t="s">
        <v>1455</v>
      </c>
      <c r="H480" s="198" t="s">
        <v>2061</v>
      </c>
      <c r="I480" s="199"/>
      <c r="J480" s="198" t="s">
        <v>252</v>
      </c>
      <c r="K480" s="198" t="s">
        <v>1435</v>
      </c>
      <c r="L480" s="234" t="n">
        <v>27840</v>
      </c>
      <c r="M480" s="234" t="n">
        <v>14340</v>
      </c>
      <c r="N480" s="234" t="n">
        <v>36.5</v>
      </c>
      <c r="O480" s="407" t="n">
        <v>13500</v>
      </c>
      <c r="P480" s="407" t="n">
        <v>8572.5</v>
      </c>
      <c r="Q480" s="234" t="n">
        <v>2024</v>
      </c>
      <c r="R480" s="234"/>
      <c r="S480" s="248" t="n">
        <v>45430</v>
      </c>
      <c r="T480" s="407" t="n">
        <f aca="false">Таблица18[[#This Row],[Вес нетто]]-Таблица18[[#This Row],[Зачетный вес]]</f>
        <v>4927.5</v>
      </c>
      <c r="U480" s="409" t="n">
        <f aca="false">Таблица18[[#This Row],[Отход]]/Таблица18[[#This Row],[Вес нетто]]</f>
        <v>0.365</v>
      </c>
      <c r="V480" s="234" t="n">
        <f aca="false">MONTH(Таблица18[[#This Row],[Дата акта]])</f>
        <v>5</v>
      </c>
      <c r="W480" s="234" t="n">
        <v>18</v>
      </c>
      <c r="X480" s="248" t="n">
        <f aca="false">DATE(1900,Таблица18[[#This Row],[Месяц]],Таблица18[[#This Row],[Число]])</f>
        <v>139</v>
      </c>
      <c r="Y480" s="234"/>
      <c r="AF480" s="411"/>
      <c r="AG480" s="412"/>
    </row>
    <row r="481" s="410" customFormat="true" ht="15" hidden="true" customHeight="true" outlineLevel="0" collapsed="false">
      <c r="A481" s="198" t="s">
        <v>2069</v>
      </c>
      <c r="B481" s="199" t="s">
        <v>417</v>
      </c>
      <c r="C481" s="198" t="n">
        <v>81</v>
      </c>
      <c r="D481" s="198" t="n">
        <v>77694</v>
      </c>
      <c r="E481" s="198" t="s">
        <v>409</v>
      </c>
      <c r="F481" s="198" t="s">
        <v>376</v>
      </c>
      <c r="G481" s="198" t="s">
        <v>377</v>
      </c>
      <c r="H481" s="198" t="s">
        <v>2061</v>
      </c>
      <c r="I481" s="199"/>
      <c r="J481" s="198" t="s">
        <v>1516</v>
      </c>
      <c r="K481" s="198" t="s">
        <v>1435</v>
      </c>
      <c r="L481" s="234" t="n">
        <v>22900</v>
      </c>
      <c r="M481" s="234" t="n">
        <v>18630</v>
      </c>
      <c r="N481" s="234" t="n">
        <v>56.5</v>
      </c>
      <c r="O481" s="407" t="n">
        <v>4270</v>
      </c>
      <c r="P481" s="407" t="n">
        <v>1857.4</v>
      </c>
      <c r="Q481" s="234" t="n">
        <v>2024</v>
      </c>
      <c r="R481" s="234"/>
      <c r="S481" s="248" t="n">
        <v>45430</v>
      </c>
      <c r="T481" s="407" t="n">
        <f aca="false">Таблица18[[#This Row],[Вес нетто]]-Таблица18[[#This Row],[Зачетный вес]]</f>
        <v>2412.6</v>
      </c>
      <c r="U481" s="409" t="n">
        <f aca="false">Таблица18[[#This Row],[Отход]]/Таблица18[[#This Row],[Вес нетто]]</f>
        <v>0.565011709601874</v>
      </c>
      <c r="V481" s="234" t="n">
        <f aca="false">MONTH(Таблица18[[#This Row],[Дата акта]])</f>
        <v>5</v>
      </c>
      <c r="W481" s="234" t="n">
        <v>18</v>
      </c>
      <c r="X481" s="248" t="n">
        <f aca="false">DATE(1900,Таблица18[[#This Row],[Месяц]],Таблица18[[#This Row],[Число]])</f>
        <v>139</v>
      </c>
      <c r="Y481" s="234"/>
      <c r="AF481" s="411"/>
      <c r="AG481" s="412"/>
    </row>
    <row r="482" s="410" customFormat="true" ht="15" hidden="true" customHeight="true" outlineLevel="0" collapsed="false">
      <c r="A482" s="198" t="s">
        <v>2070</v>
      </c>
      <c r="B482" s="199" t="s">
        <v>417</v>
      </c>
      <c r="C482" s="198" t="n">
        <v>82</v>
      </c>
      <c r="D482" s="198" t="n">
        <v>77694</v>
      </c>
      <c r="E482" s="198" t="s">
        <v>409</v>
      </c>
      <c r="F482" s="198" t="s">
        <v>376</v>
      </c>
      <c r="G482" s="198" t="s">
        <v>377</v>
      </c>
      <c r="H482" s="198" t="s">
        <v>2071</v>
      </c>
      <c r="I482" s="199"/>
      <c r="J482" s="198" t="s">
        <v>1516</v>
      </c>
      <c r="K482" s="198" t="s">
        <v>1435</v>
      </c>
      <c r="L482" s="234" t="n">
        <v>18630</v>
      </c>
      <c r="M482" s="234" t="n">
        <v>14170</v>
      </c>
      <c r="N482" s="234" t="n">
        <v>54.5</v>
      </c>
      <c r="O482" s="407" t="n">
        <v>4460</v>
      </c>
      <c r="P482" s="407" t="n">
        <v>2029.3</v>
      </c>
      <c r="Q482" s="234" t="n">
        <v>2024</v>
      </c>
      <c r="R482" s="234"/>
      <c r="S482" s="248" t="n">
        <v>45430</v>
      </c>
      <c r="T482" s="407" t="n">
        <f aca="false">Таблица18[[#This Row],[Вес нетто]]-Таблица18[[#This Row],[Зачетный вес]]</f>
        <v>2430.7</v>
      </c>
      <c r="U482" s="409" t="n">
        <f aca="false">Таблица18[[#This Row],[Отход]]/Таблица18[[#This Row],[Вес нетто]]</f>
        <v>0.545</v>
      </c>
      <c r="V482" s="234" t="n">
        <f aca="false">MONTH(Таблица18[[#This Row],[Дата акта]])</f>
        <v>5</v>
      </c>
      <c r="W482" s="234" t="n">
        <v>18</v>
      </c>
      <c r="X482" s="248" t="n">
        <f aca="false">DATE(1900,Таблица18[[#This Row],[Месяц]],Таблица18[[#This Row],[Число]])</f>
        <v>139</v>
      </c>
      <c r="Y482" s="234"/>
      <c r="AF482" s="411"/>
      <c r="AG482" s="412"/>
    </row>
    <row r="483" s="410" customFormat="true" ht="15" hidden="true" customHeight="true" outlineLevel="0" collapsed="false">
      <c r="A483" s="198" t="s">
        <v>2072</v>
      </c>
      <c r="B483" s="199" t="s">
        <v>417</v>
      </c>
      <c r="C483" s="198" t="n">
        <v>84</v>
      </c>
      <c r="D483" s="198" t="n">
        <v>77696</v>
      </c>
      <c r="E483" s="198" t="s">
        <v>409</v>
      </c>
      <c r="F483" s="198" t="s">
        <v>547</v>
      </c>
      <c r="G483" s="198" t="s">
        <v>551</v>
      </c>
      <c r="H483" s="198" t="s">
        <v>2071</v>
      </c>
      <c r="I483" s="199"/>
      <c r="J483" s="198" t="s">
        <v>1516</v>
      </c>
      <c r="K483" s="198" t="s">
        <v>1435</v>
      </c>
      <c r="L483" s="234" t="n">
        <v>29180</v>
      </c>
      <c r="M483" s="234" t="n">
        <v>21660</v>
      </c>
      <c r="N483" s="234" t="n">
        <v>36.5</v>
      </c>
      <c r="O483" s="407" t="n">
        <v>7520</v>
      </c>
      <c r="P483" s="407" t="n">
        <v>4775.2</v>
      </c>
      <c r="Q483" s="234" t="n">
        <v>2024</v>
      </c>
      <c r="R483" s="234"/>
      <c r="S483" s="248" t="n">
        <v>45432</v>
      </c>
      <c r="T483" s="407" t="n">
        <f aca="false">Таблица18[[#This Row],[Вес нетто]]-Таблица18[[#This Row],[Зачетный вес]]</f>
        <v>2744.8</v>
      </c>
      <c r="U483" s="409" t="n">
        <f aca="false">Таблица18[[#This Row],[Отход]]/Таблица18[[#This Row],[Вес нетто]]</f>
        <v>0.365</v>
      </c>
      <c r="V483" s="234" t="n">
        <f aca="false">MONTH(Таблица18[[#This Row],[Дата акта]])</f>
        <v>5</v>
      </c>
      <c r="W483" s="234" t="n">
        <v>20</v>
      </c>
      <c r="X483" s="248" t="n">
        <f aca="false">DATE(1900,Таблица18[[#This Row],[Месяц]],Таблица18[[#This Row],[Число]])</f>
        <v>141</v>
      </c>
      <c r="Y483" s="234"/>
      <c r="AF483" s="411"/>
      <c r="AG483" s="412"/>
    </row>
    <row r="484" s="410" customFormat="true" ht="15" hidden="true" customHeight="true" outlineLevel="0" collapsed="false">
      <c r="A484" s="198" t="s">
        <v>2073</v>
      </c>
      <c r="B484" s="199" t="s">
        <v>417</v>
      </c>
      <c r="C484" s="198" t="n">
        <v>85</v>
      </c>
      <c r="D484" s="198" t="n">
        <v>77696</v>
      </c>
      <c r="E484" s="198" t="s">
        <v>409</v>
      </c>
      <c r="F484" s="198" t="s">
        <v>547</v>
      </c>
      <c r="G484" s="198" t="s">
        <v>551</v>
      </c>
      <c r="H484" s="198" t="s">
        <v>2061</v>
      </c>
      <c r="I484" s="199"/>
      <c r="J484" s="198" t="s">
        <v>1516</v>
      </c>
      <c r="K484" s="198" t="s">
        <v>1435</v>
      </c>
      <c r="L484" s="234" t="n">
        <v>21660</v>
      </c>
      <c r="M484" s="234" t="n">
        <v>14550</v>
      </c>
      <c r="N484" s="234" t="n">
        <v>36</v>
      </c>
      <c r="O484" s="407" t="n">
        <v>7110</v>
      </c>
      <c r="P484" s="407" t="n">
        <v>4550.4</v>
      </c>
      <c r="Q484" s="234" t="n">
        <v>2024</v>
      </c>
      <c r="R484" s="234"/>
      <c r="S484" s="248" t="n">
        <v>45432</v>
      </c>
      <c r="T484" s="407" t="n">
        <f aca="false">Таблица18[[#This Row],[Вес нетто]]-Таблица18[[#This Row],[Зачетный вес]]</f>
        <v>2559.6</v>
      </c>
      <c r="U484" s="409" t="n">
        <f aca="false">Таблица18[[#This Row],[Отход]]/Таблица18[[#This Row],[Вес нетто]]</f>
        <v>0.36</v>
      </c>
      <c r="V484" s="234" t="n">
        <f aca="false">MONTH(Таблица18[[#This Row],[Дата акта]])</f>
        <v>5</v>
      </c>
      <c r="W484" s="234" t="n">
        <v>20</v>
      </c>
      <c r="X484" s="248" t="n">
        <f aca="false">DATE(1900,Таблица18[[#This Row],[Месяц]],Таблица18[[#This Row],[Число]])</f>
        <v>141</v>
      </c>
      <c r="Y484" s="234"/>
      <c r="AF484" s="411"/>
      <c r="AG484" s="412"/>
    </row>
    <row r="485" s="410" customFormat="true" ht="15" hidden="true" customHeight="true" outlineLevel="0" collapsed="false">
      <c r="A485" s="198" t="s">
        <v>2074</v>
      </c>
      <c r="B485" s="199" t="s">
        <v>417</v>
      </c>
      <c r="C485" s="198" t="n">
        <v>86</v>
      </c>
      <c r="D485" s="198" t="n">
        <v>77695</v>
      </c>
      <c r="E485" s="198" t="s">
        <v>409</v>
      </c>
      <c r="F485" s="198" t="s">
        <v>2075</v>
      </c>
      <c r="G485" s="198" t="s">
        <v>2076</v>
      </c>
      <c r="H485" s="198" t="s">
        <v>2071</v>
      </c>
      <c r="I485" s="199"/>
      <c r="J485" s="198" t="s">
        <v>1516</v>
      </c>
      <c r="K485" s="198" t="s">
        <v>1435</v>
      </c>
      <c r="L485" s="234" t="n">
        <v>29030</v>
      </c>
      <c r="M485" s="234" t="n">
        <v>14980</v>
      </c>
      <c r="N485" s="234" t="n">
        <v>51</v>
      </c>
      <c r="O485" s="407" t="n">
        <v>14050</v>
      </c>
      <c r="P485" s="407" t="n">
        <v>6884.5</v>
      </c>
      <c r="Q485" s="234" t="n">
        <v>2024</v>
      </c>
      <c r="R485" s="234"/>
      <c r="S485" s="248" t="n">
        <v>45432</v>
      </c>
      <c r="T485" s="407" t="n">
        <f aca="false">Таблица18[[#This Row],[Вес нетто]]-Таблица18[[#This Row],[Зачетный вес]]</f>
        <v>7165.5</v>
      </c>
      <c r="U485" s="409" t="n">
        <f aca="false">Таблица18[[#This Row],[Отход]]/Таблица18[[#This Row],[Вес нетто]]</f>
        <v>0.51</v>
      </c>
      <c r="V485" s="234" t="n">
        <f aca="false">MONTH(Таблица18[[#This Row],[Дата акта]])</f>
        <v>5</v>
      </c>
      <c r="W485" s="234" t="n">
        <v>20</v>
      </c>
      <c r="X485" s="248" t="n">
        <f aca="false">DATE(1900,Таблица18[[#This Row],[Месяц]],Таблица18[[#This Row],[Число]])</f>
        <v>141</v>
      </c>
      <c r="Y485" s="234"/>
      <c r="AF485" s="411"/>
      <c r="AG485" s="412"/>
    </row>
    <row r="486" s="410" customFormat="true" ht="15" hidden="true" customHeight="true" outlineLevel="0" collapsed="false">
      <c r="A486" s="198" t="s">
        <v>2077</v>
      </c>
      <c r="B486" s="199" t="s">
        <v>417</v>
      </c>
      <c r="C486" s="198" t="n">
        <v>87</v>
      </c>
      <c r="D486" s="198" t="n">
        <v>77700</v>
      </c>
      <c r="E486" s="198" t="s">
        <v>409</v>
      </c>
      <c r="F486" s="198" t="s">
        <v>2078</v>
      </c>
      <c r="G486" s="198" t="s">
        <v>557</v>
      </c>
      <c r="H486" s="198" t="s">
        <v>2071</v>
      </c>
      <c r="I486" s="199"/>
      <c r="J486" s="198" t="s">
        <v>1516</v>
      </c>
      <c r="K486" s="198" t="s">
        <v>1435</v>
      </c>
      <c r="L486" s="234" t="n">
        <v>29070</v>
      </c>
      <c r="M486" s="234" t="n">
        <v>14890</v>
      </c>
      <c r="N486" s="234" t="n">
        <v>43.5</v>
      </c>
      <c r="O486" s="407" t="n">
        <v>14180</v>
      </c>
      <c r="P486" s="407" t="n">
        <v>8011.7</v>
      </c>
      <c r="Q486" s="234" t="n">
        <v>2024</v>
      </c>
      <c r="R486" s="234"/>
      <c r="S486" s="248" t="n">
        <v>45432</v>
      </c>
      <c r="T486" s="407" t="n">
        <f aca="false">Таблица18[[#This Row],[Вес нетто]]-Таблица18[[#This Row],[Зачетный вес]]</f>
        <v>6168.3</v>
      </c>
      <c r="U486" s="409" t="n">
        <f aca="false">Таблица18[[#This Row],[Отход]]/Таблица18[[#This Row],[Вес нетто]]</f>
        <v>0.435</v>
      </c>
      <c r="V486" s="234" t="n">
        <f aca="false">MONTH(Таблица18[[#This Row],[Дата акта]])</f>
        <v>5</v>
      </c>
      <c r="W486" s="234" t="n">
        <v>20</v>
      </c>
      <c r="X486" s="248" t="n">
        <f aca="false">DATE(1900,Таблица18[[#This Row],[Месяц]],Таблица18[[#This Row],[Число]])</f>
        <v>141</v>
      </c>
      <c r="Y486" s="234"/>
      <c r="AF486" s="411"/>
      <c r="AG486" s="412"/>
    </row>
    <row r="487" s="410" customFormat="true" ht="15" hidden="true" customHeight="true" outlineLevel="0" collapsed="false">
      <c r="A487" s="198" t="s">
        <v>2079</v>
      </c>
      <c r="B487" s="199" t="s">
        <v>417</v>
      </c>
      <c r="C487" s="198" t="n">
        <v>88</v>
      </c>
      <c r="D487" s="198" t="n">
        <v>117501</v>
      </c>
      <c r="E487" s="198" t="s">
        <v>409</v>
      </c>
      <c r="F487" s="198" t="s">
        <v>1086</v>
      </c>
      <c r="G487" s="198" t="s">
        <v>1087</v>
      </c>
      <c r="H487" s="198" t="s">
        <v>2071</v>
      </c>
      <c r="I487" s="199"/>
      <c r="J487" s="198" t="s">
        <v>1516</v>
      </c>
      <c r="K487" s="198" t="s">
        <v>1435</v>
      </c>
      <c r="L487" s="234" t="n">
        <v>29460</v>
      </c>
      <c r="M487" s="234" t="n">
        <v>14870</v>
      </c>
      <c r="N487" s="234" t="n">
        <v>40.5</v>
      </c>
      <c r="O487" s="407" t="n">
        <v>14590</v>
      </c>
      <c r="P487" s="407" t="n">
        <v>8681</v>
      </c>
      <c r="Q487" s="234" t="n">
        <v>2024</v>
      </c>
      <c r="R487" s="234"/>
      <c r="S487" s="248" t="n">
        <v>45433</v>
      </c>
      <c r="T487" s="407" t="n">
        <f aca="false">Таблица18[[#This Row],[Вес нетто]]-Таблица18[[#This Row],[Зачетный вес]]</f>
        <v>5909</v>
      </c>
      <c r="U487" s="409" t="n">
        <f aca="false">Таблица18[[#This Row],[Отход]]/Таблица18[[#This Row],[Вес нетто]]</f>
        <v>0.405003427004798</v>
      </c>
      <c r="V487" s="234" t="n">
        <f aca="false">MONTH(Таблица18[[#This Row],[Дата акта]])</f>
        <v>5</v>
      </c>
      <c r="W487" s="234" t="n">
        <v>21</v>
      </c>
      <c r="X487" s="248" t="n">
        <f aca="false">DATE(1900,Таблица18[[#This Row],[Месяц]],Таблица18[[#This Row],[Число]])</f>
        <v>142</v>
      </c>
      <c r="Y487" s="234"/>
      <c r="AF487" s="411"/>
      <c r="AG487" s="412"/>
    </row>
    <row r="488" s="410" customFormat="true" ht="15" hidden="true" customHeight="true" outlineLevel="0" collapsed="false">
      <c r="A488" s="198" t="s">
        <v>2080</v>
      </c>
      <c r="B488" s="199" t="s">
        <v>417</v>
      </c>
      <c r="C488" s="198" t="n">
        <v>89</v>
      </c>
      <c r="D488" s="198" t="n">
        <v>117502</v>
      </c>
      <c r="E488" s="198" t="s">
        <v>409</v>
      </c>
      <c r="F488" s="198" t="s">
        <v>359</v>
      </c>
      <c r="G488" s="198" t="s">
        <v>426</v>
      </c>
      <c r="H488" s="198" t="s">
        <v>2061</v>
      </c>
      <c r="I488" s="199"/>
      <c r="J488" s="198" t="s">
        <v>1516</v>
      </c>
      <c r="K488" s="198" t="s">
        <v>1435</v>
      </c>
      <c r="L488" s="234" t="n">
        <v>27830</v>
      </c>
      <c r="M488" s="234" t="n">
        <v>20880</v>
      </c>
      <c r="N488" s="234" t="n">
        <v>34.5</v>
      </c>
      <c r="O488" s="407" t="n">
        <v>6950</v>
      </c>
      <c r="P488" s="407" t="n">
        <v>4552.2</v>
      </c>
      <c r="Q488" s="234" t="n">
        <v>2024</v>
      </c>
      <c r="R488" s="234"/>
      <c r="S488" s="248" t="n">
        <v>45433</v>
      </c>
      <c r="T488" s="407" t="n">
        <f aca="false">Таблица18[[#This Row],[Вес нетто]]-Таблица18[[#This Row],[Зачетный вес]]</f>
        <v>2397.8</v>
      </c>
      <c r="U488" s="409" t="n">
        <f aca="false">Таблица18[[#This Row],[Отход]]/Таблица18[[#This Row],[Вес нетто]]</f>
        <v>0.345007194244604</v>
      </c>
      <c r="V488" s="234" t="n">
        <f aca="false">MONTH(Таблица18[[#This Row],[Дата акта]])</f>
        <v>5</v>
      </c>
      <c r="W488" s="234" t="n">
        <v>21</v>
      </c>
      <c r="X488" s="248" t="n">
        <f aca="false">DATE(1900,Таблица18[[#This Row],[Месяц]],Таблица18[[#This Row],[Число]])</f>
        <v>142</v>
      </c>
      <c r="Y488" s="234"/>
      <c r="AF488" s="411"/>
      <c r="AG488" s="412"/>
    </row>
    <row r="489" s="410" customFormat="true" ht="15" hidden="true" customHeight="true" outlineLevel="0" collapsed="false">
      <c r="A489" s="198" t="s">
        <v>2081</v>
      </c>
      <c r="B489" s="199" t="s">
        <v>417</v>
      </c>
      <c r="C489" s="198" t="n">
        <v>90</v>
      </c>
      <c r="D489" s="198" t="n">
        <v>117502</v>
      </c>
      <c r="E489" s="198" t="s">
        <v>409</v>
      </c>
      <c r="F489" s="198" t="s">
        <v>359</v>
      </c>
      <c r="G489" s="198" t="s">
        <v>426</v>
      </c>
      <c r="H489" s="198" t="s">
        <v>2071</v>
      </c>
      <c r="I489" s="199"/>
      <c r="J489" s="198" t="s">
        <v>1516</v>
      </c>
      <c r="K489" s="198" t="s">
        <v>1435</v>
      </c>
      <c r="L489" s="234" t="n">
        <v>20880</v>
      </c>
      <c r="M489" s="234" t="n">
        <v>13920</v>
      </c>
      <c r="N489" s="234" t="n">
        <v>37.5</v>
      </c>
      <c r="O489" s="407" t="n">
        <v>6960</v>
      </c>
      <c r="P489" s="407" t="n">
        <v>4350</v>
      </c>
      <c r="Q489" s="234" t="n">
        <v>2024</v>
      </c>
      <c r="R489" s="234"/>
      <c r="S489" s="248" t="n">
        <v>45433</v>
      </c>
      <c r="T489" s="407" t="n">
        <f aca="false">Таблица18[[#This Row],[Вес нетто]]-Таблица18[[#This Row],[Зачетный вес]]</f>
        <v>2610</v>
      </c>
      <c r="U489" s="409" t="n">
        <f aca="false">Таблица18[[#This Row],[Отход]]/Таблица18[[#This Row],[Вес нетто]]</f>
        <v>0.375</v>
      </c>
      <c r="V489" s="234" t="n">
        <f aca="false">MONTH(Таблица18[[#This Row],[Дата акта]])</f>
        <v>5</v>
      </c>
      <c r="W489" s="234" t="n">
        <v>21</v>
      </c>
      <c r="X489" s="248" t="n">
        <f aca="false">DATE(1900,Таблица18[[#This Row],[Месяц]],Таблица18[[#This Row],[Число]])</f>
        <v>142</v>
      </c>
      <c r="Y489" s="234"/>
      <c r="AF489" s="411"/>
      <c r="AG489" s="412"/>
    </row>
    <row r="490" s="410" customFormat="true" ht="15" hidden="true" customHeight="true" outlineLevel="0" collapsed="false">
      <c r="A490" s="198" t="s">
        <v>2082</v>
      </c>
      <c r="B490" s="199" t="s">
        <v>417</v>
      </c>
      <c r="C490" s="198" t="n">
        <v>91</v>
      </c>
      <c r="D490" s="198" t="n">
        <v>117503</v>
      </c>
      <c r="E490" s="198" t="s">
        <v>409</v>
      </c>
      <c r="F490" s="198" t="s">
        <v>363</v>
      </c>
      <c r="G490" s="198" t="s">
        <v>364</v>
      </c>
      <c r="H490" s="198" t="s">
        <v>2061</v>
      </c>
      <c r="I490" s="199"/>
      <c r="J490" s="198" t="s">
        <v>1516</v>
      </c>
      <c r="K490" s="198" t="s">
        <v>1435</v>
      </c>
      <c r="L490" s="234" t="n">
        <v>29630</v>
      </c>
      <c r="M490" s="234" t="n">
        <v>14390</v>
      </c>
      <c r="N490" s="234" t="n">
        <v>43.5</v>
      </c>
      <c r="O490" s="407" t="n">
        <v>15240</v>
      </c>
      <c r="P490" s="407" t="n">
        <v>8610.6</v>
      </c>
      <c r="Q490" s="234" t="n">
        <v>2024</v>
      </c>
      <c r="R490" s="234"/>
      <c r="S490" s="248" t="n">
        <v>45433</v>
      </c>
      <c r="T490" s="407" t="n">
        <f aca="false">Таблица18[[#This Row],[Вес нетто]]-Таблица18[[#This Row],[Зачетный вес]]</f>
        <v>6629.4</v>
      </c>
      <c r="U490" s="409" t="n">
        <f aca="false">Таблица18[[#This Row],[Отход]]/Таблица18[[#This Row],[Вес нетто]]</f>
        <v>0.435</v>
      </c>
      <c r="V490" s="234" t="n">
        <f aca="false">MONTH(Таблица18[[#This Row],[Дата акта]])</f>
        <v>5</v>
      </c>
      <c r="W490" s="234" t="n">
        <v>21</v>
      </c>
      <c r="X490" s="248" t="n">
        <f aca="false">DATE(1900,Таблица18[[#This Row],[Месяц]],Таблица18[[#This Row],[Число]])</f>
        <v>142</v>
      </c>
      <c r="Y490" s="234"/>
      <c r="AF490" s="411"/>
      <c r="AG490" s="412"/>
    </row>
    <row r="491" s="410" customFormat="true" ht="15" hidden="true" customHeight="true" outlineLevel="0" collapsed="false">
      <c r="A491" s="198" t="s">
        <v>2083</v>
      </c>
      <c r="B491" s="199" t="s">
        <v>417</v>
      </c>
      <c r="C491" s="198" t="n">
        <v>92</v>
      </c>
      <c r="D491" s="198" t="n">
        <v>117504</v>
      </c>
      <c r="E491" s="198" t="s">
        <v>409</v>
      </c>
      <c r="F491" s="198" t="s">
        <v>2084</v>
      </c>
      <c r="G491" s="198" t="s">
        <v>2085</v>
      </c>
      <c r="H491" s="198" t="s">
        <v>2061</v>
      </c>
      <c r="I491" s="199"/>
      <c r="J491" s="198" t="s">
        <v>1516</v>
      </c>
      <c r="K491" s="198" t="s">
        <v>1435</v>
      </c>
      <c r="L491" s="234" t="n">
        <v>33770</v>
      </c>
      <c r="M491" s="234" t="n">
        <v>17330</v>
      </c>
      <c r="N491" s="234" t="n">
        <v>29.5</v>
      </c>
      <c r="O491" s="407" t="n">
        <v>16440</v>
      </c>
      <c r="P491" s="407" t="n">
        <v>11590.2</v>
      </c>
      <c r="Q491" s="234" t="n">
        <v>2024</v>
      </c>
      <c r="R491" s="234"/>
      <c r="S491" s="248" t="n">
        <v>45433</v>
      </c>
      <c r="T491" s="407" t="n">
        <f aca="false">Таблица18[[#This Row],[Вес нетто]]-Таблица18[[#This Row],[Зачетный вес]]</f>
        <v>4849.8</v>
      </c>
      <c r="U491" s="409" t="n">
        <f aca="false">Таблица18[[#This Row],[Отход]]/Таблица18[[#This Row],[Вес нетто]]</f>
        <v>0.295</v>
      </c>
      <c r="V491" s="234" t="n">
        <f aca="false">MONTH(Таблица18[[#This Row],[Дата акта]])</f>
        <v>5</v>
      </c>
      <c r="W491" s="234" t="n">
        <v>21</v>
      </c>
      <c r="X491" s="248" t="n">
        <f aca="false">DATE(1900,Таблица18[[#This Row],[Месяц]],Таблица18[[#This Row],[Число]])</f>
        <v>142</v>
      </c>
      <c r="Y491" s="234"/>
      <c r="AF491" s="411"/>
      <c r="AG491" s="412"/>
    </row>
    <row r="492" s="410" customFormat="true" ht="15" hidden="true" customHeight="true" outlineLevel="0" collapsed="false">
      <c r="A492" s="198" t="s">
        <v>2086</v>
      </c>
      <c r="B492" s="199" t="s">
        <v>417</v>
      </c>
      <c r="C492" s="198" t="n">
        <v>93</v>
      </c>
      <c r="D492" s="198" t="n">
        <v>117505</v>
      </c>
      <c r="E492" s="198" t="s">
        <v>409</v>
      </c>
      <c r="F492" s="198" t="s">
        <v>1576</v>
      </c>
      <c r="G492" s="198" t="s">
        <v>1455</v>
      </c>
      <c r="H492" s="198" t="s">
        <v>2061</v>
      </c>
      <c r="I492" s="199"/>
      <c r="J492" s="198" t="s">
        <v>1516</v>
      </c>
      <c r="K492" s="198" t="s">
        <v>1435</v>
      </c>
      <c r="L492" s="234" t="n">
        <v>28140</v>
      </c>
      <c r="M492" s="234" t="n">
        <v>14230</v>
      </c>
      <c r="N492" s="234" t="n">
        <v>35.5</v>
      </c>
      <c r="O492" s="407" t="n">
        <v>13910</v>
      </c>
      <c r="P492" s="407" t="n">
        <v>8971.9</v>
      </c>
      <c r="Q492" s="234" t="n">
        <v>2024</v>
      </c>
      <c r="R492" s="234"/>
      <c r="S492" s="248" t="n">
        <v>45433</v>
      </c>
      <c r="T492" s="407" t="n">
        <f aca="false">Таблица18[[#This Row],[Вес нетто]]-Таблица18[[#This Row],[Зачетный вес]]</f>
        <v>4938.1</v>
      </c>
      <c r="U492" s="409" t="n">
        <f aca="false">Таблица18[[#This Row],[Отход]]/Таблица18[[#This Row],[Вес нетто]]</f>
        <v>0.355003594536305</v>
      </c>
      <c r="V492" s="234" t="n">
        <f aca="false">MONTH(Таблица18[[#This Row],[Дата акта]])</f>
        <v>5</v>
      </c>
      <c r="W492" s="234" t="n">
        <v>21</v>
      </c>
      <c r="X492" s="248" t="n">
        <f aca="false">DATE(1900,Таблица18[[#This Row],[Месяц]],Таблица18[[#This Row],[Число]])</f>
        <v>142</v>
      </c>
      <c r="Y492" s="234"/>
      <c r="AF492" s="411"/>
      <c r="AG492" s="412"/>
    </row>
    <row r="493" s="410" customFormat="true" ht="15" hidden="true" customHeight="true" outlineLevel="0" collapsed="false">
      <c r="A493" s="198" t="s">
        <v>2087</v>
      </c>
      <c r="B493" s="199" t="s">
        <v>417</v>
      </c>
      <c r="C493" s="198" t="n">
        <v>94</v>
      </c>
      <c r="D493" s="198" t="n">
        <v>1</v>
      </c>
      <c r="E493" s="198" t="s">
        <v>422</v>
      </c>
      <c r="F493" s="198" t="s">
        <v>376</v>
      </c>
      <c r="G493" s="198" t="s">
        <v>377</v>
      </c>
      <c r="H493" s="198" t="s">
        <v>2088</v>
      </c>
      <c r="I493" s="199"/>
      <c r="J493" s="198" t="s">
        <v>252</v>
      </c>
      <c r="K493" s="198" t="s">
        <v>1435</v>
      </c>
      <c r="L493" s="234" t="n">
        <v>14120</v>
      </c>
      <c r="M493" s="234" t="n">
        <v>9640</v>
      </c>
      <c r="N493" s="234" t="n">
        <v>40.5</v>
      </c>
      <c r="O493" s="407" t="n">
        <v>4480</v>
      </c>
      <c r="P493" s="407" t="n">
        <v>2665.6</v>
      </c>
      <c r="Q493" s="234" t="n">
        <v>2024</v>
      </c>
      <c r="R493" s="234"/>
      <c r="S493" s="248" t="n">
        <v>45433</v>
      </c>
      <c r="T493" s="407" t="n">
        <f aca="false">Таблица18[[#This Row],[Вес нетто]]-Таблица18[[#This Row],[Зачетный вес]]</f>
        <v>1814.4</v>
      </c>
      <c r="U493" s="409" t="n">
        <f aca="false">Таблица18[[#This Row],[Отход]]/Таблица18[[#This Row],[Вес нетто]]</f>
        <v>0.405</v>
      </c>
      <c r="V493" s="234" t="n">
        <f aca="false">MONTH(Таблица18[[#This Row],[Дата акта]])</f>
        <v>5</v>
      </c>
      <c r="W493" s="234" t="n">
        <v>21</v>
      </c>
      <c r="X493" s="248" t="n">
        <f aca="false">DATE(1900,Таблица18[[#This Row],[Месяц]],Таблица18[[#This Row],[Число]])</f>
        <v>142</v>
      </c>
      <c r="Y493" s="234"/>
      <c r="AF493" s="411"/>
      <c r="AG493" s="412"/>
    </row>
    <row r="494" s="410" customFormat="true" ht="15" hidden="true" customHeight="true" outlineLevel="0" collapsed="false">
      <c r="A494" s="198" t="s">
        <v>2089</v>
      </c>
      <c r="B494" s="199" t="s">
        <v>417</v>
      </c>
      <c r="C494" s="198" t="n">
        <v>95</v>
      </c>
      <c r="D494" s="198" t="n">
        <v>117510</v>
      </c>
      <c r="E494" s="198" t="s">
        <v>409</v>
      </c>
      <c r="F494" s="198" t="s">
        <v>386</v>
      </c>
      <c r="G494" s="198" t="s">
        <v>387</v>
      </c>
      <c r="H494" s="198" t="s">
        <v>2090</v>
      </c>
      <c r="I494" s="199"/>
      <c r="J494" s="198" t="s">
        <v>68</v>
      </c>
      <c r="K494" s="198" t="s">
        <v>1435</v>
      </c>
      <c r="L494" s="234" t="n">
        <v>28980</v>
      </c>
      <c r="M494" s="234" t="n">
        <v>22350</v>
      </c>
      <c r="N494" s="234" t="n">
        <v>38.5</v>
      </c>
      <c r="O494" s="407" t="n">
        <v>6630</v>
      </c>
      <c r="P494" s="407" t="n">
        <v>4077.4</v>
      </c>
      <c r="Q494" s="234" t="n">
        <v>2024</v>
      </c>
      <c r="R494" s="234"/>
      <c r="S494" s="248" t="n">
        <v>45433</v>
      </c>
      <c r="T494" s="407" t="n">
        <f aca="false">Таблица18[[#This Row],[Вес нетто]]-Таблица18[[#This Row],[Зачетный вес]]</f>
        <v>2552.6</v>
      </c>
      <c r="U494" s="409" t="n">
        <f aca="false">Таблица18[[#This Row],[Отход]]/Таблица18[[#This Row],[Вес нетто]]</f>
        <v>0.38500754147813</v>
      </c>
      <c r="V494" s="234" t="n">
        <f aca="false">MONTH(Таблица18[[#This Row],[Дата акта]])</f>
        <v>5</v>
      </c>
      <c r="W494" s="234" t="n">
        <v>21</v>
      </c>
      <c r="X494" s="248" t="n">
        <f aca="false">DATE(1900,Таблица18[[#This Row],[Месяц]],Таблица18[[#This Row],[Число]])</f>
        <v>142</v>
      </c>
      <c r="Y494" s="234"/>
      <c r="AF494" s="411"/>
      <c r="AG494" s="412"/>
    </row>
    <row r="495" s="410" customFormat="true" ht="15" hidden="true" customHeight="true" outlineLevel="0" collapsed="false">
      <c r="A495" s="198" t="s">
        <v>2091</v>
      </c>
      <c r="B495" s="199" t="s">
        <v>417</v>
      </c>
      <c r="C495" s="198" t="n">
        <v>96</v>
      </c>
      <c r="D495" s="198" t="n">
        <v>117510</v>
      </c>
      <c r="E495" s="198" t="s">
        <v>409</v>
      </c>
      <c r="F495" s="198" t="s">
        <v>386</v>
      </c>
      <c r="G495" s="198" t="s">
        <v>387</v>
      </c>
      <c r="H495" s="198" t="s">
        <v>2061</v>
      </c>
      <c r="I495" s="199"/>
      <c r="J495" s="198" t="s">
        <v>1516</v>
      </c>
      <c r="K495" s="198" t="s">
        <v>1435</v>
      </c>
      <c r="L495" s="234" t="n">
        <v>22350</v>
      </c>
      <c r="M495" s="234" t="n">
        <v>15140</v>
      </c>
      <c r="N495" s="234" t="n">
        <v>43</v>
      </c>
      <c r="O495" s="407" t="n">
        <v>7210</v>
      </c>
      <c r="P495" s="407" t="n">
        <v>4109.7</v>
      </c>
      <c r="Q495" s="234" t="n">
        <v>2024</v>
      </c>
      <c r="R495" s="234"/>
      <c r="S495" s="248" t="n">
        <v>45433</v>
      </c>
      <c r="T495" s="407" t="n">
        <f aca="false">Таблица18[[#This Row],[Вес нетто]]-Таблица18[[#This Row],[Зачетный вес]]</f>
        <v>3100.3</v>
      </c>
      <c r="U495" s="409" t="n">
        <f aca="false">Таблица18[[#This Row],[Отход]]/Таблица18[[#This Row],[Вес нетто]]</f>
        <v>0.43</v>
      </c>
      <c r="V495" s="234" t="n">
        <f aca="false">MONTH(Таблица18[[#This Row],[Дата акта]])</f>
        <v>5</v>
      </c>
      <c r="W495" s="234" t="n">
        <v>21</v>
      </c>
      <c r="X495" s="248" t="n">
        <f aca="false">DATE(1900,Таблица18[[#This Row],[Месяц]],Таблица18[[#This Row],[Число]])</f>
        <v>142</v>
      </c>
      <c r="Y495" s="234"/>
      <c r="AF495" s="411"/>
      <c r="AG495" s="412"/>
    </row>
    <row r="496" s="410" customFormat="true" ht="15" hidden="true" customHeight="true" outlineLevel="0" collapsed="false">
      <c r="A496" s="198" t="s">
        <v>2092</v>
      </c>
      <c r="B496" s="199" t="s">
        <v>417</v>
      </c>
      <c r="C496" s="198" t="n">
        <v>97</v>
      </c>
      <c r="D496" s="198" t="n">
        <v>117512</v>
      </c>
      <c r="E496" s="198" t="s">
        <v>409</v>
      </c>
      <c r="F496" s="198" t="s">
        <v>2075</v>
      </c>
      <c r="G496" s="198" t="s">
        <v>2076</v>
      </c>
      <c r="H496" s="198" t="s">
        <v>2061</v>
      </c>
      <c r="I496" s="199"/>
      <c r="J496" s="198" t="s">
        <v>1516</v>
      </c>
      <c r="K496" s="198" t="s">
        <v>1435</v>
      </c>
      <c r="L496" s="234" t="n">
        <v>28850</v>
      </c>
      <c r="M496" s="234" t="n">
        <v>14910</v>
      </c>
      <c r="N496" s="234" t="n">
        <v>33</v>
      </c>
      <c r="O496" s="407" t="n">
        <v>13940</v>
      </c>
      <c r="P496" s="407" t="n">
        <v>9339.8</v>
      </c>
      <c r="Q496" s="234" t="n">
        <v>2024</v>
      </c>
      <c r="R496" s="234"/>
      <c r="S496" s="248" t="n">
        <v>45433</v>
      </c>
      <c r="T496" s="407" t="n">
        <f aca="false">Таблица18[[#This Row],[Вес нетто]]-Таблица18[[#This Row],[Зачетный вес]]</f>
        <v>4600.2</v>
      </c>
      <c r="U496" s="409" t="n">
        <f aca="false">Таблица18[[#This Row],[Отход]]/Таблица18[[#This Row],[Вес нетто]]</f>
        <v>0.33</v>
      </c>
      <c r="V496" s="234" t="n">
        <f aca="false">MONTH(Таблица18[[#This Row],[Дата акта]])</f>
        <v>5</v>
      </c>
      <c r="W496" s="234" t="n">
        <v>21</v>
      </c>
      <c r="X496" s="248" t="n">
        <f aca="false">DATE(1900,Таблица18[[#This Row],[Месяц]],Таблица18[[#This Row],[Число]])</f>
        <v>142</v>
      </c>
      <c r="Y496" s="234"/>
      <c r="AF496" s="411"/>
      <c r="AG496" s="412"/>
    </row>
    <row r="497" s="410" customFormat="true" ht="15" hidden="true" customHeight="true" outlineLevel="0" collapsed="false">
      <c r="A497" s="198" t="s">
        <v>2093</v>
      </c>
      <c r="B497" s="199" t="s">
        <v>417</v>
      </c>
      <c r="C497" s="198" t="n">
        <v>98</v>
      </c>
      <c r="D497" s="198" t="n">
        <v>2</v>
      </c>
      <c r="E497" s="198" t="s">
        <v>422</v>
      </c>
      <c r="F497" s="198" t="s">
        <v>376</v>
      </c>
      <c r="G497" s="198" t="s">
        <v>377</v>
      </c>
      <c r="H497" s="198" t="s">
        <v>2088</v>
      </c>
      <c r="I497" s="199"/>
      <c r="J497" s="198" t="s">
        <v>252</v>
      </c>
      <c r="K497" s="198" t="s">
        <v>1435</v>
      </c>
      <c r="L497" s="234" t="n">
        <v>14010</v>
      </c>
      <c r="M497" s="234" t="n">
        <v>9620</v>
      </c>
      <c r="N497" s="234" t="n">
        <v>25</v>
      </c>
      <c r="O497" s="407" t="n">
        <v>4390</v>
      </c>
      <c r="P497" s="407" t="n">
        <v>3292.5</v>
      </c>
      <c r="Q497" s="234" t="n">
        <v>2024</v>
      </c>
      <c r="R497" s="234"/>
      <c r="S497" s="248" t="n">
        <v>45433</v>
      </c>
      <c r="T497" s="407" t="n">
        <f aca="false">Таблица18[[#This Row],[Вес нетто]]-Таблица18[[#This Row],[Зачетный вес]]</f>
        <v>1097.5</v>
      </c>
      <c r="U497" s="409" t="n">
        <f aca="false">Таблица18[[#This Row],[Отход]]/Таблица18[[#This Row],[Вес нетто]]</f>
        <v>0.25</v>
      </c>
      <c r="V497" s="234" t="n">
        <f aca="false">MONTH(Таблица18[[#This Row],[Дата акта]])</f>
        <v>5</v>
      </c>
      <c r="W497" s="234" t="n">
        <v>21</v>
      </c>
      <c r="X497" s="248" t="n">
        <f aca="false">DATE(1900,Таблица18[[#This Row],[Месяц]],Таблица18[[#This Row],[Число]])</f>
        <v>142</v>
      </c>
      <c r="Y497" s="234"/>
      <c r="AF497" s="411"/>
      <c r="AG497" s="412"/>
    </row>
    <row r="498" s="410" customFormat="true" ht="15" hidden="true" customHeight="true" outlineLevel="0" collapsed="false">
      <c r="A498" s="198" t="s">
        <v>2094</v>
      </c>
      <c r="B498" s="199" t="s">
        <v>417</v>
      </c>
      <c r="C498" s="198" t="n">
        <v>99</v>
      </c>
      <c r="D498" s="198" t="n">
        <v>117514</v>
      </c>
      <c r="E498" s="198" t="s">
        <v>409</v>
      </c>
      <c r="F498" s="198" t="s">
        <v>547</v>
      </c>
      <c r="G498" s="198" t="s">
        <v>551</v>
      </c>
      <c r="H498" s="198" t="s">
        <v>2061</v>
      </c>
      <c r="I498" s="199"/>
      <c r="J498" s="198" t="s">
        <v>1516</v>
      </c>
      <c r="K498" s="198" t="s">
        <v>1435</v>
      </c>
      <c r="L498" s="234" t="n">
        <v>28360</v>
      </c>
      <c r="M498" s="234" t="n">
        <v>14550</v>
      </c>
      <c r="N498" s="234" t="n">
        <v>41.5</v>
      </c>
      <c r="O498" s="407" t="n">
        <v>13810</v>
      </c>
      <c r="P498" s="407" t="n">
        <v>8078.8</v>
      </c>
      <c r="Q498" s="234" t="n">
        <v>2024</v>
      </c>
      <c r="R498" s="234"/>
      <c r="S498" s="248" t="n">
        <v>45434</v>
      </c>
      <c r="T498" s="407" t="n">
        <f aca="false">Таблица18[[#This Row],[Вес нетто]]-Таблица18[[#This Row],[Зачетный вес]]</f>
        <v>5731.2</v>
      </c>
      <c r="U498" s="409" t="n">
        <f aca="false">Таблица18[[#This Row],[Отход]]/Таблица18[[#This Row],[Вес нетто]]</f>
        <v>0.415003620564808</v>
      </c>
      <c r="V498" s="234" t="n">
        <f aca="false">MONTH(Таблица18[[#This Row],[Дата акта]])</f>
        <v>5</v>
      </c>
      <c r="W498" s="234" t="n">
        <v>22</v>
      </c>
      <c r="X498" s="248" t="n">
        <f aca="false">DATE(1900,Таблица18[[#This Row],[Месяц]],Таблица18[[#This Row],[Число]])</f>
        <v>143</v>
      </c>
      <c r="Y498" s="234"/>
      <c r="AF498" s="411"/>
      <c r="AG498" s="412"/>
    </row>
    <row r="499" s="410" customFormat="true" ht="15" hidden="true" customHeight="true" outlineLevel="0" collapsed="false">
      <c r="A499" s="198" t="s">
        <v>2095</v>
      </c>
      <c r="B499" s="199" t="s">
        <v>417</v>
      </c>
      <c r="C499" s="198" t="n">
        <v>100</v>
      </c>
      <c r="D499" s="198" t="n">
        <v>117515</v>
      </c>
      <c r="E499" s="198" t="s">
        <v>409</v>
      </c>
      <c r="F499" s="198" t="s">
        <v>1086</v>
      </c>
      <c r="G499" s="198" t="s">
        <v>1087</v>
      </c>
      <c r="H499" s="198" t="s">
        <v>2061</v>
      </c>
      <c r="I499" s="199"/>
      <c r="J499" s="198" t="s">
        <v>1516</v>
      </c>
      <c r="K499" s="198" t="s">
        <v>1435</v>
      </c>
      <c r="L499" s="234" t="n">
        <v>28480</v>
      </c>
      <c r="M499" s="234" t="n">
        <v>14730</v>
      </c>
      <c r="N499" s="234" t="n">
        <v>38</v>
      </c>
      <c r="O499" s="407" t="n">
        <v>13750</v>
      </c>
      <c r="P499" s="407" t="n">
        <v>8525</v>
      </c>
      <c r="Q499" s="234" t="n">
        <v>2024</v>
      </c>
      <c r="R499" s="234"/>
      <c r="S499" s="248" t="n">
        <v>45434</v>
      </c>
      <c r="T499" s="407" t="n">
        <f aca="false">Таблица18[[#This Row],[Вес нетто]]-Таблица18[[#This Row],[Зачетный вес]]</f>
        <v>5225</v>
      </c>
      <c r="U499" s="409" t="n">
        <f aca="false">Таблица18[[#This Row],[Отход]]/Таблица18[[#This Row],[Вес нетто]]</f>
        <v>0.38</v>
      </c>
      <c r="V499" s="234" t="n">
        <f aca="false">MONTH(Таблица18[[#This Row],[Дата акта]])</f>
        <v>5</v>
      </c>
      <c r="W499" s="234" t="n">
        <v>22</v>
      </c>
      <c r="X499" s="248" t="n">
        <f aca="false">DATE(1900,Таблица18[[#This Row],[Месяц]],Таблица18[[#This Row],[Число]])</f>
        <v>143</v>
      </c>
      <c r="Y499" s="234"/>
      <c r="AF499" s="411"/>
      <c r="AG499" s="412"/>
    </row>
    <row r="500" s="410" customFormat="true" ht="15" hidden="true" customHeight="true" outlineLevel="0" collapsed="false">
      <c r="A500" s="198" t="s">
        <v>2096</v>
      </c>
      <c r="B500" s="199" t="s">
        <v>417</v>
      </c>
      <c r="C500" s="198" t="n">
        <v>101</v>
      </c>
      <c r="D500" s="198" t="n">
        <v>3</v>
      </c>
      <c r="E500" s="198" t="s">
        <v>422</v>
      </c>
      <c r="F500" s="198" t="s">
        <v>376</v>
      </c>
      <c r="G500" s="198" t="s">
        <v>377</v>
      </c>
      <c r="H500" s="198" t="s">
        <v>2088</v>
      </c>
      <c r="I500" s="199"/>
      <c r="J500" s="198" t="s">
        <v>252</v>
      </c>
      <c r="K500" s="198" t="s">
        <v>1435</v>
      </c>
      <c r="L500" s="234" t="n">
        <v>14130</v>
      </c>
      <c r="M500" s="234" t="n">
        <v>9610</v>
      </c>
      <c r="N500" s="234" t="n">
        <v>22</v>
      </c>
      <c r="O500" s="407" t="n">
        <v>4520</v>
      </c>
      <c r="P500" s="407" t="n">
        <v>3525.6</v>
      </c>
      <c r="Q500" s="234" t="n">
        <v>2024</v>
      </c>
      <c r="R500" s="234"/>
      <c r="S500" s="248" t="n">
        <v>45434</v>
      </c>
      <c r="T500" s="407" t="n">
        <f aca="false">Таблица18[[#This Row],[Вес нетто]]-Таблица18[[#This Row],[Зачетный вес]]</f>
        <v>994.4</v>
      </c>
      <c r="U500" s="409" t="n">
        <f aca="false">Таблица18[[#This Row],[Отход]]/Таблица18[[#This Row],[Вес нетто]]</f>
        <v>0.22</v>
      </c>
      <c r="V500" s="234" t="n">
        <f aca="false">MONTH(Таблица18[[#This Row],[Дата акта]])</f>
        <v>5</v>
      </c>
      <c r="W500" s="234" t="n">
        <v>22</v>
      </c>
      <c r="X500" s="248" t="n">
        <f aca="false">DATE(1900,Таблица18[[#This Row],[Месяц]],Таблица18[[#This Row],[Число]])</f>
        <v>143</v>
      </c>
      <c r="Y500" s="234"/>
      <c r="AF500" s="411"/>
      <c r="AG500" s="412"/>
    </row>
    <row r="501" s="410" customFormat="true" ht="15" hidden="true" customHeight="true" outlineLevel="0" collapsed="false">
      <c r="A501" s="198" t="s">
        <v>2097</v>
      </c>
      <c r="B501" s="199" t="s">
        <v>417</v>
      </c>
      <c r="C501" s="198" t="n">
        <v>102</v>
      </c>
      <c r="D501" s="198" t="n">
        <v>117516</v>
      </c>
      <c r="E501" s="198" t="s">
        <v>409</v>
      </c>
      <c r="F501" s="198" t="s">
        <v>1797</v>
      </c>
      <c r="G501" s="198" t="s">
        <v>385</v>
      </c>
      <c r="H501" s="198" t="s">
        <v>2061</v>
      </c>
      <c r="I501" s="199"/>
      <c r="J501" s="198" t="s">
        <v>1516</v>
      </c>
      <c r="K501" s="198" t="s">
        <v>1435</v>
      </c>
      <c r="L501" s="234" t="n">
        <v>28180</v>
      </c>
      <c r="M501" s="234" t="n">
        <v>14360</v>
      </c>
      <c r="N501" s="234" t="n">
        <v>38</v>
      </c>
      <c r="O501" s="407" t="n">
        <v>13820</v>
      </c>
      <c r="P501" s="407" t="n">
        <v>8568.4</v>
      </c>
      <c r="Q501" s="234" t="n">
        <v>2024</v>
      </c>
      <c r="R501" s="234"/>
      <c r="S501" s="248" t="n">
        <v>45434</v>
      </c>
      <c r="T501" s="407" t="n">
        <f aca="false">Таблица18[[#This Row],[Вес нетто]]-Таблица18[[#This Row],[Зачетный вес]]</f>
        <v>5251.6</v>
      </c>
      <c r="U501" s="409" t="n">
        <f aca="false">Таблица18[[#This Row],[Отход]]/Таблица18[[#This Row],[Вес нетто]]</f>
        <v>0.38</v>
      </c>
      <c r="V501" s="234" t="n">
        <f aca="false">MONTH(Таблица18[[#This Row],[Дата акта]])</f>
        <v>5</v>
      </c>
      <c r="W501" s="234" t="n">
        <v>22</v>
      </c>
      <c r="X501" s="248" t="n">
        <f aca="false">DATE(1900,Таблица18[[#This Row],[Месяц]],Таблица18[[#This Row],[Число]])</f>
        <v>143</v>
      </c>
      <c r="Y501" s="234"/>
      <c r="AF501" s="411"/>
      <c r="AG501" s="412"/>
    </row>
    <row r="502" s="410" customFormat="true" ht="15" hidden="true" customHeight="true" outlineLevel="0" collapsed="false">
      <c r="A502" s="198" t="s">
        <v>2098</v>
      </c>
      <c r="B502" s="199" t="s">
        <v>417</v>
      </c>
      <c r="C502" s="198" t="n">
        <v>103</v>
      </c>
      <c r="D502" s="198" t="n">
        <v>117517</v>
      </c>
      <c r="E502" s="198" t="s">
        <v>409</v>
      </c>
      <c r="F502" s="198" t="s">
        <v>1863</v>
      </c>
      <c r="G502" s="198" t="s">
        <v>1864</v>
      </c>
      <c r="H502" s="198" t="s">
        <v>2090</v>
      </c>
      <c r="I502" s="199"/>
      <c r="J502" s="198" t="s">
        <v>68</v>
      </c>
      <c r="K502" s="198" t="s">
        <v>1435</v>
      </c>
      <c r="L502" s="234" t="n">
        <v>29260</v>
      </c>
      <c r="M502" s="234" t="n">
        <v>15640</v>
      </c>
      <c r="N502" s="234" t="n">
        <v>32.5</v>
      </c>
      <c r="O502" s="407" t="n">
        <v>13620</v>
      </c>
      <c r="P502" s="407" t="n">
        <v>9193.5</v>
      </c>
      <c r="Q502" s="234" t="n">
        <v>2024</v>
      </c>
      <c r="R502" s="234"/>
      <c r="S502" s="248" t="n">
        <v>45434</v>
      </c>
      <c r="T502" s="407" t="n">
        <f aca="false">Таблица18[[#This Row],[Вес нетто]]-Таблица18[[#This Row],[Зачетный вес]]</f>
        <v>4426.5</v>
      </c>
      <c r="U502" s="409" t="n">
        <f aca="false">Таблица18[[#This Row],[Отход]]/Таблица18[[#This Row],[Вес нетто]]</f>
        <v>0.325</v>
      </c>
      <c r="V502" s="234" t="n">
        <f aca="false">MONTH(Таблица18[[#This Row],[Дата акта]])</f>
        <v>5</v>
      </c>
      <c r="W502" s="234" t="n">
        <v>22</v>
      </c>
      <c r="X502" s="248" t="n">
        <f aca="false">DATE(1900,Таблица18[[#This Row],[Месяц]],Таблица18[[#This Row],[Число]])</f>
        <v>143</v>
      </c>
      <c r="Y502" s="234"/>
      <c r="AF502" s="411"/>
      <c r="AG502" s="412"/>
    </row>
    <row r="503" s="410" customFormat="true" ht="15" hidden="true" customHeight="true" outlineLevel="0" collapsed="false">
      <c r="A503" s="198" t="s">
        <v>2099</v>
      </c>
      <c r="B503" s="199" t="s">
        <v>417</v>
      </c>
      <c r="C503" s="198" t="n">
        <v>104</v>
      </c>
      <c r="D503" s="198" t="n">
        <v>117518</v>
      </c>
      <c r="E503" s="198" t="s">
        <v>409</v>
      </c>
      <c r="F503" s="198" t="s">
        <v>1866</v>
      </c>
      <c r="G503" s="198" t="s">
        <v>1867</v>
      </c>
      <c r="H503" s="198" t="s">
        <v>2090</v>
      </c>
      <c r="I503" s="199"/>
      <c r="J503" s="198" t="s">
        <v>68</v>
      </c>
      <c r="K503" s="198" t="s">
        <v>1435</v>
      </c>
      <c r="L503" s="234" t="n">
        <v>28120</v>
      </c>
      <c r="M503" s="234" t="n">
        <v>14630</v>
      </c>
      <c r="N503" s="234" t="n">
        <v>35.5</v>
      </c>
      <c r="O503" s="407" t="n">
        <v>13490</v>
      </c>
      <c r="P503" s="407" t="n">
        <v>8701</v>
      </c>
      <c r="Q503" s="234" t="n">
        <v>2024</v>
      </c>
      <c r="R503" s="234"/>
      <c r="S503" s="248" t="n">
        <v>45434</v>
      </c>
      <c r="T503" s="407" t="n">
        <f aca="false">Таблица18[[#This Row],[Вес нетто]]-Таблица18[[#This Row],[Зачетный вес]]</f>
        <v>4789</v>
      </c>
      <c r="U503" s="409" t="n">
        <f aca="false">Таблица18[[#This Row],[Отход]]/Таблица18[[#This Row],[Вес нетто]]</f>
        <v>0.355003706449222</v>
      </c>
      <c r="V503" s="234" t="n">
        <f aca="false">MONTH(Таблица18[[#This Row],[Дата акта]])</f>
        <v>5</v>
      </c>
      <c r="W503" s="234" t="n">
        <v>22</v>
      </c>
      <c r="X503" s="248" t="n">
        <f aca="false">DATE(1900,Таблица18[[#This Row],[Месяц]],Таблица18[[#This Row],[Число]])</f>
        <v>143</v>
      </c>
      <c r="Y503" s="234"/>
      <c r="AF503" s="411"/>
      <c r="AG503" s="412"/>
    </row>
    <row r="504" s="410" customFormat="true" ht="15" hidden="true" customHeight="true" outlineLevel="0" collapsed="false">
      <c r="A504" s="198" t="s">
        <v>2100</v>
      </c>
      <c r="B504" s="199" t="s">
        <v>417</v>
      </c>
      <c r="C504" s="198" t="n">
        <v>106</v>
      </c>
      <c r="D504" s="198" t="n">
        <v>117519</v>
      </c>
      <c r="E504" s="198" t="s">
        <v>409</v>
      </c>
      <c r="F504" s="198" t="s">
        <v>359</v>
      </c>
      <c r="G504" s="198" t="s">
        <v>426</v>
      </c>
      <c r="H504" s="198" t="s">
        <v>2090</v>
      </c>
      <c r="I504" s="199"/>
      <c r="J504" s="198" t="s">
        <v>68</v>
      </c>
      <c r="K504" s="198" t="s">
        <v>1435</v>
      </c>
      <c r="L504" s="234" t="n">
        <v>27770</v>
      </c>
      <c r="M504" s="234" t="n">
        <v>13920</v>
      </c>
      <c r="N504" s="234" t="n">
        <v>31.5</v>
      </c>
      <c r="O504" s="407" t="n">
        <v>13850</v>
      </c>
      <c r="P504" s="407" t="n">
        <v>9487.2</v>
      </c>
      <c r="Q504" s="234" t="n">
        <v>2024</v>
      </c>
      <c r="R504" s="234"/>
      <c r="S504" s="248" t="n">
        <v>45434</v>
      </c>
      <c r="T504" s="407" t="n">
        <f aca="false">Таблица18[[#This Row],[Вес нетто]]-Таблица18[[#This Row],[Зачетный вес]]</f>
        <v>4362.8</v>
      </c>
      <c r="U504" s="409" t="n">
        <f aca="false">Таблица18[[#This Row],[Отход]]/Таблица18[[#This Row],[Вес нетто]]</f>
        <v>0.315003610108303</v>
      </c>
      <c r="V504" s="234" t="n">
        <f aca="false">MONTH(Таблица18[[#This Row],[Дата акта]])</f>
        <v>5</v>
      </c>
      <c r="W504" s="234" t="n">
        <v>22</v>
      </c>
      <c r="X504" s="248" t="n">
        <f aca="false">DATE(1900,Таблица18[[#This Row],[Месяц]],Таблица18[[#This Row],[Число]])</f>
        <v>143</v>
      </c>
      <c r="Y504" s="234"/>
      <c r="AF504" s="411"/>
      <c r="AG504" s="412"/>
    </row>
    <row r="505" s="410" customFormat="true" ht="15" hidden="true" customHeight="true" outlineLevel="0" collapsed="false">
      <c r="A505" s="198" t="s">
        <v>2101</v>
      </c>
      <c r="B505" s="199" t="s">
        <v>417</v>
      </c>
      <c r="C505" s="198" t="n">
        <v>108</v>
      </c>
      <c r="D505" s="198" t="n">
        <v>117522</v>
      </c>
      <c r="E505" s="198" t="s">
        <v>409</v>
      </c>
      <c r="F505" s="198" t="s">
        <v>1485</v>
      </c>
      <c r="G505" s="198" t="s">
        <v>431</v>
      </c>
      <c r="H505" s="198" t="s">
        <v>2090</v>
      </c>
      <c r="I505" s="199"/>
      <c r="J505" s="198" t="s">
        <v>68</v>
      </c>
      <c r="K505" s="198" t="s">
        <v>1435</v>
      </c>
      <c r="L505" s="234" t="n">
        <v>39750</v>
      </c>
      <c r="M505" s="234" t="n">
        <v>28210</v>
      </c>
      <c r="N505" s="234" t="n">
        <v>31</v>
      </c>
      <c r="O505" s="407" t="n">
        <v>11540</v>
      </c>
      <c r="P505" s="407" t="n">
        <v>7962.6</v>
      </c>
      <c r="Q505" s="234" t="n">
        <v>2024</v>
      </c>
      <c r="R505" s="234"/>
      <c r="S505" s="248" t="n">
        <v>45434</v>
      </c>
      <c r="T505" s="407" t="n">
        <f aca="false">Таблица18[[#This Row],[Вес нетто]]-Таблица18[[#This Row],[Зачетный вес]]</f>
        <v>3577.4</v>
      </c>
      <c r="U505" s="409" t="n">
        <f aca="false">Таблица18[[#This Row],[Отход]]/Таблица18[[#This Row],[Вес нетто]]</f>
        <v>0.31</v>
      </c>
      <c r="V505" s="234" t="n">
        <f aca="false">MONTH(Таблица18[[#This Row],[Дата акта]])</f>
        <v>5</v>
      </c>
      <c r="W505" s="234" t="n">
        <v>22</v>
      </c>
      <c r="X505" s="248" t="n">
        <f aca="false">DATE(1900,Таблица18[[#This Row],[Месяц]],Таблица18[[#This Row],[Число]])</f>
        <v>143</v>
      </c>
      <c r="Y505" s="234"/>
      <c r="AF505" s="411"/>
      <c r="AG505" s="412"/>
    </row>
    <row r="506" s="410" customFormat="true" ht="15" hidden="true" customHeight="true" outlineLevel="0" collapsed="false">
      <c r="A506" s="198" t="s">
        <v>2102</v>
      </c>
      <c r="B506" s="199" t="s">
        <v>417</v>
      </c>
      <c r="C506" s="198" t="n">
        <v>109</v>
      </c>
      <c r="D506" s="198" t="n">
        <v>4</v>
      </c>
      <c r="E506" s="198" t="s">
        <v>422</v>
      </c>
      <c r="F506" s="198" t="s">
        <v>376</v>
      </c>
      <c r="G506" s="198" t="s">
        <v>377</v>
      </c>
      <c r="H506" s="198" t="s">
        <v>2088</v>
      </c>
      <c r="I506" s="199"/>
      <c r="J506" s="198" t="s">
        <v>252</v>
      </c>
      <c r="K506" s="198" t="s">
        <v>1435</v>
      </c>
      <c r="L506" s="234" t="n">
        <v>18690</v>
      </c>
      <c r="M506" s="234" t="n">
        <v>9610</v>
      </c>
      <c r="N506" s="234" t="n">
        <v>24.5</v>
      </c>
      <c r="O506" s="407" t="n">
        <v>9080</v>
      </c>
      <c r="P506" s="407" t="n">
        <v>6855.4</v>
      </c>
      <c r="Q506" s="234" t="n">
        <v>2024</v>
      </c>
      <c r="R506" s="234"/>
      <c r="S506" s="248" t="n">
        <v>45434</v>
      </c>
      <c r="T506" s="407" t="n">
        <f aca="false">Таблица18[[#This Row],[Вес нетто]]-Таблица18[[#This Row],[Зачетный вес]]</f>
        <v>2224.6</v>
      </c>
      <c r="U506" s="409" t="n">
        <f aca="false">Таблица18[[#This Row],[Отход]]/Таблица18[[#This Row],[Вес нетто]]</f>
        <v>0.245</v>
      </c>
      <c r="V506" s="234" t="n">
        <f aca="false">MONTH(Таблица18[[#This Row],[Дата акта]])</f>
        <v>5</v>
      </c>
      <c r="W506" s="234" t="n">
        <v>22</v>
      </c>
      <c r="X506" s="248" t="n">
        <f aca="false">DATE(1900,Таблица18[[#This Row],[Месяц]],Таблица18[[#This Row],[Число]])</f>
        <v>143</v>
      </c>
      <c r="Y506" s="234"/>
      <c r="AF506" s="411"/>
      <c r="AG506" s="412"/>
    </row>
    <row r="507" s="410" customFormat="true" ht="15" hidden="true" customHeight="true" outlineLevel="0" collapsed="false">
      <c r="A507" s="198" t="s">
        <v>2103</v>
      </c>
      <c r="B507" s="199" t="s">
        <v>417</v>
      </c>
      <c r="C507" s="198" t="n">
        <v>110</v>
      </c>
      <c r="D507" s="198" t="n">
        <v>117523</v>
      </c>
      <c r="E507" s="198" t="s">
        <v>409</v>
      </c>
      <c r="F507" s="198" t="s">
        <v>2084</v>
      </c>
      <c r="G507" s="198" t="s">
        <v>2085</v>
      </c>
      <c r="H507" s="198" t="s">
        <v>2090</v>
      </c>
      <c r="I507" s="199"/>
      <c r="J507" s="198" t="s">
        <v>68</v>
      </c>
      <c r="K507" s="198" t="s">
        <v>1435</v>
      </c>
      <c r="L507" s="234" t="n">
        <v>34490</v>
      </c>
      <c r="M507" s="234" t="n">
        <v>17320</v>
      </c>
      <c r="N507" s="234" t="n">
        <v>28.5</v>
      </c>
      <c r="O507" s="407" t="n">
        <v>17170</v>
      </c>
      <c r="P507" s="407" t="n">
        <v>12276.5</v>
      </c>
      <c r="Q507" s="234" t="n">
        <v>2024</v>
      </c>
      <c r="R507" s="234"/>
      <c r="S507" s="248" t="n">
        <v>45434</v>
      </c>
      <c r="T507" s="407" t="n">
        <f aca="false">Таблица18[[#This Row],[Вес нетто]]-Таблица18[[#This Row],[Зачетный вес]]</f>
        <v>4893.5</v>
      </c>
      <c r="U507" s="409" t="n">
        <f aca="false">Таблица18[[#This Row],[Отход]]/Таблица18[[#This Row],[Вес нетто]]</f>
        <v>0.285002912055912</v>
      </c>
      <c r="V507" s="234" t="n">
        <f aca="false">MONTH(Таблица18[[#This Row],[Дата акта]])</f>
        <v>5</v>
      </c>
      <c r="W507" s="234" t="n">
        <v>22</v>
      </c>
      <c r="X507" s="248" t="n">
        <f aca="false">DATE(1900,Таблица18[[#This Row],[Месяц]],Таблица18[[#This Row],[Число]])</f>
        <v>143</v>
      </c>
      <c r="Y507" s="234"/>
      <c r="AF507" s="411"/>
      <c r="AG507" s="412"/>
    </row>
    <row r="508" s="410" customFormat="true" ht="15" hidden="true" customHeight="true" outlineLevel="0" collapsed="false">
      <c r="A508" s="198" t="s">
        <v>2104</v>
      </c>
      <c r="B508" s="199" t="s">
        <v>417</v>
      </c>
      <c r="C508" s="198" t="n">
        <v>111</v>
      </c>
      <c r="D508" s="198" t="n">
        <v>5</v>
      </c>
      <c r="E508" s="198" t="s">
        <v>422</v>
      </c>
      <c r="F508" s="198" t="s">
        <v>1576</v>
      </c>
      <c r="G508" s="198" t="s">
        <v>1455</v>
      </c>
      <c r="H508" s="198" t="s">
        <v>2088</v>
      </c>
      <c r="I508" s="199"/>
      <c r="J508" s="198" t="s">
        <v>252</v>
      </c>
      <c r="K508" s="198" t="s">
        <v>1435</v>
      </c>
      <c r="L508" s="234" t="n">
        <v>29900</v>
      </c>
      <c r="M508" s="234" t="n">
        <v>14230</v>
      </c>
      <c r="N508" s="234" t="n">
        <v>22.5</v>
      </c>
      <c r="O508" s="407" t="n">
        <v>15670</v>
      </c>
      <c r="P508" s="407" t="n">
        <v>12144.2</v>
      </c>
      <c r="Q508" s="234" t="n">
        <v>2024</v>
      </c>
      <c r="R508" s="234"/>
      <c r="S508" s="248" t="n">
        <v>45434</v>
      </c>
      <c r="T508" s="407" t="n">
        <f aca="false">Таблица18[[#This Row],[Вес нетто]]-Таблица18[[#This Row],[Зачетный вес]]</f>
        <v>3525.8</v>
      </c>
      <c r="U508" s="409" t="n">
        <f aca="false">Таблица18[[#This Row],[Отход]]/Таблица18[[#This Row],[Вес нетто]]</f>
        <v>0.225003190810466</v>
      </c>
      <c r="V508" s="234" t="n">
        <f aca="false">MONTH(Таблица18[[#This Row],[Дата акта]])</f>
        <v>5</v>
      </c>
      <c r="W508" s="234" t="n">
        <v>22</v>
      </c>
      <c r="X508" s="248" t="n">
        <f aca="false">DATE(1900,Таблица18[[#This Row],[Месяц]],Таблица18[[#This Row],[Число]])</f>
        <v>143</v>
      </c>
      <c r="Y508" s="234"/>
      <c r="AF508" s="411"/>
      <c r="AG508" s="412"/>
    </row>
    <row r="509" s="410" customFormat="true" ht="15" hidden="true" customHeight="true" outlineLevel="0" collapsed="false">
      <c r="A509" s="198" t="s">
        <v>2105</v>
      </c>
      <c r="B509" s="199" t="s">
        <v>417</v>
      </c>
      <c r="C509" s="198" t="n">
        <v>112</v>
      </c>
      <c r="D509" s="198" t="n">
        <v>117524</v>
      </c>
      <c r="E509" s="198" t="s">
        <v>409</v>
      </c>
      <c r="F509" s="198" t="s">
        <v>457</v>
      </c>
      <c r="G509" s="198" t="s">
        <v>366</v>
      </c>
      <c r="H509" s="198" t="s">
        <v>2090</v>
      </c>
      <c r="I509" s="199"/>
      <c r="J509" s="198" t="s">
        <v>68</v>
      </c>
      <c r="K509" s="198" t="s">
        <v>1435</v>
      </c>
      <c r="L509" s="234" t="n">
        <v>33990</v>
      </c>
      <c r="M509" s="234" t="n">
        <v>26720</v>
      </c>
      <c r="N509" s="234" t="n">
        <v>29.5</v>
      </c>
      <c r="O509" s="407" t="n">
        <v>7270</v>
      </c>
      <c r="P509" s="407" t="n">
        <v>5125.3</v>
      </c>
      <c r="Q509" s="234" t="n">
        <v>2024</v>
      </c>
      <c r="R509" s="234"/>
      <c r="S509" s="248" t="n">
        <v>45434</v>
      </c>
      <c r="T509" s="407" t="n">
        <f aca="false">Таблица18[[#This Row],[Вес нетто]]-Таблица18[[#This Row],[Зачетный вес]]</f>
        <v>2144.7</v>
      </c>
      <c r="U509" s="409" t="n">
        <f aca="false">Таблица18[[#This Row],[Отход]]/Таблица18[[#This Row],[Вес нетто]]</f>
        <v>0.295006877579092</v>
      </c>
      <c r="V509" s="234" t="n">
        <f aca="false">MONTH(Таблица18[[#This Row],[Дата акта]])</f>
        <v>5</v>
      </c>
      <c r="W509" s="234" t="n">
        <v>22</v>
      </c>
      <c r="X509" s="248" t="n">
        <f aca="false">DATE(1900,Таблица18[[#This Row],[Месяц]],Таблица18[[#This Row],[Число]])</f>
        <v>143</v>
      </c>
      <c r="Y509" s="234"/>
      <c r="AF509" s="411"/>
      <c r="AG509" s="412"/>
    </row>
    <row r="510" s="410" customFormat="true" ht="15" hidden="true" customHeight="true" outlineLevel="0" collapsed="false">
      <c r="A510" s="198" t="s">
        <v>2106</v>
      </c>
      <c r="B510" s="199" t="s">
        <v>417</v>
      </c>
      <c r="C510" s="198" t="n">
        <v>113</v>
      </c>
      <c r="D510" s="198" t="n">
        <v>117524</v>
      </c>
      <c r="E510" s="198" t="s">
        <v>409</v>
      </c>
      <c r="F510" s="198" t="s">
        <v>457</v>
      </c>
      <c r="G510" s="198" t="s">
        <v>366</v>
      </c>
      <c r="H510" s="198" t="s">
        <v>2071</v>
      </c>
      <c r="I510" s="199"/>
      <c r="J510" s="198" t="s">
        <v>68</v>
      </c>
      <c r="K510" s="198" t="s">
        <v>1435</v>
      </c>
      <c r="L510" s="234" t="n">
        <v>26720</v>
      </c>
      <c r="M510" s="234" t="n">
        <v>17200</v>
      </c>
      <c r="N510" s="234" t="n">
        <v>39.5</v>
      </c>
      <c r="O510" s="407" t="n">
        <v>9520</v>
      </c>
      <c r="P510" s="407" t="n">
        <v>5759.6</v>
      </c>
      <c r="Q510" s="234" t="n">
        <v>2024</v>
      </c>
      <c r="R510" s="234"/>
      <c r="S510" s="248" t="n">
        <v>45434</v>
      </c>
      <c r="T510" s="407" t="n">
        <f aca="false">Таблица18[[#This Row],[Вес нетто]]-Таблица18[[#This Row],[Зачетный вес]]</f>
        <v>3760.4</v>
      </c>
      <c r="U510" s="409" t="n">
        <f aca="false">Таблица18[[#This Row],[Отход]]/Таблица18[[#This Row],[Вес нетто]]</f>
        <v>0.395</v>
      </c>
      <c r="V510" s="234" t="n">
        <f aca="false">MONTH(Таблица18[[#This Row],[Дата акта]])</f>
        <v>5</v>
      </c>
      <c r="W510" s="234" t="n">
        <v>22</v>
      </c>
      <c r="X510" s="248" t="n">
        <f aca="false">DATE(1900,Таблица18[[#This Row],[Месяц]],Таблица18[[#This Row],[Число]])</f>
        <v>143</v>
      </c>
      <c r="Y510" s="234"/>
      <c r="AF510" s="411"/>
      <c r="AG510" s="412"/>
    </row>
    <row r="511" s="410" customFormat="true" ht="15" hidden="true" customHeight="true" outlineLevel="0" collapsed="false">
      <c r="A511" s="198" t="s">
        <v>2107</v>
      </c>
      <c r="B511" s="199" t="s">
        <v>417</v>
      </c>
      <c r="C511" s="198" t="n">
        <v>115</v>
      </c>
      <c r="D511" s="198" t="n">
        <v>117528</v>
      </c>
      <c r="E511" s="198" t="s">
        <v>409</v>
      </c>
      <c r="F511" s="198" t="s">
        <v>365</v>
      </c>
      <c r="G511" s="198" t="s">
        <v>373</v>
      </c>
      <c r="H511" s="198" t="s">
        <v>2071</v>
      </c>
      <c r="I511" s="199"/>
      <c r="J511" s="198" t="s">
        <v>68</v>
      </c>
      <c r="K511" s="198" t="s">
        <v>1435</v>
      </c>
      <c r="L511" s="234" t="n">
        <v>35190</v>
      </c>
      <c r="M511" s="234" t="n">
        <v>18530</v>
      </c>
      <c r="N511" s="234" t="n">
        <v>41.5</v>
      </c>
      <c r="O511" s="407" t="n">
        <v>16660</v>
      </c>
      <c r="P511" s="407" t="n">
        <v>9746.1</v>
      </c>
      <c r="Q511" s="234" t="n">
        <v>2024</v>
      </c>
      <c r="R511" s="234"/>
      <c r="S511" s="248" t="n">
        <v>45435</v>
      </c>
      <c r="T511" s="407" t="n">
        <f aca="false">Таблица18[[#This Row],[Вес нетто]]-Таблица18[[#This Row],[Зачетный вес]]</f>
        <v>6913.9</v>
      </c>
      <c r="U511" s="409" t="n">
        <f aca="false">Таблица18[[#This Row],[Отход]]/Таблица18[[#This Row],[Вес нетто]]</f>
        <v>0.415</v>
      </c>
      <c r="V511" s="234" t="n">
        <f aca="false">MONTH(Таблица18[[#This Row],[Дата акта]])</f>
        <v>5</v>
      </c>
      <c r="W511" s="234" t="n">
        <v>23</v>
      </c>
      <c r="X511" s="248" t="n">
        <f aca="false">DATE(1900,Таблица18[[#This Row],[Месяц]],Таблица18[[#This Row],[Число]])</f>
        <v>144</v>
      </c>
      <c r="Y511" s="234"/>
      <c r="AF511" s="411"/>
      <c r="AG511" s="412"/>
    </row>
    <row r="512" s="410" customFormat="true" ht="15" hidden="true" customHeight="true" outlineLevel="0" collapsed="false">
      <c r="A512" s="198" t="s">
        <v>2108</v>
      </c>
      <c r="B512" s="199" t="s">
        <v>417</v>
      </c>
      <c r="C512" s="198" t="n">
        <v>116</v>
      </c>
      <c r="D512" s="198" t="n">
        <v>7</v>
      </c>
      <c r="E512" s="198" t="s">
        <v>422</v>
      </c>
      <c r="F512" s="198" t="s">
        <v>1576</v>
      </c>
      <c r="G512" s="198" t="s">
        <v>1455</v>
      </c>
      <c r="H512" s="198" t="s">
        <v>2088</v>
      </c>
      <c r="I512" s="199"/>
      <c r="J512" s="198" t="s">
        <v>252</v>
      </c>
      <c r="K512" s="198" t="s">
        <v>1435</v>
      </c>
      <c r="L512" s="234" t="n">
        <v>23290</v>
      </c>
      <c r="M512" s="234" t="n">
        <v>14210</v>
      </c>
      <c r="N512" s="234" t="n">
        <v>28.5</v>
      </c>
      <c r="O512" s="407" t="n">
        <v>9080</v>
      </c>
      <c r="P512" s="407" t="n">
        <v>6492.2</v>
      </c>
      <c r="Q512" s="234" t="n">
        <v>2024</v>
      </c>
      <c r="R512" s="234"/>
      <c r="S512" s="248" t="n">
        <v>45435</v>
      </c>
      <c r="T512" s="407" t="n">
        <f aca="false">Таблица18[[#This Row],[Вес нетто]]-Таблица18[[#This Row],[Зачетный вес]]</f>
        <v>2587.8</v>
      </c>
      <c r="U512" s="409" t="n">
        <f aca="false">Таблица18[[#This Row],[Отход]]/Таблица18[[#This Row],[Вес нетто]]</f>
        <v>0.285</v>
      </c>
      <c r="V512" s="234" t="n">
        <f aca="false">MONTH(Таблица18[[#This Row],[Дата акта]])</f>
        <v>5</v>
      </c>
      <c r="W512" s="234" t="n">
        <v>23</v>
      </c>
      <c r="X512" s="248" t="n">
        <f aca="false">DATE(1900,Таблица18[[#This Row],[Месяц]],Таблица18[[#This Row],[Число]])</f>
        <v>144</v>
      </c>
      <c r="Y512" s="234"/>
      <c r="AF512" s="411"/>
      <c r="AG512" s="412"/>
    </row>
    <row r="513" s="410" customFormat="true" ht="15" hidden="true" customHeight="true" outlineLevel="0" collapsed="false">
      <c r="A513" s="198" t="s">
        <v>2109</v>
      </c>
      <c r="B513" s="199" t="s">
        <v>417</v>
      </c>
      <c r="C513" s="198" t="n">
        <v>117</v>
      </c>
      <c r="D513" s="198" t="n">
        <v>325</v>
      </c>
      <c r="E513" s="198" t="s">
        <v>409</v>
      </c>
      <c r="F513" s="198" t="s">
        <v>55</v>
      </c>
      <c r="G513" s="198" t="s">
        <v>56</v>
      </c>
      <c r="H513" s="198" t="s">
        <v>2071</v>
      </c>
      <c r="I513" s="199"/>
      <c r="J513" s="198" t="s">
        <v>68</v>
      </c>
      <c r="K513" s="198" t="s">
        <v>1435</v>
      </c>
      <c r="L513" s="234" t="n">
        <v>28810</v>
      </c>
      <c r="M513" s="234" t="n">
        <v>14490</v>
      </c>
      <c r="N513" s="234" t="n">
        <v>29.5</v>
      </c>
      <c r="O513" s="407" t="n">
        <v>14320</v>
      </c>
      <c r="P513" s="407" t="n">
        <v>10095.6</v>
      </c>
      <c r="Q513" s="234" t="n">
        <v>2024</v>
      </c>
      <c r="R513" s="234"/>
      <c r="S513" s="248" t="n">
        <v>45435</v>
      </c>
      <c r="T513" s="407" t="n">
        <f aca="false">Таблица18[[#This Row],[Вес нетто]]-Таблица18[[#This Row],[Зачетный вес]]</f>
        <v>4224.4</v>
      </c>
      <c r="U513" s="409" t="n">
        <f aca="false">Таблица18[[#This Row],[Отход]]/Таблица18[[#This Row],[Вес нетто]]</f>
        <v>0.295</v>
      </c>
      <c r="V513" s="234" t="n">
        <f aca="false">MONTH(Таблица18[[#This Row],[Дата акта]])</f>
        <v>5</v>
      </c>
      <c r="W513" s="234" t="n">
        <v>23</v>
      </c>
      <c r="X513" s="248" t="n">
        <f aca="false">DATE(1900,Таблица18[[#This Row],[Месяц]],Таблица18[[#This Row],[Число]])</f>
        <v>144</v>
      </c>
      <c r="Y513" s="234"/>
      <c r="AF513" s="411"/>
      <c r="AG513" s="412"/>
    </row>
    <row r="514" s="410" customFormat="true" ht="15" hidden="true" customHeight="true" outlineLevel="0" collapsed="false">
      <c r="A514" s="198" t="s">
        <v>2110</v>
      </c>
      <c r="B514" s="199" t="s">
        <v>417</v>
      </c>
      <c r="C514" s="198" t="n">
        <v>118</v>
      </c>
      <c r="D514" s="198" t="n">
        <v>248</v>
      </c>
      <c r="E514" s="198" t="s">
        <v>409</v>
      </c>
      <c r="F514" s="198" t="s">
        <v>1876</v>
      </c>
      <c r="G514" s="198" t="s">
        <v>1877</v>
      </c>
      <c r="H514" s="198" t="s">
        <v>2071</v>
      </c>
      <c r="I514" s="199"/>
      <c r="J514" s="198" t="s">
        <v>68</v>
      </c>
      <c r="K514" s="198" t="s">
        <v>1435</v>
      </c>
      <c r="L514" s="234" t="n">
        <v>28880</v>
      </c>
      <c r="M514" s="234" t="n">
        <v>14720</v>
      </c>
      <c r="N514" s="234" t="n">
        <v>33.5</v>
      </c>
      <c r="O514" s="407" t="n">
        <v>14160</v>
      </c>
      <c r="P514" s="407" t="n">
        <v>9416.4</v>
      </c>
      <c r="Q514" s="234" t="n">
        <v>2024</v>
      </c>
      <c r="R514" s="234"/>
      <c r="S514" s="248" t="n">
        <v>45435</v>
      </c>
      <c r="T514" s="407" t="n">
        <f aca="false">Таблица18[[#This Row],[Вес нетто]]-Таблица18[[#This Row],[Зачетный вес]]</f>
        <v>4743.6</v>
      </c>
      <c r="U514" s="409" t="n">
        <f aca="false">Таблица18[[#This Row],[Отход]]/Таблица18[[#This Row],[Вес нетто]]</f>
        <v>0.335</v>
      </c>
      <c r="V514" s="234" t="n">
        <f aca="false">MONTH(Таблица18[[#This Row],[Дата акта]])</f>
        <v>5</v>
      </c>
      <c r="W514" s="234" t="n">
        <v>23</v>
      </c>
      <c r="X514" s="248" t="n">
        <f aca="false">DATE(1900,Таблица18[[#This Row],[Месяц]],Таблица18[[#This Row],[Число]])</f>
        <v>144</v>
      </c>
      <c r="Y514" s="234"/>
      <c r="AF514" s="411"/>
      <c r="AG514" s="412"/>
    </row>
    <row r="515" s="410" customFormat="true" ht="15" hidden="true" customHeight="true" outlineLevel="0" collapsed="false">
      <c r="A515" s="198" t="s">
        <v>2111</v>
      </c>
      <c r="B515" s="199" t="s">
        <v>417</v>
      </c>
      <c r="C515" s="198" t="n">
        <v>119</v>
      </c>
      <c r="D515" s="198" t="n">
        <v>4</v>
      </c>
      <c r="E515" s="198" t="s">
        <v>422</v>
      </c>
      <c r="F515" s="198" t="s">
        <v>376</v>
      </c>
      <c r="G515" s="198" t="s">
        <v>377</v>
      </c>
      <c r="H515" s="198" t="s">
        <v>2088</v>
      </c>
      <c r="I515" s="199"/>
      <c r="J515" s="198" t="s">
        <v>252</v>
      </c>
      <c r="K515" s="198" t="s">
        <v>1435</v>
      </c>
      <c r="L515" s="234" t="n">
        <v>23180</v>
      </c>
      <c r="M515" s="234" t="n">
        <v>14160</v>
      </c>
      <c r="N515" s="234" t="n">
        <v>25.5</v>
      </c>
      <c r="O515" s="407" t="n">
        <v>9020</v>
      </c>
      <c r="P515" s="407" t="n">
        <v>6719.9</v>
      </c>
      <c r="Q515" s="234" t="n">
        <v>2024</v>
      </c>
      <c r="R515" s="234"/>
      <c r="S515" s="248" t="n">
        <v>45435</v>
      </c>
      <c r="T515" s="407" t="n">
        <f aca="false">Таблица18[[#This Row],[Вес нетто]]-Таблица18[[#This Row],[Зачетный вес]]</f>
        <v>2300.1</v>
      </c>
      <c r="U515" s="409" t="n">
        <f aca="false">Таблица18[[#This Row],[Отход]]/Таблица18[[#This Row],[Вес нетто]]</f>
        <v>0.255</v>
      </c>
      <c r="V515" s="234" t="n">
        <f aca="false">MONTH(Таблица18[[#This Row],[Дата акта]])</f>
        <v>5</v>
      </c>
      <c r="W515" s="234" t="n">
        <v>23</v>
      </c>
      <c r="X515" s="248" t="n">
        <f aca="false">DATE(1900,Таблица18[[#This Row],[Месяц]],Таблица18[[#This Row],[Число]])</f>
        <v>144</v>
      </c>
      <c r="Y515" s="234"/>
      <c r="AF515" s="411"/>
      <c r="AG515" s="412"/>
    </row>
    <row r="516" s="410" customFormat="true" ht="15" hidden="true" customHeight="true" outlineLevel="0" collapsed="false">
      <c r="A516" s="198" t="s">
        <v>2112</v>
      </c>
      <c r="B516" s="199"/>
      <c r="C516" s="198" t="n">
        <v>120</v>
      </c>
      <c r="D516" s="198" t="s">
        <v>2113</v>
      </c>
      <c r="E516" s="198" t="s">
        <v>409</v>
      </c>
      <c r="F516" s="198" t="s">
        <v>1485</v>
      </c>
      <c r="G516" s="198" t="s">
        <v>431</v>
      </c>
      <c r="H516" s="198" t="s">
        <v>2090</v>
      </c>
      <c r="I516" s="199"/>
      <c r="J516" s="198" t="s">
        <v>68</v>
      </c>
      <c r="K516" s="198" t="s">
        <v>1435</v>
      </c>
      <c r="L516" s="234" t="n">
        <v>18770</v>
      </c>
      <c r="M516" s="234" t="n">
        <v>12250</v>
      </c>
      <c r="N516" s="234" t="n">
        <v>100</v>
      </c>
      <c r="O516" s="407" t="n">
        <v>6520</v>
      </c>
      <c r="P516" s="407"/>
      <c r="Q516" s="234" t="n">
        <v>2024</v>
      </c>
      <c r="R516" s="234"/>
      <c r="S516" s="248" t="n">
        <v>45434</v>
      </c>
      <c r="T516" s="407" t="n">
        <f aca="false">Таблица18[[#This Row],[Вес нетто]]-Таблица18[[#This Row],[Зачетный вес]]</f>
        <v>6520</v>
      </c>
      <c r="U516" s="409" t="n">
        <f aca="false">Таблица18[[#This Row],[Отход]]/Таблица18[[#This Row],[Вес нетто]]</f>
        <v>1</v>
      </c>
      <c r="V516" s="234" t="n">
        <f aca="false">MONTH(Таблица18[[#This Row],[Дата акта]])</f>
        <v>5</v>
      </c>
      <c r="W516" s="234" t="n">
        <v>22</v>
      </c>
      <c r="X516" s="248" t="n">
        <f aca="false">DATE(1900,Таблица18[[#This Row],[Месяц]],Таблица18[[#This Row],[Число]])</f>
        <v>143</v>
      </c>
      <c r="Y516" s="234"/>
      <c r="AF516" s="411"/>
      <c r="AG516" s="412"/>
    </row>
    <row r="517" s="410" customFormat="true" ht="15" hidden="true" customHeight="true" outlineLevel="0" collapsed="false">
      <c r="A517" s="198" t="s">
        <v>2114</v>
      </c>
      <c r="B517" s="199" t="s">
        <v>417</v>
      </c>
      <c r="C517" s="198" t="n">
        <v>122</v>
      </c>
      <c r="D517" s="198" t="n">
        <v>8</v>
      </c>
      <c r="E517" s="198" t="s">
        <v>422</v>
      </c>
      <c r="F517" s="198" t="s">
        <v>359</v>
      </c>
      <c r="G517" s="198" t="s">
        <v>426</v>
      </c>
      <c r="H517" s="198" t="s">
        <v>2088</v>
      </c>
      <c r="I517" s="199"/>
      <c r="J517" s="198" t="s">
        <v>252</v>
      </c>
      <c r="K517" s="198" t="s">
        <v>1435</v>
      </c>
      <c r="L517" s="234" t="n">
        <v>23660</v>
      </c>
      <c r="M517" s="234" t="n">
        <v>13880</v>
      </c>
      <c r="N517" s="234" t="n">
        <v>24</v>
      </c>
      <c r="O517" s="407" t="n">
        <v>9780</v>
      </c>
      <c r="P517" s="407" t="n">
        <v>7432.8</v>
      </c>
      <c r="Q517" s="234" t="n">
        <v>2024</v>
      </c>
      <c r="R517" s="234"/>
      <c r="S517" s="248" t="n">
        <v>45435</v>
      </c>
      <c r="T517" s="407" t="n">
        <f aca="false">Таблица18[[#This Row],[Вес нетто]]-Таблица18[[#This Row],[Зачетный вес]]</f>
        <v>2347.2</v>
      </c>
      <c r="U517" s="409" t="n">
        <f aca="false">Таблица18[[#This Row],[Отход]]/Таблица18[[#This Row],[Вес нетто]]</f>
        <v>0.24</v>
      </c>
      <c r="V517" s="234" t="n">
        <f aca="false">MONTH(Таблица18[[#This Row],[Дата акта]])</f>
        <v>5</v>
      </c>
      <c r="W517" s="234" t="n">
        <v>23</v>
      </c>
      <c r="X517" s="248" t="n">
        <f aca="false">DATE(1900,Таблица18[[#This Row],[Месяц]],Таблица18[[#This Row],[Число]])</f>
        <v>144</v>
      </c>
      <c r="Y517" s="234"/>
      <c r="AF517" s="411"/>
      <c r="AG517" s="412"/>
    </row>
    <row r="518" s="410" customFormat="true" ht="15" hidden="true" customHeight="true" outlineLevel="0" collapsed="false">
      <c r="A518" s="198" t="s">
        <v>2115</v>
      </c>
      <c r="B518" s="199" t="s">
        <v>417</v>
      </c>
      <c r="C518" s="198" t="n">
        <v>123</v>
      </c>
      <c r="D518" s="198" t="n">
        <v>117529</v>
      </c>
      <c r="E518" s="198" t="s">
        <v>409</v>
      </c>
      <c r="F518" s="198" t="s">
        <v>872</v>
      </c>
      <c r="G518" s="198" t="s">
        <v>364</v>
      </c>
      <c r="H518" s="198" t="s">
        <v>2071</v>
      </c>
      <c r="I518" s="199"/>
      <c r="J518" s="198" t="s">
        <v>68</v>
      </c>
      <c r="K518" s="198" t="s">
        <v>1435</v>
      </c>
      <c r="L518" s="234" t="n">
        <v>28360</v>
      </c>
      <c r="M518" s="234" t="n">
        <v>14380</v>
      </c>
      <c r="N518" s="234" t="n">
        <v>31.5</v>
      </c>
      <c r="O518" s="407" t="n">
        <v>13980</v>
      </c>
      <c r="P518" s="407" t="n">
        <v>9576.3</v>
      </c>
      <c r="Q518" s="234" t="n">
        <v>2024</v>
      </c>
      <c r="R518" s="234"/>
      <c r="S518" s="248" t="n">
        <v>45435</v>
      </c>
      <c r="T518" s="407" t="n">
        <f aca="false">Таблица18[[#This Row],[Вес нетто]]-Таблица18[[#This Row],[Зачетный вес]]</f>
        <v>4403.7</v>
      </c>
      <c r="U518" s="409" t="n">
        <f aca="false">Таблица18[[#This Row],[Отход]]/Таблица18[[#This Row],[Вес нетто]]</f>
        <v>0.315</v>
      </c>
      <c r="V518" s="234" t="n">
        <f aca="false">MONTH(Таблица18[[#This Row],[Дата акта]])</f>
        <v>5</v>
      </c>
      <c r="W518" s="234" t="n">
        <v>23</v>
      </c>
      <c r="X518" s="248" t="n">
        <f aca="false">DATE(1900,Таблица18[[#This Row],[Месяц]],Таблица18[[#This Row],[Число]])</f>
        <v>144</v>
      </c>
      <c r="Y518" s="234"/>
      <c r="AF518" s="411"/>
      <c r="AG518" s="412"/>
    </row>
    <row r="519" s="410" customFormat="true" ht="15" hidden="true" customHeight="true" outlineLevel="0" collapsed="false">
      <c r="A519" s="198" t="s">
        <v>2116</v>
      </c>
      <c r="B519" s="199" t="s">
        <v>417</v>
      </c>
      <c r="C519" s="198" t="n">
        <v>125</v>
      </c>
      <c r="D519" s="198" t="n">
        <v>9</v>
      </c>
      <c r="E519" s="198" t="s">
        <v>422</v>
      </c>
      <c r="F519" s="198" t="s">
        <v>359</v>
      </c>
      <c r="G519" s="198" t="s">
        <v>426</v>
      </c>
      <c r="H519" s="198" t="s">
        <v>2088</v>
      </c>
      <c r="I519" s="199"/>
      <c r="J519" s="198" t="s">
        <v>252</v>
      </c>
      <c r="K519" s="198" t="s">
        <v>1435</v>
      </c>
      <c r="L519" s="234" t="n">
        <v>23300</v>
      </c>
      <c r="M519" s="234" t="n">
        <v>13770</v>
      </c>
      <c r="N519" s="234" t="n">
        <v>29.5</v>
      </c>
      <c r="O519" s="407" t="n">
        <v>9530</v>
      </c>
      <c r="P519" s="407" t="n">
        <v>6718.6</v>
      </c>
      <c r="Q519" s="234" t="n">
        <v>2024</v>
      </c>
      <c r="R519" s="234"/>
      <c r="S519" s="248" t="n">
        <v>45435</v>
      </c>
      <c r="T519" s="407" t="n">
        <f aca="false">Таблица18[[#This Row],[Вес нетто]]-Таблица18[[#This Row],[Зачетный вес]]</f>
        <v>2811.4</v>
      </c>
      <c r="U519" s="409" t="n">
        <f aca="false">Таблица18[[#This Row],[Отход]]/Таблица18[[#This Row],[Вес нетто]]</f>
        <v>0.295005246589717</v>
      </c>
      <c r="V519" s="234" t="n">
        <f aca="false">MONTH(Таблица18[[#This Row],[Дата акта]])</f>
        <v>5</v>
      </c>
      <c r="W519" s="234" t="n">
        <v>23</v>
      </c>
      <c r="X519" s="248" t="n">
        <f aca="false">DATE(1900,Таблица18[[#This Row],[Месяц]],Таблица18[[#This Row],[Число]])</f>
        <v>144</v>
      </c>
      <c r="Y519" s="234"/>
      <c r="AF519" s="411"/>
      <c r="AG519" s="412"/>
    </row>
    <row r="520" s="410" customFormat="true" ht="15" hidden="true" customHeight="true" outlineLevel="0" collapsed="false">
      <c r="A520" s="198" t="s">
        <v>2117</v>
      </c>
      <c r="B520" s="199" t="s">
        <v>417</v>
      </c>
      <c r="C520" s="198" t="n">
        <v>126</v>
      </c>
      <c r="D520" s="198" t="n">
        <v>117530</v>
      </c>
      <c r="E520" s="198" t="s">
        <v>409</v>
      </c>
      <c r="F520" s="198" t="s">
        <v>1797</v>
      </c>
      <c r="G520" s="198" t="s">
        <v>385</v>
      </c>
      <c r="H520" s="198" t="s">
        <v>2071</v>
      </c>
      <c r="I520" s="199"/>
      <c r="J520" s="198" t="s">
        <v>68</v>
      </c>
      <c r="K520" s="198" t="s">
        <v>1435</v>
      </c>
      <c r="L520" s="234" t="n">
        <v>28710</v>
      </c>
      <c r="M520" s="234" t="n">
        <v>14370</v>
      </c>
      <c r="N520" s="234" t="n">
        <v>32.5</v>
      </c>
      <c r="O520" s="407" t="n">
        <v>14340</v>
      </c>
      <c r="P520" s="407" t="n">
        <v>9679.5</v>
      </c>
      <c r="Q520" s="234" t="n">
        <v>2024</v>
      </c>
      <c r="R520" s="234"/>
      <c r="S520" s="248" t="n">
        <v>45435</v>
      </c>
      <c r="T520" s="407" t="n">
        <f aca="false">Таблица18[[#This Row],[Вес нетто]]-Таблица18[[#This Row],[Зачетный вес]]</f>
        <v>4660.5</v>
      </c>
      <c r="U520" s="409" t="n">
        <f aca="false">Таблица18[[#This Row],[Отход]]/Таблица18[[#This Row],[Вес нетто]]</f>
        <v>0.325</v>
      </c>
      <c r="V520" s="234" t="n">
        <f aca="false">MONTH(Таблица18[[#This Row],[Дата акта]])</f>
        <v>5</v>
      </c>
      <c r="W520" s="234" t="n">
        <v>23</v>
      </c>
      <c r="X520" s="248" t="n">
        <f aca="false">DATE(1900,Таблица18[[#This Row],[Месяц]],Таблица18[[#This Row],[Число]])</f>
        <v>144</v>
      </c>
      <c r="Y520" s="234"/>
      <c r="AF520" s="411"/>
      <c r="AG520" s="412"/>
    </row>
    <row r="521" s="410" customFormat="true" ht="15" hidden="true" customHeight="true" outlineLevel="0" collapsed="false">
      <c r="A521" s="198" t="s">
        <v>2118</v>
      </c>
      <c r="B521" s="199" t="s">
        <v>417</v>
      </c>
      <c r="C521" s="198" t="n">
        <v>127</v>
      </c>
      <c r="D521" s="198" t="n">
        <v>10</v>
      </c>
      <c r="E521" s="198" t="s">
        <v>422</v>
      </c>
      <c r="F521" s="198" t="s">
        <v>363</v>
      </c>
      <c r="G521" s="198" t="s">
        <v>364</v>
      </c>
      <c r="H521" s="198" t="s">
        <v>2088</v>
      </c>
      <c r="I521" s="199"/>
      <c r="J521" s="198" t="s">
        <v>252</v>
      </c>
      <c r="K521" s="198" t="s">
        <v>1435</v>
      </c>
      <c r="L521" s="234" t="n">
        <v>24110</v>
      </c>
      <c r="M521" s="234" t="n">
        <v>14450</v>
      </c>
      <c r="N521" s="234" t="n">
        <v>28.5</v>
      </c>
      <c r="O521" s="407" t="n">
        <v>9660</v>
      </c>
      <c r="P521" s="407" t="n">
        <v>6906.9</v>
      </c>
      <c r="Q521" s="234" t="n">
        <v>2024</v>
      </c>
      <c r="R521" s="234"/>
      <c r="S521" s="248" t="n">
        <v>45435</v>
      </c>
      <c r="T521" s="407" t="n">
        <f aca="false">Таблица18[[#This Row],[Вес нетто]]-Таблица18[[#This Row],[Зачетный вес]]</f>
        <v>2753.1</v>
      </c>
      <c r="U521" s="409" t="n">
        <f aca="false">Таблица18[[#This Row],[Отход]]/Таблица18[[#This Row],[Вес нетто]]</f>
        <v>0.285</v>
      </c>
      <c r="V521" s="234" t="n">
        <f aca="false">MONTH(Таблица18[[#This Row],[Дата акта]])</f>
        <v>5</v>
      </c>
      <c r="W521" s="234" t="n">
        <v>23</v>
      </c>
      <c r="X521" s="248" t="n">
        <f aca="false">DATE(1900,Таблица18[[#This Row],[Месяц]],Таблица18[[#This Row],[Число]])</f>
        <v>144</v>
      </c>
      <c r="Y521" s="234"/>
      <c r="AF521" s="411"/>
      <c r="AG521" s="412"/>
    </row>
    <row r="522" s="410" customFormat="true" ht="15" hidden="true" customHeight="true" outlineLevel="0" collapsed="false">
      <c r="A522" s="198" t="s">
        <v>2119</v>
      </c>
      <c r="B522" s="199" t="s">
        <v>417</v>
      </c>
      <c r="C522" s="198" t="n">
        <v>128</v>
      </c>
      <c r="D522" s="198" t="n">
        <v>117523</v>
      </c>
      <c r="E522" s="198" t="s">
        <v>409</v>
      </c>
      <c r="F522" s="198" t="s">
        <v>2084</v>
      </c>
      <c r="G522" s="198" t="s">
        <v>2085</v>
      </c>
      <c r="H522" s="198" t="s">
        <v>2071</v>
      </c>
      <c r="I522" s="199"/>
      <c r="J522" s="198" t="s">
        <v>68</v>
      </c>
      <c r="K522" s="198" t="s">
        <v>1435</v>
      </c>
      <c r="L522" s="234" t="n">
        <v>34130</v>
      </c>
      <c r="M522" s="234" t="n">
        <v>17190</v>
      </c>
      <c r="N522" s="234" t="n">
        <v>28.5</v>
      </c>
      <c r="O522" s="407" t="n">
        <v>16940</v>
      </c>
      <c r="P522" s="407" t="n">
        <v>12112.1</v>
      </c>
      <c r="Q522" s="234" t="n">
        <v>2024</v>
      </c>
      <c r="R522" s="234"/>
      <c r="S522" s="248" t="n">
        <v>45435</v>
      </c>
      <c r="T522" s="407" t="n">
        <f aca="false">Таблица18[[#This Row],[Вес нетто]]-Таблица18[[#This Row],[Зачетный вес]]</f>
        <v>4827.9</v>
      </c>
      <c r="U522" s="409" t="n">
        <f aca="false">Таблица18[[#This Row],[Отход]]/Таблица18[[#This Row],[Вес нетто]]</f>
        <v>0.285</v>
      </c>
      <c r="V522" s="234" t="n">
        <f aca="false">MONTH(Таблица18[[#This Row],[Дата акта]])</f>
        <v>5</v>
      </c>
      <c r="W522" s="234" t="n">
        <v>23</v>
      </c>
      <c r="X522" s="248" t="n">
        <f aca="false">DATE(1900,Таблица18[[#This Row],[Месяц]],Таблица18[[#This Row],[Число]])</f>
        <v>144</v>
      </c>
      <c r="Y522" s="234"/>
      <c r="AF522" s="411"/>
      <c r="AG522" s="412"/>
    </row>
    <row r="523" s="410" customFormat="true" ht="15" hidden="true" customHeight="true" outlineLevel="0" collapsed="false">
      <c r="A523" s="198" t="s">
        <v>2120</v>
      </c>
      <c r="B523" s="199" t="s">
        <v>417</v>
      </c>
      <c r="C523" s="198" t="n">
        <v>129</v>
      </c>
      <c r="D523" s="198" t="n">
        <v>117532</v>
      </c>
      <c r="E523" s="198" t="s">
        <v>409</v>
      </c>
      <c r="F523" s="198" t="s">
        <v>386</v>
      </c>
      <c r="G523" s="198" t="s">
        <v>387</v>
      </c>
      <c r="H523" s="198" t="s">
        <v>2071</v>
      </c>
      <c r="I523" s="199"/>
      <c r="J523" s="198" t="s">
        <v>68</v>
      </c>
      <c r="K523" s="198" t="s">
        <v>1435</v>
      </c>
      <c r="L523" s="234" t="n">
        <v>32070</v>
      </c>
      <c r="M523" s="234" t="n">
        <v>15160</v>
      </c>
      <c r="N523" s="234" t="n">
        <v>42</v>
      </c>
      <c r="O523" s="407" t="n">
        <v>16910</v>
      </c>
      <c r="P523" s="407" t="n">
        <v>9807.8</v>
      </c>
      <c r="Q523" s="234" t="n">
        <v>2024</v>
      </c>
      <c r="R523" s="234"/>
      <c r="S523" s="248" t="n">
        <v>45435</v>
      </c>
      <c r="T523" s="407" t="n">
        <f aca="false">Таблица18[[#This Row],[Вес нетто]]-Таблица18[[#This Row],[Зачетный вес]]</f>
        <v>7102.2</v>
      </c>
      <c r="U523" s="409" t="n">
        <f aca="false">Таблица18[[#This Row],[Отход]]/Таблица18[[#This Row],[Вес нетто]]</f>
        <v>0.42</v>
      </c>
      <c r="V523" s="234" t="n">
        <f aca="false">MONTH(Таблица18[[#This Row],[Дата акта]])</f>
        <v>5</v>
      </c>
      <c r="W523" s="234" t="n">
        <v>23</v>
      </c>
      <c r="X523" s="248" t="n">
        <f aca="false">DATE(1900,Таблица18[[#This Row],[Месяц]],Таблица18[[#This Row],[Число]])</f>
        <v>144</v>
      </c>
      <c r="Y523" s="234"/>
      <c r="AF523" s="411"/>
      <c r="AG523" s="412"/>
    </row>
    <row r="524" s="410" customFormat="true" ht="15" hidden="true" customHeight="true" outlineLevel="0" collapsed="false">
      <c r="A524" s="198" t="s">
        <v>2121</v>
      </c>
      <c r="B524" s="199" t="s">
        <v>417</v>
      </c>
      <c r="C524" s="198" t="n">
        <v>130</v>
      </c>
      <c r="D524" s="198" t="n">
        <v>11</v>
      </c>
      <c r="E524" s="198" t="s">
        <v>422</v>
      </c>
      <c r="F524" s="198" t="s">
        <v>359</v>
      </c>
      <c r="G524" s="198" t="s">
        <v>426</v>
      </c>
      <c r="H524" s="198" t="s">
        <v>2088</v>
      </c>
      <c r="I524" s="199"/>
      <c r="J524" s="198" t="s">
        <v>1516</v>
      </c>
      <c r="K524" s="198" t="s">
        <v>1435</v>
      </c>
      <c r="L524" s="234" t="n">
        <v>25260</v>
      </c>
      <c r="M524" s="234" t="n">
        <v>20200</v>
      </c>
      <c r="N524" s="234" t="n">
        <v>39</v>
      </c>
      <c r="O524" s="407" t="n">
        <v>5060</v>
      </c>
      <c r="P524" s="407" t="n">
        <v>3086.6</v>
      </c>
      <c r="Q524" s="234" t="n">
        <v>2024</v>
      </c>
      <c r="R524" s="234"/>
      <c r="S524" s="248" t="n">
        <v>45435</v>
      </c>
      <c r="T524" s="407" t="n">
        <f aca="false">Таблица18[[#This Row],[Вес нетто]]-Таблица18[[#This Row],[Зачетный вес]]</f>
        <v>1973.4</v>
      </c>
      <c r="U524" s="409" t="n">
        <f aca="false">Таблица18[[#This Row],[Отход]]/Таблица18[[#This Row],[Вес нетто]]</f>
        <v>0.39</v>
      </c>
      <c r="V524" s="234" t="n">
        <f aca="false">MONTH(Таблица18[[#This Row],[Дата акта]])</f>
        <v>5</v>
      </c>
      <c r="W524" s="234" t="n">
        <v>23</v>
      </c>
      <c r="X524" s="248" t="n">
        <f aca="false">DATE(1900,Таблица18[[#This Row],[Месяц]],Таблица18[[#This Row],[Число]])</f>
        <v>144</v>
      </c>
      <c r="Y524" s="234"/>
      <c r="AF524" s="411"/>
      <c r="AG524" s="412"/>
    </row>
    <row r="525" s="410" customFormat="true" ht="15" hidden="true" customHeight="true" outlineLevel="0" collapsed="false">
      <c r="A525" s="198" t="s">
        <v>2122</v>
      </c>
      <c r="B525" s="199" t="s">
        <v>417</v>
      </c>
      <c r="C525" s="198" t="n">
        <v>131</v>
      </c>
      <c r="D525" s="198" t="n">
        <v>11</v>
      </c>
      <c r="E525" s="198" t="s">
        <v>422</v>
      </c>
      <c r="F525" s="198" t="s">
        <v>359</v>
      </c>
      <c r="G525" s="198" t="s">
        <v>426</v>
      </c>
      <c r="H525" s="198" t="s">
        <v>2088</v>
      </c>
      <c r="I525" s="199"/>
      <c r="J525" s="198" t="s">
        <v>252</v>
      </c>
      <c r="K525" s="198" t="s">
        <v>1435</v>
      </c>
      <c r="L525" s="234" t="n">
        <v>20200</v>
      </c>
      <c r="M525" s="234" t="n">
        <v>13760</v>
      </c>
      <c r="N525" s="234" t="n">
        <v>33</v>
      </c>
      <c r="O525" s="407" t="n">
        <v>6440</v>
      </c>
      <c r="P525" s="407" t="n">
        <v>4314.8</v>
      </c>
      <c r="Q525" s="234" t="n">
        <v>2024</v>
      </c>
      <c r="R525" s="234"/>
      <c r="S525" s="248" t="n">
        <v>45435</v>
      </c>
      <c r="T525" s="407" t="n">
        <f aca="false">Таблица18[[#This Row],[Вес нетто]]-Таблица18[[#This Row],[Зачетный вес]]</f>
        <v>2125.2</v>
      </c>
      <c r="U525" s="409" t="n">
        <f aca="false">Таблица18[[#This Row],[Отход]]/Таблица18[[#This Row],[Вес нетто]]</f>
        <v>0.33</v>
      </c>
      <c r="V525" s="234" t="n">
        <f aca="false">MONTH(Таблица18[[#This Row],[Дата акта]])</f>
        <v>5</v>
      </c>
      <c r="W525" s="234" t="n">
        <v>23</v>
      </c>
      <c r="X525" s="248" t="n">
        <f aca="false">DATE(1900,Таблица18[[#This Row],[Месяц]],Таблица18[[#This Row],[Число]])</f>
        <v>144</v>
      </c>
      <c r="Y525" s="234"/>
      <c r="AF525" s="411"/>
      <c r="AG525" s="412"/>
    </row>
    <row r="526" s="410" customFormat="true" ht="15" hidden="true" customHeight="true" outlineLevel="0" collapsed="false">
      <c r="A526" s="198" t="s">
        <v>2123</v>
      </c>
      <c r="B526" s="199" t="s">
        <v>417</v>
      </c>
      <c r="C526" s="198" t="n">
        <v>132</v>
      </c>
      <c r="D526" s="198" t="n">
        <v>12</v>
      </c>
      <c r="E526" s="198" t="s">
        <v>422</v>
      </c>
      <c r="F526" s="198" t="s">
        <v>363</v>
      </c>
      <c r="G526" s="198" t="s">
        <v>364</v>
      </c>
      <c r="H526" s="198" t="s">
        <v>2124</v>
      </c>
      <c r="I526" s="199"/>
      <c r="J526" s="198" t="s">
        <v>252</v>
      </c>
      <c r="K526" s="198" t="s">
        <v>1435</v>
      </c>
      <c r="L526" s="234" t="n">
        <v>23820</v>
      </c>
      <c r="M526" s="234" t="n">
        <v>14440</v>
      </c>
      <c r="N526" s="234" t="n">
        <v>26.5</v>
      </c>
      <c r="O526" s="407" t="n">
        <v>9380</v>
      </c>
      <c r="P526" s="407" t="n">
        <v>6894.3</v>
      </c>
      <c r="Q526" s="234" t="n">
        <v>2024</v>
      </c>
      <c r="R526" s="234"/>
      <c r="S526" s="248" t="n">
        <v>45436</v>
      </c>
      <c r="T526" s="407" t="n">
        <f aca="false">Таблица18[[#This Row],[Вес нетто]]-Таблица18[[#This Row],[Зачетный вес]]</f>
        <v>2485.7</v>
      </c>
      <c r="U526" s="409" t="n">
        <f aca="false">Таблица18[[#This Row],[Отход]]/Таблица18[[#This Row],[Вес нетто]]</f>
        <v>0.265</v>
      </c>
      <c r="V526" s="234" t="n">
        <f aca="false">MONTH(Таблица18[[#This Row],[Дата акта]])</f>
        <v>5</v>
      </c>
      <c r="W526" s="234" t="n">
        <v>24</v>
      </c>
      <c r="X526" s="248" t="n">
        <f aca="false">DATE(1900,Таблица18[[#This Row],[Месяц]],Таблица18[[#This Row],[Число]])</f>
        <v>145</v>
      </c>
      <c r="Y526" s="234"/>
      <c r="AF526" s="411"/>
      <c r="AG526" s="412"/>
    </row>
    <row r="527" s="410" customFormat="true" ht="15" hidden="true" customHeight="true" outlineLevel="0" collapsed="false">
      <c r="A527" s="198" t="s">
        <v>2125</v>
      </c>
      <c r="B527" s="199" t="s">
        <v>417</v>
      </c>
      <c r="C527" s="198" t="n">
        <v>133</v>
      </c>
      <c r="D527" s="198" t="n">
        <v>13</v>
      </c>
      <c r="E527" s="198" t="s">
        <v>422</v>
      </c>
      <c r="F527" s="198" t="s">
        <v>359</v>
      </c>
      <c r="G527" s="198" t="s">
        <v>426</v>
      </c>
      <c r="H527" s="198" t="s">
        <v>2124</v>
      </c>
      <c r="I527" s="199"/>
      <c r="J527" s="198" t="s">
        <v>252</v>
      </c>
      <c r="K527" s="198" t="s">
        <v>1435</v>
      </c>
      <c r="L527" s="234" t="n">
        <v>23150</v>
      </c>
      <c r="M527" s="234" t="n">
        <v>13840</v>
      </c>
      <c r="N527" s="234" t="n">
        <v>31</v>
      </c>
      <c r="O527" s="407" t="n">
        <v>9310</v>
      </c>
      <c r="P527" s="407" t="n">
        <v>6423.9</v>
      </c>
      <c r="Q527" s="234" t="n">
        <v>2024</v>
      </c>
      <c r="R527" s="234"/>
      <c r="S527" s="248" t="n">
        <v>45436</v>
      </c>
      <c r="T527" s="407" t="n">
        <f aca="false">Таблица18[[#This Row],[Вес нетто]]-Таблица18[[#This Row],[Зачетный вес]]</f>
        <v>2886.1</v>
      </c>
      <c r="U527" s="409" t="n">
        <f aca="false">Таблица18[[#This Row],[Отход]]/Таблица18[[#This Row],[Вес нетто]]</f>
        <v>0.31</v>
      </c>
      <c r="V527" s="234" t="n">
        <f aca="false">MONTH(Таблица18[[#This Row],[Дата акта]])</f>
        <v>5</v>
      </c>
      <c r="W527" s="234" t="n">
        <v>24</v>
      </c>
      <c r="X527" s="248" t="n">
        <f aca="false">DATE(1900,Таблица18[[#This Row],[Месяц]],Таблица18[[#This Row],[Число]])</f>
        <v>145</v>
      </c>
      <c r="Y527" s="234"/>
      <c r="AF527" s="411"/>
      <c r="AG527" s="412"/>
    </row>
    <row r="528" s="410" customFormat="true" ht="15" hidden="true" customHeight="true" outlineLevel="0" collapsed="false">
      <c r="A528" s="198" t="s">
        <v>2126</v>
      </c>
      <c r="B528" s="199" t="s">
        <v>417</v>
      </c>
      <c r="C528" s="198" t="n">
        <v>134</v>
      </c>
      <c r="D528" s="198" t="n">
        <v>117534</v>
      </c>
      <c r="E528" s="198" t="s">
        <v>409</v>
      </c>
      <c r="F528" s="198" t="s">
        <v>55</v>
      </c>
      <c r="G528" s="198" t="s">
        <v>56</v>
      </c>
      <c r="H528" s="198" t="s">
        <v>2071</v>
      </c>
      <c r="I528" s="199"/>
      <c r="J528" s="198" t="s">
        <v>68</v>
      </c>
      <c r="K528" s="198" t="s">
        <v>1435</v>
      </c>
      <c r="L528" s="234" t="n">
        <v>26310</v>
      </c>
      <c r="M528" s="234" t="n">
        <v>14430</v>
      </c>
      <c r="N528" s="234" t="n">
        <v>28</v>
      </c>
      <c r="O528" s="407" t="n">
        <v>11880</v>
      </c>
      <c r="P528" s="407" t="n">
        <v>8553.6</v>
      </c>
      <c r="Q528" s="234" t="n">
        <v>2024</v>
      </c>
      <c r="R528" s="234"/>
      <c r="S528" s="248" t="n">
        <v>45436</v>
      </c>
      <c r="T528" s="407" t="n">
        <f aca="false">Таблица18[[#This Row],[Вес нетто]]-Таблица18[[#This Row],[Зачетный вес]]</f>
        <v>3326.4</v>
      </c>
      <c r="U528" s="409" t="n">
        <f aca="false">Таблица18[[#This Row],[Отход]]/Таблица18[[#This Row],[Вес нетто]]</f>
        <v>0.28</v>
      </c>
      <c r="V528" s="234" t="n">
        <f aca="false">MONTH(Таблица18[[#This Row],[Дата акта]])</f>
        <v>5</v>
      </c>
      <c r="W528" s="234" t="n">
        <v>24</v>
      </c>
      <c r="X528" s="248" t="n">
        <f aca="false">DATE(1900,Таблица18[[#This Row],[Месяц]],Таблица18[[#This Row],[Число]])</f>
        <v>145</v>
      </c>
      <c r="Y528" s="234"/>
      <c r="AF528" s="411"/>
      <c r="AG528" s="412"/>
    </row>
    <row r="529" s="410" customFormat="true" ht="15" hidden="true" customHeight="true" outlineLevel="0" collapsed="false">
      <c r="A529" s="198" t="s">
        <v>2127</v>
      </c>
      <c r="B529" s="199" t="s">
        <v>746</v>
      </c>
      <c r="C529" s="198" t="n">
        <v>135</v>
      </c>
      <c r="D529" s="198" t="n">
        <v>14</v>
      </c>
      <c r="E529" s="198" t="s">
        <v>422</v>
      </c>
      <c r="F529" s="198" t="s">
        <v>363</v>
      </c>
      <c r="G529" s="198" t="s">
        <v>364</v>
      </c>
      <c r="H529" s="198" t="s">
        <v>2124</v>
      </c>
      <c r="I529" s="199"/>
      <c r="J529" s="198" t="s">
        <v>252</v>
      </c>
      <c r="K529" s="198" t="s">
        <v>1435</v>
      </c>
      <c r="L529" s="234" t="n">
        <v>23650</v>
      </c>
      <c r="M529" s="234" t="n">
        <v>14460</v>
      </c>
      <c r="N529" s="234" t="n">
        <v>29.5</v>
      </c>
      <c r="O529" s="407" t="n">
        <v>9190</v>
      </c>
      <c r="P529" s="407" t="n">
        <v>6478.9</v>
      </c>
      <c r="Q529" s="234" t="n">
        <v>2024</v>
      </c>
      <c r="R529" s="234"/>
      <c r="S529" s="248" t="n">
        <v>45436</v>
      </c>
      <c r="T529" s="407" t="n">
        <f aca="false">Таблица18[[#This Row],[Вес нетто]]-Таблица18[[#This Row],[Зачетный вес]]</f>
        <v>2711.1</v>
      </c>
      <c r="U529" s="409" t="n">
        <f aca="false">Таблица18[[#This Row],[Отход]]/Таблица18[[#This Row],[Вес нетто]]</f>
        <v>0.295005440696409</v>
      </c>
      <c r="V529" s="234" t="n">
        <f aca="false">MONTH(Таблица18[[#This Row],[Дата акта]])</f>
        <v>5</v>
      </c>
      <c r="W529" s="234" t="n">
        <v>24</v>
      </c>
      <c r="X529" s="248" t="n">
        <f aca="false">DATE(1900,Таблица18[[#This Row],[Месяц]],Таблица18[[#This Row],[Число]])</f>
        <v>145</v>
      </c>
      <c r="Y529" s="234"/>
      <c r="AF529" s="411"/>
      <c r="AG529" s="412"/>
    </row>
    <row r="530" s="410" customFormat="true" ht="15" hidden="true" customHeight="true" outlineLevel="0" collapsed="false">
      <c r="A530" s="198" t="s">
        <v>2128</v>
      </c>
      <c r="B530" s="199" t="s">
        <v>417</v>
      </c>
      <c r="C530" s="198" t="n">
        <v>136</v>
      </c>
      <c r="D530" s="198" t="n">
        <v>15</v>
      </c>
      <c r="E530" s="198" t="s">
        <v>422</v>
      </c>
      <c r="F530" s="198" t="s">
        <v>359</v>
      </c>
      <c r="G530" s="198" t="s">
        <v>426</v>
      </c>
      <c r="H530" s="198" t="s">
        <v>2124</v>
      </c>
      <c r="I530" s="199"/>
      <c r="J530" s="198" t="s">
        <v>252</v>
      </c>
      <c r="K530" s="198" t="s">
        <v>1435</v>
      </c>
      <c r="L530" s="234" t="n">
        <v>22830</v>
      </c>
      <c r="M530" s="234" t="n">
        <v>13820</v>
      </c>
      <c r="N530" s="234" t="n">
        <v>26.5</v>
      </c>
      <c r="O530" s="407" t="n">
        <v>9010</v>
      </c>
      <c r="P530" s="407" t="n">
        <v>6622.3</v>
      </c>
      <c r="Q530" s="234" t="n">
        <v>2024</v>
      </c>
      <c r="R530" s="234"/>
      <c r="S530" s="248" t="n">
        <v>45436</v>
      </c>
      <c r="T530" s="407" t="n">
        <f aca="false">Таблица18[[#This Row],[Вес нетто]]-Таблица18[[#This Row],[Зачетный вес]]</f>
        <v>2387.7</v>
      </c>
      <c r="U530" s="409" t="n">
        <f aca="false">Таблица18[[#This Row],[Отход]]/Таблица18[[#This Row],[Вес нетто]]</f>
        <v>0.265005549389567</v>
      </c>
      <c r="V530" s="234" t="n">
        <f aca="false">MONTH(Таблица18[[#This Row],[Дата акта]])</f>
        <v>5</v>
      </c>
      <c r="W530" s="234" t="n">
        <v>24</v>
      </c>
      <c r="X530" s="248" t="n">
        <f aca="false">DATE(1900,Таблица18[[#This Row],[Месяц]],Таблица18[[#This Row],[Число]])</f>
        <v>145</v>
      </c>
      <c r="Y530" s="234"/>
      <c r="AF530" s="411"/>
      <c r="AG530" s="412"/>
    </row>
    <row r="531" s="410" customFormat="true" ht="15" hidden="true" customHeight="true" outlineLevel="0" collapsed="false">
      <c r="A531" s="198" t="s">
        <v>2129</v>
      </c>
      <c r="B531" s="199" t="s">
        <v>417</v>
      </c>
      <c r="C531" s="198" t="n">
        <v>137</v>
      </c>
      <c r="D531" s="198" t="n">
        <v>16</v>
      </c>
      <c r="E531" s="198" t="s">
        <v>422</v>
      </c>
      <c r="F531" s="198" t="s">
        <v>1876</v>
      </c>
      <c r="G531" s="198" t="s">
        <v>1877</v>
      </c>
      <c r="H531" s="198" t="s">
        <v>2124</v>
      </c>
      <c r="I531" s="199"/>
      <c r="J531" s="198" t="s">
        <v>252</v>
      </c>
      <c r="K531" s="198" t="s">
        <v>1435</v>
      </c>
      <c r="L531" s="234" t="n">
        <v>25610</v>
      </c>
      <c r="M531" s="234" t="n">
        <v>14690</v>
      </c>
      <c r="N531" s="234" t="n">
        <v>30.5</v>
      </c>
      <c r="O531" s="407" t="n">
        <v>10920</v>
      </c>
      <c r="P531" s="407" t="n">
        <v>7589.4</v>
      </c>
      <c r="Q531" s="234" t="n">
        <v>2024</v>
      </c>
      <c r="R531" s="234"/>
      <c r="S531" s="248" t="n">
        <v>45436</v>
      </c>
      <c r="T531" s="407" t="n">
        <f aca="false">Таблица18[[#This Row],[Вес нетто]]-Таблица18[[#This Row],[Зачетный вес]]</f>
        <v>3330.6</v>
      </c>
      <c r="U531" s="409" t="n">
        <f aca="false">Таблица18[[#This Row],[Отход]]/Таблица18[[#This Row],[Вес нетто]]</f>
        <v>0.305</v>
      </c>
      <c r="V531" s="234" t="n">
        <f aca="false">MONTH(Таблица18[[#This Row],[Дата акта]])</f>
        <v>5</v>
      </c>
      <c r="W531" s="234" t="n">
        <v>24</v>
      </c>
      <c r="X531" s="248" t="n">
        <f aca="false">DATE(1900,Таблица18[[#This Row],[Месяц]],Таблица18[[#This Row],[Число]])</f>
        <v>145</v>
      </c>
      <c r="Y531" s="234"/>
      <c r="AF531" s="411"/>
      <c r="AG531" s="412"/>
    </row>
    <row r="532" s="410" customFormat="true" ht="15" hidden="true" customHeight="true" outlineLevel="0" collapsed="false">
      <c r="A532" s="198" t="s">
        <v>2130</v>
      </c>
      <c r="B532" s="199" t="s">
        <v>417</v>
      </c>
      <c r="C532" s="198" t="n">
        <v>138</v>
      </c>
      <c r="D532" s="198" t="n">
        <v>17</v>
      </c>
      <c r="E532" s="198" t="s">
        <v>422</v>
      </c>
      <c r="F532" s="198" t="s">
        <v>376</v>
      </c>
      <c r="G532" s="198" t="s">
        <v>377</v>
      </c>
      <c r="H532" s="198" t="s">
        <v>2124</v>
      </c>
      <c r="I532" s="199"/>
      <c r="J532" s="198" t="s">
        <v>252</v>
      </c>
      <c r="K532" s="198" t="s">
        <v>1435</v>
      </c>
      <c r="L532" s="234" t="n">
        <v>28720</v>
      </c>
      <c r="M532" s="234" t="n">
        <v>14150</v>
      </c>
      <c r="N532" s="234" t="n">
        <v>20.5</v>
      </c>
      <c r="O532" s="407" t="n">
        <v>14570</v>
      </c>
      <c r="P532" s="407" t="n">
        <v>11583.1</v>
      </c>
      <c r="Q532" s="234" t="n">
        <v>2024</v>
      </c>
      <c r="R532" s="234"/>
      <c r="S532" s="248" t="n">
        <v>45436</v>
      </c>
      <c r="T532" s="407" t="n">
        <f aca="false">Таблица18[[#This Row],[Вес нетто]]-Таблица18[[#This Row],[Зачетный вес]]</f>
        <v>2986.9</v>
      </c>
      <c r="U532" s="409" t="n">
        <f aca="false">Таблица18[[#This Row],[Отход]]/Таблица18[[#This Row],[Вес нетто]]</f>
        <v>0.205003431708991</v>
      </c>
      <c r="V532" s="234" t="n">
        <f aca="false">MONTH(Таблица18[[#This Row],[Дата акта]])</f>
        <v>5</v>
      </c>
      <c r="W532" s="234" t="n">
        <v>24</v>
      </c>
      <c r="X532" s="248" t="n">
        <f aca="false">DATE(1900,Таблица18[[#This Row],[Месяц]],Таблица18[[#This Row],[Число]])</f>
        <v>145</v>
      </c>
      <c r="Y532" s="234"/>
      <c r="AF532" s="411"/>
      <c r="AG532" s="412"/>
    </row>
    <row r="533" s="410" customFormat="true" ht="15" hidden="true" customHeight="true" outlineLevel="0" collapsed="false">
      <c r="A533" s="198" t="s">
        <v>2131</v>
      </c>
      <c r="B533" s="199" t="s">
        <v>417</v>
      </c>
      <c r="C533" s="198" t="n">
        <v>139</v>
      </c>
      <c r="D533" s="198" t="n">
        <v>18</v>
      </c>
      <c r="E533" s="198" t="s">
        <v>422</v>
      </c>
      <c r="F533" s="198" t="s">
        <v>55</v>
      </c>
      <c r="G533" s="198" t="s">
        <v>56</v>
      </c>
      <c r="H533" s="198" t="s">
        <v>2124</v>
      </c>
      <c r="I533" s="199"/>
      <c r="J533" s="198" t="s">
        <v>252</v>
      </c>
      <c r="K533" s="198" t="s">
        <v>1435</v>
      </c>
      <c r="L533" s="234" t="n">
        <v>29080</v>
      </c>
      <c r="M533" s="234" t="n">
        <v>14410</v>
      </c>
      <c r="N533" s="234" t="n">
        <v>24.5</v>
      </c>
      <c r="O533" s="407" t="n">
        <v>14670</v>
      </c>
      <c r="P533" s="407" t="n">
        <v>11075.8</v>
      </c>
      <c r="Q533" s="234" t="n">
        <v>2024</v>
      </c>
      <c r="R533" s="234"/>
      <c r="S533" s="248" t="n">
        <v>45436</v>
      </c>
      <c r="T533" s="407" t="n">
        <f aca="false">Таблица18[[#This Row],[Вес нетто]]-Таблица18[[#This Row],[Зачетный вес]]</f>
        <v>3594.2</v>
      </c>
      <c r="U533" s="409" t="n">
        <f aca="false">Таблица18[[#This Row],[Отход]]/Таблица18[[#This Row],[Вес нетто]]</f>
        <v>0.245003408316292</v>
      </c>
      <c r="V533" s="234" t="n">
        <f aca="false">MONTH(Таблица18[[#This Row],[Дата акта]])</f>
        <v>5</v>
      </c>
      <c r="W533" s="234" t="n">
        <v>24</v>
      </c>
      <c r="X533" s="248" t="n">
        <f aca="false">DATE(1900,Таблица18[[#This Row],[Месяц]],Таблица18[[#This Row],[Число]])</f>
        <v>145</v>
      </c>
      <c r="Y533" s="234"/>
      <c r="AF533" s="411"/>
      <c r="AG533" s="412"/>
    </row>
    <row r="534" s="410" customFormat="true" ht="15" hidden="true" customHeight="true" outlineLevel="0" collapsed="false">
      <c r="A534" s="198" t="s">
        <v>2132</v>
      </c>
      <c r="B534" s="199" t="s">
        <v>417</v>
      </c>
      <c r="C534" s="198" t="n">
        <v>140</v>
      </c>
      <c r="D534" s="198" t="n">
        <v>19</v>
      </c>
      <c r="E534" s="198" t="s">
        <v>422</v>
      </c>
      <c r="F534" s="198" t="s">
        <v>1876</v>
      </c>
      <c r="G534" s="198" t="s">
        <v>1877</v>
      </c>
      <c r="H534" s="198" t="s">
        <v>2124</v>
      </c>
      <c r="I534" s="199"/>
      <c r="J534" s="198" t="s">
        <v>252</v>
      </c>
      <c r="K534" s="198" t="s">
        <v>1435</v>
      </c>
      <c r="L534" s="234" t="n">
        <v>29420</v>
      </c>
      <c r="M534" s="234" t="n">
        <v>14670</v>
      </c>
      <c r="N534" s="234" t="n">
        <v>25.5</v>
      </c>
      <c r="O534" s="407" t="n">
        <v>14750</v>
      </c>
      <c r="P534" s="407" t="n">
        <v>10988.7</v>
      </c>
      <c r="Q534" s="234" t="n">
        <v>2024</v>
      </c>
      <c r="R534" s="234"/>
      <c r="S534" s="248" t="n">
        <v>45436</v>
      </c>
      <c r="T534" s="407" t="n">
        <f aca="false">Таблица18[[#This Row],[Вес нетто]]-Таблица18[[#This Row],[Зачетный вес]]</f>
        <v>3761.3</v>
      </c>
      <c r="U534" s="409" t="n">
        <f aca="false">Таблица18[[#This Row],[Отход]]/Таблица18[[#This Row],[Вес нетто]]</f>
        <v>0.255003389830508</v>
      </c>
      <c r="V534" s="234" t="n">
        <f aca="false">MONTH(Таблица18[[#This Row],[Дата акта]])</f>
        <v>5</v>
      </c>
      <c r="W534" s="234" t="n">
        <v>24</v>
      </c>
      <c r="X534" s="248" t="n">
        <f aca="false">DATE(1900,Таблица18[[#This Row],[Месяц]],Таблица18[[#This Row],[Число]])</f>
        <v>145</v>
      </c>
      <c r="Y534" s="234"/>
      <c r="AF534" s="411"/>
      <c r="AG534" s="412"/>
    </row>
    <row r="535" s="410" customFormat="true" ht="15" hidden="true" customHeight="true" outlineLevel="0" collapsed="false">
      <c r="A535" s="198" t="s">
        <v>2133</v>
      </c>
      <c r="B535" s="199" t="s">
        <v>417</v>
      </c>
      <c r="C535" s="198" t="n">
        <v>141</v>
      </c>
      <c r="D535" s="198" t="n">
        <v>20</v>
      </c>
      <c r="E535" s="198" t="s">
        <v>422</v>
      </c>
      <c r="F535" s="198" t="s">
        <v>376</v>
      </c>
      <c r="G535" s="198" t="s">
        <v>377</v>
      </c>
      <c r="H535" s="198" t="s">
        <v>2124</v>
      </c>
      <c r="I535" s="199"/>
      <c r="J535" s="198" t="s">
        <v>252</v>
      </c>
      <c r="K535" s="198" t="s">
        <v>1435</v>
      </c>
      <c r="L535" s="234" t="n">
        <v>26620</v>
      </c>
      <c r="M535" s="234" t="n">
        <v>19350</v>
      </c>
      <c r="N535" s="234" t="n">
        <v>21.5</v>
      </c>
      <c r="O535" s="407" t="n">
        <v>7270</v>
      </c>
      <c r="P535" s="407" t="n">
        <v>5706.9</v>
      </c>
      <c r="Q535" s="234" t="n">
        <v>2024</v>
      </c>
      <c r="R535" s="234"/>
      <c r="S535" s="248" t="n">
        <v>45436</v>
      </c>
      <c r="T535" s="407" t="n">
        <f aca="false">Таблица18[[#This Row],[Вес нетто]]-Таблица18[[#This Row],[Зачетный вес]]</f>
        <v>1563.1</v>
      </c>
      <c r="U535" s="409" t="n">
        <f aca="false">Таблица18[[#This Row],[Отход]]/Таблица18[[#This Row],[Вес нетто]]</f>
        <v>0.215006877579092</v>
      </c>
      <c r="V535" s="234" t="n">
        <f aca="false">MONTH(Таблица18[[#This Row],[Дата акта]])</f>
        <v>5</v>
      </c>
      <c r="W535" s="234" t="n">
        <v>24</v>
      </c>
      <c r="X535" s="248" t="n">
        <f aca="false">DATE(1900,Таблица18[[#This Row],[Месяц]],Таблица18[[#This Row],[Число]])</f>
        <v>145</v>
      </c>
      <c r="Y535" s="234"/>
      <c r="AF535" s="411"/>
      <c r="AG535" s="412"/>
    </row>
    <row r="536" s="410" customFormat="true" ht="15" hidden="true" customHeight="true" outlineLevel="0" collapsed="false">
      <c r="A536" s="198" t="s">
        <v>2134</v>
      </c>
      <c r="B536" s="199" t="s">
        <v>417</v>
      </c>
      <c r="C536" s="198" t="n">
        <v>142</v>
      </c>
      <c r="D536" s="198" t="n">
        <v>21</v>
      </c>
      <c r="E536" s="198" t="s">
        <v>422</v>
      </c>
      <c r="F536" s="198" t="s">
        <v>55</v>
      </c>
      <c r="G536" s="198" t="s">
        <v>56</v>
      </c>
      <c r="H536" s="198" t="s">
        <v>2124</v>
      </c>
      <c r="I536" s="199"/>
      <c r="J536" s="198" t="s">
        <v>252</v>
      </c>
      <c r="K536" s="198" t="s">
        <v>1435</v>
      </c>
      <c r="L536" s="234" t="n">
        <v>28990</v>
      </c>
      <c r="M536" s="234" t="n">
        <v>14390</v>
      </c>
      <c r="N536" s="234" t="n">
        <v>23.5</v>
      </c>
      <c r="O536" s="407" t="n">
        <v>14600</v>
      </c>
      <c r="P536" s="407" t="n">
        <v>11169</v>
      </c>
      <c r="Q536" s="234" t="n">
        <v>2024</v>
      </c>
      <c r="R536" s="234"/>
      <c r="S536" s="248" t="n">
        <v>45436</v>
      </c>
      <c r="T536" s="407" t="n">
        <f aca="false">Таблица18[[#This Row],[Вес нетто]]-Таблица18[[#This Row],[Зачетный вес]]</f>
        <v>3431</v>
      </c>
      <c r="U536" s="409" t="n">
        <f aca="false">Таблица18[[#This Row],[Отход]]/Таблица18[[#This Row],[Вес нетто]]</f>
        <v>0.235</v>
      </c>
      <c r="V536" s="234" t="n">
        <f aca="false">MONTH(Таблица18[[#This Row],[Дата акта]])</f>
        <v>5</v>
      </c>
      <c r="W536" s="234" t="n">
        <v>24</v>
      </c>
      <c r="X536" s="248" t="n">
        <f aca="false">DATE(1900,Таблица18[[#This Row],[Месяц]],Таблица18[[#This Row],[Число]])</f>
        <v>145</v>
      </c>
      <c r="Y536" s="234"/>
      <c r="AF536" s="411"/>
      <c r="AG536" s="412"/>
    </row>
    <row r="537" s="410" customFormat="true" ht="15" hidden="true" customHeight="true" outlineLevel="0" collapsed="false">
      <c r="A537" s="198" t="s">
        <v>2135</v>
      </c>
      <c r="B537" s="199" t="s">
        <v>417</v>
      </c>
      <c r="C537" s="198" t="n">
        <v>143</v>
      </c>
      <c r="D537" s="198" t="n">
        <v>20</v>
      </c>
      <c r="E537" s="198" t="s">
        <v>422</v>
      </c>
      <c r="F537" s="198" t="s">
        <v>376</v>
      </c>
      <c r="G537" s="198" t="s">
        <v>377</v>
      </c>
      <c r="H537" s="198" t="s">
        <v>2124</v>
      </c>
      <c r="I537" s="199"/>
      <c r="J537" s="198" t="s">
        <v>584</v>
      </c>
      <c r="K537" s="198" t="s">
        <v>1435</v>
      </c>
      <c r="L537" s="234" t="n">
        <v>19350</v>
      </c>
      <c r="M537" s="234" t="n">
        <v>14130</v>
      </c>
      <c r="N537" s="234" t="n">
        <v>30.5</v>
      </c>
      <c r="O537" s="407" t="n">
        <v>5220</v>
      </c>
      <c r="P537" s="407" t="n">
        <v>3627.9</v>
      </c>
      <c r="Q537" s="234" t="n">
        <v>2024</v>
      </c>
      <c r="R537" s="234"/>
      <c r="S537" s="248" t="n">
        <v>45436</v>
      </c>
      <c r="T537" s="407" t="n">
        <f aca="false">Таблица18[[#This Row],[Вес нетто]]-Таблица18[[#This Row],[Зачетный вес]]</f>
        <v>1592.1</v>
      </c>
      <c r="U537" s="409" t="n">
        <f aca="false">Таблица18[[#This Row],[Отход]]/Таблица18[[#This Row],[Вес нетто]]</f>
        <v>0.305</v>
      </c>
      <c r="V537" s="234" t="n">
        <f aca="false">MONTH(Таблица18[[#This Row],[Дата акта]])</f>
        <v>5</v>
      </c>
      <c r="W537" s="234" t="n">
        <v>24</v>
      </c>
      <c r="X537" s="248" t="n">
        <f aca="false">DATE(1900,Таблица18[[#This Row],[Месяц]],Таблица18[[#This Row],[Число]])</f>
        <v>145</v>
      </c>
      <c r="Y537" s="234"/>
      <c r="AF537" s="411"/>
      <c r="AG537" s="412"/>
    </row>
    <row r="538" s="410" customFormat="true" ht="15" hidden="true" customHeight="true" outlineLevel="0" collapsed="false">
      <c r="A538" s="198" t="s">
        <v>2136</v>
      </c>
      <c r="B538" s="199" t="s">
        <v>417</v>
      </c>
      <c r="C538" s="198" t="n">
        <v>144</v>
      </c>
      <c r="D538" s="198" t="n">
        <v>22</v>
      </c>
      <c r="E538" s="198" t="s">
        <v>422</v>
      </c>
      <c r="F538" s="198" t="s">
        <v>1876</v>
      </c>
      <c r="G538" s="198" t="s">
        <v>1877</v>
      </c>
      <c r="H538" s="198" t="s">
        <v>2124</v>
      </c>
      <c r="I538" s="199"/>
      <c r="J538" s="198" t="s">
        <v>252</v>
      </c>
      <c r="K538" s="198" t="s">
        <v>1435</v>
      </c>
      <c r="L538" s="234" t="n">
        <v>29250</v>
      </c>
      <c r="M538" s="234" t="n">
        <v>14660</v>
      </c>
      <c r="N538" s="234" t="n">
        <v>28</v>
      </c>
      <c r="O538" s="407" t="n">
        <v>14590</v>
      </c>
      <c r="P538" s="407" t="n">
        <v>10504.8</v>
      </c>
      <c r="Q538" s="234" t="n">
        <v>2024</v>
      </c>
      <c r="R538" s="234"/>
      <c r="S538" s="248" t="n">
        <v>45436</v>
      </c>
      <c r="T538" s="407" t="n">
        <f aca="false">Таблица18[[#This Row],[Вес нетто]]-Таблица18[[#This Row],[Зачетный вес]]</f>
        <v>4085.2</v>
      </c>
      <c r="U538" s="409" t="n">
        <f aca="false">Таблица18[[#This Row],[Отход]]/Таблица18[[#This Row],[Вес нетто]]</f>
        <v>0.28</v>
      </c>
      <c r="V538" s="234" t="n">
        <f aca="false">MONTH(Таблица18[[#This Row],[Дата акта]])</f>
        <v>5</v>
      </c>
      <c r="W538" s="234" t="n">
        <v>24</v>
      </c>
      <c r="X538" s="248" t="n">
        <f aca="false">DATE(1900,Таблица18[[#This Row],[Месяц]],Таблица18[[#This Row],[Число]])</f>
        <v>145</v>
      </c>
      <c r="Y538" s="234"/>
      <c r="AF538" s="411"/>
      <c r="AG538" s="412"/>
    </row>
    <row r="539" s="410" customFormat="true" ht="15" hidden="true" customHeight="true" outlineLevel="0" collapsed="false">
      <c r="A539" s="198" t="s">
        <v>2137</v>
      </c>
      <c r="B539" s="199" t="s">
        <v>417</v>
      </c>
      <c r="C539" s="198" t="n">
        <v>145</v>
      </c>
      <c r="D539" s="198" t="n">
        <v>23</v>
      </c>
      <c r="E539" s="198" t="s">
        <v>422</v>
      </c>
      <c r="F539" s="198" t="s">
        <v>55</v>
      </c>
      <c r="G539" s="198" t="s">
        <v>56</v>
      </c>
      <c r="H539" s="198" t="s">
        <v>2124</v>
      </c>
      <c r="I539" s="199"/>
      <c r="J539" s="198" t="s">
        <v>252</v>
      </c>
      <c r="K539" s="198" t="s">
        <v>1435</v>
      </c>
      <c r="L539" s="234" t="n">
        <v>31250</v>
      </c>
      <c r="M539" s="234" t="n">
        <v>14460</v>
      </c>
      <c r="N539" s="234" t="n">
        <v>24.5</v>
      </c>
      <c r="O539" s="407" t="n">
        <v>16790</v>
      </c>
      <c r="P539" s="407" t="n">
        <v>12676.4</v>
      </c>
      <c r="Q539" s="234" t="n">
        <v>2024</v>
      </c>
      <c r="R539" s="234"/>
      <c r="S539" s="248" t="n">
        <v>45436</v>
      </c>
      <c r="T539" s="407" t="n">
        <f aca="false">Таблица18[[#This Row],[Вес нетто]]-Таблица18[[#This Row],[Зачетный вес]]</f>
        <v>4113.6</v>
      </c>
      <c r="U539" s="409" t="n">
        <f aca="false">Таблица18[[#This Row],[Отход]]/Таблица18[[#This Row],[Вес нетто]]</f>
        <v>0.245002977963073</v>
      </c>
      <c r="V539" s="234" t="n">
        <f aca="false">MONTH(Таблица18[[#This Row],[Дата акта]])</f>
        <v>5</v>
      </c>
      <c r="W539" s="234" t="n">
        <v>24</v>
      </c>
      <c r="X539" s="248" t="n">
        <f aca="false">DATE(1900,Таблица18[[#This Row],[Месяц]],Таблица18[[#This Row],[Число]])</f>
        <v>145</v>
      </c>
      <c r="Y539" s="234"/>
      <c r="AF539" s="411"/>
      <c r="AG539" s="412"/>
    </row>
    <row r="540" s="410" customFormat="true" ht="15" hidden="true" customHeight="true" outlineLevel="0" collapsed="false">
      <c r="A540" s="198" t="s">
        <v>2138</v>
      </c>
      <c r="B540" s="199" t="s">
        <v>417</v>
      </c>
      <c r="C540" s="198" t="n">
        <v>146</v>
      </c>
      <c r="D540" s="198" t="n">
        <v>24</v>
      </c>
      <c r="E540" s="198" t="s">
        <v>422</v>
      </c>
      <c r="F540" s="198" t="s">
        <v>1876</v>
      </c>
      <c r="G540" s="198" t="s">
        <v>1877</v>
      </c>
      <c r="H540" s="198" t="s">
        <v>2124</v>
      </c>
      <c r="I540" s="199"/>
      <c r="J540" s="198" t="s">
        <v>252</v>
      </c>
      <c r="K540" s="198" t="s">
        <v>1435</v>
      </c>
      <c r="L540" s="234" t="n">
        <v>29170</v>
      </c>
      <c r="M540" s="234" t="n">
        <v>14740</v>
      </c>
      <c r="N540" s="234" t="n">
        <v>25.5</v>
      </c>
      <c r="O540" s="407" t="n">
        <v>14430</v>
      </c>
      <c r="P540" s="407" t="n">
        <v>10750.3</v>
      </c>
      <c r="Q540" s="234" t="n">
        <v>2024</v>
      </c>
      <c r="R540" s="234"/>
      <c r="S540" s="248" t="n">
        <v>45436</v>
      </c>
      <c r="T540" s="407" t="n">
        <f aca="false">Таблица18[[#This Row],[Вес нетто]]-Таблица18[[#This Row],[Зачетный вес]]</f>
        <v>3679.7</v>
      </c>
      <c r="U540" s="409" t="n">
        <f aca="false">Таблица18[[#This Row],[Отход]]/Таблица18[[#This Row],[Вес нетто]]</f>
        <v>0.255003465003465</v>
      </c>
      <c r="V540" s="234" t="n">
        <f aca="false">MONTH(Таблица18[[#This Row],[Дата акта]])</f>
        <v>5</v>
      </c>
      <c r="W540" s="234" t="n">
        <v>24</v>
      </c>
      <c r="X540" s="248" t="n">
        <f aca="false">DATE(1900,Таблица18[[#This Row],[Месяц]],Таблица18[[#This Row],[Число]])</f>
        <v>145</v>
      </c>
      <c r="Y540" s="234"/>
      <c r="AF540" s="411"/>
      <c r="AG540" s="412"/>
    </row>
    <row r="541" s="410" customFormat="true" ht="15" hidden="true" customHeight="true" outlineLevel="0" collapsed="false">
      <c r="A541" s="198" t="s">
        <v>2139</v>
      </c>
      <c r="B541" s="199" t="s">
        <v>417</v>
      </c>
      <c r="C541" s="198" t="n">
        <v>147</v>
      </c>
      <c r="D541" s="198" t="n">
        <v>25</v>
      </c>
      <c r="E541" s="198" t="s">
        <v>422</v>
      </c>
      <c r="F541" s="198" t="s">
        <v>55</v>
      </c>
      <c r="G541" s="198" t="s">
        <v>56</v>
      </c>
      <c r="H541" s="198" t="s">
        <v>2124</v>
      </c>
      <c r="I541" s="199"/>
      <c r="J541" s="198" t="s">
        <v>252</v>
      </c>
      <c r="K541" s="198" t="s">
        <v>1435</v>
      </c>
      <c r="L541" s="234" t="n">
        <v>29470</v>
      </c>
      <c r="M541" s="234" t="n">
        <v>14450</v>
      </c>
      <c r="N541" s="234" t="n">
        <v>23.5</v>
      </c>
      <c r="O541" s="407" t="n">
        <v>15020</v>
      </c>
      <c r="P541" s="407" t="n">
        <v>11490.3</v>
      </c>
      <c r="Q541" s="234" t="n">
        <v>2024</v>
      </c>
      <c r="R541" s="234"/>
      <c r="S541" s="248" t="n">
        <v>45437</v>
      </c>
      <c r="T541" s="407" t="n">
        <f aca="false">Таблица18[[#This Row],[Вес нетто]]-Таблица18[[#This Row],[Зачетный вес]]</f>
        <v>3529.7</v>
      </c>
      <c r="U541" s="409" t="n">
        <f aca="false">Таблица18[[#This Row],[Отход]]/Таблица18[[#This Row],[Вес нетто]]</f>
        <v>0.235</v>
      </c>
      <c r="V541" s="234" t="n">
        <f aca="false">MONTH(Таблица18[[#This Row],[Дата акта]])</f>
        <v>5</v>
      </c>
      <c r="W541" s="234" t="n">
        <v>25</v>
      </c>
      <c r="X541" s="248" t="n">
        <f aca="false">DATE(1900,Таблица18[[#This Row],[Месяц]],Таблица18[[#This Row],[Число]])</f>
        <v>146</v>
      </c>
      <c r="Y541" s="234"/>
      <c r="AF541" s="411"/>
      <c r="AG541" s="412"/>
    </row>
    <row r="542" s="410" customFormat="true" ht="15" hidden="true" customHeight="true" outlineLevel="0" collapsed="false">
      <c r="A542" s="198" t="s">
        <v>2140</v>
      </c>
      <c r="B542" s="199" t="s">
        <v>417</v>
      </c>
      <c r="C542" s="198" t="n">
        <v>148</v>
      </c>
      <c r="D542" s="198" t="n">
        <v>26</v>
      </c>
      <c r="E542" s="198" t="s">
        <v>422</v>
      </c>
      <c r="F542" s="198" t="s">
        <v>1876</v>
      </c>
      <c r="G542" s="198" t="s">
        <v>1877</v>
      </c>
      <c r="H542" s="198" t="s">
        <v>2124</v>
      </c>
      <c r="I542" s="199"/>
      <c r="J542" s="198" t="s">
        <v>252</v>
      </c>
      <c r="K542" s="198" t="s">
        <v>1435</v>
      </c>
      <c r="L542" s="234" t="n">
        <v>28890</v>
      </c>
      <c r="M542" s="234" t="n">
        <v>14730</v>
      </c>
      <c r="N542" s="234" t="n">
        <v>29.5</v>
      </c>
      <c r="O542" s="407" t="n">
        <v>14160</v>
      </c>
      <c r="P542" s="407" t="n">
        <v>9982.8</v>
      </c>
      <c r="Q542" s="234" t="n">
        <v>2024</v>
      </c>
      <c r="R542" s="234"/>
      <c r="S542" s="248" t="n">
        <v>45437</v>
      </c>
      <c r="T542" s="407" t="n">
        <f aca="false">Таблица18[[#This Row],[Вес нетто]]-Таблица18[[#This Row],[Зачетный вес]]</f>
        <v>4177.2</v>
      </c>
      <c r="U542" s="409" t="n">
        <f aca="false">Таблица18[[#This Row],[Отход]]/Таблица18[[#This Row],[Вес нетто]]</f>
        <v>0.295</v>
      </c>
      <c r="V542" s="234" t="n">
        <f aca="false">MONTH(Таблица18[[#This Row],[Дата акта]])</f>
        <v>5</v>
      </c>
      <c r="W542" s="234" t="n">
        <v>25</v>
      </c>
      <c r="X542" s="248" t="n">
        <f aca="false">DATE(1900,Таблица18[[#This Row],[Месяц]],Таблица18[[#This Row],[Число]])</f>
        <v>146</v>
      </c>
      <c r="Y542" s="234"/>
      <c r="AF542" s="411"/>
      <c r="AG542" s="412"/>
    </row>
    <row r="543" s="410" customFormat="true" ht="15" hidden="true" customHeight="true" outlineLevel="0" collapsed="false">
      <c r="A543" s="198" t="s">
        <v>2141</v>
      </c>
      <c r="B543" s="199" t="s">
        <v>417</v>
      </c>
      <c r="C543" s="198" t="n">
        <v>149</v>
      </c>
      <c r="D543" s="198" t="n">
        <v>27</v>
      </c>
      <c r="E543" s="198" t="s">
        <v>422</v>
      </c>
      <c r="F543" s="198" t="s">
        <v>55</v>
      </c>
      <c r="G543" s="198" t="s">
        <v>56</v>
      </c>
      <c r="H543" s="198" t="s">
        <v>2124</v>
      </c>
      <c r="I543" s="199"/>
      <c r="J543" s="198" t="s">
        <v>252</v>
      </c>
      <c r="K543" s="198" t="s">
        <v>1435</v>
      </c>
      <c r="L543" s="234" t="n">
        <v>30980</v>
      </c>
      <c r="M543" s="234" t="n">
        <v>14430</v>
      </c>
      <c r="N543" s="234" t="n">
        <v>24.1</v>
      </c>
      <c r="O543" s="407" t="n">
        <v>16550</v>
      </c>
      <c r="P543" s="407" t="n">
        <v>12569.7</v>
      </c>
      <c r="Q543" s="234" t="n">
        <v>2024</v>
      </c>
      <c r="R543" s="234"/>
      <c r="S543" s="248" t="n">
        <v>45437</v>
      </c>
      <c r="T543" s="407" t="n">
        <f aca="false">Таблица18[[#This Row],[Вес нетто]]-Таблица18[[#This Row],[Зачетный вес]]</f>
        <v>3980.3</v>
      </c>
      <c r="U543" s="409" t="n">
        <f aca="false">Таблица18[[#This Row],[Отход]]/Таблица18[[#This Row],[Вес нетто]]</f>
        <v>0.240501510574018</v>
      </c>
      <c r="V543" s="234" t="n">
        <f aca="false">MONTH(Таблица18[[#This Row],[Дата акта]])</f>
        <v>5</v>
      </c>
      <c r="W543" s="234" t="n">
        <v>25</v>
      </c>
      <c r="X543" s="248" t="n">
        <f aca="false">DATE(1900,Таблица18[[#This Row],[Месяц]],Таблица18[[#This Row],[Число]])</f>
        <v>146</v>
      </c>
      <c r="Y543" s="234"/>
      <c r="AF543" s="411"/>
      <c r="AG543" s="412"/>
    </row>
    <row r="544" s="410" customFormat="true" ht="15" hidden="true" customHeight="true" outlineLevel="0" collapsed="false">
      <c r="A544" s="198" t="s">
        <v>2142</v>
      </c>
      <c r="B544" s="199" t="s">
        <v>417</v>
      </c>
      <c r="C544" s="198" t="n">
        <v>150</v>
      </c>
      <c r="D544" s="198" t="n">
        <v>28</v>
      </c>
      <c r="E544" s="198" t="s">
        <v>422</v>
      </c>
      <c r="F544" s="198" t="s">
        <v>371</v>
      </c>
      <c r="G544" s="198" t="s">
        <v>372</v>
      </c>
      <c r="H544" s="198" t="s">
        <v>2124</v>
      </c>
      <c r="I544" s="199"/>
      <c r="J544" s="198" t="s">
        <v>252</v>
      </c>
      <c r="K544" s="198" t="s">
        <v>1435</v>
      </c>
      <c r="L544" s="234" t="n">
        <v>24400</v>
      </c>
      <c r="M544" s="234" t="n">
        <v>14900</v>
      </c>
      <c r="N544" s="234" t="n">
        <v>22.5</v>
      </c>
      <c r="O544" s="407" t="n">
        <v>9500</v>
      </c>
      <c r="P544" s="407" t="n">
        <v>7362.5</v>
      </c>
      <c r="Q544" s="234" t="n">
        <v>2024</v>
      </c>
      <c r="R544" s="234"/>
      <c r="S544" s="248" t="n">
        <v>45437</v>
      </c>
      <c r="T544" s="407" t="n">
        <f aca="false">Таблица18[[#This Row],[Вес нетто]]-Таблица18[[#This Row],[Зачетный вес]]</f>
        <v>2137.5</v>
      </c>
      <c r="U544" s="409" t="n">
        <f aca="false">Таблица18[[#This Row],[Отход]]/Таблица18[[#This Row],[Вес нетто]]</f>
        <v>0.225</v>
      </c>
      <c r="V544" s="234" t="n">
        <f aca="false">MONTH(Таблица18[[#This Row],[Дата акта]])</f>
        <v>5</v>
      </c>
      <c r="W544" s="234" t="n">
        <v>25</v>
      </c>
      <c r="X544" s="248" t="n">
        <f aca="false">DATE(1900,Таблица18[[#This Row],[Месяц]],Таблица18[[#This Row],[Число]])</f>
        <v>146</v>
      </c>
      <c r="Y544" s="234"/>
      <c r="AF544" s="411"/>
      <c r="AG544" s="412"/>
    </row>
    <row r="545" s="410" customFormat="true" ht="15" hidden="true" customHeight="true" outlineLevel="0" collapsed="false">
      <c r="A545" s="198" t="s">
        <v>2143</v>
      </c>
      <c r="B545" s="199" t="s">
        <v>417</v>
      </c>
      <c r="C545" s="198" t="n">
        <v>151</v>
      </c>
      <c r="D545" s="198" t="n">
        <v>29</v>
      </c>
      <c r="E545" s="198" t="s">
        <v>422</v>
      </c>
      <c r="F545" s="198" t="s">
        <v>376</v>
      </c>
      <c r="G545" s="198" t="s">
        <v>377</v>
      </c>
      <c r="H545" s="198" t="s">
        <v>2124</v>
      </c>
      <c r="I545" s="199"/>
      <c r="J545" s="198" t="s">
        <v>252</v>
      </c>
      <c r="K545" s="198" t="s">
        <v>1435</v>
      </c>
      <c r="L545" s="234" t="n">
        <v>14410</v>
      </c>
      <c r="M545" s="234" t="n">
        <v>9620</v>
      </c>
      <c r="N545" s="234" t="n">
        <v>20.5</v>
      </c>
      <c r="O545" s="407" t="n">
        <v>4790</v>
      </c>
      <c r="P545" s="407" t="n">
        <v>3808</v>
      </c>
      <c r="Q545" s="234" t="n">
        <v>2024</v>
      </c>
      <c r="R545" s="234"/>
      <c r="S545" s="248" t="n">
        <v>45437</v>
      </c>
      <c r="T545" s="407" t="n">
        <f aca="false">Таблица18[[#This Row],[Вес нетто]]-Таблица18[[#This Row],[Зачетный вес]]</f>
        <v>982</v>
      </c>
      <c r="U545" s="409" t="n">
        <f aca="false">Таблица18[[#This Row],[Отход]]/Таблица18[[#This Row],[Вес нетто]]</f>
        <v>0.205010438413361</v>
      </c>
      <c r="V545" s="234" t="n">
        <f aca="false">MONTH(Таблица18[[#This Row],[Дата акта]])</f>
        <v>5</v>
      </c>
      <c r="W545" s="234" t="n">
        <v>25</v>
      </c>
      <c r="X545" s="248" t="n">
        <f aca="false">DATE(1900,Таблица18[[#This Row],[Месяц]],Таблица18[[#This Row],[Число]])</f>
        <v>146</v>
      </c>
      <c r="Y545" s="234"/>
      <c r="AF545" s="411"/>
      <c r="AG545" s="412"/>
    </row>
    <row r="546" s="410" customFormat="true" ht="15" hidden="true" customHeight="true" outlineLevel="0" collapsed="false">
      <c r="A546" s="198" t="s">
        <v>2144</v>
      </c>
      <c r="B546" s="199" t="s">
        <v>417</v>
      </c>
      <c r="C546" s="198" t="n">
        <v>152</v>
      </c>
      <c r="D546" s="198" t="n">
        <v>30</v>
      </c>
      <c r="E546" s="198" t="s">
        <v>422</v>
      </c>
      <c r="F546" s="198" t="s">
        <v>2084</v>
      </c>
      <c r="G546" s="198" t="s">
        <v>2085</v>
      </c>
      <c r="H546" s="198" t="s">
        <v>350</v>
      </c>
      <c r="I546" s="199"/>
      <c r="J546" s="198" t="s">
        <v>252</v>
      </c>
      <c r="K546" s="198" t="s">
        <v>1435</v>
      </c>
      <c r="L546" s="234" t="n">
        <v>33000</v>
      </c>
      <c r="M546" s="234" t="n">
        <v>23060</v>
      </c>
      <c r="N546" s="234" t="n">
        <v>24.5</v>
      </c>
      <c r="O546" s="407" t="n">
        <v>9940</v>
      </c>
      <c r="P546" s="407" t="n">
        <v>7504.7</v>
      </c>
      <c r="Q546" s="234" t="n">
        <v>2024</v>
      </c>
      <c r="R546" s="234"/>
      <c r="S546" s="248" t="n">
        <v>45437</v>
      </c>
      <c r="T546" s="407" t="n">
        <f aca="false">Таблица18[[#This Row],[Вес нетто]]-Таблица18[[#This Row],[Зачетный вес]]</f>
        <v>2435.3</v>
      </c>
      <c r="U546" s="409" t="n">
        <f aca="false">Таблица18[[#This Row],[Отход]]/Таблица18[[#This Row],[Вес нетто]]</f>
        <v>0.245</v>
      </c>
      <c r="V546" s="234" t="n">
        <f aca="false">MONTH(Таблица18[[#This Row],[Дата акта]])</f>
        <v>5</v>
      </c>
      <c r="W546" s="234" t="n">
        <v>25</v>
      </c>
      <c r="X546" s="248" t="n">
        <f aca="false">DATE(1900,Таблица18[[#This Row],[Месяц]],Таблица18[[#This Row],[Число]])</f>
        <v>146</v>
      </c>
      <c r="Y546" s="234"/>
      <c r="AF546" s="411"/>
      <c r="AG546" s="412"/>
    </row>
    <row r="547" s="410" customFormat="true" ht="15" hidden="true" customHeight="true" outlineLevel="0" collapsed="false">
      <c r="A547" s="198" t="s">
        <v>2145</v>
      </c>
      <c r="B547" s="199" t="s">
        <v>417</v>
      </c>
      <c r="C547" s="198" t="n">
        <v>153</v>
      </c>
      <c r="D547" s="198" t="n">
        <v>30</v>
      </c>
      <c r="E547" s="198" t="s">
        <v>422</v>
      </c>
      <c r="F547" s="198" t="s">
        <v>2084</v>
      </c>
      <c r="G547" s="198" t="s">
        <v>2085</v>
      </c>
      <c r="H547" s="198" t="s">
        <v>2124</v>
      </c>
      <c r="I547" s="199"/>
      <c r="J547" s="198" t="s">
        <v>252</v>
      </c>
      <c r="K547" s="198" t="s">
        <v>1435</v>
      </c>
      <c r="L547" s="234" t="n">
        <v>23060</v>
      </c>
      <c r="M547" s="234" t="n">
        <v>17420</v>
      </c>
      <c r="N547" s="234" t="n">
        <v>21.5</v>
      </c>
      <c r="O547" s="407" t="n">
        <v>5640</v>
      </c>
      <c r="P547" s="407" t="n">
        <v>4427.4</v>
      </c>
      <c r="Q547" s="234" t="n">
        <v>2024</v>
      </c>
      <c r="R547" s="234"/>
      <c r="S547" s="248" t="n">
        <v>45437</v>
      </c>
      <c r="T547" s="407" t="n">
        <f aca="false">Таблица18[[#This Row],[Вес нетто]]-Таблица18[[#This Row],[Зачетный вес]]</f>
        <v>1212.6</v>
      </c>
      <c r="U547" s="409" t="n">
        <f aca="false">Таблица18[[#This Row],[Отход]]/Таблица18[[#This Row],[Вес нетто]]</f>
        <v>0.215</v>
      </c>
      <c r="V547" s="234" t="n">
        <f aca="false">MONTH(Таблица18[[#This Row],[Дата акта]])</f>
        <v>5</v>
      </c>
      <c r="W547" s="234" t="n">
        <v>25</v>
      </c>
      <c r="X547" s="248" t="n">
        <f aca="false">DATE(1900,Таблица18[[#This Row],[Месяц]],Таблица18[[#This Row],[Число]])</f>
        <v>146</v>
      </c>
      <c r="Y547" s="234"/>
      <c r="AF547" s="411"/>
      <c r="AG547" s="412"/>
    </row>
    <row r="548" s="410" customFormat="true" ht="15" hidden="true" customHeight="true" outlineLevel="0" collapsed="false">
      <c r="A548" s="198" t="s">
        <v>2146</v>
      </c>
      <c r="B548" s="199" t="s">
        <v>417</v>
      </c>
      <c r="C548" s="198" t="n">
        <v>154</v>
      </c>
      <c r="D548" s="198" t="n">
        <v>31</v>
      </c>
      <c r="E548" s="198" t="s">
        <v>422</v>
      </c>
      <c r="F548" s="198" t="s">
        <v>1797</v>
      </c>
      <c r="G548" s="198" t="s">
        <v>385</v>
      </c>
      <c r="H548" s="198" t="s">
        <v>350</v>
      </c>
      <c r="I548" s="199"/>
      <c r="J548" s="198" t="s">
        <v>252</v>
      </c>
      <c r="K548" s="198" t="s">
        <v>1435</v>
      </c>
      <c r="L548" s="234" t="n">
        <v>28860</v>
      </c>
      <c r="M548" s="234" t="n">
        <v>14470</v>
      </c>
      <c r="N548" s="234" t="n">
        <v>34.5</v>
      </c>
      <c r="O548" s="407" t="n">
        <v>14390</v>
      </c>
      <c r="P548" s="407" t="n">
        <v>9425.4</v>
      </c>
      <c r="Q548" s="234" t="n">
        <v>2024</v>
      </c>
      <c r="R548" s="234"/>
      <c r="S548" s="248" t="n">
        <v>45437</v>
      </c>
      <c r="T548" s="407" t="n">
        <f aca="false">Таблица18[[#This Row],[Вес нетто]]-Таблица18[[#This Row],[Зачетный вес]]</f>
        <v>4964.6</v>
      </c>
      <c r="U548" s="409" t="n">
        <f aca="false">Таблица18[[#This Row],[Отход]]/Таблица18[[#This Row],[Вес нетто]]</f>
        <v>0.345003474635163</v>
      </c>
      <c r="V548" s="234" t="n">
        <f aca="false">MONTH(Таблица18[[#This Row],[Дата акта]])</f>
        <v>5</v>
      </c>
      <c r="W548" s="234" t="n">
        <v>25</v>
      </c>
      <c r="X548" s="248" t="n">
        <f aca="false">DATE(1900,Таблица18[[#This Row],[Месяц]],Таблица18[[#This Row],[Число]])</f>
        <v>146</v>
      </c>
      <c r="Y548" s="234"/>
      <c r="AF548" s="411"/>
      <c r="AG548" s="412"/>
    </row>
    <row r="549" s="410" customFormat="true" ht="15" hidden="true" customHeight="true" outlineLevel="0" collapsed="false">
      <c r="A549" s="198" t="s">
        <v>2147</v>
      </c>
      <c r="B549" s="199" t="s">
        <v>417</v>
      </c>
      <c r="C549" s="198" t="n">
        <v>155</v>
      </c>
      <c r="D549" s="198" t="n">
        <v>32</v>
      </c>
      <c r="E549" s="198" t="s">
        <v>422</v>
      </c>
      <c r="F549" s="198" t="s">
        <v>371</v>
      </c>
      <c r="G549" s="198" t="s">
        <v>372</v>
      </c>
      <c r="H549" s="198" t="s">
        <v>350</v>
      </c>
      <c r="I549" s="199"/>
      <c r="J549" s="198" t="s">
        <v>252</v>
      </c>
      <c r="K549" s="198" t="s">
        <v>1435</v>
      </c>
      <c r="L549" s="234" t="n">
        <v>29410</v>
      </c>
      <c r="M549" s="234" t="n">
        <v>14970</v>
      </c>
      <c r="N549" s="234" t="n">
        <v>26.5</v>
      </c>
      <c r="O549" s="407" t="n">
        <v>14440</v>
      </c>
      <c r="P549" s="407" t="n">
        <v>10613.4</v>
      </c>
      <c r="Q549" s="234" t="n">
        <v>2024</v>
      </c>
      <c r="R549" s="234"/>
      <c r="S549" s="248" t="n">
        <v>45437</v>
      </c>
      <c r="T549" s="407" t="n">
        <f aca="false">Таблица18[[#This Row],[Вес нетто]]-Таблица18[[#This Row],[Зачетный вес]]</f>
        <v>3826.6</v>
      </c>
      <c r="U549" s="409" t="n">
        <f aca="false">Таблица18[[#This Row],[Отход]]/Таблица18[[#This Row],[Вес нетто]]</f>
        <v>0.265</v>
      </c>
      <c r="V549" s="234" t="n">
        <f aca="false">MONTH(Таблица18[[#This Row],[Дата акта]])</f>
        <v>5</v>
      </c>
      <c r="W549" s="234" t="n">
        <v>25</v>
      </c>
      <c r="X549" s="248" t="n">
        <f aca="false">DATE(1900,Таблица18[[#This Row],[Месяц]],Таблица18[[#This Row],[Число]])</f>
        <v>146</v>
      </c>
      <c r="Y549" s="234"/>
      <c r="AF549" s="411"/>
      <c r="AG549" s="412"/>
    </row>
    <row r="550" s="410" customFormat="true" ht="15" hidden="true" customHeight="true" outlineLevel="0" collapsed="false">
      <c r="A550" s="198" t="s">
        <v>2148</v>
      </c>
      <c r="B550" s="199" t="s">
        <v>417</v>
      </c>
      <c r="C550" s="198" t="n">
        <v>156</v>
      </c>
      <c r="D550" s="198" t="n">
        <v>33</v>
      </c>
      <c r="E550" s="198" t="s">
        <v>422</v>
      </c>
      <c r="F550" s="198" t="s">
        <v>376</v>
      </c>
      <c r="G550" s="198" t="s">
        <v>875</v>
      </c>
      <c r="H550" s="198" t="s">
        <v>350</v>
      </c>
      <c r="I550" s="199"/>
      <c r="J550" s="198" t="s">
        <v>252</v>
      </c>
      <c r="K550" s="198" t="s">
        <v>1435</v>
      </c>
      <c r="L550" s="234" t="n">
        <v>28210</v>
      </c>
      <c r="M550" s="234" t="n">
        <v>14200</v>
      </c>
      <c r="N550" s="234" t="n">
        <v>34.5</v>
      </c>
      <c r="O550" s="407" t="n">
        <v>14010</v>
      </c>
      <c r="P550" s="407" t="n">
        <v>9176.5</v>
      </c>
      <c r="Q550" s="234" t="n">
        <v>2024</v>
      </c>
      <c r="R550" s="234"/>
      <c r="S550" s="248" t="n">
        <v>45437</v>
      </c>
      <c r="T550" s="407" t="n">
        <f aca="false">Таблица18[[#This Row],[Вес нетто]]-Таблица18[[#This Row],[Зачетный вес]]</f>
        <v>4833.5</v>
      </c>
      <c r="U550" s="409" t="n">
        <f aca="false">Таблица18[[#This Row],[Отход]]/Таблица18[[#This Row],[Вес нетто]]</f>
        <v>0.345003568879372</v>
      </c>
      <c r="V550" s="234" t="n">
        <f aca="false">MONTH(Таблица18[[#This Row],[Дата акта]])</f>
        <v>5</v>
      </c>
      <c r="W550" s="234" t="n">
        <v>25</v>
      </c>
      <c r="X550" s="248" t="n">
        <f aca="false">DATE(1900,Таблица18[[#This Row],[Месяц]],Таблица18[[#This Row],[Число]])</f>
        <v>146</v>
      </c>
      <c r="Y550" s="234"/>
      <c r="AF550" s="411"/>
      <c r="AG550" s="412"/>
    </row>
    <row r="551" s="410" customFormat="true" ht="15" hidden="true" customHeight="true" outlineLevel="0" collapsed="false">
      <c r="A551" s="198" t="s">
        <v>2149</v>
      </c>
      <c r="B551" s="199" t="s">
        <v>417</v>
      </c>
      <c r="C551" s="198" t="n">
        <v>157</v>
      </c>
      <c r="D551" s="198" t="n">
        <v>34</v>
      </c>
      <c r="E551" s="198" t="s">
        <v>422</v>
      </c>
      <c r="F551" s="198" t="s">
        <v>2084</v>
      </c>
      <c r="G551" s="198" t="s">
        <v>2085</v>
      </c>
      <c r="H551" s="198" t="s">
        <v>350</v>
      </c>
      <c r="I551" s="199"/>
      <c r="J551" s="198" t="s">
        <v>252</v>
      </c>
      <c r="K551" s="198" t="s">
        <v>1435</v>
      </c>
      <c r="L551" s="234" t="n">
        <v>33620</v>
      </c>
      <c r="M551" s="234" t="n">
        <v>17440</v>
      </c>
      <c r="N551" s="234" t="n">
        <v>32.5</v>
      </c>
      <c r="O551" s="407" t="n">
        <v>16180</v>
      </c>
      <c r="P551" s="407" t="n">
        <v>10921.5</v>
      </c>
      <c r="Q551" s="234" t="n">
        <v>2024</v>
      </c>
      <c r="R551" s="234"/>
      <c r="S551" s="248" t="n">
        <v>45437</v>
      </c>
      <c r="T551" s="407" t="n">
        <f aca="false">Таблица18[[#This Row],[Вес нетто]]-Таблица18[[#This Row],[Зачетный вес]]</f>
        <v>5258.5</v>
      </c>
      <c r="U551" s="409" t="n">
        <f aca="false">Таблица18[[#This Row],[Отход]]/Таблица18[[#This Row],[Вес нетто]]</f>
        <v>0.325</v>
      </c>
      <c r="V551" s="234" t="n">
        <f aca="false">MONTH(Таблица18[[#This Row],[Дата акта]])</f>
        <v>5</v>
      </c>
      <c r="W551" s="234" t="n">
        <v>25</v>
      </c>
      <c r="X551" s="248" t="n">
        <f aca="false">DATE(1900,Таблица18[[#This Row],[Месяц]],Таблица18[[#This Row],[Число]])</f>
        <v>146</v>
      </c>
      <c r="Y551" s="234"/>
      <c r="AF551" s="411"/>
      <c r="AG551" s="412"/>
    </row>
    <row r="552" s="410" customFormat="true" ht="15" hidden="true" customHeight="true" outlineLevel="0" collapsed="false">
      <c r="A552" s="198" t="s">
        <v>2150</v>
      </c>
      <c r="B552" s="199" t="s">
        <v>417</v>
      </c>
      <c r="C552" s="198" t="n">
        <v>158</v>
      </c>
      <c r="D552" s="198" t="n">
        <v>35</v>
      </c>
      <c r="E552" s="198" t="s">
        <v>422</v>
      </c>
      <c r="F552" s="198" t="s">
        <v>1797</v>
      </c>
      <c r="G552" s="198" t="s">
        <v>385</v>
      </c>
      <c r="H552" s="198" t="s">
        <v>350</v>
      </c>
      <c r="I552" s="199"/>
      <c r="J552" s="198" t="s">
        <v>252</v>
      </c>
      <c r="K552" s="198" t="s">
        <v>1435</v>
      </c>
      <c r="L552" s="234" t="n">
        <v>29060</v>
      </c>
      <c r="M552" s="234" t="n">
        <v>14470</v>
      </c>
      <c r="N552" s="234" t="n">
        <v>22.5</v>
      </c>
      <c r="O552" s="407" t="n">
        <v>14590</v>
      </c>
      <c r="P552" s="407" t="n">
        <v>11307.2</v>
      </c>
      <c r="Q552" s="234" t="n">
        <v>2024</v>
      </c>
      <c r="R552" s="234"/>
      <c r="S552" s="248" t="n">
        <v>45437</v>
      </c>
      <c r="T552" s="407" t="n">
        <f aca="false">Таблица18[[#This Row],[Вес нетто]]-Таблица18[[#This Row],[Зачетный вес]]</f>
        <v>3282.8</v>
      </c>
      <c r="U552" s="409" t="n">
        <f aca="false">Таблица18[[#This Row],[Отход]]/Таблица18[[#This Row],[Вес нетто]]</f>
        <v>0.225003427004798</v>
      </c>
      <c r="V552" s="234" t="n">
        <f aca="false">MONTH(Таблица18[[#This Row],[Дата акта]])</f>
        <v>5</v>
      </c>
      <c r="W552" s="234" t="n">
        <v>25</v>
      </c>
      <c r="X552" s="248" t="n">
        <f aca="false">DATE(1900,Таблица18[[#This Row],[Месяц]],Таблица18[[#This Row],[Число]])</f>
        <v>146</v>
      </c>
      <c r="Y552" s="234"/>
      <c r="AF552" s="411"/>
      <c r="AG552" s="412"/>
    </row>
    <row r="553" s="410" customFormat="true" ht="15" hidden="true" customHeight="true" outlineLevel="0" collapsed="false">
      <c r="A553" s="198" t="s">
        <v>2151</v>
      </c>
      <c r="B553" s="199" t="s">
        <v>417</v>
      </c>
      <c r="C553" s="198" t="n">
        <v>159</v>
      </c>
      <c r="D553" s="198" t="n">
        <v>36</v>
      </c>
      <c r="E553" s="198" t="s">
        <v>422</v>
      </c>
      <c r="F553" s="198" t="s">
        <v>371</v>
      </c>
      <c r="G553" s="198" t="s">
        <v>372</v>
      </c>
      <c r="H553" s="198" t="s">
        <v>350</v>
      </c>
      <c r="I553" s="199"/>
      <c r="J553" s="198" t="s">
        <v>252</v>
      </c>
      <c r="K553" s="198" t="s">
        <v>1435</v>
      </c>
      <c r="L553" s="234" t="n">
        <v>29290</v>
      </c>
      <c r="M553" s="234" t="n">
        <v>14970</v>
      </c>
      <c r="N553" s="234" t="n">
        <v>33</v>
      </c>
      <c r="O553" s="407" t="n">
        <v>14320</v>
      </c>
      <c r="P553" s="407" t="n">
        <v>9594.4</v>
      </c>
      <c r="Q553" s="234" t="n">
        <v>2024</v>
      </c>
      <c r="R553" s="234"/>
      <c r="S553" s="248" t="n">
        <v>45437</v>
      </c>
      <c r="T553" s="407" t="n">
        <f aca="false">Таблица18[[#This Row],[Вес нетто]]-Таблица18[[#This Row],[Зачетный вес]]</f>
        <v>4725.6</v>
      </c>
      <c r="U553" s="409" t="n">
        <f aca="false">Таблица18[[#This Row],[Отход]]/Таблица18[[#This Row],[Вес нетто]]</f>
        <v>0.33</v>
      </c>
      <c r="V553" s="234" t="n">
        <f aca="false">MONTH(Таблица18[[#This Row],[Дата акта]])</f>
        <v>5</v>
      </c>
      <c r="W553" s="234" t="n">
        <v>25</v>
      </c>
      <c r="X553" s="248" t="n">
        <f aca="false">DATE(1900,Таблица18[[#This Row],[Месяц]],Таблица18[[#This Row],[Число]])</f>
        <v>146</v>
      </c>
      <c r="Y553" s="234"/>
      <c r="AF553" s="411"/>
      <c r="AG553" s="412"/>
    </row>
    <row r="554" s="410" customFormat="true" ht="15" hidden="true" customHeight="true" outlineLevel="0" collapsed="false">
      <c r="A554" s="198" t="s">
        <v>2152</v>
      </c>
      <c r="B554" s="199" t="s">
        <v>417</v>
      </c>
      <c r="C554" s="198" t="n">
        <v>160</v>
      </c>
      <c r="D554" s="198" t="n">
        <v>37</v>
      </c>
      <c r="E554" s="198" t="s">
        <v>422</v>
      </c>
      <c r="F554" s="198" t="s">
        <v>2084</v>
      </c>
      <c r="G554" s="198" t="s">
        <v>2085</v>
      </c>
      <c r="H554" s="198" t="s">
        <v>350</v>
      </c>
      <c r="I554" s="199"/>
      <c r="J554" s="198" t="s">
        <v>252</v>
      </c>
      <c r="K554" s="198" t="s">
        <v>1435</v>
      </c>
      <c r="L554" s="234" t="n">
        <v>35230</v>
      </c>
      <c r="M554" s="234" t="n">
        <v>17410</v>
      </c>
      <c r="N554" s="234" t="n">
        <v>35</v>
      </c>
      <c r="O554" s="407" t="n">
        <v>17820</v>
      </c>
      <c r="P554" s="407" t="n">
        <v>11583</v>
      </c>
      <c r="Q554" s="234" t="n">
        <v>2024</v>
      </c>
      <c r="R554" s="234"/>
      <c r="S554" s="248" t="n">
        <v>45437</v>
      </c>
      <c r="T554" s="407" t="n">
        <f aca="false">Таблица18[[#This Row],[Вес нетто]]-Таблица18[[#This Row],[Зачетный вес]]</f>
        <v>6237</v>
      </c>
      <c r="U554" s="409" t="n">
        <f aca="false">Таблица18[[#This Row],[Отход]]/Таблица18[[#This Row],[Вес нетто]]</f>
        <v>0.35</v>
      </c>
      <c r="V554" s="234" t="n">
        <f aca="false">MONTH(Таблица18[[#This Row],[Дата акта]])</f>
        <v>5</v>
      </c>
      <c r="W554" s="234" t="n">
        <v>25</v>
      </c>
      <c r="X554" s="248" t="n">
        <f aca="false">DATE(1900,Таблица18[[#This Row],[Месяц]],Таблица18[[#This Row],[Число]])</f>
        <v>146</v>
      </c>
      <c r="Y554" s="234"/>
      <c r="AF554" s="411"/>
      <c r="AG554" s="412"/>
    </row>
    <row r="555" s="410" customFormat="true" ht="15" hidden="true" customHeight="true" outlineLevel="0" collapsed="false">
      <c r="A555" s="198" t="s">
        <v>2153</v>
      </c>
      <c r="B555" s="199" t="s">
        <v>417</v>
      </c>
      <c r="C555" s="198" t="n">
        <v>161</v>
      </c>
      <c r="D555" s="198" t="n">
        <v>38</v>
      </c>
      <c r="E555" s="198" t="s">
        <v>422</v>
      </c>
      <c r="F555" s="198" t="s">
        <v>359</v>
      </c>
      <c r="G555" s="198" t="s">
        <v>426</v>
      </c>
      <c r="H555" s="198" t="s">
        <v>2124</v>
      </c>
      <c r="I555" s="199"/>
      <c r="J555" s="198" t="s">
        <v>68</v>
      </c>
      <c r="K555" s="198" t="s">
        <v>1435</v>
      </c>
      <c r="L555" s="234" t="n">
        <v>27670</v>
      </c>
      <c r="M555" s="234" t="n">
        <v>13900</v>
      </c>
      <c r="N555" s="234" t="n">
        <v>24.5</v>
      </c>
      <c r="O555" s="407" t="n">
        <v>13770</v>
      </c>
      <c r="P555" s="407" t="n">
        <v>10396.3</v>
      </c>
      <c r="Q555" s="234" t="n">
        <v>2024</v>
      </c>
      <c r="R555" s="234"/>
      <c r="S555" s="248" t="n">
        <v>45440</v>
      </c>
      <c r="T555" s="407" t="n">
        <f aca="false">Таблица18[[#This Row],[Вес нетто]]-Таблица18[[#This Row],[Зачетный вес]]</f>
        <v>3373.7</v>
      </c>
      <c r="U555" s="409" t="n">
        <f aca="false">Таблица18[[#This Row],[Отход]]/Таблица18[[#This Row],[Вес нетто]]</f>
        <v>0.245003631082063</v>
      </c>
      <c r="V555" s="234" t="n">
        <f aca="false">MONTH(Таблица18[[#This Row],[Дата акта]])</f>
        <v>5</v>
      </c>
      <c r="W555" s="234" t="n">
        <v>28</v>
      </c>
      <c r="X555" s="248" t="n">
        <f aca="false">DATE(1900,Таблица18[[#This Row],[Месяц]],Таблица18[[#This Row],[Число]])</f>
        <v>149</v>
      </c>
      <c r="Y555" s="234"/>
      <c r="AF555" s="411"/>
      <c r="AG555" s="412"/>
    </row>
    <row r="556" s="410" customFormat="true" ht="15" hidden="true" customHeight="true" outlineLevel="0" collapsed="false">
      <c r="A556" s="198" t="s">
        <v>2154</v>
      </c>
      <c r="B556" s="199" t="s">
        <v>417</v>
      </c>
      <c r="C556" s="198" t="n">
        <v>163</v>
      </c>
      <c r="D556" s="198" t="n">
        <v>39</v>
      </c>
      <c r="E556" s="198" t="s">
        <v>422</v>
      </c>
      <c r="F556" s="198" t="s">
        <v>457</v>
      </c>
      <c r="G556" s="198" t="s">
        <v>366</v>
      </c>
      <c r="H556" s="198" t="s">
        <v>2124</v>
      </c>
      <c r="I556" s="199"/>
      <c r="J556" s="198" t="s">
        <v>68</v>
      </c>
      <c r="K556" s="198" t="s">
        <v>1435</v>
      </c>
      <c r="L556" s="234" t="n">
        <v>32980</v>
      </c>
      <c r="M556" s="234" t="n">
        <v>17350</v>
      </c>
      <c r="N556" s="234" t="n">
        <v>27</v>
      </c>
      <c r="O556" s="407" t="n">
        <v>15630</v>
      </c>
      <c r="P556" s="407" t="n">
        <v>11409.9</v>
      </c>
      <c r="Q556" s="234" t="n">
        <v>2024</v>
      </c>
      <c r="R556" s="234"/>
      <c r="S556" s="248" t="n">
        <v>45440</v>
      </c>
      <c r="T556" s="407" t="n">
        <f aca="false">Таблица18[[#This Row],[Вес нетто]]-Таблица18[[#This Row],[Зачетный вес]]</f>
        <v>4220.1</v>
      </c>
      <c r="U556" s="409" t="n">
        <f aca="false">Таблица18[[#This Row],[Отход]]/Таблица18[[#This Row],[Вес нетто]]</f>
        <v>0.27</v>
      </c>
      <c r="V556" s="234" t="n">
        <f aca="false">MONTH(Таблица18[[#This Row],[Дата акта]])</f>
        <v>5</v>
      </c>
      <c r="W556" s="234" t="n">
        <v>28</v>
      </c>
      <c r="X556" s="248" t="n">
        <f aca="false">DATE(1900,Таблица18[[#This Row],[Месяц]],Таблица18[[#This Row],[Число]])</f>
        <v>149</v>
      </c>
      <c r="Y556" s="234"/>
      <c r="AF556" s="411"/>
      <c r="AG556" s="412"/>
    </row>
    <row r="557" s="410" customFormat="true" ht="15" hidden="true" customHeight="true" outlineLevel="0" collapsed="false">
      <c r="A557" s="198" t="s">
        <v>2155</v>
      </c>
      <c r="B557" s="199" t="s">
        <v>417</v>
      </c>
      <c r="C557" s="198" t="n">
        <v>164</v>
      </c>
      <c r="D557" s="198" t="n">
        <v>40</v>
      </c>
      <c r="E557" s="198" t="s">
        <v>422</v>
      </c>
      <c r="F557" s="198" t="s">
        <v>1576</v>
      </c>
      <c r="G557" s="198" t="s">
        <v>1455</v>
      </c>
      <c r="H557" s="198" t="s">
        <v>2124</v>
      </c>
      <c r="I557" s="199"/>
      <c r="J557" s="198" t="s">
        <v>68</v>
      </c>
      <c r="K557" s="198" t="s">
        <v>1435</v>
      </c>
      <c r="L557" s="234" t="n">
        <v>28180</v>
      </c>
      <c r="M557" s="234" t="n">
        <v>14380</v>
      </c>
      <c r="N557" s="234" t="n">
        <v>27</v>
      </c>
      <c r="O557" s="407" t="n">
        <v>13800</v>
      </c>
      <c r="P557" s="407" t="n">
        <v>10074</v>
      </c>
      <c r="Q557" s="234" t="n">
        <v>2024</v>
      </c>
      <c r="R557" s="234"/>
      <c r="S557" s="248" t="n">
        <v>45440</v>
      </c>
      <c r="T557" s="407" t="n">
        <f aca="false">Таблица18[[#This Row],[Вес нетто]]-Таблица18[[#This Row],[Зачетный вес]]</f>
        <v>3726</v>
      </c>
      <c r="U557" s="409" t="n">
        <f aca="false">Таблица18[[#This Row],[Отход]]/Таблица18[[#This Row],[Вес нетто]]</f>
        <v>0.27</v>
      </c>
      <c r="V557" s="234" t="n">
        <f aca="false">MONTH(Таблица18[[#This Row],[Дата акта]])</f>
        <v>5</v>
      </c>
      <c r="W557" s="234" t="n">
        <v>28</v>
      </c>
      <c r="X557" s="248" t="n">
        <f aca="false">DATE(1900,Таблица18[[#This Row],[Месяц]],Таблица18[[#This Row],[Число]])</f>
        <v>149</v>
      </c>
      <c r="Y557" s="234"/>
      <c r="AF557" s="411"/>
      <c r="AG557" s="412"/>
    </row>
    <row r="558" s="410" customFormat="true" ht="15" hidden="true" customHeight="true" outlineLevel="0" collapsed="false">
      <c r="A558" s="198" t="s">
        <v>2156</v>
      </c>
      <c r="B558" s="199" t="s">
        <v>417</v>
      </c>
      <c r="C558" s="198" t="n">
        <v>165</v>
      </c>
      <c r="D558" s="198" t="n">
        <v>41</v>
      </c>
      <c r="E558" s="198" t="s">
        <v>422</v>
      </c>
      <c r="F558" s="198" t="s">
        <v>359</v>
      </c>
      <c r="G558" s="198" t="s">
        <v>426</v>
      </c>
      <c r="H558" s="198" t="s">
        <v>2124</v>
      </c>
      <c r="I558" s="199"/>
      <c r="J558" s="198" t="s">
        <v>68</v>
      </c>
      <c r="K558" s="198" t="s">
        <v>1435</v>
      </c>
      <c r="L558" s="234" t="n">
        <v>30100</v>
      </c>
      <c r="M558" s="234" t="n">
        <v>14040</v>
      </c>
      <c r="N558" s="234" t="n">
        <v>26</v>
      </c>
      <c r="O558" s="407" t="n">
        <v>16060</v>
      </c>
      <c r="P558" s="407" t="n">
        <v>11884.4</v>
      </c>
      <c r="Q558" s="234" t="n">
        <v>2024</v>
      </c>
      <c r="R558" s="234"/>
      <c r="S558" s="248" t="n">
        <v>45441</v>
      </c>
      <c r="T558" s="407" t="n">
        <f aca="false">Таблица18[[#This Row],[Вес нетто]]-Таблица18[[#This Row],[Зачетный вес]]</f>
        <v>4175.6</v>
      </c>
      <c r="U558" s="409" t="n">
        <f aca="false">Таблица18[[#This Row],[Отход]]/Таблица18[[#This Row],[Вес нетто]]</f>
        <v>0.26</v>
      </c>
      <c r="V558" s="234" t="n">
        <f aca="false">MONTH(Таблица18[[#This Row],[Дата акта]])</f>
        <v>5</v>
      </c>
      <c r="W558" s="234" t="n">
        <v>29</v>
      </c>
      <c r="X558" s="248" t="n">
        <f aca="false">DATE(1900,Таблица18[[#This Row],[Месяц]],Таблица18[[#This Row],[Число]])</f>
        <v>150</v>
      </c>
      <c r="Y558" s="234"/>
      <c r="AF558" s="411"/>
      <c r="AG558" s="412"/>
    </row>
    <row r="559" s="410" customFormat="true" ht="15" hidden="true" customHeight="true" outlineLevel="0" collapsed="false">
      <c r="A559" s="198" t="s">
        <v>2157</v>
      </c>
      <c r="B559" s="199" t="s">
        <v>417</v>
      </c>
      <c r="C559" s="198" t="n">
        <v>166</v>
      </c>
      <c r="D559" s="198" t="n">
        <v>42</v>
      </c>
      <c r="E559" s="198" t="s">
        <v>422</v>
      </c>
      <c r="F559" s="198" t="s">
        <v>457</v>
      </c>
      <c r="G559" s="198" t="s">
        <v>366</v>
      </c>
      <c r="H559" s="198" t="s">
        <v>2124</v>
      </c>
      <c r="I559" s="199"/>
      <c r="J559" s="198" t="s">
        <v>68</v>
      </c>
      <c r="K559" s="198" t="s">
        <v>1435</v>
      </c>
      <c r="L559" s="234" t="n">
        <v>33900</v>
      </c>
      <c r="M559" s="234" t="n">
        <v>17360</v>
      </c>
      <c r="N559" s="234" t="n">
        <v>29</v>
      </c>
      <c r="O559" s="407" t="n">
        <v>16540</v>
      </c>
      <c r="P559" s="407" t="n">
        <v>11743.4</v>
      </c>
      <c r="Q559" s="234" t="n">
        <v>2024</v>
      </c>
      <c r="R559" s="234"/>
      <c r="S559" s="248" t="n">
        <v>45441</v>
      </c>
      <c r="T559" s="407" t="n">
        <f aca="false">Таблица18[[#This Row],[Вес нетто]]-Таблица18[[#This Row],[Зачетный вес]]</f>
        <v>4796.6</v>
      </c>
      <c r="U559" s="409" t="n">
        <f aca="false">Таблица18[[#This Row],[Отход]]/Таблица18[[#This Row],[Вес нетто]]</f>
        <v>0.29</v>
      </c>
      <c r="V559" s="234" t="n">
        <f aca="false">MONTH(Таблица18[[#This Row],[Дата акта]])</f>
        <v>5</v>
      </c>
      <c r="W559" s="234" t="n">
        <v>29</v>
      </c>
      <c r="X559" s="248" t="n">
        <f aca="false">DATE(1900,Таблица18[[#This Row],[Месяц]],Таблица18[[#This Row],[Число]])</f>
        <v>150</v>
      </c>
      <c r="Y559" s="234"/>
      <c r="AF559" s="411"/>
      <c r="AG559" s="412"/>
    </row>
    <row r="560" s="410" customFormat="true" ht="15" hidden="true" customHeight="true" outlineLevel="0" collapsed="false">
      <c r="A560" s="198" t="s">
        <v>2158</v>
      </c>
      <c r="B560" s="199" t="s">
        <v>417</v>
      </c>
      <c r="C560" s="198" t="n">
        <v>167</v>
      </c>
      <c r="D560" s="198" t="n">
        <v>43</v>
      </c>
      <c r="E560" s="198" t="s">
        <v>422</v>
      </c>
      <c r="F560" s="198" t="s">
        <v>1576</v>
      </c>
      <c r="G560" s="198" t="s">
        <v>1455</v>
      </c>
      <c r="H560" s="198" t="s">
        <v>2124</v>
      </c>
      <c r="I560" s="199"/>
      <c r="J560" s="198" t="s">
        <v>68</v>
      </c>
      <c r="K560" s="198" t="s">
        <v>1435</v>
      </c>
      <c r="L560" s="234" t="n">
        <v>32900</v>
      </c>
      <c r="M560" s="234" t="n">
        <v>14370</v>
      </c>
      <c r="N560" s="234" t="n">
        <v>25</v>
      </c>
      <c r="O560" s="407" t="n">
        <v>18530</v>
      </c>
      <c r="P560" s="407" t="n">
        <v>13897.5</v>
      </c>
      <c r="Q560" s="234" t="n">
        <v>2024</v>
      </c>
      <c r="R560" s="234"/>
      <c r="S560" s="248" t="n">
        <v>45441</v>
      </c>
      <c r="T560" s="407" t="n">
        <f aca="false">Таблица18[[#This Row],[Вес нетто]]-Таблица18[[#This Row],[Зачетный вес]]</f>
        <v>4632.5</v>
      </c>
      <c r="U560" s="409" t="n">
        <f aca="false">Таблица18[[#This Row],[Отход]]/Таблица18[[#This Row],[Вес нетто]]</f>
        <v>0.25</v>
      </c>
      <c r="V560" s="234" t="n">
        <f aca="false">MONTH(Таблица18[[#This Row],[Дата акта]])</f>
        <v>5</v>
      </c>
      <c r="W560" s="234" t="n">
        <v>29</v>
      </c>
      <c r="X560" s="248" t="n">
        <f aca="false">DATE(1900,Таблица18[[#This Row],[Месяц]],Таблица18[[#This Row],[Число]])</f>
        <v>150</v>
      </c>
      <c r="Y560" s="234"/>
      <c r="AF560" s="411"/>
      <c r="AG560" s="412"/>
    </row>
    <row r="561" s="410" customFormat="true" ht="15" hidden="true" customHeight="true" outlineLevel="0" collapsed="false">
      <c r="A561" s="198" t="s">
        <v>2159</v>
      </c>
      <c r="B561" s="199" t="s">
        <v>417</v>
      </c>
      <c r="C561" s="198" t="n">
        <v>168</v>
      </c>
      <c r="D561" s="198" t="n">
        <v>44</v>
      </c>
      <c r="E561" s="198" t="s">
        <v>422</v>
      </c>
      <c r="F561" s="198" t="s">
        <v>359</v>
      </c>
      <c r="G561" s="198" t="s">
        <v>426</v>
      </c>
      <c r="H561" s="198" t="s">
        <v>2124</v>
      </c>
      <c r="I561" s="199"/>
      <c r="J561" s="198" t="s">
        <v>68</v>
      </c>
      <c r="K561" s="198" t="s">
        <v>1435</v>
      </c>
      <c r="L561" s="234" t="n">
        <v>28120</v>
      </c>
      <c r="M561" s="234" t="n">
        <v>14010</v>
      </c>
      <c r="N561" s="234" t="n">
        <v>26.5</v>
      </c>
      <c r="O561" s="407" t="n">
        <v>14110</v>
      </c>
      <c r="P561" s="407" t="n">
        <v>10370.8</v>
      </c>
      <c r="Q561" s="234" t="n">
        <v>2024</v>
      </c>
      <c r="R561" s="234"/>
      <c r="S561" s="248" t="n">
        <v>45441</v>
      </c>
      <c r="T561" s="407" t="n">
        <f aca="false">Таблица18[[#This Row],[Вес нетто]]-Таблица18[[#This Row],[Зачетный вес]]</f>
        <v>3739.2</v>
      </c>
      <c r="U561" s="409" t="n">
        <f aca="false">Таблица18[[#This Row],[Отход]]/Таблица18[[#This Row],[Вес нетто]]</f>
        <v>0.265003543586109</v>
      </c>
      <c r="V561" s="234" t="n">
        <f aca="false">MONTH(Таблица18[[#This Row],[Дата акта]])</f>
        <v>5</v>
      </c>
      <c r="W561" s="234" t="n">
        <v>29</v>
      </c>
      <c r="X561" s="248" t="n">
        <f aca="false">DATE(1900,Таблица18[[#This Row],[Месяц]],Таблица18[[#This Row],[Число]])</f>
        <v>150</v>
      </c>
      <c r="Y561" s="234"/>
      <c r="AF561" s="411"/>
      <c r="AG561" s="412"/>
    </row>
    <row r="562" s="410" customFormat="true" ht="15" hidden="true" customHeight="true" outlineLevel="0" collapsed="false">
      <c r="A562" s="198" t="s">
        <v>2160</v>
      </c>
      <c r="B562" s="199" t="s">
        <v>417</v>
      </c>
      <c r="C562" s="198" t="n">
        <v>169</v>
      </c>
      <c r="D562" s="198" t="n">
        <v>45</v>
      </c>
      <c r="E562" s="198" t="s">
        <v>422</v>
      </c>
      <c r="F562" s="198" t="s">
        <v>363</v>
      </c>
      <c r="G562" s="198" t="s">
        <v>364</v>
      </c>
      <c r="H562" s="198" t="s">
        <v>2124</v>
      </c>
      <c r="I562" s="199"/>
      <c r="J562" s="198" t="s">
        <v>68</v>
      </c>
      <c r="K562" s="198" t="s">
        <v>1435</v>
      </c>
      <c r="L562" s="234" t="n">
        <v>28390</v>
      </c>
      <c r="M562" s="234" t="n">
        <v>14520</v>
      </c>
      <c r="N562" s="234" t="n">
        <v>23.5</v>
      </c>
      <c r="O562" s="407" t="n">
        <v>13870</v>
      </c>
      <c r="P562" s="407" t="n">
        <v>10610.5</v>
      </c>
      <c r="Q562" s="234" t="n">
        <v>2024</v>
      </c>
      <c r="R562" s="234"/>
      <c r="S562" s="248" t="n">
        <v>45441</v>
      </c>
      <c r="T562" s="407" t="n">
        <f aca="false">Таблица18[[#This Row],[Вес нетто]]-Таблица18[[#This Row],[Зачетный вес]]</f>
        <v>3259.5</v>
      </c>
      <c r="U562" s="409" t="n">
        <f aca="false">Таблица18[[#This Row],[Отход]]/Таблица18[[#This Row],[Вес нетто]]</f>
        <v>0.235003604902668</v>
      </c>
      <c r="V562" s="234" t="n">
        <f aca="false">MONTH(Таблица18[[#This Row],[Дата акта]])</f>
        <v>5</v>
      </c>
      <c r="W562" s="234" t="n">
        <v>29</v>
      </c>
      <c r="X562" s="248" t="n">
        <f aca="false">DATE(1900,Таблица18[[#This Row],[Месяц]],Таблица18[[#This Row],[Число]])</f>
        <v>150</v>
      </c>
      <c r="Y562" s="234"/>
      <c r="AF562" s="411"/>
      <c r="AG562" s="412"/>
    </row>
    <row r="563" s="410" customFormat="true" ht="15" hidden="true" customHeight="true" outlineLevel="0" collapsed="false">
      <c r="A563" s="198" t="s">
        <v>2161</v>
      </c>
      <c r="B563" s="199" t="s">
        <v>417</v>
      </c>
      <c r="C563" s="198" t="n">
        <v>170</v>
      </c>
      <c r="D563" s="198" t="n">
        <v>46</v>
      </c>
      <c r="E563" s="198" t="s">
        <v>422</v>
      </c>
      <c r="F563" s="198" t="s">
        <v>376</v>
      </c>
      <c r="G563" s="198" t="s">
        <v>377</v>
      </c>
      <c r="H563" s="198" t="s">
        <v>2124</v>
      </c>
      <c r="I563" s="199"/>
      <c r="J563" s="198" t="s">
        <v>68</v>
      </c>
      <c r="K563" s="198" t="s">
        <v>1435</v>
      </c>
      <c r="L563" s="234" t="n">
        <v>27920</v>
      </c>
      <c r="M563" s="234" t="n">
        <v>14210</v>
      </c>
      <c r="N563" s="234" t="n">
        <v>22.5</v>
      </c>
      <c r="O563" s="407" t="n">
        <v>13710</v>
      </c>
      <c r="P563" s="407" t="n">
        <v>10625.2</v>
      </c>
      <c r="Q563" s="234" t="n">
        <v>2024</v>
      </c>
      <c r="R563" s="234"/>
      <c r="S563" s="248" t="n">
        <v>45441</v>
      </c>
      <c r="T563" s="407" t="n">
        <f aca="false">Таблица18[[#This Row],[Вес нетто]]-Таблица18[[#This Row],[Зачетный вес]]</f>
        <v>3084.8</v>
      </c>
      <c r="U563" s="409" t="n">
        <f aca="false">Таблица18[[#This Row],[Отход]]/Таблица18[[#This Row],[Вес нетто]]</f>
        <v>0.225003646973012</v>
      </c>
      <c r="V563" s="234" t="n">
        <f aca="false">MONTH(Таблица18[[#This Row],[Дата акта]])</f>
        <v>5</v>
      </c>
      <c r="W563" s="234" t="n">
        <v>29</v>
      </c>
      <c r="X563" s="248" t="n">
        <f aca="false">DATE(1900,Таблица18[[#This Row],[Месяц]],Таблица18[[#This Row],[Число]])</f>
        <v>150</v>
      </c>
      <c r="Y563" s="234"/>
      <c r="AF563" s="411"/>
      <c r="AG563" s="412"/>
    </row>
    <row r="564" s="410" customFormat="true" ht="15" hidden="true" customHeight="true" outlineLevel="0" collapsed="false">
      <c r="A564" s="198" t="s">
        <v>2162</v>
      </c>
      <c r="B564" s="199" t="s">
        <v>417</v>
      </c>
      <c r="C564" s="198" t="n">
        <v>171</v>
      </c>
      <c r="D564" s="198" t="n">
        <v>47</v>
      </c>
      <c r="E564" s="198" t="s">
        <v>422</v>
      </c>
      <c r="F564" s="198" t="s">
        <v>371</v>
      </c>
      <c r="G564" s="198" t="s">
        <v>372</v>
      </c>
      <c r="H564" s="198" t="s">
        <v>2124</v>
      </c>
      <c r="I564" s="199"/>
      <c r="J564" s="198" t="s">
        <v>68</v>
      </c>
      <c r="K564" s="198" t="s">
        <v>1435</v>
      </c>
      <c r="L564" s="234" t="n">
        <v>28580</v>
      </c>
      <c r="M564" s="234" t="n">
        <v>14930</v>
      </c>
      <c r="N564" s="234" t="n">
        <v>23.5</v>
      </c>
      <c r="O564" s="407" t="n">
        <v>13650</v>
      </c>
      <c r="P564" s="407" t="n">
        <v>10442.2</v>
      </c>
      <c r="Q564" s="234" t="n">
        <v>2024</v>
      </c>
      <c r="R564" s="234"/>
      <c r="S564" s="248" t="n">
        <v>45441</v>
      </c>
      <c r="T564" s="407" t="n">
        <f aca="false">Таблица18[[#This Row],[Вес нетто]]-Таблица18[[#This Row],[Зачетный вес]]</f>
        <v>3207.8</v>
      </c>
      <c r="U564" s="409" t="n">
        <f aca="false">Таблица18[[#This Row],[Отход]]/Таблица18[[#This Row],[Вес нетто]]</f>
        <v>0.235003663003663</v>
      </c>
      <c r="V564" s="234" t="n">
        <f aca="false">MONTH(Таблица18[[#This Row],[Дата акта]])</f>
        <v>5</v>
      </c>
      <c r="W564" s="234" t="n">
        <v>29</v>
      </c>
      <c r="X564" s="248" t="n">
        <f aca="false">DATE(1900,Таблица18[[#This Row],[Месяц]],Таблица18[[#This Row],[Число]])</f>
        <v>150</v>
      </c>
      <c r="Y564" s="234"/>
      <c r="AF564" s="411"/>
      <c r="AG564" s="412"/>
    </row>
    <row r="565" s="410" customFormat="true" ht="15" hidden="true" customHeight="true" outlineLevel="0" collapsed="false">
      <c r="A565" s="198" t="s">
        <v>2163</v>
      </c>
      <c r="B565" s="199" t="s">
        <v>417</v>
      </c>
      <c r="C565" s="198" t="n">
        <v>173</v>
      </c>
      <c r="D565" s="198" t="n">
        <v>48</v>
      </c>
      <c r="E565" s="198" t="s">
        <v>422</v>
      </c>
      <c r="F565" s="198" t="s">
        <v>363</v>
      </c>
      <c r="G565" s="198" t="s">
        <v>364</v>
      </c>
      <c r="H565" s="198" t="s">
        <v>2124</v>
      </c>
      <c r="I565" s="199"/>
      <c r="J565" s="198" t="s">
        <v>68</v>
      </c>
      <c r="K565" s="198" t="s">
        <v>1435</v>
      </c>
      <c r="L565" s="234" t="n">
        <v>27840</v>
      </c>
      <c r="M565" s="234" t="n">
        <v>14500</v>
      </c>
      <c r="N565" s="234" t="n">
        <v>22.5</v>
      </c>
      <c r="O565" s="407" t="n">
        <v>13340</v>
      </c>
      <c r="P565" s="407" t="n">
        <v>10338.5</v>
      </c>
      <c r="Q565" s="234" t="n">
        <v>2024</v>
      </c>
      <c r="R565" s="234"/>
      <c r="S565" s="248" t="n">
        <v>45441</v>
      </c>
      <c r="T565" s="407" t="n">
        <f aca="false">Таблица18[[#This Row],[Вес нетто]]-Таблица18[[#This Row],[Зачетный вес]]</f>
        <v>3001.5</v>
      </c>
      <c r="U565" s="409" t="n">
        <f aca="false">Таблица18[[#This Row],[Отход]]/Таблица18[[#This Row],[Вес нетто]]</f>
        <v>0.225</v>
      </c>
      <c r="V565" s="234" t="n">
        <f aca="false">MONTH(Таблица18[[#This Row],[Дата акта]])</f>
        <v>5</v>
      </c>
      <c r="W565" s="234" t="n">
        <v>29</v>
      </c>
      <c r="X565" s="248" t="n">
        <f aca="false">DATE(1900,Таблица18[[#This Row],[Месяц]],Таблица18[[#This Row],[Число]])</f>
        <v>150</v>
      </c>
      <c r="Y565" s="234"/>
      <c r="AF565" s="411"/>
      <c r="AG565" s="412"/>
    </row>
    <row r="566" s="410" customFormat="true" ht="15" hidden="true" customHeight="true" outlineLevel="0" collapsed="false">
      <c r="A566" s="198" t="s">
        <v>2164</v>
      </c>
      <c r="B566" s="199" t="s">
        <v>417</v>
      </c>
      <c r="C566" s="198" t="n">
        <v>174</v>
      </c>
      <c r="D566" s="198" t="n">
        <v>49</v>
      </c>
      <c r="E566" s="198" t="s">
        <v>422</v>
      </c>
      <c r="F566" s="198" t="s">
        <v>376</v>
      </c>
      <c r="G566" s="198" t="s">
        <v>377</v>
      </c>
      <c r="H566" s="198" t="s">
        <v>2124</v>
      </c>
      <c r="I566" s="199"/>
      <c r="J566" s="198" t="s">
        <v>68</v>
      </c>
      <c r="K566" s="198" t="s">
        <v>1435</v>
      </c>
      <c r="L566" s="234" t="n">
        <v>27640</v>
      </c>
      <c r="M566" s="234" t="n">
        <v>14200</v>
      </c>
      <c r="N566" s="234" t="n">
        <v>26.5</v>
      </c>
      <c r="O566" s="407" t="n">
        <v>13440</v>
      </c>
      <c r="P566" s="407" t="n">
        <v>9878.4</v>
      </c>
      <c r="Q566" s="234" t="n">
        <v>2024</v>
      </c>
      <c r="R566" s="234"/>
      <c r="S566" s="248" t="n">
        <v>45441</v>
      </c>
      <c r="T566" s="407" t="n">
        <f aca="false">Таблица18[[#This Row],[Вес нетто]]-Таблица18[[#This Row],[Зачетный вес]]</f>
        <v>3561.6</v>
      </c>
      <c r="U566" s="409" t="n">
        <f aca="false">Таблица18[[#This Row],[Отход]]/Таблица18[[#This Row],[Вес нетто]]</f>
        <v>0.265</v>
      </c>
      <c r="V566" s="234" t="n">
        <f aca="false">MONTH(Таблица18[[#This Row],[Дата акта]])</f>
        <v>5</v>
      </c>
      <c r="W566" s="234" t="n">
        <v>29</v>
      </c>
      <c r="X566" s="248" t="n">
        <f aca="false">DATE(1900,Таблица18[[#This Row],[Месяц]],Таблица18[[#This Row],[Число]])</f>
        <v>150</v>
      </c>
      <c r="Y566" s="234"/>
      <c r="AF566" s="411"/>
      <c r="AG566" s="412"/>
    </row>
    <row r="567" s="410" customFormat="true" ht="15" hidden="true" customHeight="true" outlineLevel="0" collapsed="false">
      <c r="A567" s="198" t="s">
        <v>2165</v>
      </c>
      <c r="B567" s="199" t="s">
        <v>417</v>
      </c>
      <c r="C567" s="198" t="n">
        <v>175</v>
      </c>
      <c r="D567" s="198" t="n">
        <v>50</v>
      </c>
      <c r="E567" s="198" t="s">
        <v>422</v>
      </c>
      <c r="F567" s="198" t="s">
        <v>371</v>
      </c>
      <c r="G567" s="198" t="s">
        <v>372</v>
      </c>
      <c r="H567" s="198" t="s">
        <v>2124</v>
      </c>
      <c r="I567" s="199"/>
      <c r="J567" s="198" t="s">
        <v>68</v>
      </c>
      <c r="K567" s="198" t="s">
        <v>1435</v>
      </c>
      <c r="L567" s="234" t="n">
        <v>28070</v>
      </c>
      <c r="M567" s="234" t="n">
        <v>14930</v>
      </c>
      <c r="N567" s="234" t="n">
        <v>24.5</v>
      </c>
      <c r="O567" s="407" t="n">
        <v>13140</v>
      </c>
      <c r="P567" s="407" t="n">
        <v>9920.7</v>
      </c>
      <c r="Q567" s="234" t="n">
        <v>2024</v>
      </c>
      <c r="R567" s="234"/>
      <c r="S567" s="248" t="n">
        <v>45441</v>
      </c>
      <c r="T567" s="407" t="n">
        <f aca="false">Таблица18[[#This Row],[Вес нетто]]-Таблица18[[#This Row],[Зачетный вес]]</f>
        <v>3219.3</v>
      </c>
      <c r="U567" s="409" t="n">
        <f aca="false">Таблица18[[#This Row],[Отход]]/Таблица18[[#This Row],[Вес нетто]]</f>
        <v>0.245</v>
      </c>
      <c r="V567" s="234" t="n">
        <f aca="false">MONTH(Таблица18[[#This Row],[Дата акта]])</f>
        <v>5</v>
      </c>
      <c r="W567" s="234" t="n">
        <v>29</v>
      </c>
      <c r="X567" s="248" t="n">
        <f aca="false">DATE(1900,Таблица18[[#This Row],[Месяц]],Таблица18[[#This Row],[Число]])</f>
        <v>150</v>
      </c>
      <c r="Y567" s="234"/>
      <c r="AF567" s="411"/>
      <c r="AG567" s="412"/>
    </row>
    <row r="568" s="410" customFormat="true" ht="15" hidden="true" customHeight="true" outlineLevel="0" collapsed="false">
      <c r="A568" s="198" t="s">
        <v>2166</v>
      </c>
      <c r="B568" s="199" t="s">
        <v>417</v>
      </c>
      <c r="C568" s="198" t="n">
        <v>176</v>
      </c>
      <c r="D568" s="198" t="n">
        <v>51</v>
      </c>
      <c r="E568" s="198" t="s">
        <v>422</v>
      </c>
      <c r="F568" s="198" t="s">
        <v>363</v>
      </c>
      <c r="G568" s="198" t="s">
        <v>364</v>
      </c>
      <c r="H568" s="198" t="s">
        <v>2124</v>
      </c>
      <c r="I568" s="199"/>
      <c r="J568" s="198" t="s">
        <v>68</v>
      </c>
      <c r="K568" s="198" t="s">
        <v>1435</v>
      </c>
      <c r="L568" s="234" t="n">
        <v>28410</v>
      </c>
      <c r="M568" s="234" t="n">
        <v>14620</v>
      </c>
      <c r="N568" s="234" t="n">
        <v>24.5</v>
      </c>
      <c r="O568" s="407" t="n">
        <v>13790</v>
      </c>
      <c r="P568" s="407" t="n">
        <v>10411.4</v>
      </c>
      <c r="Q568" s="234" t="n">
        <v>2024</v>
      </c>
      <c r="R568" s="234"/>
      <c r="S568" s="248" t="n">
        <v>45442</v>
      </c>
      <c r="T568" s="407" t="n">
        <f aca="false">Таблица18[[#This Row],[Вес нетто]]-Таблица18[[#This Row],[Зачетный вес]]</f>
        <v>3378.6</v>
      </c>
      <c r="U568" s="409" t="n">
        <f aca="false">Таблица18[[#This Row],[Отход]]/Таблица18[[#This Row],[Вес нетто]]</f>
        <v>0.245003625815809</v>
      </c>
      <c r="V568" s="234" t="n">
        <f aca="false">MONTH(Таблица18[[#This Row],[Дата акта]])</f>
        <v>5</v>
      </c>
      <c r="W568" s="234" t="n">
        <v>30</v>
      </c>
      <c r="X568" s="248" t="n">
        <f aca="false">DATE(1900,Таблица18[[#This Row],[Месяц]],Таблица18[[#This Row],[Число]])</f>
        <v>151</v>
      </c>
      <c r="Y568" s="234"/>
      <c r="AF568" s="411"/>
      <c r="AG568" s="412"/>
    </row>
    <row r="569" s="410" customFormat="true" ht="15" hidden="true" customHeight="true" outlineLevel="0" collapsed="false">
      <c r="A569" s="198" t="s">
        <v>2167</v>
      </c>
      <c r="B569" s="199" t="s">
        <v>417</v>
      </c>
      <c r="C569" s="198" t="n">
        <v>177</v>
      </c>
      <c r="D569" s="198" t="n">
        <v>52</v>
      </c>
      <c r="E569" s="198" t="s">
        <v>422</v>
      </c>
      <c r="F569" s="198" t="s">
        <v>376</v>
      </c>
      <c r="G569" s="198" t="s">
        <v>377</v>
      </c>
      <c r="H569" s="198" t="s">
        <v>350</v>
      </c>
      <c r="I569" s="199"/>
      <c r="J569" s="198" t="s">
        <v>68</v>
      </c>
      <c r="K569" s="198" t="s">
        <v>1435</v>
      </c>
      <c r="L569" s="234" t="n">
        <v>19500</v>
      </c>
      <c r="M569" s="234" t="n">
        <v>14180</v>
      </c>
      <c r="N569" s="234" t="n">
        <v>29.5</v>
      </c>
      <c r="O569" s="407" t="n">
        <v>5320</v>
      </c>
      <c r="P569" s="407" t="n">
        <v>3750.6</v>
      </c>
      <c r="Q569" s="234" t="n">
        <v>2024</v>
      </c>
      <c r="R569" s="234"/>
      <c r="S569" s="248" t="n">
        <v>45442</v>
      </c>
      <c r="T569" s="407" t="n">
        <f aca="false">Таблица18[[#This Row],[Вес нетто]]-Таблица18[[#This Row],[Зачетный вес]]</f>
        <v>1569.4</v>
      </c>
      <c r="U569" s="409" t="n">
        <f aca="false">Таблица18[[#This Row],[Отход]]/Таблица18[[#This Row],[Вес нетто]]</f>
        <v>0.295</v>
      </c>
      <c r="V569" s="234" t="n">
        <f aca="false">MONTH(Таблица18[[#This Row],[Дата акта]])</f>
        <v>5</v>
      </c>
      <c r="W569" s="234" t="n">
        <v>30</v>
      </c>
      <c r="X569" s="248" t="n">
        <f aca="false">DATE(1900,Таблица18[[#This Row],[Месяц]],Таблица18[[#This Row],[Число]])</f>
        <v>151</v>
      </c>
      <c r="Y569" s="234"/>
      <c r="AF569" s="411"/>
      <c r="AG569" s="412"/>
    </row>
    <row r="570" s="410" customFormat="true" ht="15" hidden="true" customHeight="true" outlineLevel="0" collapsed="false">
      <c r="A570" s="198" t="s">
        <v>2168</v>
      </c>
      <c r="B570" s="199" t="s">
        <v>417</v>
      </c>
      <c r="C570" s="198" t="n">
        <v>182</v>
      </c>
      <c r="D570" s="198" t="n">
        <v>53</v>
      </c>
      <c r="E570" s="198" t="s">
        <v>422</v>
      </c>
      <c r="F570" s="198" t="s">
        <v>55</v>
      </c>
      <c r="G570" s="198" t="s">
        <v>56</v>
      </c>
      <c r="H570" s="198" t="s">
        <v>95</v>
      </c>
      <c r="I570" s="199"/>
      <c r="J570" s="198" t="s">
        <v>895</v>
      </c>
      <c r="K570" s="198" t="s">
        <v>1435</v>
      </c>
      <c r="L570" s="234" t="n">
        <v>30280</v>
      </c>
      <c r="M570" s="234" t="n">
        <v>21250</v>
      </c>
      <c r="N570" s="234" t="n">
        <v>9.5</v>
      </c>
      <c r="O570" s="407" t="n">
        <v>9030</v>
      </c>
      <c r="P570" s="407" t="n">
        <v>8172.1</v>
      </c>
      <c r="Q570" s="234" t="n">
        <v>2024</v>
      </c>
      <c r="R570" s="234"/>
      <c r="S570" s="248" t="n">
        <v>45446</v>
      </c>
      <c r="T570" s="407" t="n">
        <f aca="false">Таблица18[[#This Row],[Вес нетто]]-Таблица18[[#This Row],[Зачетный вес]]</f>
        <v>857.9</v>
      </c>
      <c r="U570" s="409" t="n">
        <f aca="false">Таблица18[[#This Row],[Отход]]/Таблица18[[#This Row],[Вес нетто]]</f>
        <v>0.0950055370985603</v>
      </c>
      <c r="V570" s="234" t="n">
        <f aca="false">MONTH(Таблица18[[#This Row],[Дата акта]])</f>
        <v>6</v>
      </c>
      <c r="W570" s="234" t="n">
        <v>3</v>
      </c>
      <c r="X570" s="248" t="n">
        <f aca="false">DATE(1900,Таблица18[[#This Row],[Месяц]],Таблица18[[#This Row],[Число]])</f>
        <v>155</v>
      </c>
      <c r="Y570" s="234"/>
      <c r="AF570" s="411"/>
      <c r="AG570" s="412"/>
    </row>
    <row r="571" s="410" customFormat="true" ht="15" hidden="true" customHeight="true" outlineLevel="0" collapsed="false">
      <c r="A571" s="198" t="s">
        <v>2169</v>
      </c>
      <c r="B571" s="199" t="s">
        <v>417</v>
      </c>
      <c r="C571" s="198" t="n">
        <v>183</v>
      </c>
      <c r="D571" s="198" t="n">
        <v>53</v>
      </c>
      <c r="E571" s="198" t="s">
        <v>422</v>
      </c>
      <c r="F571" s="198" t="s">
        <v>55</v>
      </c>
      <c r="G571" s="198" t="s">
        <v>56</v>
      </c>
      <c r="H571" s="198" t="s">
        <v>95</v>
      </c>
      <c r="I571" s="199"/>
      <c r="J571" s="198" t="s">
        <v>68</v>
      </c>
      <c r="K571" s="198" t="s">
        <v>1435</v>
      </c>
      <c r="L571" s="234" t="n">
        <v>21250</v>
      </c>
      <c r="M571" s="234" t="n">
        <v>14640</v>
      </c>
      <c r="N571" s="234" t="n">
        <v>12.5</v>
      </c>
      <c r="O571" s="407" t="n">
        <v>6610</v>
      </c>
      <c r="P571" s="407" t="n">
        <v>5783.7</v>
      </c>
      <c r="Q571" s="234" t="n">
        <v>2024</v>
      </c>
      <c r="R571" s="234"/>
      <c r="S571" s="248" t="n">
        <v>45446</v>
      </c>
      <c r="T571" s="407" t="n">
        <f aca="false">Таблица18[[#This Row],[Вес нетто]]-Таблица18[[#This Row],[Зачетный вес]]</f>
        <v>826.3</v>
      </c>
      <c r="U571" s="409" t="n">
        <f aca="false">Таблица18[[#This Row],[Отход]]/Таблица18[[#This Row],[Вес нетто]]</f>
        <v>0.12500756429652</v>
      </c>
      <c r="V571" s="234" t="n">
        <f aca="false">MONTH(Таблица18[[#This Row],[Дата акта]])</f>
        <v>6</v>
      </c>
      <c r="W571" s="234" t="n">
        <v>3</v>
      </c>
      <c r="X571" s="248" t="n">
        <f aca="false">DATE(1900,Таблица18[[#This Row],[Месяц]],Таблица18[[#This Row],[Число]])</f>
        <v>155</v>
      </c>
      <c r="Y571" s="234"/>
      <c r="AF571" s="411"/>
      <c r="AG571" s="412"/>
    </row>
    <row r="572" s="410" customFormat="true" ht="15" hidden="true" customHeight="true" outlineLevel="0" collapsed="false">
      <c r="A572" s="198" t="s">
        <v>2170</v>
      </c>
      <c r="B572" s="199" t="s">
        <v>417</v>
      </c>
      <c r="C572" s="198" t="n">
        <v>184</v>
      </c>
      <c r="D572" s="198" t="n">
        <v>54</v>
      </c>
      <c r="E572" s="198" t="s">
        <v>422</v>
      </c>
      <c r="F572" s="198" t="s">
        <v>1876</v>
      </c>
      <c r="G572" s="198" t="s">
        <v>1877</v>
      </c>
      <c r="H572" s="198" t="s">
        <v>95</v>
      </c>
      <c r="I572" s="199"/>
      <c r="J572" s="198" t="s">
        <v>68</v>
      </c>
      <c r="K572" s="198" t="s">
        <v>1435</v>
      </c>
      <c r="L572" s="234" t="n">
        <v>28580</v>
      </c>
      <c r="M572" s="234" t="n">
        <v>14680</v>
      </c>
      <c r="N572" s="234" t="n">
        <v>12.5</v>
      </c>
      <c r="O572" s="407" t="n">
        <v>13900</v>
      </c>
      <c r="P572" s="407" t="n">
        <v>12162.5</v>
      </c>
      <c r="Q572" s="234" t="n">
        <v>2024</v>
      </c>
      <c r="R572" s="234"/>
      <c r="S572" s="248" t="n">
        <v>45446</v>
      </c>
      <c r="T572" s="407" t="n">
        <f aca="false">Таблица18[[#This Row],[Вес нетто]]-Таблица18[[#This Row],[Зачетный вес]]</f>
        <v>1737.5</v>
      </c>
      <c r="U572" s="409" t="n">
        <f aca="false">Таблица18[[#This Row],[Отход]]/Таблица18[[#This Row],[Вес нетто]]</f>
        <v>0.125</v>
      </c>
      <c r="V572" s="234" t="n">
        <f aca="false">MONTH(Таблица18[[#This Row],[Дата акта]])</f>
        <v>6</v>
      </c>
      <c r="W572" s="234" t="n">
        <v>3</v>
      </c>
      <c r="X572" s="248" t="n">
        <f aca="false">DATE(1900,Таблица18[[#This Row],[Месяц]],Таблица18[[#This Row],[Число]])</f>
        <v>155</v>
      </c>
      <c r="Y572" s="234"/>
      <c r="AF572" s="411"/>
      <c r="AG572" s="412"/>
    </row>
    <row r="573" s="410" customFormat="true" ht="15" hidden="true" customHeight="true" outlineLevel="0" collapsed="false">
      <c r="A573" s="198" t="s">
        <v>2171</v>
      </c>
      <c r="B573" s="199" t="s">
        <v>417</v>
      </c>
      <c r="C573" s="198" t="n">
        <v>185</v>
      </c>
      <c r="D573" s="198" t="n">
        <v>55</v>
      </c>
      <c r="E573" s="198" t="s">
        <v>422</v>
      </c>
      <c r="F573" s="198" t="s">
        <v>457</v>
      </c>
      <c r="G573" s="198" t="s">
        <v>366</v>
      </c>
      <c r="H573" s="198" t="s">
        <v>95</v>
      </c>
      <c r="I573" s="199"/>
      <c r="J573" s="198" t="s">
        <v>68</v>
      </c>
      <c r="K573" s="198" t="s">
        <v>1435</v>
      </c>
      <c r="L573" s="234" t="n">
        <v>33160</v>
      </c>
      <c r="M573" s="234" t="n">
        <v>17330</v>
      </c>
      <c r="N573" s="234" t="n">
        <v>10.5</v>
      </c>
      <c r="O573" s="407" t="n">
        <v>15830</v>
      </c>
      <c r="P573" s="407" t="n">
        <v>14167.8</v>
      </c>
      <c r="Q573" s="234" t="n">
        <v>2024</v>
      </c>
      <c r="R573" s="234"/>
      <c r="S573" s="248" t="n">
        <v>45446</v>
      </c>
      <c r="T573" s="407" t="n">
        <f aca="false">Таблица18[[#This Row],[Вес нетто]]-Таблица18[[#This Row],[Зачетный вес]]</f>
        <v>1662.2</v>
      </c>
      <c r="U573" s="409" t="n">
        <f aca="false">Таблица18[[#This Row],[Отход]]/Таблица18[[#This Row],[Вес нетто]]</f>
        <v>0.105003158559697</v>
      </c>
      <c r="V573" s="234" t="n">
        <f aca="false">MONTH(Таблица18[[#This Row],[Дата акта]])</f>
        <v>6</v>
      </c>
      <c r="W573" s="234" t="n">
        <v>3</v>
      </c>
      <c r="X573" s="248" t="n">
        <f aca="false">DATE(1900,Таблица18[[#This Row],[Месяц]],Таблица18[[#This Row],[Число]])</f>
        <v>155</v>
      </c>
      <c r="Y573" s="234"/>
      <c r="AF573" s="411"/>
      <c r="AG573" s="412"/>
    </row>
    <row r="574" s="410" customFormat="true" ht="15" hidden="true" customHeight="true" outlineLevel="0" collapsed="false">
      <c r="A574" s="198" t="s">
        <v>2172</v>
      </c>
      <c r="B574" s="199" t="s">
        <v>417</v>
      </c>
      <c r="C574" s="198" t="n">
        <v>186</v>
      </c>
      <c r="D574" s="198" t="n">
        <v>56</v>
      </c>
      <c r="E574" s="198" t="s">
        <v>422</v>
      </c>
      <c r="F574" s="198" t="s">
        <v>376</v>
      </c>
      <c r="G574" s="198" t="s">
        <v>377</v>
      </c>
      <c r="H574" s="198" t="s">
        <v>95</v>
      </c>
      <c r="I574" s="199"/>
      <c r="J574" s="198" t="s">
        <v>68</v>
      </c>
      <c r="K574" s="198" t="s">
        <v>1435</v>
      </c>
      <c r="L574" s="234" t="n">
        <v>27960</v>
      </c>
      <c r="M574" s="234" t="n">
        <v>14160</v>
      </c>
      <c r="N574" s="234" t="n">
        <v>7.5</v>
      </c>
      <c r="O574" s="407" t="n">
        <v>13800</v>
      </c>
      <c r="P574" s="407" t="n">
        <v>12765</v>
      </c>
      <c r="Q574" s="234" t="n">
        <v>2024</v>
      </c>
      <c r="R574" s="234"/>
      <c r="S574" s="248" t="n">
        <v>45446</v>
      </c>
      <c r="T574" s="407" t="n">
        <f aca="false">Таблица18[[#This Row],[Вес нетто]]-Таблица18[[#This Row],[Зачетный вес]]</f>
        <v>1035</v>
      </c>
      <c r="U574" s="409" t="n">
        <f aca="false">Таблица18[[#This Row],[Отход]]/Таблица18[[#This Row],[Вес нетто]]</f>
        <v>0.075</v>
      </c>
      <c r="V574" s="234" t="n">
        <f aca="false">MONTH(Таблица18[[#This Row],[Дата акта]])</f>
        <v>6</v>
      </c>
      <c r="W574" s="234" t="n">
        <v>3</v>
      </c>
      <c r="X574" s="248" t="n">
        <f aca="false">DATE(1900,Таблица18[[#This Row],[Месяц]],Таблица18[[#This Row],[Число]])</f>
        <v>155</v>
      </c>
      <c r="Y574" s="234"/>
      <c r="AF574" s="411"/>
      <c r="AG574" s="412"/>
    </row>
    <row r="575" s="410" customFormat="true" ht="15" hidden="true" customHeight="true" outlineLevel="0" collapsed="false">
      <c r="A575" s="198" t="s">
        <v>2173</v>
      </c>
      <c r="B575" s="199" t="s">
        <v>417</v>
      </c>
      <c r="C575" s="198" t="n">
        <v>187</v>
      </c>
      <c r="D575" s="198" t="n">
        <v>57</v>
      </c>
      <c r="E575" s="198" t="s">
        <v>422</v>
      </c>
      <c r="F575" s="198" t="s">
        <v>55</v>
      </c>
      <c r="G575" s="198" t="s">
        <v>56</v>
      </c>
      <c r="H575" s="198" t="s">
        <v>95</v>
      </c>
      <c r="I575" s="199"/>
      <c r="J575" s="198" t="s">
        <v>68</v>
      </c>
      <c r="K575" s="198" t="s">
        <v>1435</v>
      </c>
      <c r="L575" s="234" t="n">
        <v>28700</v>
      </c>
      <c r="M575" s="234" t="n">
        <v>14620</v>
      </c>
      <c r="N575" s="234" t="n">
        <v>13.5</v>
      </c>
      <c r="O575" s="407" t="n">
        <v>14080</v>
      </c>
      <c r="P575" s="407" t="n">
        <v>12179.2</v>
      </c>
      <c r="Q575" s="234" t="n">
        <v>2024</v>
      </c>
      <c r="R575" s="234"/>
      <c r="S575" s="248" t="n">
        <v>45446</v>
      </c>
      <c r="T575" s="407" t="n">
        <f aca="false">Таблица18[[#This Row],[Вес нетто]]-Таблица18[[#This Row],[Зачетный вес]]</f>
        <v>1900.8</v>
      </c>
      <c r="U575" s="409" t="n">
        <f aca="false">Таблица18[[#This Row],[Отход]]/Таблица18[[#This Row],[Вес нетто]]</f>
        <v>0.135</v>
      </c>
      <c r="V575" s="234" t="n">
        <f aca="false">MONTH(Таблица18[[#This Row],[Дата акта]])</f>
        <v>6</v>
      </c>
      <c r="W575" s="234" t="n">
        <v>3</v>
      </c>
      <c r="X575" s="248" t="n">
        <f aca="false">DATE(1900,Таблица18[[#This Row],[Месяц]],Таблица18[[#This Row],[Число]])</f>
        <v>155</v>
      </c>
      <c r="Y575" s="234"/>
      <c r="AF575" s="411"/>
      <c r="AG575" s="412"/>
    </row>
    <row r="576" s="410" customFormat="true" ht="15" hidden="true" customHeight="true" outlineLevel="0" collapsed="false">
      <c r="A576" s="198" t="s">
        <v>2174</v>
      </c>
      <c r="B576" s="199" t="s">
        <v>417</v>
      </c>
      <c r="C576" s="198" t="n">
        <v>188</v>
      </c>
      <c r="D576" s="198" t="n">
        <v>58</v>
      </c>
      <c r="E576" s="198" t="s">
        <v>422</v>
      </c>
      <c r="F576" s="198" t="s">
        <v>1876</v>
      </c>
      <c r="G576" s="198" t="s">
        <v>1877</v>
      </c>
      <c r="H576" s="198" t="s">
        <v>95</v>
      </c>
      <c r="I576" s="199"/>
      <c r="J576" s="198" t="s">
        <v>68</v>
      </c>
      <c r="K576" s="198" t="s">
        <v>1435</v>
      </c>
      <c r="L576" s="234" t="n">
        <v>28420</v>
      </c>
      <c r="M576" s="234" t="n">
        <v>14660</v>
      </c>
      <c r="N576" s="234" t="n">
        <v>11.5</v>
      </c>
      <c r="O576" s="407" t="n">
        <v>13760</v>
      </c>
      <c r="P576" s="407" t="n">
        <v>12177.6</v>
      </c>
      <c r="Q576" s="234" t="n">
        <v>2024</v>
      </c>
      <c r="R576" s="234"/>
      <c r="S576" s="248" t="n">
        <v>45446</v>
      </c>
      <c r="T576" s="407" t="n">
        <f aca="false">Таблица18[[#This Row],[Вес нетто]]-Таблица18[[#This Row],[Зачетный вес]]</f>
        <v>1582.4</v>
      </c>
      <c r="U576" s="409" t="n">
        <f aca="false">Таблица18[[#This Row],[Отход]]/Таблица18[[#This Row],[Вес нетто]]</f>
        <v>0.115</v>
      </c>
      <c r="V576" s="234" t="n">
        <f aca="false">MONTH(Таблица18[[#This Row],[Дата акта]])</f>
        <v>6</v>
      </c>
      <c r="W576" s="234" t="n">
        <v>3</v>
      </c>
      <c r="X576" s="248" t="n">
        <f aca="false">DATE(1900,Таблица18[[#This Row],[Месяц]],Таблица18[[#This Row],[Число]])</f>
        <v>155</v>
      </c>
      <c r="Y576" s="234"/>
      <c r="AF576" s="411"/>
      <c r="AG576" s="412"/>
    </row>
    <row r="577" s="410" customFormat="true" ht="15" hidden="true" customHeight="true" outlineLevel="0" collapsed="false">
      <c r="A577" s="198" t="s">
        <v>2175</v>
      </c>
      <c r="B577" s="199" t="s">
        <v>417</v>
      </c>
      <c r="C577" s="198" t="n">
        <v>189</v>
      </c>
      <c r="D577" s="198" t="n">
        <v>59</v>
      </c>
      <c r="E577" s="198" t="s">
        <v>422</v>
      </c>
      <c r="F577" s="198" t="s">
        <v>457</v>
      </c>
      <c r="G577" s="198" t="s">
        <v>366</v>
      </c>
      <c r="H577" s="198" t="s">
        <v>95</v>
      </c>
      <c r="I577" s="199"/>
      <c r="J577" s="198" t="s">
        <v>68</v>
      </c>
      <c r="K577" s="198" t="s">
        <v>1435</v>
      </c>
      <c r="L577" s="234" t="n">
        <v>33360</v>
      </c>
      <c r="M577" s="234" t="n">
        <v>17300</v>
      </c>
      <c r="N577" s="234" t="n">
        <v>12.5</v>
      </c>
      <c r="O577" s="407" t="n">
        <v>16060</v>
      </c>
      <c r="P577" s="407" t="n">
        <v>14052.5</v>
      </c>
      <c r="Q577" s="234" t="n">
        <v>2024</v>
      </c>
      <c r="R577" s="234"/>
      <c r="S577" s="248" t="n">
        <v>45446</v>
      </c>
      <c r="T577" s="407" t="n">
        <f aca="false">Таблица18[[#This Row],[Вес нетто]]-Таблица18[[#This Row],[Зачетный вес]]</f>
        <v>2007.5</v>
      </c>
      <c r="U577" s="409" t="n">
        <f aca="false">Таблица18[[#This Row],[Отход]]/Таблица18[[#This Row],[Вес нетто]]</f>
        <v>0.125</v>
      </c>
      <c r="V577" s="234" t="n">
        <f aca="false">MONTH(Таблица18[[#This Row],[Дата акта]])</f>
        <v>6</v>
      </c>
      <c r="W577" s="234" t="n">
        <v>3</v>
      </c>
      <c r="X577" s="248" t="n">
        <f aca="false">DATE(1900,Таблица18[[#This Row],[Месяц]],Таблица18[[#This Row],[Число]])</f>
        <v>155</v>
      </c>
      <c r="Y577" s="234"/>
      <c r="AF577" s="411"/>
      <c r="AG577" s="412"/>
    </row>
    <row r="578" s="410" customFormat="true" ht="15" hidden="true" customHeight="true" outlineLevel="0" collapsed="false">
      <c r="A578" s="198" t="s">
        <v>2176</v>
      </c>
      <c r="B578" s="199" t="s">
        <v>417</v>
      </c>
      <c r="C578" s="198" t="n">
        <v>190</v>
      </c>
      <c r="D578" s="198" t="n">
        <v>60</v>
      </c>
      <c r="E578" s="198" t="s">
        <v>422</v>
      </c>
      <c r="F578" s="198" t="s">
        <v>55</v>
      </c>
      <c r="G578" s="198" t="s">
        <v>56</v>
      </c>
      <c r="H578" s="198" t="s">
        <v>95</v>
      </c>
      <c r="I578" s="199"/>
      <c r="J578" s="198" t="s">
        <v>68</v>
      </c>
      <c r="K578" s="198" t="s">
        <v>1435</v>
      </c>
      <c r="L578" s="234" t="n">
        <v>28240</v>
      </c>
      <c r="M578" s="234" t="n">
        <v>14600</v>
      </c>
      <c r="N578" s="234" t="n">
        <v>8.5</v>
      </c>
      <c r="O578" s="407" t="n">
        <v>13640</v>
      </c>
      <c r="P578" s="407" t="n">
        <v>12480.6</v>
      </c>
      <c r="Q578" s="234" t="n">
        <v>2024</v>
      </c>
      <c r="R578" s="234"/>
      <c r="S578" s="248" t="n">
        <v>45446</v>
      </c>
      <c r="T578" s="407" t="n">
        <f aca="false">Таблица18[[#This Row],[Вес нетто]]-Таблица18[[#This Row],[Зачетный вес]]</f>
        <v>1159.4</v>
      </c>
      <c r="U578" s="409" t="n">
        <f aca="false">Таблица18[[#This Row],[Отход]]/Таблица18[[#This Row],[Вес нетто]]</f>
        <v>0.085</v>
      </c>
      <c r="V578" s="234" t="n">
        <f aca="false">MONTH(Таблица18[[#This Row],[Дата акта]])</f>
        <v>6</v>
      </c>
      <c r="W578" s="234" t="n">
        <v>3</v>
      </c>
      <c r="X578" s="248" t="n">
        <f aca="false">DATE(1900,Таблица18[[#This Row],[Месяц]],Таблица18[[#This Row],[Число]])</f>
        <v>155</v>
      </c>
      <c r="Y578" s="234"/>
      <c r="AF578" s="411"/>
      <c r="AG578" s="412"/>
    </row>
    <row r="579" s="410" customFormat="true" ht="15" hidden="true" customHeight="true" outlineLevel="0" collapsed="false">
      <c r="A579" s="198" t="s">
        <v>2177</v>
      </c>
      <c r="B579" s="199" t="s">
        <v>417</v>
      </c>
      <c r="C579" s="198" t="n">
        <v>191</v>
      </c>
      <c r="D579" s="198" t="n">
        <v>61</v>
      </c>
      <c r="E579" s="198" t="s">
        <v>422</v>
      </c>
      <c r="F579" s="198" t="s">
        <v>1876</v>
      </c>
      <c r="G579" s="198" t="s">
        <v>1877</v>
      </c>
      <c r="H579" s="198" t="s">
        <v>95</v>
      </c>
      <c r="I579" s="199"/>
      <c r="J579" s="198" t="s">
        <v>68</v>
      </c>
      <c r="K579" s="198" t="s">
        <v>1435</v>
      </c>
      <c r="L579" s="234" t="n">
        <v>31250</v>
      </c>
      <c r="M579" s="234" t="n">
        <v>14730</v>
      </c>
      <c r="N579" s="234" t="n">
        <v>12.5</v>
      </c>
      <c r="O579" s="407" t="n">
        <v>16520</v>
      </c>
      <c r="P579" s="407" t="n">
        <v>14455</v>
      </c>
      <c r="Q579" s="234" t="n">
        <v>2024</v>
      </c>
      <c r="R579" s="234"/>
      <c r="S579" s="248" t="n">
        <v>45446</v>
      </c>
      <c r="T579" s="407" t="n">
        <f aca="false">Таблица18[[#This Row],[Вес нетто]]-Таблица18[[#This Row],[Зачетный вес]]</f>
        <v>2065</v>
      </c>
      <c r="U579" s="409" t="n">
        <f aca="false">Таблица18[[#This Row],[Отход]]/Таблица18[[#This Row],[Вес нетто]]</f>
        <v>0.125</v>
      </c>
      <c r="V579" s="234" t="n">
        <f aca="false">MONTH(Таблица18[[#This Row],[Дата акта]])</f>
        <v>6</v>
      </c>
      <c r="W579" s="234" t="n">
        <v>3</v>
      </c>
      <c r="X579" s="248" t="n">
        <f aca="false">DATE(1900,Таблица18[[#This Row],[Месяц]],Таблица18[[#This Row],[Число]])</f>
        <v>155</v>
      </c>
      <c r="Y579" s="234"/>
      <c r="AF579" s="411"/>
      <c r="AG579" s="412"/>
    </row>
    <row r="580" s="410" customFormat="true" ht="15" hidden="true" customHeight="true" outlineLevel="0" collapsed="false">
      <c r="A580" s="198" t="s">
        <v>2178</v>
      </c>
      <c r="B580" s="199" t="s">
        <v>417</v>
      </c>
      <c r="C580" s="198" t="n">
        <v>192</v>
      </c>
      <c r="D580" s="198" t="n">
        <v>62</v>
      </c>
      <c r="E580" s="198" t="s">
        <v>422</v>
      </c>
      <c r="F580" s="198" t="s">
        <v>457</v>
      </c>
      <c r="G580" s="198" t="s">
        <v>366</v>
      </c>
      <c r="H580" s="198" t="s">
        <v>95</v>
      </c>
      <c r="I580" s="199"/>
      <c r="J580" s="198" t="s">
        <v>68</v>
      </c>
      <c r="K580" s="198" t="s">
        <v>1435</v>
      </c>
      <c r="L580" s="234" t="n">
        <v>32630</v>
      </c>
      <c r="M580" s="234" t="n">
        <v>17290</v>
      </c>
      <c r="N580" s="234" t="n">
        <v>11.5</v>
      </c>
      <c r="O580" s="407" t="n">
        <v>15340</v>
      </c>
      <c r="P580" s="407" t="n">
        <v>13575.9</v>
      </c>
      <c r="Q580" s="234" t="n">
        <v>2024</v>
      </c>
      <c r="R580" s="234"/>
      <c r="S580" s="248" t="n">
        <v>45446</v>
      </c>
      <c r="T580" s="407" t="n">
        <f aca="false">Таблица18[[#This Row],[Вес нетто]]-Таблица18[[#This Row],[Зачетный вес]]</f>
        <v>1764.1</v>
      </c>
      <c r="U580" s="409" t="n">
        <f aca="false">Таблица18[[#This Row],[Отход]]/Таблица18[[#This Row],[Вес нетто]]</f>
        <v>0.115</v>
      </c>
      <c r="V580" s="234" t="n">
        <f aca="false">MONTH(Таблица18[[#This Row],[Дата акта]])</f>
        <v>6</v>
      </c>
      <c r="W580" s="234" t="n">
        <v>3</v>
      </c>
      <c r="X580" s="248" t="n">
        <f aca="false">DATE(1900,Таблица18[[#This Row],[Месяц]],Таблица18[[#This Row],[Число]])</f>
        <v>155</v>
      </c>
      <c r="Y580" s="234"/>
      <c r="AF580" s="411"/>
      <c r="AG580" s="412"/>
    </row>
    <row r="581" s="410" customFormat="true" ht="15" hidden="true" customHeight="true" outlineLevel="0" collapsed="false">
      <c r="A581" s="198" t="s">
        <v>2179</v>
      </c>
      <c r="B581" s="199" t="s">
        <v>417</v>
      </c>
      <c r="C581" s="198" t="n">
        <v>193</v>
      </c>
      <c r="D581" s="198" t="n">
        <v>63</v>
      </c>
      <c r="E581" s="198" t="s">
        <v>422</v>
      </c>
      <c r="F581" s="198" t="s">
        <v>55</v>
      </c>
      <c r="G581" s="198" t="s">
        <v>56</v>
      </c>
      <c r="H581" s="198" t="s">
        <v>95</v>
      </c>
      <c r="I581" s="199"/>
      <c r="J581" s="198" t="s">
        <v>68</v>
      </c>
      <c r="K581" s="198" t="s">
        <v>1435</v>
      </c>
      <c r="L581" s="234" t="n">
        <v>29930</v>
      </c>
      <c r="M581" s="234" t="n">
        <v>14590</v>
      </c>
      <c r="N581" s="234" t="n">
        <v>12.5</v>
      </c>
      <c r="O581" s="407" t="n">
        <v>15340</v>
      </c>
      <c r="P581" s="407" t="n">
        <v>13422.5</v>
      </c>
      <c r="Q581" s="234" t="n">
        <v>2024</v>
      </c>
      <c r="R581" s="234"/>
      <c r="S581" s="248" t="n">
        <v>45447</v>
      </c>
      <c r="T581" s="407" t="n">
        <f aca="false">Таблица18[[#This Row],[Вес нетто]]-Таблица18[[#This Row],[Зачетный вес]]</f>
        <v>1917.5</v>
      </c>
      <c r="U581" s="409" t="n">
        <f aca="false">Таблица18[[#This Row],[Отход]]/Таблица18[[#This Row],[Вес нетто]]</f>
        <v>0.125</v>
      </c>
      <c r="V581" s="234" t="n">
        <f aca="false">MONTH(Таблица18[[#This Row],[Дата акта]])</f>
        <v>6</v>
      </c>
      <c r="W581" s="234" t="n">
        <v>4</v>
      </c>
      <c r="X581" s="248" t="n">
        <f aca="false">DATE(1900,Таблица18[[#This Row],[Месяц]],Таблица18[[#This Row],[Число]])</f>
        <v>156</v>
      </c>
      <c r="Y581" s="234"/>
      <c r="AF581" s="411"/>
      <c r="AG581" s="412"/>
    </row>
    <row r="582" s="410" customFormat="true" ht="15" hidden="true" customHeight="true" outlineLevel="0" collapsed="false">
      <c r="A582" s="198" t="s">
        <v>2180</v>
      </c>
      <c r="B582" s="199" t="s">
        <v>417</v>
      </c>
      <c r="C582" s="198" t="n">
        <v>194</v>
      </c>
      <c r="D582" s="198" t="n">
        <v>64</v>
      </c>
      <c r="E582" s="198" t="s">
        <v>422</v>
      </c>
      <c r="F582" s="198" t="s">
        <v>1876</v>
      </c>
      <c r="G582" s="198" t="s">
        <v>1877</v>
      </c>
      <c r="H582" s="198" t="s">
        <v>95</v>
      </c>
      <c r="I582" s="199"/>
      <c r="J582" s="198" t="s">
        <v>68</v>
      </c>
      <c r="K582" s="198" t="s">
        <v>1435</v>
      </c>
      <c r="L582" s="234" t="n">
        <v>30050</v>
      </c>
      <c r="M582" s="234" t="n">
        <v>14730</v>
      </c>
      <c r="N582" s="234" t="n">
        <v>10.5</v>
      </c>
      <c r="O582" s="407" t="n">
        <v>15320</v>
      </c>
      <c r="P582" s="407" t="n">
        <v>13711.4</v>
      </c>
      <c r="Q582" s="234" t="n">
        <v>2024</v>
      </c>
      <c r="R582" s="234"/>
      <c r="S582" s="248" t="n">
        <v>45447</v>
      </c>
      <c r="T582" s="407" t="n">
        <f aca="false">Таблица18[[#This Row],[Вес нетто]]-Таблица18[[#This Row],[Зачетный вес]]</f>
        <v>1608.6</v>
      </c>
      <c r="U582" s="409" t="n">
        <f aca="false">Таблица18[[#This Row],[Отход]]/Таблица18[[#This Row],[Вес нетто]]</f>
        <v>0.105</v>
      </c>
      <c r="V582" s="234" t="n">
        <f aca="false">MONTH(Таблица18[[#This Row],[Дата акта]])</f>
        <v>6</v>
      </c>
      <c r="W582" s="234" t="n">
        <v>4</v>
      </c>
      <c r="X582" s="248" t="n">
        <f aca="false">DATE(1900,Таблица18[[#This Row],[Месяц]],Таблица18[[#This Row],[Число]])</f>
        <v>156</v>
      </c>
      <c r="Y582" s="234"/>
      <c r="AF582" s="411"/>
      <c r="AG582" s="412"/>
    </row>
    <row r="583" s="410" customFormat="true" ht="15" hidden="true" customHeight="true" outlineLevel="0" collapsed="false">
      <c r="A583" s="198" t="s">
        <v>2181</v>
      </c>
      <c r="B583" s="199" t="s">
        <v>417</v>
      </c>
      <c r="C583" s="198" t="n">
        <v>195</v>
      </c>
      <c r="D583" s="198" t="n">
        <v>65</v>
      </c>
      <c r="E583" s="198" t="s">
        <v>422</v>
      </c>
      <c r="F583" s="198" t="s">
        <v>457</v>
      </c>
      <c r="G583" s="198" t="s">
        <v>366</v>
      </c>
      <c r="H583" s="198" t="s">
        <v>95</v>
      </c>
      <c r="I583" s="199"/>
      <c r="J583" s="198" t="s">
        <v>68</v>
      </c>
      <c r="K583" s="198" t="s">
        <v>1435</v>
      </c>
      <c r="L583" s="234" t="n">
        <v>33080</v>
      </c>
      <c r="M583" s="234" t="n">
        <v>17270</v>
      </c>
      <c r="N583" s="234" t="n">
        <v>8.5</v>
      </c>
      <c r="O583" s="407" t="n">
        <v>15810</v>
      </c>
      <c r="P583" s="407" t="n">
        <v>14466.1</v>
      </c>
      <c r="Q583" s="234" t="n">
        <v>2024</v>
      </c>
      <c r="R583" s="234"/>
      <c r="S583" s="248" t="n">
        <v>45447</v>
      </c>
      <c r="T583" s="407" t="n">
        <f aca="false">Таблица18[[#This Row],[Вес нетто]]-Таблица18[[#This Row],[Зачетный вес]]</f>
        <v>1343.9</v>
      </c>
      <c r="U583" s="409" t="n">
        <f aca="false">Таблица18[[#This Row],[Отход]]/Таблица18[[#This Row],[Вес нетто]]</f>
        <v>0.0850031625553447</v>
      </c>
      <c r="V583" s="234" t="n">
        <f aca="false">MONTH(Таблица18[[#This Row],[Дата акта]])</f>
        <v>6</v>
      </c>
      <c r="W583" s="234" t="n">
        <v>4</v>
      </c>
      <c r="X583" s="248" t="n">
        <f aca="false">DATE(1900,Таблица18[[#This Row],[Месяц]],Таблица18[[#This Row],[Число]])</f>
        <v>156</v>
      </c>
      <c r="Y583" s="234"/>
      <c r="AF583" s="411"/>
      <c r="AG583" s="412"/>
    </row>
    <row r="584" s="410" customFormat="true" ht="15" hidden="true" customHeight="true" outlineLevel="0" collapsed="false">
      <c r="A584" s="198" t="s">
        <v>2182</v>
      </c>
      <c r="B584" s="199" t="s">
        <v>417</v>
      </c>
      <c r="C584" s="198" t="n">
        <v>198</v>
      </c>
      <c r="D584" s="198" t="n">
        <v>66</v>
      </c>
      <c r="E584" s="198" t="s">
        <v>422</v>
      </c>
      <c r="F584" s="198" t="s">
        <v>359</v>
      </c>
      <c r="G584" s="198" t="s">
        <v>426</v>
      </c>
      <c r="H584" s="198" t="s">
        <v>95</v>
      </c>
      <c r="I584" s="199"/>
      <c r="J584" s="198" t="s">
        <v>68</v>
      </c>
      <c r="K584" s="198" t="s">
        <v>1435</v>
      </c>
      <c r="L584" s="234" t="n">
        <v>27700</v>
      </c>
      <c r="M584" s="234" t="n">
        <v>14060</v>
      </c>
      <c r="N584" s="234" t="n">
        <v>10.5</v>
      </c>
      <c r="O584" s="407" t="n">
        <v>13640</v>
      </c>
      <c r="P584" s="407" t="n">
        <v>12207.8</v>
      </c>
      <c r="Q584" s="234" t="n">
        <v>2024</v>
      </c>
      <c r="R584" s="234"/>
      <c r="S584" s="248" t="n">
        <v>45447</v>
      </c>
      <c r="T584" s="407" t="n">
        <f aca="false">Таблица18[[#This Row],[Вес нетто]]-Таблица18[[#This Row],[Зачетный вес]]</f>
        <v>1432.2</v>
      </c>
      <c r="U584" s="409" t="n">
        <f aca="false">Таблица18[[#This Row],[Отход]]/Таблица18[[#This Row],[Вес нетто]]</f>
        <v>0.105</v>
      </c>
      <c r="V584" s="234" t="n">
        <f aca="false">MONTH(Таблица18[[#This Row],[Дата акта]])</f>
        <v>6</v>
      </c>
      <c r="W584" s="234" t="n">
        <v>4</v>
      </c>
      <c r="X584" s="248" t="n">
        <f aca="false">DATE(1900,Таблица18[[#This Row],[Месяц]],Таблица18[[#This Row],[Число]])</f>
        <v>156</v>
      </c>
      <c r="Y584" s="234"/>
      <c r="AF584" s="411"/>
      <c r="AG584" s="412"/>
    </row>
    <row r="585" s="410" customFormat="true" ht="15" hidden="true" customHeight="true" outlineLevel="0" collapsed="false">
      <c r="A585" s="198" t="s">
        <v>2183</v>
      </c>
      <c r="B585" s="199" t="s">
        <v>417</v>
      </c>
      <c r="C585" s="198" t="n">
        <v>199</v>
      </c>
      <c r="D585" s="198" t="n">
        <v>67</v>
      </c>
      <c r="E585" s="198" t="s">
        <v>422</v>
      </c>
      <c r="F585" s="198" t="s">
        <v>2084</v>
      </c>
      <c r="G585" s="198" t="s">
        <v>2085</v>
      </c>
      <c r="H585" s="198" t="s">
        <v>95</v>
      </c>
      <c r="I585" s="199"/>
      <c r="J585" s="198" t="s">
        <v>68</v>
      </c>
      <c r="K585" s="198" t="s">
        <v>1435</v>
      </c>
      <c r="L585" s="234" t="n">
        <v>33120</v>
      </c>
      <c r="M585" s="234" t="n">
        <v>17370</v>
      </c>
      <c r="N585" s="234" t="n">
        <v>12.5</v>
      </c>
      <c r="O585" s="407" t="n">
        <v>15750</v>
      </c>
      <c r="P585" s="407" t="n">
        <v>13781.2</v>
      </c>
      <c r="Q585" s="234" t="n">
        <v>2024</v>
      </c>
      <c r="R585" s="234"/>
      <c r="S585" s="248" t="n">
        <v>45447</v>
      </c>
      <c r="T585" s="407" t="n">
        <f aca="false">Таблица18[[#This Row],[Вес нетто]]-Таблица18[[#This Row],[Зачетный вес]]</f>
        <v>1968.8</v>
      </c>
      <c r="U585" s="409" t="n">
        <f aca="false">Таблица18[[#This Row],[Отход]]/Таблица18[[#This Row],[Вес нетто]]</f>
        <v>0.125003174603175</v>
      </c>
      <c r="V585" s="234" t="n">
        <f aca="false">MONTH(Таблица18[[#This Row],[Дата акта]])</f>
        <v>6</v>
      </c>
      <c r="W585" s="234" t="n">
        <v>4</v>
      </c>
      <c r="X585" s="248" t="n">
        <f aca="false">DATE(1900,Таблица18[[#This Row],[Месяц]],Таблица18[[#This Row],[Число]])</f>
        <v>156</v>
      </c>
      <c r="Y585" s="234"/>
      <c r="AF585" s="411"/>
      <c r="AG585" s="412"/>
    </row>
    <row r="586" s="410" customFormat="true" ht="15" hidden="true" customHeight="true" outlineLevel="0" collapsed="false">
      <c r="A586" s="198" t="s">
        <v>2184</v>
      </c>
      <c r="B586" s="199" t="s">
        <v>417</v>
      </c>
      <c r="C586" s="198" t="n">
        <v>201</v>
      </c>
      <c r="D586" s="198" t="n">
        <v>68</v>
      </c>
      <c r="E586" s="198" t="s">
        <v>422</v>
      </c>
      <c r="F586" s="198" t="s">
        <v>1797</v>
      </c>
      <c r="G586" s="198" t="s">
        <v>385</v>
      </c>
      <c r="H586" s="198" t="s">
        <v>95</v>
      </c>
      <c r="I586" s="199"/>
      <c r="J586" s="198" t="s">
        <v>68</v>
      </c>
      <c r="K586" s="198" t="s">
        <v>1435</v>
      </c>
      <c r="L586" s="234" t="n">
        <v>28050</v>
      </c>
      <c r="M586" s="234" t="n">
        <v>14480</v>
      </c>
      <c r="N586" s="234" t="n">
        <v>11.5</v>
      </c>
      <c r="O586" s="407" t="n">
        <v>13570</v>
      </c>
      <c r="P586" s="407" t="n">
        <v>12009.4</v>
      </c>
      <c r="Q586" s="234" t="n">
        <v>2024</v>
      </c>
      <c r="R586" s="234"/>
      <c r="S586" s="248" t="n">
        <v>45447</v>
      </c>
      <c r="T586" s="407" t="n">
        <f aca="false">Таблица18[[#This Row],[Вес нетто]]-Таблица18[[#This Row],[Зачетный вес]]</f>
        <v>1560.6</v>
      </c>
      <c r="U586" s="409" t="n">
        <f aca="false">Таблица18[[#This Row],[Отход]]/Таблица18[[#This Row],[Вес нетто]]</f>
        <v>0.115003684598379</v>
      </c>
      <c r="V586" s="234" t="n">
        <f aca="false">MONTH(Таблица18[[#This Row],[Дата акта]])</f>
        <v>6</v>
      </c>
      <c r="W586" s="234" t="n">
        <v>4</v>
      </c>
      <c r="X586" s="248" t="n">
        <f aca="false">DATE(1900,Таблица18[[#This Row],[Месяц]],Таблица18[[#This Row],[Число]])</f>
        <v>156</v>
      </c>
      <c r="Y586" s="234"/>
      <c r="AF586" s="411"/>
      <c r="AG586" s="412"/>
    </row>
    <row r="587" s="410" customFormat="true" ht="15" hidden="true" customHeight="true" outlineLevel="0" collapsed="false">
      <c r="A587" s="198" t="s">
        <v>2185</v>
      </c>
      <c r="B587" s="199" t="s">
        <v>417</v>
      </c>
      <c r="C587" s="198" t="n">
        <v>202</v>
      </c>
      <c r="D587" s="198" t="n">
        <v>69</v>
      </c>
      <c r="E587" s="198" t="s">
        <v>422</v>
      </c>
      <c r="F587" s="198" t="s">
        <v>376</v>
      </c>
      <c r="G587" s="198" t="s">
        <v>377</v>
      </c>
      <c r="H587" s="198" t="s">
        <v>95</v>
      </c>
      <c r="I587" s="199"/>
      <c r="J587" s="198" t="s">
        <v>68</v>
      </c>
      <c r="K587" s="198" t="s">
        <v>1435</v>
      </c>
      <c r="L587" s="234" t="n">
        <v>27630</v>
      </c>
      <c r="M587" s="234" t="n">
        <v>14150</v>
      </c>
      <c r="N587" s="234" t="n">
        <v>11.5</v>
      </c>
      <c r="O587" s="407" t="n">
        <v>13480</v>
      </c>
      <c r="P587" s="407" t="n">
        <v>11929.8</v>
      </c>
      <c r="Q587" s="234" t="n">
        <v>2024</v>
      </c>
      <c r="R587" s="234"/>
      <c r="S587" s="248" t="n">
        <v>45447</v>
      </c>
      <c r="T587" s="407" t="n">
        <f aca="false">Таблица18[[#This Row],[Вес нетто]]-Таблица18[[#This Row],[Зачетный вес]]</f>
        <v>1550.2</v>
      </c>
      <c r="U587" s="409" t="n">
        <f aca="false">Таблица18[[#This Row],[Отход]]/Таблица18[[#This Row],[Вес нетто]]</f>
        <v>0.115</v>
      </c>
      <c r="V587" s="234" t="n">
        <f aca="false">MONTH(Таблица18[[#This Row],[Дата акта]])</f>
        <v>6</v>
      </c>
      <c r="W587" s="234" t="n">
        <v>4</v>
      </c>
      <c r="X587" s="248" t="n">
        <f aca="false">DATE(1900,Таблица18[[#This Row],[Месяц]],Таблица18[[#This Row],[Число]])</f>
        <v>156</v>
      </c>
      <c r="Y587" s="234"/>
      <c r="AF587" s="411"/>
      <c r="AG587" s="412"/>
    </row>
    <row r="588" s="410" customFormat="true" ht="15" hidden="true" customHeight="true" outlineLevel="0" collapsed="false">
      <c r="A588" s="198" t="s">
        <v>2186</v>
      </c>
      <c r="B588" s="199" t="s">
        <v>417</v>
      </c>
      <c r="C588" s="198" t="n">
        <v>203</v>
      </c>
      <c r="D588" s="198" t="n">
        <v>70</v>
      </c>
      <c r="E588" s="198" t="s">
        <v>422</v>
      </c>
      <c r="F588" s="198" t="s">
        <v>359</v>
      </c>
      <c r="G588" s="198" t="s">
        <v>426</v>
      </c>
      <c r="H588" s="198" t="s">
        <v>95</v>
      </c>
      <c r="I588" s="199"/>
      <c r="J588" s="198" t="s">
        <v>68</v>
      </c>
      <c r="K588" s="198" t="s">
        <v>1435</v>
      </c>
      <c r="L588" s="234" t="n">
        <v>29560</v>
      </c>
      <c r="M588" s="234" t="n">
        <v>14040</v>
      </c>
      <c r="N588" s="234" t="n">
        <v>12.5</v>
      </c>
      <c r="O588" s="407" t="n">
        <v>15520</v>
      </c>
      <c r="P588" s="407" t="n">
        <v>13580</v>
      </c>
      <c r="Q588" s="234" t="n">
        <v>2024</v>
      </c>
      <c r="R588" s="234"/>
      <c r="S588" s="248" t="n">
        <v>45447</v>
      </c>
      <c r="T588" s="407" t="n">
        <f aca="false">Таблица18[[#This Row],[Вес нетто]]-Таблица18[[#This Row],[Зачетный вес]]</f>
        <v>1940</v>
      </c>
      <c r="U588" s="409" t="n">
        <f aca="false">Таблица18[[#This Row],[Отход]]/Таблица18[[#This Row],[Вес нетто]]</f>
        <v>0.125</v>
      </c>
      <c r="V588" s="234" t="n">
        <f aca="false">MONTH(Таблица18[[#This Row],[Дата акта]])</f>
        <v>6</v>
      </c>
      <c r="W588" s="234" t="n">
        <v>4</v>
      </c>
      <c r="X588" s="248" t="n">
        <f aca="false">DATE(1900,Таблица18[[#This Row],[Месяц]],Таблица18[[#This Row],[Число]])</f>
        <v>156</v>
      </c>
      <c r="Y588" s="234"/>
      <c r="AF588" s="411"/>
      <c r="AG588" s="412"/>
    </row>
    <row r="589" s="410" customFormat="true" ht="15" hidden="true" customHeight="true" outlineLevel="0" collapsed="false">
      <c r="A589" s="198" t="s">
        <v>2187</v>
      </c>
      <c r="B589" s="199" t="s">
        <v>417</v>
      </c>
      <c r="C589" s="198" t="n">
        <v>204</v>
      </c>
      <c r="D589" s="198" t="n">
        <v>71</v>
      </c>
      <c r="E589" s="198" t="s">
        <v>422</v>
      </c>
      <c r="F589" s="198" t="s">
        <v>2084</v>
      </c>
      <c r="G589" s="198" t="s">
        <v>2085</v>
      </c>
      <c r="H589" s="198" t="s">
        <v>95</v>
      </c>
      <c r="I589" s="199"/>
      <c r="J589" s="198" t="s">
        <v>1750</v>
      </c>
      <c r="K589" s="198" t="s">
        <v>1435</v>
      </c>
      <c r="L589" s="234" t="n">
        <v>28080</v>
      </c>
      <c r="M589" s="234" t="n">
        <v>22270</v>
      </c>
      <c r="N589" s="234" t="n">
        <v>12</v>
      </c>
      <c r="O589" s="407" t="n">
        <v>5810</v>
      </c>
      <c r="P589" s="407" t="n">
        <v>5112.8</v>
      </c>
      <c r="Q589" s="234" t="n">
        <v>2024</v>
      </c>
      <c r="R589" s="234"/>
      <c r="S589" s="248" t="n">
        <v>45447</v>
      </c>
      <c r="T589" s="407" t="n">
        <f aca="false">Таблица18[[#This Row],[Вес нетто]]-Таблица18[[#This Row],[Зачетный вес]]</f>
        <v>697.2</v>
      </c>
      <c r="U589" s="409" t="n">
        <f aca="false">Таблица18[[#This Row],[Отход]]/Таблица18[[#This Row],[Вес нетто]]</f>
        <v>0.12</v>
      </c>
      <c r="V589" s="234" t="n">
        <f aca="false">MONTH(Таблица18[[#This Row],[Дата акта]])</f>
        <v>6</v>
      </c>
      <c r="W589" s="234" t="n">
        <v>4</v>
      </c>
      <c r="X589" s="248" t="n">
        <f aca="false">DATE(1900,Таблица18[[#This Row],[Месяц]],Таблица18[[#This Row],[Число]])</f>
        <v>156</v>
      </c>
      <c r="Y589" s="234"/>
      <c r="AF589" s="411"/>
      <c r="AG589" s="412"/>
    </row>
    <row r="590" s="410" customFormat="true" ht="15" hidden="true" customHeight="true" outlineLevel="0" collapsed="false">
      <c r="A590" s="198" t="s">
        <v>2188</v>
      </c>
      <c r="B590" s="199" t="s">
        <v>417</v>
      </c>
      <c r="C590" s="198" t="n">
        <v>205</v>
      </c>
      <c r="D590" s="198" t="n">
        <v>71</v>
      </c>
      <c r="E590" s="198" t="s">
        <v>422</v>
      </c>
      <c r="F590" s="198" t="s">
        <v>2084</v>
      </c>
      <c r="G590" s="198" t="s">
        <v>2085</v>
      </c>
      <c r="H590" s="198" t="s">
        <v>95</v>
      </c>
      <c r="I590" s="199"/>
      <c r="J590" s="198" t="s">
        <v>1750</v>
      </c>
      <c r="K590" s="198" t="s">
        <v>1435</v>
      </c>
      <c r="L590" s="234" t="n">
        <v>22270</v>
      </c>
      <c r="M590" s="234" t="n">
        <v>17340</v>
      </c>
      <c r="N590" s="234" t="n">
        <v>20.5</v>
      </c>
      <c r="O590" s="407" t="n">
        <v>4930</v>
      </c>
      <c r="P590" s="407" t="n">
        <v>3919.3</v>
      </c>
      <c r="Q590" s="234" t="n">
        <v>2024</v>
      </c>
      <c r="R590" s="234"/>
      <c r="S590" s="248" t="n">
        <v>45447</v>
      </c>
      <c r="T590" s="407" t="n">
        <f aca="false">Таблица18[[#This Row],[Вес нетто]]-Таблица18[[#This Row],[Зачетный вес]]</f>
        <v>1010.7</v>
      </c>
      <c r="U590" s="409" t="n">
        <f aca="false">Таблица18[[#This Row],[Отход]]/Таблица18[[#This Row],[Вес нетто]]</f>
        <v>0.20501014198783</v>
      </c>
      <c r="V590" s="234" t="n">
        <f aca="false">MONTH(Таблица18[[#This Row],[Дата акта]])</f>
        <v>6</v>
      </c>
      <c r="W590" s="234" t="n">
        <v>4</v>
      </c>
      <c r="X590" s="248" t="n">
        <f aca="false">DATE(1900,Таблица18[[#This Row],[Месяц]],Таблица18[[#This Row],[Число]])</f>
        <v>156</v>
      </c>
      <c r="Y590" s="234"/>
      <c r="AF590" s="411"/>
      <c r="AG590" s="412"/>
    </row>
    <row r="591" s="410" customFormat="true" ht="15" hidden="true" customHeight="true" outlineLevel="0" collapsed="false">
      <c r="A591" s="198" t="s">
        <v>2189</v>
      </c>
      <c r="B591" s="199" t="s">
        <v>417</v>
      </c>
      <c r="C591" s="198" t="n">
        <v>206</v>
      </c>
      <c r="D591" s="198" t="n">
        <v>72</v>
      </c>
      <c r="E591" s="198" t="s">
        <v>422</v>
      </c>
      <c r="F591" s="198" t="s">
        <v>1797</v>
      </c>
      <c r="G591" s="198" t="s">
        <v>385</v>
      </c>
      <c r="H591" s="198" t="s">
        <v>95</v>
      </c>
      <c r="I591" s="199"/>
      <c r="J591" s="198" t="s">
        <v>1750</v>
      </c>
      <c r="K591" s="198" t="s">
        <v>1435</v>
      </c>
      <c r="L591" s="234" t="n">
        <v>24030</v>
      </c>
      <c r="M591" s="234" t="n">
        <v>14460</v>
      </c>
      <c r="N591" s="234" t="n">
        <v>23</v>
      </c>
      <c r="O591" s="407" t="n">
        <v>9570</v>
      </c>
      <c r="P591" s="407" t="n">
        <v>7368.9</v>
      </c>
      <c r="Q591" s="234" t="n">
        <v>2024</v>
      </c>
      <c r="R591" s="234"/>
      <c r="S591" s="248" t="n">
        <v>45447</v>
      </c>
      <c r="T591" s="407" t="n">
        <f aca="false">Таблица18[[#This Row],[Вес нетто]]-Таблица18[[#This Row],[Зачетный вес]]</f>
        <v>2201.1</v>
      </c>
      <c r="U591" s="409" t="n">
        <f aca="false">Таблица18[[#This Row],[Отход]]/Таблица18[[#This Row],[Вес нетто]]</f>
        <v>0.23</v>
      </c>
      <c r="V591" s="234" t="n">
        <f aca="false">MONTH(Таблица18[[#This Row],[Дата акта]])</f>
        <v>6</v>
      </c>
      <c r="W591" s="234" t="n">
        <v>4</v>
      </c>
      <c r="X591" s="248" t="n">
        <f aca="false">DATE(1900,Таблица18[[#This Row],[Месяц]],Таблица18[[#This Row],[Число]])</f>
        <v>156</v>
      </c>
      <c r="Y591" s="234"/>
      <c r="AF591" s="411"/>
      <c r="AG591" s="412"/>
    </row>
    <row r="592" s="410" customFormat="true" ht="15" hidden="true" customHeight="true" outlineLevel="0" collapsed="false">
      <c r="A592" s="198" t="s">
        <v>2190</v>
      </c>
      <c r="B592" s="199" t="s">
        <v>417</v>
      </c>
      <c r="C592" s="198" t="n">
        <v>208</v>
      </c>
      <c r="D592" s="198" t="n">
        <v>73</v>
      </c>
      <c r="E592" s="198" t="s">
        <v>422</v>
      </c>
      <c r="F592" s="198" t="s">
        <v>359</v>
      </c>
      <c r="G592" s="198" t="s">
        <v>426</v>
      </c>
      <c r="H592" s="198" t="s">
        <v>95</v>
      </c>
      <c r="I592" s="199"/>
      <c r="J592" s="198" t="s">
        <v>1750</v>
      </c>
      <c r="K592" s="198" t="s">
        <v>1435</v>
      </c>
      <c r="L592" s="234" t="n">
        <v>28600</v>
      </c>
      <c r="M592" s="234" t="n">
        <v>14030</v>
      </c>
      <c r="N592" s="234" t="n">
        <v>21.5</v>
      </c>
      <c r="O592" s="407" t="n">
        <v>14570</v>
      </c>
      <c r="P592" s="407" t="n">
        <v>11437.4</v>
      </c>
      <c r="Q592" s="234" t="n">
        <v>2024</v>
      </c>
      <c r="R592" s="234"/>
      <c r="S592" s="248" t="n">
        <v>45448</v>
      </c>
      <c r="T592" s="407" t="n">
        <f aca="false">Таблица18[[#This Row],[Вес нетто]]-Таблица18[[#This Row],[Зачетный вес]]</f>
        <v>3132.6</v>
      </c>
      <c r="U592" s="409" t="n">
        <f aca="false">Таблица18[[#This Row],[Отход]]/Таблица18[[#This Row],[Вес нетто]]</f>
        <v>0.215003431708991</v>
      </c>
      <c r="V592" s="234" t="n">
        <f aca="false">MONTH(Таблица18[[#This Row],[Дата акта]])</f>
        <v>6</v>
      </c>
      <c r="W592" s="234" t="n">
        <v>5</v>
      </c>
      <c r="X592" s="248" t="n">
        <f aca="false">DATE(1900,Таблица18[[#This Row],[Месяц]],Таблица18[[#This Row],[Число]])</f>
        <v>157</v>
      </c>
      <c r="Y592" s="234"/>
      <c r="AF592" s="411"/>
      <c r="AG592" s="412"/>
    </row>
    <row r="593" s="410" customFormat="true" ht="15" hidden="true" customHeight="true" outlineLevel="0" collapsed="false">
      <c r="A593" s="198" t="s">
        <v>2191</v>
      </c>
      <c r="B593" s="199" t="s">
        <v>417</v>
      </c>
      <c r="C593" s="198" t="n">
        <v>209</v>
      </c>
      <c r="D593" s="198" t="n">
        <v>74</v>
      </c>
      <c r="E593" s="198" t="s">
        <v>422</v>
      </c>
      <c r="F593" s="198" t="s">
        <v>2084</v>
      </c>
      <c r="G593" s="198" t="s">
        <v>2085</v>
      </c>
      <c r="H593" s="198" t="s">
        <v>95</v>
      </c>
      <c r="I593" s="199"/>
      <c r="J593" s="198" t="s">
        <v>1750</v>
      </c>
      <c r="K593" s="198" t="s">
        <v>1435</v>
      </c>
      <c r="L593" s="234" t="n">
        <v>33750</v>
      </c>
      <c r="M593" s="234" t="n">
        <v>17330</v>
      </c>
      <c r="N593" s="234" t="n">
        <v>24.5</v>
      </c>
      <c r="O593" s="407" t="n">
        <v>16420</v>
      </c>
      <c r="P593" s="407" t="n">
        <v>12397.1</v>
      </c>
      <c r="Q593" s="234" t="n">
        <v>2024</v>
      </c>
      <c r="R593" s="234"/>
      <c r="S593" s="248" t="n">
        <v>45448</v>
      </c>
      <c r="T593" s="407" t="n">
        <f aca="false">Таблица18[[#This Row],[Вес нетто]]-Таблица18[[#This Row],[Зачетный вес]]</f>
        <v>4022.9</v>
      </c>
      <c r="U593" s="409" t="n">
        <f aca="false">Таблица18[[#This Row],[Отход]]/Таблица18[[#This Row],[Вес нетто]]</f>
        <v>0.245</v>
      </c>
      <c r="V593" s="234" t="n">
        <f aca="false">MONTH(Таблица18[[#This Row],[Дата акта]])</f>
        <v>6</v>
      </c>
      <c r="W593" s="234" t="n">
        <v>5</v>
      </c>
      <c r="X593" s="248" t="n">
        <f aca="false">DATE(1900,Таблица18[[#This Row],[Месяц]],Таблица18[[#This Row],[Число]])</f>
        <v>157</v>
      </c>
      <c r="Y593" s="234"/>
      <c r="AF593" s="411"/>
      <c r="AG593" s="412"/>
    </row>
    <row r="594" s="410" customFormat="true" ht="15" hidden="true" customHeight="true" outlineLevel="0" collapsed="false">
      <c r="A594" s="198" t="s">
        <v>2192</v>
      </c>
      <c r="B594" s="199" t="s">
        <v>417</v>
      </c>
      <c r="C594" s="198" t="n">
        <v>210</v>
      </c>
      <c r="D594" s="198" t="n">
        <v>75</v>
      </c>
      <c r="E594" s="198" t="s">
        <v>422</v>
      </c>
      <c r="F594" s="198" t="s">
        <v>1797</v>
      </c>
      <c r="G594" s="198" t="s">
        <v>385</v>
      </c>
      <c r="H594" s="198" t="s">
        <v>95</v>
      </c>
      <c r="I594" s="199"/>
      <c r="J594" s="198" t="s">
        <v>1750</v>
      </c>
      <c r="K594" s="198" t="s">
        <v>1435</v>
      </c>
      <c r="L594" s="234" t="n">
        <v>28400</v>
      </c>
      <c r="M594" s="234" t="n">
        <v>14460</v>
      </c>
      <c r="N594" s="234" t="n">
        <v>26.5</v>
      </c>
      <c r="O594" s="407" t="n">
        <v>13940</v>
      </c>
      <c r="P594" s="407" t="n">
        <v>10245.9</v>
      </c>
      <c r="Q594" s="234" t="n">
        <v>2024</v>
      </c>
      <c r="R594" s="234"/>
      <c r="S594" s="248" t="n">
        <v>45448</v>
      </c>
      <c r="T594" s="407" t="n">
        <f aca="false">Таблица18[[#This Row],[Вес нетто]]-Таблица18[[#This Row],[Зачетный вес]]</f>
        <v>3694.1</v>
      </c>
      <c r="U594" s="409" t="n">
        <f aca="false">Таблица18[[#This Row],[Отход]]/Таблица18[[#This Row],[Вес нетто]]</f>
        <v>0.265</v>
      </c>
      <c r="V594" s="234" t="n">
        <f aca="false">MONTH(Таблица18[[#This Row],[Дата акта]])</f>
        <v>6</v>
      </c>
      <c r="W594" s="234" t="n">
        <v>5</v>
      </c>
      <c r="X594" s="248" t="n">
        <f aca="false">DATE(1900,Таблица18[[#This Row],[Месяц]],Таблица18[[#This Row],[Число]])</f>
        <v>157</v>
      </c>
      <c r="Y594" s="234"/>
      <c r="AF594" s="411"/>
      <c r="AG594" s="412"/>
    </row>
    <row r="595" s="410" customFormat="true" ht="15" hidden="true" customHeight="true" outlineLevel="0" collapsed="false">
      <c r="A595" s="198" t="s">
        <v>2193</v>
      </c>
      <c r="B595" s="199" t="s">
        <v>417</v>
      </c>
      <c r="C595" s="198" t="n">
        <v>211</v>
      </c>
      <c r="D595" s="198" t="n">
        <v>76</v>
      </c>
      <c r="E595" s="198" t="s">
        <v>422</v>
      </c>
      <c r="F595" s="198" t="s">
        <v>359</v>
      </c>
      <c r="G595" s="198" t="s">
        <v>426</v>
      </c>
      <c r="H595" s="198" t="s">
        <v>129</v>
      </c>
      <c r="I595" s="199"/>
      <c r="J595" s="198" t="s">
        <v>1750</v>
      </c>
      <c r="K595" s="198" t="s">
        <v>1435</v>
      </c>
      <c r="L595" s="234" t="n">
        <v>29610</v>
      </c>
      <c r="M595" s="234" t="n">
        <v>22320</v>
      </c>
      <c r="N595" s="234" t="n">
        <v>30.5</v>
      </c>
      <c r="O595" s="407" t="n">
        <v>7290</v>
      </c>
      <c r="P595" s="407" t="n">
        <v>5066.5</v>
      </c>
      <c r="Q595" s="234" t="n">
        <v>2024</v>
      </c>
      <c r="R595" s="234"/>
      <c r="S595" s="248" t="n">
        <v>45448</v>
      </c>
      <c r="T595" s="407" t="n">
        <f aca="false">Таблица18[[#This Row],[Вес нетто]]-Таблица18[[#This Row],[Зачетный вес]]</f>
        <v>2223.5</v>
      </c>
      <c r="U595" s="409" t="n">
        <f aca="false">Таблица18[[#This Row],[Отход]]/Таблица18[[#This Row],[Вес нетто]]</f>
        <v>0.305006858710562</v>
      </c>
      <c r="V595" s="234" t="n">
        <f aca="false">MONTH(Таблица18[[#This Row],[Дата акта]])</f>
        <v>6</v>
      </c>
      <c r="W595" s="234" t="n">
        <v>5</v>
      </c>
      <c r="X595" s="248" t="n">
        <f aca="false">DATE(1900,Таблица18[[#This Row],[Месяц]],Таблица18[[#This Row],[Число]])</f>
        <v>157</v>
      </c>
      <c r="Y595" s="234"/>
      <c r="AF595" s="411"/>
      <c r="AG595" s="412"/>
    </row>
    <row r="596" s="410" customFormat="true" ht="15" hidden="true" customHeight="true" outlineLevel="0" collapsed="false">
      <c r="A596" s="198" t="s">
        <v>2194</v>
      </c>
      <c r="B596" s="199" t="s">
        <v>417</v>
      </c>
      <c r="C596" s="198" t="n">
        <v>212</v>
      </c>
      <c r="D596" s="198" t="n">
        <v>76</v>
      </c>
      <c r="E596" s="198" t="s">
        <v>422</v>
      </c>
      <c r="F596" s="198" t="s">
        <v>359</v>
      </c>
      <c r="G596" s="198" t="s">
        <v>426</v>
      </c>
      <c r="H596" s="198" t="s">
        <v>95</v>
      </c>
      <c r="I596" s="199"/>
      <c r="J596" s="198" t="s">
        <v>1750</v>
      </c>
      <c r="K596" s="198" t="s">
        <v>1435</v>
      </c>
      <c r="L596" s="234" t="n">
        <v>22320</v>
      </c>
      <c r="M596" s="234" t="n">
        <v>14010</v>
      </c>
      <c r="N596" s="234" t="n">
        <v>23.5</v>
      </c>
      <c r="O596" s="407" t="n">
        <v>8310</v>
      </c>
      <c r="P596" s="407" t="n">
        <v>6357.1</v>
      </c>
      <c r="Q596" s="234" t="n">
        <v>2024</v>
      </c>
      <c r="R596" s="234"/>
      <c r="S596" s="248" t="n">
        <v>45448</v>
      </c>
      <c r="T596" s="407" t="n">
        <f aca="false">Таблица18[[#This Row],[Вес нетто]]-Таблица18[[#This Row],[Зачетный вес]]</f>
        <v>1952.9</v>
      </c>
      <c r="U596" s="409" t="n">
        <f aca="false">Таблица18[[#This Row],[Отход]]/Таблица18[[#This Row],[Вес нетто]]</f>
        <v>0.235006016847172</v>
      </c>
      <c r="V596" s="234" t="n">
        <f aca="false">MONTH(Таблица18[[#This Row],[Дата акта]])</f>
        <v>6</v>
      </c>
      <c r="W596" s="234" t="n">
        <v>5</v>
      </c>
      <c r="X596" s="248" t="n">
        <f aca="false">DATE(1900,Таблица18[[#This Row],[Месяц]],Таблица18[[#This Row],[Число]])</f>
        <v>157</v>
      </c>
      <c r="Y596" s="234"/>
      <c r="AF596" s="411"/>
      <c r="AG596" s="412"/>
    </row>
    <row r="597" s="410" customFormat="true" ht="15" hidden="true" customHeight="true" outlineLevel="0" collapsed="false">
      <c r="A597" s="198" t="s">
        <v>2195</v>
      </c>
      <c r="B597" s="199" t="s">
        <v>417</v>
      </c>
      <c r="C597" s="198" t="n">
        <v>213</v>
      </c>
      <c r="D597" s="198" t="n">
        <v>77</v>
      </c>
      <c r="E597" s="198" t="s">
        <v>422</v>
      </c>
      <c r="F597" s="198" t="s">
        <v>2084</v>
      </c>
      <c r="G597" s="198" t="s">
        <v>2085</v>
      </c>
      <c r="H597" s="198" t="s">
        <v>129</v>
      </c>
      <c r="I597" s="199"/>
      <c r="J597" s="198" t="s">
        <v>1750</v>
      </c>
      <c r="K597" s="198" t="s">
        <v>1435</v>
      </c>
      <c r="L597" s="234" t="n">
        <v>33620</v>
      </c>
      <c r="M597" s="234" t="n">
        <v>17310</v>
      </c>
      <c r="N597" s="234" t="n">
        <v>27.5</v>
      </c>
      <c r="O597" s="407" t="n">
        <v>16310</v>
      </c>
      <c r="P597" s="407" t="n">
        <v>11824.7</v>
      </c>
      <c r="Q597" s="234" t="n">
        <v>2024</v>
      </c>
      <c r="R597" s="234"/>
      <c r="S597" s="248" t="n">
        <v>45448</v>
      </c>
      <c r="T597" s="407" t="n">
        <f aca="false">Таблица18[[#This Row],[Вес нетто]]-Таблица18[[#This Row],[Зачетный вес]]</f>
        <v>4485.3</v>
      </c>
      <c r="U597" s="409" t="n">
        <f aca="false">Таблица18[[#This Row],[Отход]]/Таблица18[[#This Row],[Вес нетто]]</f>
        <v>0.275003065603924</v>
      </c>
      <c r="V597" s="234" t="n">
        <f aca="false">MONTH(Таблица18[[#This Row],[Дата акта]])</f>
        <v>6</v>
      </c>
      <c r="W597" s="234" t="n">
        <v>5</v>
      </c>
      <c r="X597" s="248" t="n">
        <f aca="false">DATE(1900,Таблица18[[#This Row],[Месяц]],Таблица18[[#This Row],[Число]])</f>
        <v>157</v>
      </c>
      <c r="Y597" s="234"/>
      <c r="AF597" s="411"/>
      <c r="AG597" s="412"/>
    </row>
    <row r="598" s="410" customFormat="true" ht="15" hidden="true" customHeight="true" outlineLevel="0" collapsed="false">
      <c r="A598" s="198" t="s">
        <v>2196</v>
      </c>
      <c r="B598" s="199" t="s">
        <v>417</v>
      </c>
      <c r="C598" s="198" t="n">
        <v>214</v>
      </c>
      <c r="D598" s="198" t="n">
        <v>78</v>
      </c>
      <c r="E598" s="198" t="s">
        <v>422</v>
      </c>
      <c r="F598" s="198" t="s">
        <v>1797</v>
      </c>
      <c r="G598" s="198" t="s">
        <v>385</v>
      </c>
      <c r="H598" s="198" t="s">
        <v>129</v>
      </c>
      <c r="I598" s="199"/>
      <c r="J598" s="198" t="s">
        <v>1750</v>
      </c>
      <c r="K598" s="198" t="s">
        <v>1435</v>
      </c>
      <c r="L598" s="234" t="n">
        <v>28230</v>
      </c>
      <c r="M598" s="234" t="n">
        <v>14430</v>
      </c>
      <c r="N598" s="234" t="n">
        <v>24.5</v>
      </c>
      <c r="O598" s="407" t="n">
        <v>13800</v>
      </c>
      <c r="P598" s="407" t="n">
        <v>10419</v>
      </c>
      <c r="Q598" s="234" t="n">
        <v>2024</v>
      </c>
      <c r="R598" s="234"/>
      <c r="S598" s="248" t="n">
        <v>45448</v>
      </c>
      <c r="T598" s="407" t="n">
        <f aca="false">Таблица18[[#This Row],[Вес нетто]]-Таблица18[[#This Row],[Зачетный вес]]</f>
        <v>3381</v>
      </c>
      <c r="U598" s="409" t="n">
        <f aca="false">Таблица18[[#This Row],[Отход]]/Таблица18[[#This Row],[Вес нетто]]</f>
        <v>0.245</v>
      </c>
      <c r="V598" s="234" t="n">
        <f aca="false">MONTH(Таблица18[[#This Row],[Дата акта]])</f>
        <v>6</v>
      </c>
      <c r="W598" s="234" t="n">
        <v>5</v>
      </c>
      <c r="X598" s="248" t="n">
        <f aca="false">DATE(1900,Таблица18[[#This Row],[Месяц]],Таблица18[[#This Row],[Число]])</f>
        <v>157</v>
      </c>
      <c r="Y598" s="234"/>
      <c r="AF598" s="411"/>
      <c r="AG598" s="412"/>
    </row>
    <row r="599" s="410" customFormat="true" ht="15" hidden="true" customHeight="true" outlineLevel="0" collapsed="false">
      <c r="A599" s="198" t="s">
        <v>2197</v>
      </c>
      <c r="B599" s="199" t="s">
        <v>417</v>
      </c>
      <c r="C599" s="198" t="n">
        <v>215</v>
      </c>
      <c r="D599" s="198" t="n">
        <v>79</v>
      </c>
      <c r="E599" s="198" t="s">
        <v>422</v>
      </c>
      <c r="F599" s="198" t="s">
        <v>359</v>
      </c>
      <c r="G599" s="198" t="s">
        <v>426</v>
      </c>
      <c r="H599" s="198" t="s">
        <v>129</v>
      </c>
      <c r="I599" s="199"/>
      <c r="J599" s="198" t="s">
        <v>1750</v>
      </c>
      <c r="K599" s="198" t="s">
        <v>1435</v>
      </c>
      <c r="L599" s="234" t="n">
        <v>30060</v>
      </c>
      <c r="M599" s="234" t="n">
        <v>13980</v>
      </c>
      <c r="N599" s="234" t="n">
        <v>23.5</v>
      </c>
      <c r="O599" s="407" t="n">
        <v>16080</v>
      </c>
      <c r="P599" s="407" t="n">
        <v>12301.2</v>
      </c>
      <c r="Q599" s="234" t="n">
        <v>2024</v>
      </c>
      <c r="R599" s="234"/>
      <c r="S599" s="248" t="n">
        <v>45448</v>
      </c>
      <c r="T599" s="407" t="n">
        <f aca="false">Таблица18[[#This Row],[Вес нетто]]-Таблица18[[#This Row],[Зачетный вес]]</f>
        <v>3778.8</v>
      </c>
      <c r="U599" s="409" t="n">
        <f aca="false">Таблица18[[#This Row],[Отход]]/Таблица18[[#This Row],[Вес нетто]]</f>
        <v>0.235</v>
      </c>
      <c r="V599" s="234" t="n">
        <f aca="false">MONTH(Таблица18[[#This Row],[Дата акта]])</f>
        <v>6</v>
      </c>
      <c r="W599" s="234" t="n">
        <v>5</v>
      </c>
      <c r="X599" s="248" t="n">
        <f aca="false">DATE(1900,Таблица18[[#This Row],[Месяц]],Таблица18[[#This Row],[Число]])</f>
        <v>157</v>
      </c>
      <c r="Y599" s="234"/>
      <c r="AF599" s="411"/>
      <c r="AG599" s="412"/>
    </row>
    <row r="600" s="410" customFormat="true" ht="15" hidden="true" customHeight="true" outlineLevel="0" collapsed="false">
      <c r="A600" s="198" t="s">
        <v>2198</v>
      </c>
      <c r="B600" s="199" t="s">
        <v>417</v>
      </c>
      <c r="C600" s="198" t="n">
        <v>216</v>
      </c>
      <c r="D600" s="198" t="n">
        <v>80</v>
      </c>
      <c r="E600" s="198" t="s">
        <v>422</v>
      </c>
      <c r="F600" s="198" t="s">
        <v>2084</v>
      </c>
      <c r="G600" s="198" t="s">
        <v>2085</v>
      </c>
      <c r="H600" s="198" t="s">
        <v>129</v>
      </c>
      <c r="I600" s="199"/>
      <c r="J600" s="198" t="s">
        <v>1750</v>
      </c>
      <c r="K600" s="198" t="s">
        <v>1435</v>
      </c>
      <c r="L600" s="234" t="n">
        <v>33590</v>
      </c>
      <c r="M600" s="234" t="n">
        <v>17290</v>
      </c>
      <c r="N600" s="234" t="n">
        <v>27.5</v>
      </c>
      <c r="O600" s="407" t="n">
        <v>16300</v>
      </c>
      <c r="P600" s="407" t="n">
        <v>11817.5</v>
      </c>
      <c r="Q600" s="234" t="n">
        <v>2024</v>
      </c>
      <c r="R600" s="234"/>
      <c r="S600" s="248" t="n">
        <v>45448</v>
      </c>
      <c r="T600" s="407" t="n">
        <f aca="false">Таблица18[[#This Row],[Вес нетто]]-Таблица18[[#This Row],[Зачетный вес]]</f>
        <v>4482.5</v>
      </c>
      <c r="U600" s="409" t="n">
        <f aca="false">Таблица18[[#This Row],[Отход]]/Таблица18[[#This Row],[Вес нетто]]</f>
        <v>0.275</v>
      </c>
      <c r="V600" s="234" t="n">
        <f aca="false">MONTH(Таблица18[[#This Row],[Дата акта]])</f>
        <v>6</v>
      </c>
      <c r="W600" s="234" t="n">
        <v>5</v>
      </c>
      <c r="X600" s="248" t="n">
        <f aca="false">DATE(1900,Таблица18[[#This Row],[Месяц]],Таблица18[[#This Row],[Число]])</f>
        <v>157</v>
      </c>
      <c r="Y600" s="234"/>
      <c r="AF600" s="411"/>
      <c r="AG600" s="412"/>
    </row>
    <row r="601" s="410" customFormat="true" ht="15" hidden="true" customHeight="true" outlineLevel="0" collapsed="false">
      <c r="A601" s="198" t="s">
        <v>2199</v>
      </c>
      <c r="B601" s="199" t="s">
        <v>417</v>
      </c>
      <c r="C601" s="198" t="n">
        <v>217</v>
      </c>
      <c r="D601" s="198" t="n">
        <v>81</v>
      </c>
      <c r="E601" s="198" t="s">
        <v>422</v>
      </c>
      <c r="F601" s="198" t="s">
        <v>1797</v>
      </c>
      <c r="G601" s="198" t="s">
        <v>385</v>
      </c>
      <c r="H601" s="198" t="s">
        <v>129</v>
      </c>
      <c r="I601" s="199"/>
      <c r="J601" s="198" t="s">
        <v>1750</v>
      </c>
      <c r="K601" s="198" t="s">
        <v>1435</v>
      </c>
      <c r="L601" s="234" t="n">
        <v>28510</v>
      </c>
      <c r="M601" s="234" t="n">
        <v>14430</v>
      </c>
      <c r="N601" s="234" t="n">
        <v>20.5</v>
      </c>
      <c r="O601" s="407" t="n">
        <v>14080</v>
      </c>
      <c r="P601" s="407" t="n">
        <v>11193.6</v>
      </c>
      <c r="Q601" s="234" t="n">
        <v>2024</v>
      </c>
      <c r="R601" s="234"/>
      <c r="S601" s="248" t="n">
        <v>45449</v>
      </c>
      <c r="T601" s="407" t="n">
        <f aca="false">Таблица18[[#This Row],[Вес нетто]]-Таблица18[[#This Row],[Зачетный вес]]</f>
        <v>2886.4</v>
      </c>
      <c r="U601" s="409" t="n">
        <f aca="false">Таблица18[[#This Row],[Отход]]/Таблица18[[#This Row],[Вес нетто]]</f>
        <v>0.205</v>
      </c>
      <c r="V601" s="234" t="n">
        <f aca="false">MONTH(Таблица18[[#This Row],[Дата акта]])</f>
        <v>6</v>
      </c>
      <c r="W601" s="234" t="n">
        <v>6</v>
      </c>
      <c r="X601" s="248" t="n">
        <f aca="false">DATE(1900,Таблица18[[#This Row],[Месяц]],Таблица18[[#This Row],[Число]])</f>
        <v>158</v>
      </c>
      <c r="Y601" s="234"/>
      <c r="AF601" s="411"/>
      <c r="AG601" s="412"/>
    </row>
    <row r="602" s="410" customFormat="true" ht="15" hidden="true" customHeight="true" outlineLevel="0" collapsed="false">
      <c r="A602" s="198" t="s">
        <v>2200</v>
      </c>
      <c r="B602" s="199" t="s">
        <v>417</v>
      </c>
      <c r="C602" s="198" t="n">
        <v>218</v>
      </c>
      <c r="D602" s="198" t="n">
        <v>82</v>
      </c>
      <c r="E602" s="198" t="s">
        <v>422</v>
      </c>
      <c r="F602" s="198" t="s">
        <v>359</v>
      </c>
      <c r="G602" s="198" t="s">
        <v>426</v>
      </c>
      <c r="H602" s="198" t="s">
        <v>129</v>
      </c>
      <c r="I602" s="199"/>
      <c r="J602" s="198" t="s">
        <v>1750</v>
      </c>
      <c r="K602" s="198" t="s">
        <v>1435</v>
      </c>
      <c r="L602" s="234" t="n">
        <v>28170</v>
      </c>
      <c r="M602" s="234" t="n">
        <v>14070</v>
      </c>
      <c r="N602" s="234" t="n">
        <v>19.5</v>
      </c>
      <c r="O602" s="407" t="n">
        <v>14100</v>
      </c>
      <c r="P602" s="407" t="n">
        <v>11350.5</v>
      </c>
      <c r="Q602" s="234" t="n">
        <v>2024</v>
      </c>
      <c r="R602" s="234"/>
      <c r="S602" s="248" t="n">
        <v>45449</v>
      </c>
      <c r="T602" s="407" t="n">
        <f aca="false">Таблица18[[#This Row],[Вес нетто]]-Таблица18[[#This Row],[Зачетный вес]]</f>
        <v>2749.5</v>
      </c>
      <c r="U602" s="409" t="n">
        <f aca="false">Таблица18[[#This Row],[Отход]]/Таблица18[[#This Row],[Вес нетто]]</f>
        <v>0.195</v>
      </c>
      <c r="V602" s="234" t="n">
        <f aca="false">MONTH(Таблица18[[#This Row],[Дата акта]])</f>
        <v>6</v>
      </c>
      <c r="W602" s="234" t="n">
        <v>6</v>
      </c>
      <c r="X602" s="248" t="n">
        <f aca="false">DATE(1900,Таблица18[[#This Row],[Месяц]],Таблица18[[#This Row],[Число]])</f>
        <v>158</v>
      </c>
      <c r="Y602" s="234"/>
      <c r="AF602" s="411"/>
      <c r="AG602" s="412"/>
    </row>
    <row r="603" s="410" customFormat="true" ht="15" hidden="true" customHeight="true" outlineLevel="0" collapsed="false">
      <c r="A603" s="198" t="s">
        <v>2201</v>
      </c>
      <c r="B603" s="199" t="s">
        <v>417</v>
      </c>
      <c r="C603" s="198" t="n">
        <v>219</v>
      </c>
      <c r="D603" s="198" t="n">
        <v>83</v>
      </c>
      <c r="E603" s="198" t="s">
        <v>422</v>
      </c>
      <c r="F603" s="198" t="s">
        <v>2084</v>
      </c>
      <c r="G603" s="198" t="s">
        <v>2085</v>
      </c>
      <c r="H603" s="198" t="s">
        <v>129</v>
      </c>
      <c r="I603" s="199"/>
      <c r="J603" s="198" t="s">
        <v>1750</v>
      </c>
      <c r="K603" s="198" t="s">
        <v>1435</v>
      </c>
      <c r="L603" s="234" t="n">
        <v>33770</v>
      </c>
      <c r="M603" s="234" t="n">
        <v>17280</v>
      </c>
      <c r="N603" s="234" t="n">
        <v>20.5</v>
      </c>
      <c r="O603" s="407" t="n">
        <v>16490</v>
      </c>
      <c r="P603" s="407" t="n">
        <v>13109.5</v>
      </c>
      <c r="Q603" s="234" t="n">
        <v>2024</v>
      </c>
      <c r="R603" s="234"/>
      <c r="S603" s="248" t="n">
        <v>45449</v>
      </c>
      <c r="T603" s="407" t="n">
        <f aca="false">Таблица18[[#This Row],[Вес нетто]]-Таблица18[[#This Row],[Зачетный вес]]</f>
        <v>3380.5</v>
      </c>
      <c r="U603" s="409" t="n">
        <f aca="false">Таблица18[[#This Row],[Отход]]/Таблица18[[#This Row],[Вес нетто]]</f>
        <v>0.205003032140691</v>
      </c>
      <c r="V603" s="234" t="n">
        <f aca="false">MONTH(Таблица18[[#This Row],[Дата акта]])</f>
        <v>6</v>
      </c>
      <c r="W603" s="234" t="n">
        <v>6</v>
      </c>
      <c r="X603" s="248" t="n">
        <f aca="false">DATE(1900,Таблица18[[#This Row],[Месяц]],Таблица18[[#This Row],[Число]])</f>
        <v>158</v>
      </c>
      <c r="Y603" s="234"/>
      <c r="AF603" s="411"/>
      <c r="AG603" s="412"/>
    </row>
    <row r="604" s="410" customFormat="true" ht="15" hidden="true" customHeight="true" outlineLevel="0" collapsed="false">
      <c r="A604" s="198" t="s">
        <v>2202</v>
      </c>
      <c r="B604" s="199" t="s">
        <v>417</v>
      </c>
      <c r="C604" s="198" t="n">
        <v>220</v>
      </c>
      <c r="D604" s="198" t="n">
        <v>84</v>
      </c>
      <c r="E604" s="198" t="s">
        <v>422</v>
      </c>
      <c r="F604" s="198" t="s">
        <v>1797</v>
      </c>
      <c r="G604" s="198" t="s">
        <v>385</v>
      </c>
      <c r="H604" s="198" t="s">
        <v>129</v>
      </c>
      <c r="I604" s="199"/>
      <c r="J604" s="198" t="s">
        <v>1750</v>
      </c>
      <c r="K604" s="198" t="s">
        <v>1435</v>
      </c>
      <c r="L604" s="234" t="n">
        <v>28700</v>
      </c>
      <c r="M604" s="234" t="n">
        <v>14430</v>
      </c>
      <c r="N604" s="234" t="n">
        <v>22.5</v>
      </c>
      <c r="O604" s="407" t="n">
        <v>14270</v>
      </c>
      <c r="P604" s="407" t="n">
        <v>11059.2</v>
      </c>
      <c r="Q604" s="234" t="n">
        <v>2024</v>
      </c>
      <c r="R604" s="234"/>
      <c r="S604" s="248" t="n">
        <v>45449</v>
      </c>
      <c r="T604" s="407" t="n">
        <f aca="false">Таблица18[[#This Row],[Вес нетто]]-Таблица18[[#This Row],[Зачетный вес]]</f>
        <v>3210.8</v>
      </c>
      <c r="U604" s="409" t="n">
        <f aca="false">Таблица18[[#This Row],[Отход]]/Таблица18[[#This Row],[Вес нетто]]</f>
        <v>0.22500350385424</v>
      </c>
      <c r="V604" s="234" t="n">
        <f aca="false">MONTH(Таблица18[[#This Row],[Дата акта]])</f>
        <v>6</v>
      </c>
      <c r="W604" s="234" t="n">
        <v>6</v>
      </c>
      <c r="X604" s="248" t="n">
        <f aca="false">DATE(1900,Таблица18[[#This Row],[Месяц]],Таблица18[[#This Row],[Число]])</f>
        <v>158</v>
      </c>
      <c r="Y604" s="234"/>
      <c r="AF604" s="411"/>
      <c r="AG604" s="412"/>
    </row>
    <row r="605" s="410" customFormat="true" ht="15" hidden="true" customHeight="true" outlineLevel="0" collapsed="false">
      <c r="A605" s="198" t="s">
        <v>2203</v>
      </c>
      <c r="B605" s="199" t="s">
        <v>417</v>
      </c>
      <c r="C605" s="198" t="n">
        <v>221</v>
      </c>
      <c r="D605" s="198" t="n">
        <v>85</v>
      </c>
      <c r="E605" s="198" t="s">
        <v>422</v>
      </c>
      <c r="F605" s="198" t="s">
        <v>359</v>
      </c>
      <c r="G605" s="198" t="s">
        <v>426</v>
      </c>
      <c r="H605" s="198" t="s">
        <v>129</v>
      </c>
      <c r="I605" s="199"/>
      <c r="J605" s="198" t="s">
        <v>1750</v>
      </c>
      <c r="K605" s="198" t="s">
        <v>1435</v>
      </c>
      <c r="L605" s="234" t="n">
        <v>28210</v>
      </c>
      <c r="M605" s="234" t="n">
        <v>14060</v>
      </c>
      <c r="N605" s="234" t="n">
        <v>18.5</v>
      </c>
      <c r="O605" s="407" t="n">
        <v>14150</v>
      </c>
      <c r="P605" s="407" t="n">
        <v>11532.2</v>
      </c>
      <c r="Q605" s="234" t="n">
        <v>2024</v>
      </c>
      <c r="R605" s="234"/>
      <c r="S605" s="248" t="n">
        <v>45449</v>
      </c>
      <c r="T605" s="407" t="n">
        <f aca="false">Таблица18[[#This Row],[Вес нетто]]-Таблица18[[#This Row],[Зачетный вес]]</f>
        <v>2617.8</v>
      </c>
      <c r="U605" s="409" t="n">
        <f aca="false">Таблица18[[#This Row],[Отход]]/Таблица18[[#This Row],[Вес нетто]]</f>
        <v>0.185003533568905</v>
      </c>
      <c r="V605" s="234" t="n">
        <f aca="false">MONTH(Таблица18[[#This Row],[Дата акта]])</f>
        <v>6</v>
      </c>
      <c r="W605" s="234" t="n">
        <v>6</v>
      </c>
      <c r="X605" s="248" t="n">
        <f aca="false">DATE(1900,Таблица18[[#This Row],[Месяц]],Таблица18[[#This Row],[Число]])</f>
        <v>158</v>
      </c>
      <c r="Y605" s="234"/>
      <c r="AF605" s="411"/>
      <c r="AG605" s="412"/>
    </row>
    <row r="606" s="410" customFormat="true" ht="15" hidden="true" customHeight="true" outlineLevel="0" collapsed="false">
      <c r="A606" s="198" t="s">
        <v>2204</v>
      </c>
      <c r="B606" s="199" t="s">
        <v>417</v>
      </c>
      <c r="C606" s="198" t="n">
        <v>223</v>
      </c>
      <c r="D606" s="198" t="n">
        <v>86</v>
      </c>
      <c r="E606" s="198" t="s">
        <v>422</v>
      </c>
      <c r="F606" s="198" t="s">
        <v>1576</v>
      </c>
      <c r="G606" s="198" t="s">
        <v>1455</v>
      </c>
      <c r="H606" s="198" t="s">
        <v>129</v>
      </c>
      <c r="I606" s="199"/>
      <c r="J606" s="198" t="s">
        <v>1750</v>
      </c>
      <c r="K606" s="198" t="s">
        <v>1435</v>
      </c>
      <c r="L606" s="234" t="n">
        <v>27740</v>
      </c>
      <c r="M606" s="234" t="n">
        <v>14350</v>
      </c>
      <c r="N606" s="234" t="n">
        <v>16.5</v>
      </c>
      <c r="O606" s="407" t="n">
        <v>13390</v>
      </c>
      <c r="P606" s="407" t="n">
        <v>11180.6</v>
      </c>
      <c r="Q606" s="234" t="n">
        <v>2024</v>
      </c>
      <c r="R606" s="234"/>
      <c r="S606" s="248" t="n">
        <v>45449</v>
      </c>
      <c r="T606" s="407" t="n">
        <f aca="false">Таблица18[[#This Row],[Вес нетто]]-Таблица18[[#This Row],[Зачетный вес]]</f>
        <v>2209.4</v>
      </c>
      <c r="U606" s="409" t="n">
        <f aca="false">Таблица18[[#This Row],[Отход]]/Таблица18[[#This Row],[Вес нетто]]</f>
        <v>0.165003734129948</v>
      </c>
      <c r="V606" s="234" t="n">
        <f aca="false">MONTH(Таблица18[[#This Row],[Дата акта]])</f>
        <v>6</v>
      </c>
      <c r="W606" s="234" t="n">
        <v>6</v>
      </c>
      <c r="X606" s="248" t="n">
        <f aca="false">DATE(1900,Таблица18[[#This Row],[Месяц]],Таблица18[[#This Row],[Число]])</f>
        <v>158</v>
      </c>
      <c r="Y606" s="234"/>
      <c r="AF606" s="411"/>
      <c r="AG606" s="412"/>
    </row>
    <row r="607" s="410" customFormat="true" ht="15" hidden="true" customHeight="true" outlineLevel="0" collapsed="false">
      <c r="A607" s="198" t="s">
        <v>2205</v>
      </c>
      <c r="B607" s="199" t="s">
        <v>417</v>
      </c>
      <c r="C607" s="198" t="n">
        <v>225</v>
      </c>
      <c r="D607" s="198" t="n">
        <v>87</v>
      </c>
      <c r="E607" s="198" t="s">
        <v>422</v>
      </c>
      <c r="F607" s="198" t="s">
        <v>371</v>
      </c>
      <c r="G607" s="198" t="s">
        <v>372</v>
      </c>
      <c r="H607" s="198" t="s">
        <v>129</v>
      </c>
      <c r="I607" s="199"/>
      <c r="J607" s="198" t="s">
        <v>1750</v>
      </c>
      <c r="K607" s="198" t="s">
        <v>1435</v>
      </c>
      <c r="L607" s="234" t="n">
        <v>29050</v>
      </c>
      <c r="M607" s="234" t="n">
        <v>14960</v>
      </c>
      <c r="N607" s="234" t="n">
        <v>18.5</v>
      </c>
      <c r="O607" s="407" t="n">
        <v>14090</v>
      </c>
      <c r="P607" s="407" t="n">
        <v>11483.3</v>
      </c>
      <c r="Q607" s="234" t="n">
        <v>2024</v>
      </c>
      <c r="R607" s="234"/>
      <c r="S607" s="248" t="n">
        <v>45449</v>
      </c>
      <c r="T607" s="407" t="n">
        <f aca="false">Таблица18[[#This Row],[Вес нетто]]-Таблица18[[#This Row],[Зачетный вес]]</f>
        <v>2606.7</v>
      </c>
      <c r="U607" s="409" t="n">
        <f aca="false">Таблица18[[#This Row],[Отход]]/Таблица18[[#This Row],[Вес нетто]]</f>
        <v>0.18500354861604</v>
      </c>
      <c r="V607" s="234" t="n">
        <f aca="false">MONTH(Таблица18[[#This Row],[Дата акта]])</f>
        <v>6</v>
      </c>
      <c r="W607" s="234" t="n">
        <v>6</v>
      </c>
      <c r="X607" s="248" t="n">
        <f aca="false">DATE(1900,Таблица18[[#This Row],[Месяц]],Таблица18[[#This Row],[Число]])</f>
        <v>158</v>
      </c>
      <c r="Y607" s="234"/>
      <c r="AF607" s="411"/>
      <c r="AG607" s="412"/>
    </row>
    <row r="608" s="410" customFormat="true" ht="15" hidden="true" customHeight="true" outlineLevel="0" collapsed="false">
      <c r="A608" s="198" t="s">
        <v>2206</v>
      </c>
      <c r="B608" s="199" t="s">
        <v>417</v>
      </c>
      <c r="C608" s="198" t="n">
        <v>226</v>
      </c>
      <c r="D608" s="198" t="n">
        <v>88</v>
      </c>
      <c r="E608" s="198" t="s">
        <v>422</v>
      </c>
      <c r="F608" s="198" t="s">
        <v>457</v>
      </c>
      <c r="G608" s="198" t="s">
        <v>366</v>
      </c>
      <c r="H608" s="198" t="s">
        <v>129</v>
      </c>
      <c r="I608" s="199"/>
      <c r="J608" s="198" t="s">
        <v>1750</v>
      </c>
      <c r="K608" s="198" t="s">
        <v>1435</v>
      </c>
      <c r="L608" s="234" t="n">
        <v>33460</v>
      </c>
      <c r="M608" s="234" t="n">
        <v>17240</v>
      </c>
      <c r="N608" s="234" t="n">
        <v>13.5</v>
      </c>
      <c r="O608" s="407" t="n">
        <v>16220</v>
      </c>
      <c r="P608" s="407" t="n">
        <v>14030.3</v>
      </c>
      <c r="Q608" s="234" t="n">
        <v>2024</v>
      </c>
      <c r="R608" s="234"/>
      <c r="S608" s="248" t="n">
        <v>45449</v>
      </c>
      <c r="T608" s="407" t="n">
        <f aca="false">Таблица18[[#This Row],[Вес нетто]]-Таблица18[[#This Row],[Зачетный вес]]</f>
        <v>2189.7</v>
      </c>
      <c r="U608" s="409" t="n">
        <f aca="false">Таблица18[[#This Row],[Отход]]/Таблица18[[#This Row],[Вес нетто]]</f>
        <v>0.135</v>
      </c>
      <c r="V608" s="234" t="n">
        <f aca="false">MONTH(Таблица18[[#This Row],[Дата акта]])</f>
        <v>6</v>
      </c>
      <c r="W608" s="234" t="n">
        <v>6</v>
      </c>
      <c r="X608" s="248" t="n">
        <f aca="false">DATE(1900,Таблица18[[#This Row],[Месяц]],Таблица18[[#This Row],[Число]])</f>
        <v>158</v>
      </c>
      <c r="Y608" s="234"/>
      <c r="AF608" s="411"/>
      <c r="AG608" s="412"/>
    </row>
    <row r="609" s="410" customFormat="true" ht="15" hidden="true" customHeight="true" outlineLevel="0" collapsed="false">
      <c r="A609" s="198" t="s">
        <v>2207</v>
      </c>
      <c r="B609" s="199" t="s">
        <v>417</v>
      </c>
      <c r="C609" s="198" t="n">
        <v>228</v>
      </c>
      <c r="D609" s="198" t="n">
        <v>89</v>
      </c>
      <c r="E609" s="198" t="s">
        <v>422</v>
      </c>
      <c r="F609" s="198" t="s">
        <v>1576</v>
      </c>
      <c r="G609" s="198" t="s">
        <v>1455</v>
      </c>
      <c r="H609" s="198" t="s">
        <v>129</v>
      </c>
      <c r="I609" s="199"/>
      <c r="J609" s="198" t="s">
        <v>1750</v>
      </c>
      <c r="K609" s="198" t="s">
        <v>1435</v>
      </c>
      <c r="L609" s="234" t="n">
        <v>28450</v>
      </c>
      <c r="M609" s="234" t="n">
        <v>14320</v>
      </c>
      <c r="N609" s="234" t="n">
        <v>17.5</v>
      </c>
      <c r="O609" s="407" t="n">
        <v>14130</v>
      </c>
      <c r="P609" s="407" t="n">
        <v>11657.2</v>
      </c>
      <c r="Q609" s="234" t="n">
        <v>2024</v>
      </c>
      <c r="R609" s="234"/>
      <c r="S609" s="248" t="n">
        <v>45449</v>
      </c>
      <c r="T609" s="407" t="n">
        <f aca="false">Таблица18[[#This Row],[Вес нетто]]-Таблица18[[#This Row],[Зачетный вес]]</f>
        <v>2472.8</v>
      </c>
      <c r="U609" s="409" t="n">
        <f aca="false">Таблица18[[#This Row],[Отход]]/Таблица18[[#This Row],[Вес нетто]]</f>
        <v>0.175003538570418</v>
      </c>
      <c r="V609" s="234" t="n">
        <f aca="false">MONTH(Таблица18[[#This Row],[Дата акта]])</f>
        <v>6</v>
      </c>
      <c r="W609" s="234" t="n">
        <v>6</v>
      </c>
      <c r="X609" s="248" t="n">
        <f aca="false">DATE(1900,Таблица18[[#This Row],[Месяц]],Таблица18[[#This Row],[Число]])</f>
        <v>158</v>
      </c>
      <c r="Y609" s="234"/>
      <c r="AF609" s="411"/>
      <c r="AG609" s="412"/>
    </row>
    <row r="610" s="410" customFormat="true" ht="15" hidden="true" customHeight="true" outlineLevel="0" collapsed="false">
      <c r="A610" s="198" t="s">
        <v>2208</v>
      </c>
      <c r="B610" s="199" t="s">
        <v>417</v>
      </c>
      <c r="C610" s="198" t="n">
        <v>229</v>
      </c>
      <c r="D610" s="198" t="n">
        <v>90</v>
      </c>
      <c r="E610" s="198" t="s">
        <v>422</v>
      </c>
      <c r="F610" s="198" t="s">
        <v>371</v>
      </c>
      <c r="G610" s="198" t="s">
        <v>372</v>
      </c>
      <c r="H610" s="198" t="s">
        <v>129</v>
      </c>
      <c r="I610" s="199"/>
      <c r="J610" s="198" t="s">
        <v>1750</v>
      </c>
      <c r="K610" s="198" t="s">
        <v>1435</v>
      </c>
      <c r="L610" s="234" t="n">
        <v>28880</v>
      </c>
      <c r="M610" s="234" t="n">
        <v>14940</v>
      </c>
      <c r="N610" s="234" t="n">
        <v>15.5</v>
      </c>
      <c r="O610" s="407" t="n">
        <v>13940</v>
      </c>
      <c r="P610" s="407" t="n">
        <v>11779.3</v>
      </c>
      <c r="Q610" s="234" t="n">
        <v>2024</v>
      </c>
      <c r="R610" s="234"/>
      <c r="S610" s="248" t="n">
        <v>45449</v>
      </c>
      <c r="T610" s="407" t="n">
        <f aca="false">Таблица18[[#This Row],[Вес нетто]]-Таблица18[[#This Row],[Зачетный вес]]</f>
        <v>2160.7</v>
      </c>
      <c r="U610" s="409" t="n">
        <f aca="false">Таблица18[[#This Row],[Отход]]/Таблица18[[#This Row],[Вес нетто]]</f>
        <v>0.155</v>
      </c>
      <c r="V610" s="234" t="n">
        <f aca="false">MONTH(Таблица18[[#This Row],[Дата акта]])</f>
        <v>6</v>
      </c>
      <c r="W610" s="234" t="n">
        <v>6</v>
      </c>
      <c r="X610" s="248" t="n">
        <f aca="false">DATE(1900,Таблица18[[#This Row],[Месяц]],Таблица18[[#This Row],[Число]])</f>
        <v>158</v>
      </c>
      <c r="Y610" s="234"/>
      <c r="AF610" s="411"/>
      <c r="AG610" s="412"/>
    </row>
    <row r="611" s="410" customFormat="true" ht="15" hidden="true" customHeight="true" outlineLevel="0" collapsed="false">
      <c r="A611" s="198" t="s">
        <v>2209</v>
      </c>
      <c r="B611" s="199" t="s">
        <v>417</v>
      </c>
      <c r="C611" s="198" t="n">
        <v>231</v>
      </c>
      <c r="D611" s="198" t="n">
        <v>91</v>
      </c>
      <c r="E611" s="198" t="s">
        <v>422</v>
      </c>
      <c r="F611" s="198" t="s">
        <v>457</v>
      </c>
      <c r="G611" s="198" t="s">
        <v>366</v>
      </c>
      <c r="H611" s="198" t="s">
        <v>129</v>
      </c>
      <c r="I611" s="199"/>
      <c r="J611" s="198" t="s">
        <v>1750</v>
      </c>
      <c r="K611" s="198" t="s">
        <v>1435</v>
      </c>
      <c r="L611" s="234" t="n">
        <v>33320</v>
      </c>
      <c r="M611" s="234" t="n">
        <v>17220</v>
      </c>
      <c r="N611" s="234" t="n">
        <v>13.5</v>
      </c>
      <c r="O611" s="407" t="n">
        <v>16100</v>
      </c>
      <c r="P611" s="407" t="n">
        <v>13926.5</v>
      </c>
      <c r="Q611" s="234" t="n">
        <v>2024</v>
      </c>
      <c r="R611" s="234"/>
      <c r="S611" s="248" t="n">
        <v>45449</v>
      </c>
      <c r="T611" s="407" t="n">
        <f aca="false">Таблица18[[#This Row],[Вес нетто]]-Таблица18[[#This Row],[Зачетный вес]]</f>
        <v>2173.5</v>
      </c>
      <c r="U611" s="409" t="n">
        <f aca="false">Таблица18[[#This Row],[Отход]]/Таблица18[[#This Row],[Вес нетто]]</f>
        <v>0.135</v>
      </c>
      <c r="V611" s="234" t="n">
        <f aca="false">MONTH(Таблица18[[#This Row],[Дата акта]])</f>
        <v>6</v>
      </c>
      <c r="W611" s="234" t="n">
        <v>6</v>
      </c>
      <c r="X611" s="248" t="n">
        <f aca="false">DATE(1900,Таблица18[[#This Row],[Месяц]],Таблица18[[#This Row],[Число]])</f>
        <v>158</v>
      </c>
      <c r="Y611" s="234"/>
      <c r="AF611" s="411"/>
      <c r="AG611" s="412"/>
    </row>
    <row r="612" s="410" customFormat="true" ht="15" hidden="true" customHeight="true" outlineLevel="0" collapsed="false">
      <c r="A612" s="198" t="s">
        <v>2210</v>
      </c>
      <c r="B612" s="199" t="s">
        <v>417</v>
      </c>
      <c r="C612" s="198" t="n">
        <v>232</v>
      </c>
      <c r="D612" s="198" t="n">
        <v>92</v>
      </c>
      <c r="E612" s="198" t="s">
        <v>422</v>
      </c>
      <c r="F612" s="198" t="s">
        <v>363</v>
      </c>
      <c r="G612" s="198" t="s">
        <v>364</v>
      </c>
      <c r="H612" s="198" t="s">
        <v>129</v>
      </c>
      <c r="I612" s="199"/>
      <c r="J612" s="198" t="s">
        <v>1750</v>
      </c>
      <c r="K612" s="198" t="s">
        <v>1435</v>
      </c>
      <c r="L612" s="234" t="n">
        <v>28300</v>
      </c>
      <c r="M612" s="234" t="n">
        <v>14480</v>
      </c>
      <c r="N612" s="234" t="n">
        <v>14.5</v>
      </c>
      <c r="O612" s="407" t="n">
        <v>13820</v>
      </c>
      <c r="P612" s="407" t="n">
        <v>11816.1</v>
      </c>
      <c r="Q612" s="234" t="n">
        <v>2024</v>
      </c>
      <c r="R612" s="234"/>
      <c r="S612" s="248" t="n">
        <v>45449</v>
      </c>
      <c r="T612" s="407" t="n">
        <f aca="false">Таблица18[[#This Row],[Вес нетто]]-Таблица18[[#This Row],[Зачетный вес]]</f>
        <v>2003.9</v>
      </c>
      <c r="U612" s="409" t="n">
        <f aca="false">Таблица18[[#This Row],[Отход]]/Таблица18[[#This Row],[Вес нетто]]</f>
        <v>0.145</v>
      </c>
      <c r="V612" s="234" t="n">
        <f aca="false">MONTH(Таблица18[[#This Row],[Дата акта]])</f>
        <v>6</v>
      </c>
      <c r="W612" s="234" t="n">
        <v>6</v>
      </c>
      <c r="X612" s="248" t="n">
        <f aca="false">DATE(1900,Таблица18[[#This Row],[Месяц]],Таблица18[[#This Row],[Число]])</f>
        <v>158</v>
      </c>
      <c r="Y612" s="234"/>
      <c r="AF612" s="411"/>
      <c r="AG612" s="412"/>
    </row>
    <row r="613" s="410" customFormat="true" ht="15" hidden="true" customHeight="true" outlineLevel="0" collapsed="false">
      <c r="A613" s="198" t="s">
        <v>2211</v>
      </c>
      <c r="B613" s="199" t="s">
        <v>417</v>
      </c>
      <c r="C613" s="198" t="n">
        <v>233</v>
      </c>
      <c r="D613" s="198" t="n">
        <v>93</v>
      </c>
      <c r="E613" s="198" t="s">
        <v>422</v>
      </c>
      <c r="F613" s="198" t="s">
        <v>371</v>
      </c>
      <c r="G613" s="198" t="s">
        <v>372</v>
      </c>
      <c r="H613" s="198" t="s">
        <v>129</v>
      </c>
      <c r="I613" s="199"/>
      <c r="J613" s="198" t="s">
        <v>1750</v>
      </c>
      <c r="K613" s="198" t="s">
        <v>1435</v>
      </c>
      <c r="L613" s="234" t="n">
        <v>28770</v>
      </c>
      <c r="M613" s="234" t="n">
        <v>14930</v>
      </c>
      <c r="N613" s="234" t="n">
        <v>13.5</v>
      </c>
      <c r="O613" s="407" t="n">
        <v>13840</v>
      </c>
      <c r="P613" s="407" t="n">
        <v>11971.6</v>
      </c>
      <c r="Q613" s="234" t="n">
        <v>2024</v>
      </c>
      <c r="R613" s="234"/>
      <c r="S613" s="248" t="n">
        <v>45449</v>
      </c>
      <c r="T613" s="407" t="n">
        <f aca="false">Таблица18[[#This Row],[Вес нетто]]-Таблица18[[#This Row],[Зачетный вес]]</f>
        <v>1868.4</v>
      </c>
      <c r="U613" s="409" t="n">
        <f aca="false">Таблица18[[#This Row],[Отход]]/Таблица18[[#This Row],[Вес нетто]]</f>
        <v>0.135</v>
      </c>
      <c r="V613" s="234" t="n">
        <f aca="false">MONTH(Таблица18[[#This Row],[Дата акта]])</f>
        <v>6</v>
      </c>
      <c r="W613" s="234" t="n">
        <v>6</v>
      </c>
      <c r="X613" s="248" t="n">
        <f aca="false">DATE(1900,Таблица18[[#This Row],[Месяц]],Таблица18[[#This Row],[Число]])</f>
        <v>158</v>
      </c>
      <c r="Y613" s="234"/>
      <c r="AF613" s="411"/>
      <c r="AG613" s="412"/>
    </row>
    <row r="614" s="410" customFormat="true" ht="15" hidden="true" customHeight="true" outlineLevel="0" collapsed="false">
      <c r="A614" s="198" t="s">
        <v>2212</v>
      </c>
      <c r="B614" s="199" t="s">
        <v>417</v>
      </c>
      <c r="C614" s="198" t="n">
        <v>234</v>
      </c>
      <c r="D614" s="198" t="n">
        <v>94</v>
      </c>
      <c r="E614" s="198" t="s">
        <v>422</v>
      </c>
      <c r="F614" s="198" t="s">
        <v>1576</v>
      </c>
      <c r="G614" s="198" t="s">
        <v>1455</v>
      </c>
      <c r="H614" s="198" t="s">
        <v>129</v>
      </c>
      <c r="I614" s="199"/>
      <c r="J614" s="198" t="s">
        <v>1750</v>
      </c>
      <c r="K614" s="198" t="s">
        <v>1435</v>
      </c>
      <c r="L614" s="234" t="n">
        <v>28380</v>
      </c>
      <c r="M614" s="234" t="n">
        <v>14340</v>
      </c>
      <c r="N614" s="234" t="n">
        <v>13.5</v>
      </c>
      <c r="O614" s="407" t="n">
        <v>14040</v>
      </c>
      <c r="P614" s="407" t="n">
        <v>12144.6</v>
      </c>
      <c r="Q614" s="234" t="n">
        <v>2024</v>
      </c>
      <c r="R614" s="234"/>
      <c r="S614" s="248" t="n">
        <v>45449</v>
      </c>
      <c r="T614" s="407" t="n">
        <f aca="false">Таблица18[[#This Row],[Вес нетто]]-Таблица18[[#This Row],[Зачетный вес]]</f>
        <v>1895.4</v>
      </c>
      <c r="U614" s="409" t="n">
        <f aca="false">Таблица18[[#This Row],[Отход]]/Таблица18[[#This Row],[Вес нетто]]</f>
        <v>0.135</v>
      </c>
      <c r="V614" s="234" t="n">
        <f aca="false">MONTH(Таблица18[[#This Row],[Дата акта]])</f>
        <v>6</v>
      </c>
      <c r="W614" s="234" t="n">
        <v>6</v>
      </c>
      <c r="X614" s="248" t="n">
        <f aca="false">DATE(1900,Таблица18[[#This Row],[Месяц]],Таблица18[[#This Row],[Число]])</f>
        <v>158</v>
      </c>
      <c r="Y614" s="234"/>
      <c r="AF614" s="411"/>
      <c r="AG614" s="412"/>
    </row>
    <row r="615" s="410" customFormat="true" ht="15" hidden="true" customHeight="true" outlineLevel="0" collapsed="false">
      <c r="A615" s="198" t="s">
        <v>2213</v>
      </c>
      <c r="B615" s="199" t="s">
        <v>417</v>
      </c>
      <c r="C615" s="198" t="n">
        <v>235</v>
      </c>
      <c r="D615" s="198" t="n">
        <v>95</v>
      </c>
      <c r="E615" s="198" t="s">
        <v>422</v>
      </c>
      <c r="F615" s="198" t="s">
        <v>457</v>
      </c>
      <c r="G615" s="198" t="s">
        <v>366</v>
      </c>
      <c r="H615" s="198" t="s">
        <v>95</v>
      </c>
      <c r="I615" s="199"/>
      <c r="J615" s="198" t="s">
        <v>893</v>
      </c>
      <c r="K615" s="198" t="s">
        <v>1435</v>
      </c>
      <c r="L615" s="234" t="n">
        <v>28920</v>
      </c>
      <c r="M615" s="234" t="n">
        <v>17210</v>
      </c>
      <c r="N615" s="234" t="n">
        <v>14.5</v>
      </c>
      <c r="O615" s="407" t="n">
        <v>11710</v>
      </c>
      <c r="P615" s="407" t="n">
        <v>10012</v>
      </c>
      <c r="Q615" s="234" t="n">
        <v>2024</v>
      </c>
      <c r="R615" s="234"/>
      <c r="S615" s="248" t="n">
        <v>45449</v>
      </c>
      <c r="T615" s="407" t="n">
        <f aca="false">Таблица18[[#This Row],[Вес нетто]]-Таблица18[[#This Row],[Зачетный вес]]</f>
        <v>1698</v>
      </c>
      <c r="U615" s="409" t="n">
        <f aca="false">Таблица18[[#This Row],[Отход]]/Таблица18[[#This Row],[Вес нетто]]</f>
        <v>0.145004269854825</v>
      </c>
      <c r="V615" s="234" t="n">
        <f aca="false">MONTH(Таблица18[[#This Row],[Дата акта]])</f>
        <v>6</v>
      </c>
      <c r="W615" s="234" t="n">
        <v>6</v>
      </c>
      <c r="X615" s="248" t="n">
        <f aca="false">DATE(1900,Таблица18[[#This Row],[Месяц]],Таблица18[[#This Row],[Число]])</f>
        <v>158</v>
      </c>
      <c r="Y615" s="234"/>
      <c r="AF615" s="411"/>
      <c r="AG615" s="412"/>
    </row>
    <row r="616" s="410" customFormat="true" ht="15" hidden="true" customHeight="true" outlineLevel="0" collapsed="false">
      <c r="A616" s="198" t="s">
        <v>2214</v>
      </c>
      <c r="B616" s="199" t="s">
        <v>417</v>
      </c>
      <c r="C616" s="198" t="n">
        <v>236</v>
      </c>
      <c r="D616" s="198" t="n">
        <v>96</v>
      </c>
      <c r="E616" s="198" t="s">
        <v>422</v>
      </c>
      <c r="F616" s="198" t="s">
        <v>371</v>
      </c>
      <c r="G616" s="198" t="s">
        <v>372</v>
      </c>
      <c r="H616" s="198" t="s">
        <v>129</v>
      </c>
      <c r="I616" s="199"/>
      <c r="J616" s="198" t="s">
        <v>1750</v>
      </c>
      <c r="K616" s="198" t="s">
        <v>1435</v>
      </c>
      <c r="L616" s="234" t="n">
        <v>28580</v>
      </c>
      <c r="M616" s="234" t="n">
        <v>14950</v>
      </c>
      <c r="N616" s="234" t="n">
        <v>15.5</v>
      </c>
      <c r="O616" s="407" t="n">
        <v>13630</v>
      </c>
      <c r="P616" s="407" t="n">
        <v>11517.3</v>
      </c>
      <c r="Q616" s="234" t="n">
        <v>2024</v>
      </c>
      <c r="R616" s="234"/>
      <c r="S616" s="248" t="n">
        <v>45449</v>
      </c>
      <c r="T616" s="407" t="n">
        <f aca="false">Таблица18[[#This Row],[Вес нетто]]-Таблица18[[#This Row],[Зачетный вес]]</f>
        <v>2112.7</v>
      </c>
      <c r="U616" s="409" t="n">
        <f aca="false">Таблица18[[#This Row],[Отход]]/Таблица18[[#This Row],[Вес нетто]]</f>
        <v>0.155003668378577</v>
      </c>
      <c r="V616" s="234" t="n">
        <f aca="false">MONTH(Таблица18[[#This Row],[Дата акта]])</f>
        <v>6</v>
      </c>
      <c r="W616" s="234" t="n">
        <v>6</v>
      </c>
      <c r="X616" s="248" t="n">
        <f aca="false">DATE(1900,Таблица18[[#This Row],[Месяц]],Таблица18[[#This Row],[Число]])</f>
        <v>158</v>
      </c>
      <c r="Y616" s="234"/>
      <c r="AF616" s="411"/>
      <c r="AG616" s="412"/>
    </row>
    <row r="617" s="410" customFormat="true" ht="15" hidden="true" customHeight="true" outlineLevel="0" collapsed="false">
      <c r="A617" s="198" t="s">
        <v>2215</v>
      </c>
      <c r="B617" s="199" t="s">
        <v>417</v>
      </c>
      <c r="C617" s="198" t="n">
        <v>237</v>
      </c>
      <c r="D617" s="198" t="n">
        <v>97</v>
      </c>
      <c r="E617" s="198" t="s">
        <v>422</v>
      </c>
      <c r="F617" s="198" t="s">
        <v>1576</v>
      </c>
      <c r="G617" s="198" t="s">
        <v>1455</v>
      </c>
      <c r="H617" s="198" t="s">
        <v>129</v>
      </c>
      <c r="I617" s="199"/>
      <c r="J617" s="198" t="s">
        <v>1750</v>
      </c>
      <c r="K617" s="198" t="s">
        <v>1435</v>
      </c>
      <c r="L617" s="234" t="n">
        <v>28240</v>
      </c>
      <c r="M617" s="234" t="n">
        <v>14480</v>
      </c>
      <c r="N617" s="234" t="n">
        <v>12.5</v>
      </c>
      <c r="O617" s="407" t="n">
        <v>13760</v>
      </c>
      <c r="P617" s="407" t="n">
        <v>12040</v>
      </c>
      <c r="Q617" s="234" t="n">
        <v>2024</v>
      </c>
      <c r="R617" s="234"/>
      <c r="S617" s="248" t="n">
        <v>45450</v>
      </c>
      <c r="T617" s="407" t="n">
        <f aca="false">Таблица18[[#This Row],[Вес нетто]]-Таблица18[[#This Row],[Зачетный вес]]</f>
        <v>1720</v>
      </c>
      <c r="U617" s="409" t="n">
        <f aca="false">Таблица18[[#This Row],[Отход]]/Таблица18[[#This Row],[Вес нетто]]</f>
        <v>0.125</v>
      </c>
      <c r="V617" s="234" t="n">
        <f aca="false">MONTH(Таблица18[[#This Row],[Дата акта]])</f>
        <v>6</v>
      </c>
      <c r="W617" s="234" t="n">
        <v>7</v>
      </c>
      <c r="X617" s="248" t="n">
        <f aca="false">DATE(1900,Таблица18[[#This Row],[Месяц]],Таблица18[[#This Row],[Число]])</f>
        <v>159</v>
      </c>
      <c r="Y617" s="234"/>
      <c r="AF617" s="411"/>
      <c r="AG617" s="412"/>
    </row>
    <row r="618" s="410" customFormat="true" ht="15" hidden="true" customHeight="true" outlineLevel="0" collapsed="false">
      <c r="A618" s="198" t="s">
        <v>2216</v>
      </c>
      <c r="B618" s="199" t="s">
        <v>417</v>
      </c>
      <c r="C618" s="198" t="n">
        <v>238</v>
      </c>
      <c r="D618" s="198" t="n">
        <v>98</v>
      </c>
      <c r="E618" s="198" t="s">
        <v>422</v>
      </c>
      <c r="F618" s="198" t="s">
        <v>457</v>
      </c>
      <c r="G618" s="198" t="s">
        <v>366</v>
      </c>
      <c r="H618" s="198" t="s">
        <v>129</v>
      </c>
      <c r="I618" s="199"/>
      <c r="J618" s="198" t="s">
        <v>1750</v>
      </c>
      <c r="K618" s="198" t="s">
        <v>1435</v>
      </c>
      <c r="L618" s="234" t="n">
        <v>32880</v>
      </c>
      <c r="M618" s="234" t="n">
        <v>17200</v>
      </c>
      <c r="N618" s="234" t="n">
        <v>16.5</v>
      </c>
      <c r="O618" s="407" t="n">
        <v>15680</v>
      </c>
      <c r="P618" s="407" t="n">
        <v>13092.8</v>
      </c>
      <c r="Q618" s="234" t="n">
        <v>2024</v>
      </c>
      <c r="R618" s="234"/>
      <c r="S618" s="248" t="n">
        <v>45450</v>
      </c>
      <c r="T618" s="407" t="n">
        <f aca="false">Таблица18[[#This Row],[Вес нетто]]-Таблица18[[#This Row],[Зачетный вес]]</f>
        <v>2587.2</v>
      </c>
      <c r="U618" s="409" t="n">
        <f aca="false">Таблица18[[#This Row],[Отход]]/Таблица18[[#This Row],[Вес нетто]]</f>
        <v>0.165</v>
      </c>
      <c r="V618" s="234" t="n">
        <f aca="false">MONTH(Таблица18[[#This Row],[Дата акта]])</f>
        <v>6</v>
      </c>
      <c r="W618" s="234" t="n">
        <v>7</v>
      </c>
      <c r="X618" s="248" t="n">
        <f aca="false">DATE(1900,Таблица18[[#This Row],[Месяц]],Таблица18[[#This Row],[Число]])</f>
        <v>159</v>
      </c>
      <c r="Y618" s="234"/>
      <c r="AF618" s="411"/>
      <c r="AG618" s="412"/>
    </row>
    <row r="619" s="410" customFormat="true" ht="15" hidden="true" customHeight="true" outlineLevel="0" collapsed="false">
      <c r="A619" s="198" t="s">
        <v>2217</v>
      </c>
      <c r="B619" s="199" t="s">
        <v>417</v>
      </c>
      <c r="C619" s="198" t="n">
        <v>239</v>
      </c>
      <c r="D619" s="198" t="n">
        <v>99</v>
      </c>
      <c r="E619" s="198" t="s">
        <v>422</v>
      </c>
      <c r="F619" s="198" t="s">
        <v>371</v>
      </c>
      <c r="G619" s="198" t="s">
        <v>372</v>
      </c>
      <c r="H619" s="198" t="s">
        <v>129</v>
      </c>
      <c r="I619" s="199"/>
      <c r="J619" s="198" t="s">
        <v>1750</v>
      </c>
      <c r="K619" s="198" t="s">
        <v>1435</v>
      </c>
      <c r="L619" s="234" t="n">
        <v>28570</v>
      </c>
      <c r="M619" s="234" t="n">
        <v>14940</v>
      </c>
      <c r="N619" s="234" t="n">
        <v>12.5</v>
      </c>
      <c r="O619" s="407" t="n">
        <v>13630</v>
      </c>
      <c r="P619" s="407" t="n">
        <v>11926.2</v>
      </c>
      <c r="Q619" s="234" t="n">
        <v>2024</v>
      </c>
      <c r="R619" s="234"/>
      <c r="S619" s="248" t="n">
        <v>45450</v>
      </c>
      <c r="T619" s="407" t="n">
        <f aca="false">Таблица18[[#This Row],[Вес нетто]]-Таблица18[[#This Row],[Зачетный вес]]</f>
        <v>1703.8</v>
      </c>
      <c r="U619" s="409" t="n">
        <f aca="false">Таблица18[[#This Row],[Отход]]/Таблица18[[#This Row],[Вес нетто]]</f>
        <v>0.125003668378577</v>
      </c>
      <c r="V619" s="234" t="n">
        <f aca="false">MONTH(Таблица18[[#This Row],[Дата акта]])</f>
        <v>6</v>
      </c>
      <c r="W619" s="234" t="n">
        <v>7</v>
      </c>
      <c r="X619" s="248" t="n">
        <f aca="false">DATE(1900,Таблица18[[#This Row],[Месяц]],Таблица18[[#This Row],[Число]])</f>
        <v>159</v>
      </c>
      <c r="Y619" s="234"/>
      <c r="AF619" s="411"/>
      <c r="AG619" s="412"/>
    </row>
    <row r="620" s="410" customFormat="true" ht="15" hidden="true" customHeight="true" outlineLevel="0" collapsed="false">
      <c r="A620" s="198" t="s">
        <v>2218</v>
      </c>
      <c r="B620" s="199" t="s">
        <v>417</v>
      </c>
      <c r="C620" s="198" t="n">
        <v>240</v>
      </c>
      <c r="D620" s="198" t="n">
        <v>100</v>
      </c>
      <c r="E620" s="198" t="s">
        <v>422</v>
      </c>
      <c r="F620" s="198" t="s">
        <v>1576</v>
      </c>
      <c r="G620" s="198" t="s">
        <v>1455</v>
      </c>
      <c r="H620" s="198" t="s">
        <v>129</v>
      </c>
      <c r="I620" s="199"/>
      <c r="J620" s="198" t="s">
        <v>1750</v>
      </c>
      <c r="K620" s="198" t="s">
        <v>1435</v>
      </c>
      <c r="L620" s="234" t="n">
        <v>25090</v>
      </c>
      <c r="M620" s="234" t="n">
        <v>14470</v>
      </c>
      <c r="N620" s="234" t="n">
        <v>12.5</v>
      </c>
      <c r="O620" s="407" t="n">
        <v>10620</v>
      </c>
      <c r="P620" s="407" t="n">
        <v>9292.5</v>
      </c>
      <c r="Q620" s="234" t="n">
        <v>2024</v>
      </c>
      <c r="R620" s="234"/>
      <c r="S620" s="248" t="n">
        <v>45450</v>
      </c>
      <c r="T620" s="407" t="n">
        <f aca="false">Таблица18[[#This Row],[Вес нетто]]-Таблица18[[#This Row],[Зачетный вес]]</f>
        <v>1327.5</v>
      </c>
      <c r="U620" s="409" t="n">
        <f aca="false">Таблица18[[#This Row],[Отход]]/Таблица18[[#This Row],[Вес нетто]]</f>
        <v>0.125</v>
      </c>
      <c r="V620" s="234" t="n">
        <f aca="false">MONTH(Таблица18[[#This Row],[Дата акта]])</f>
        <v>6</v>
      </c>
      <c r="W620" s="234" t="n">
        <v>7</v>
      </c>
      <c r="X620" s="248" t="n">
        <f aca="false">DATE(1900,Таблица18[[#This Row],[Месяц]],Таблица18[[#This Row],[Число]])</f>
        <v>159</v>
      </c>
      <c r="Y620" s="234"/>
      <c r="AF620" s="411"/>
      <c r="AG620" s="412"/>
    </row>
    <row r="621" s="410" customFormat="true" ht="15" hidden="true" customHeight="true" outlineLevel="0" collapsed="false">
      <c r="A621" s="198" t="s">
        <v>2219</v>
      </c>
      <c r="B621" s="199" t="s">
        <v>417</v>
      </c>
      <c r="C621" s="198" t="n">
        <v>241</v>
      </c>
      <c r="D621" s="198" t="n">
        <v>101</v>
      </c>
      <c r="E621" s="198" t="s">
        <v>422</v>
      </c>
      <c r="F621" s="198" t="s">
        <v>55</v>
      </c>
      <c r="G621" s="198" t="s">
        <v>56</v>
      </c>
      <c r="H621" s="198" t="s">
        <v>2220</v>
      </c>
      <c r="I621" s="199"/>
      <c r="J621" s="198" t="s">
        <v>2221</v>
      </c>
      <c r="K621" s="198" t="s">
        <v>1435</v>
      </c>
      <c r="L621" s="234" t="n">
        <v>29160</v>
      </c>
      <c r="M621" s="234" t="n">
        <v>14570</v>
      </c>
      <c r="N621" s="234" t="n">
        <v>18.5</v>
      </c>
      <c r="O621" s="407" t="n">
        <v>14590</v>
      </c>
      <c r="P621" s="407" t="n">
        <v>11890.8</v>
      </c>
      <c r="Q621" s="234" t="n">
        <v>2024</v>
      </c>
      <c r="R621" s="234"/>
      <c r="S621" s="248" t="n">
        <v>45450</v>
      </c>
      <c r="T621" s="407" t="n">
        <f aca="false">Таблица18[[#This Row],[Вес нетто]]-Таблица18[[#This Row],[Зачетный вес]]</f>
        <v>2699.2</v>
      </c>
      <c r="U621" s="409" t="n">
        <f aca="false">Таблица18[[#This Row],[Отход]]/Таблица18[[#This Row],[Вес нетто]]</f>
        <v>0.185003427004798</v>
      </c>
      <c r="V621" s="234" t="n">
        <f aca="false">MONTH(Таблица18[[#This Row],[Дата акта]])</f>
        <v>6</v>
      </c>
      <c r="W621" s="234" t="n">
        <v>7</v>
      </c>
      <c r="X621" s="248" t="n">
        <f aca="false">DATE(1900,Таблица18[[#This Row],[Месяц]],Таблица18[[#This Row],[Число]])</f>
        <v>159</v>
      </c>
      <c r="Y621" s="234"/>
      <c r="AF621" s="411"/>
      <c r="AG621" s="412"/>
    </row>
    <row r="622" s="410" customFormat="true" ht="15" hidden="true" customHeight="true" outlineLevel="0" collapsed="false">
      <c r="A622" s="198" t="s">
        <v>2222</v>
      </c>
      <c r="B622" s="199" t="s">
        <v>417</v>
      </c>
      <c r="C622" s="198" t="n">
        <v>242</v>
      </c>
      <c r="D622" s="198" t="n">
        <v>102</v>
      </c>
      <c r="E622" s="198" t="s">
        <v>422</v>
      </c>
      <c r="F622" s="198" t="s">
        <v>1876</v>
      </c>
      <c r="G622" s="198" t="s">
        <v>1877</v>
      </c>
      <c r="H622" s="198" t="s">
        <v>2220</v>
      </c>
      <c r="I622" s="199"/>
      <c r="J622" s="198" t="s">
        <v>2221</v>
      </c>
      <c r="K622" s="198" t="s">
        <v>1435</v>
      </c>
      <c r="L622" s="234" t="n">
        <v>28750</v>
      </c>
      <c r="M622" s="234" t="n">
        <v>14690</v>
      </c>
      <c r="N622" s="234" t="n">
        <v>20.5</v>
      </c>
      <c r="O622" s="407" t="n">
        <v>14060</v>
      </c>
      <c r="P622" s="407" t="n">
        <v>11177.7</v>
      </c>
      <c r="Q622" s="234" t="n">
        <v>2024</v>
      </c>
      <c r="R622" s="234"/>
      <c r="S622" s="248" t="n">
        <v>45450</v>
      </c>
      <c r="T622" s="407" t="n">
        <f aca="false">Таблица18[[#This Row],[Вес нетто]]-Таблица18[[#This Row],[Зачетный вес]]</f>
        <v>2882.3</v>
      </c>
      <c r="U622" s="409" t="n">
        <f aca="false">Таблица18[[#This Row],[Отход]]/Таблица18[[#This Row],[Вес нетто]]</f>
        <v>0.205</v>
      </c>
      <c r="V622" s="234" t="n">
        <f aca="false">MONTH(Таблица18[[#This Row],[Дата акта]])</f>
        <v>6</v>
      </c>
      <c r="W622" s="234" t="n">
        <v>7</v>
      </c>
      <c r="X622" s="248" t="n">
        <f aca="false">DATE(1900,Таблица18[[#This Row],[Месяц]],Таблица18[[#This Row],[Число]])</f>
        <v>159</v>
      </c>
      <c r="Y622" s="234"/>
      <c r="AF622" s="411"/>
      <c r="AG622" s="412"/>
    </row>
    <row r="623" s="410" customFormat="true" ht="15" hidden="true" customHeight="true" outlineLevel="0" collapsed="false">
      <c r="A623" s="198" t="s">
        <v>2223</v>
      </c>
      <c r="B623" s="199" t="s">
        <v>417</v>
      </c>
      <c r="C623" s="198" t="n">
        <v>243</v>
      </c>
      <c r="D623" s="198" t="n">
        <v>103</v>
      </c>
      <c r="E623" s="198" t="s">
        <v>422</v>
      </c>
      <c r="F623" s="198" t="s">
        <v>363</v>
      </c>
      <c r="G623" s="198" t="s">
        <v>364</v>
      </c>
      <c r="H623" s="198" t="s">
        <v>2220</v>
      </c>
      <c r="I623" s="199"/>
      <c r="J623" s="198" t="s">
        <v>2221</v>
      </c>
      <c r="K623" s="198" t="s">
        <v>1435</v>
      </c>
      <c r="L623" s="234" t="n">
        <v>28280</v>
      </c>
      <c r="M623" s="234" t="n">
        <v>14460</v>
      </c>
      <c r="N623" s="234" t="n">
        <v>20.5</v>
      </c>
      <c r="O623" s="407" t="n">
        <v>13820</v>
      </c>
      <c r="P623" s="407" t="n">
        <v>10986.9</v>
      </c>
      <c r="Q623" s="234" t="n">
        <v>2024</v>
      </c>
      <c r="R623" s="234"/>
      <c r="S623" s="248" t="n">
        <v>45450</v>
      </c>
      <c r="T623" s="407" t="n">
        <f aca="false">Таблица18[[#This Row],[Вес нетто]]-Таблица18[[#This Row],[Зачетный вес]]</f>
        <v>2833.1</v>
      </c>
      <c r="U623" s="409" t="n">
        <f aca="false">Таблица18[[#This Row],[Отход]]/Таблица18[[#This Row],[Вес нетто]]</f>
        <v>0.205</v>
      </c>
      <c r="V623" s="234" t="n">
        <f aca="false">MONTH(Таблица18[[#This Row],[Дата акта]])</f>
        <v>6</v>
      </c>
      <c r="W623" s="234" t="n">
        <v>7</v>
      </c>
      <c r="X623" s="248" t="n">
        <f aca="false">DATE(1900,Таблица18[[#This Row],[Месяц]],Таблица18[[#This Row],[Число]])</f>
        <v>159</v>
      </c>
      <c r="Y623" s="234"/>
      <c r="AF623" s="411"/>
      <c r="AG623" s="412"/>
    </row>
    <row r="624" s="410" customFormat="true" ht="15" hidden="true" customHeight="true" outlineLevel="0" collapsed="false">
      <c r="A624" s="198" t="s">
        <v>2224</v>
      </c>
      <c r="B624" s="199" t="s">
        <v>417</v>
      </c>
      <c r="C624" s="198" t="n">
        <v>244</v>
      </c>
      <c r="D624" s="198" t="n">
        <v>104</v>
      </c>
      <c r="E624" s="198" t="s">
        <v>422</v>
      </c>
      <c r="F624" s="198" t="s">
        <v>55</v>
      </c>
      <c r="G624" s="198" t="s">
        <v>56</v>
      </c>
      <c r="H624" s="198" t="s">
        <v>2220</v>
      </c>
      <c r="I624" s="199"/>
      <c r="J624" s="198" t="s">
        <v>2221</v>
      </c>
      <c r="K624" s="198" t="s">
        <v>1435</v>
      </c>
      <c r="L624" s="234" t="n">
        <v>28470</v>
      </c>
      <c r="M624" s="234" t="n">
        <v>14540</v>
      </c>
      <c r="N624" s="234" t="n">
        <v>18.5</v>
      </c>
      <c r="O624" s="407" t="n">
        <v>13930</v>
      </c>
      <c r="P624" s="407" t="n">
        <v>11352.9</v>
      </c>
      <c r="Q624" s="234" t="n">
        <v>2024</v>
      </c>
      <c r="R624" s="234"/>
      <c r="S624" s="248" t="n">
        <v>45450</v>
      </c>
      <c r="T624" s="407" t="n">
        <f aca="false">Таблица18[[#This Row],[Вес нетто]]-Таблица18[[#This Row],[Зачетный вес]]</f>
        <v>2577.1</v>
      </c>
      <c r="U624" s="409" t="n">
        <f aca="false">Таблица18[[#This Row],[Отход]]/Таблица18[[#This Row],[Вес нетто]]</f>
        <v>0.185003589375449</v>
      </c>
      <c r="V624" s="234" t="n">
        <f aca="false">MONTH(Таблица18[[#This Row],[Дата акта]])</f>
        <v>6</v>
      </c>
      <c r="W624" s="234" t="n">
        <v>7</v>
      </c>
      <c r="X624" s="248" t="n">
        <f aca="false">DATE(1900,Таблица18[[#This Row],[Месяц]],Таблица18[[#This Row],[Число]])</f>
        <v>159</v>
      </c>
      <c r="Y624" s="234"/>
      <c r="AF624" s="411"/>
      <c r="AG624" s="412"/>
    </row>
    <row r="625" s="410" customFormat="true" ht="15" hidden="true" customHeight="true" outlineLevel="0" collapsed="false">
      <c r="A625" s="198" t="s">
        <v>2225</v>
      </c>
      <c r="B625" s="199" t="s">
        <v>417</v>
      </c>
      <c r="C625" s="198" t="n">
        <v>245</v>
      </c>
      <c r="D625" s="198" t="n">
        <v>105</v>
      </c>
      <c r="E625" s="198" t="s">
        <v>422</v>
      </c>
      <c r="F625" s="198" t="s">
        <v>1876</v>
      </c>
      <c r="G625" s="198" t="s">
        <v>1877</v>
      </c>
      <c r="H625" s="198" t="s">
        <v>2220</v>
      </c>
      <c r="I625" s="199"/>
      <c r="J625" s="198" t="s">
        <v>2221</v>
      </c>
      <c r="K625" s="198" t="s">
        <v>1435</v>
      </c>
      <c r="L625" s="234" t="n">
        <v>28800</v>
      </c>
      <c r="M625" s="234" t="n">
        <v>14670</v>
      </c>
      <c r="N625" s="234" t="n">
        <v>19.5</v>
      </c>
      <c r="O625" s="407" t="n">
        <v>14130</v>
      </c>
      <c r="P625" s="407" t="n">
        <v>11374.6</v>
      </c>
      <c r="Q625" s="234" t="n">
        <v>2024</v>
      </c>
      <c r="R625" s="234"/>
      <c r="S625" s="248" t="n">
        <v>45450</v>
      </c>
      <c r="T625" s="407" t="n">
        <f aca="false">Таблица18[[#This Row],[Вес нетто]]-Таблица18[[#This Row],[Зачетный вес]]</f>
        <v>2755.4</v>
      </c>
      <c r="U625" s="409" t="n">
        <f aca="false">Таблица18[[#This Row],[Отход]]/Таблица18[[#This Row],[Вес нетто]]</f>
        <v>0.195003538570418</v>
      </c>
      <c r="V625" s="234" t="n">
        <f aca="false">MONTH(Таблица18[[#This Row],[Дата акта]])</f>
        <v>6</v>
      </c>
      <c r="W625" s="234" t="n">
        <v>7</v>
      </c>
      <c r="X625" s="248" t="n">
        <f aca="false">DATE(1900,Таблица18[[#This Row],[Месяц]],Таблица18[[#This Row],[Число]])</f>
        <v>159</v>
      </c>
      <c r="Y625" s="234"/>
      <c r="AF625" s="411"/>
      <c r="AG625" s="412"/>
    </row>
    <row r="626" s="410" customFormat="true" ht="15" hidden="true" customHeight="true" outlineLevel="0" collapsed="false">
      <c r="A626" s="198" t="s">
        <v>2226</v>
      </c>
      <c r="B626" s="199" t="s">
        <v>417</v>
      </c>
      <c r="C626" s="198" t="n">
        <v>246</v>
      </c>
      <c r="D626" s="198" t="n">
        <v>106</v>
      </c>
      <c r="E626" s="198" t="s">
        <v>422</v>
      </c>
      <c r="F626" s="198" t="s">
        <v>363</v>
      </c>
      <c r="G626" s="198" t="s">
        <v>364</v>
      </c>
      <c r="H626" s="198" t="s">
        <v>2220</v>
      </c>
      <c r="I626" s="199"/>
      <c r="J626" s="198" t="s">
        <v>2221</v>
      </c>
      <c r="K626" s="198" t="s">
        <v>1435</v>
      </c>
      <c r="L626" s="234" t="n">
        <v>29100</v>
      </c>
      <c r="M626" s="234" t="n">
        <v>14440</v>
      </c>
      <c r="N626" s="234" t="n">
        <v>18.5</v>
      </c>
      <c r="O626" s="407" t="n">
        <v>14660</v>
      </c>
      <c r="P626" s="407" t="n">
        <v>11947.9</v>
      </c>
      <c r="Q626" s="234" t="n">
        <v>2024</v>
      </c>
      <c r="R626" s="234"/>
      <c r="S626" s="248" t="n">
        <v>45450</v>
      </c>
      <c r="T626" s="407" t="n">
        <f aca="false">Таблица18[[#This Row],[Вес нетто]]-Таблица18[[#This Row],[Зачетный вес]]</f>
        <v>2712.1</v>
      </c>
      <c r="U626" s="409" t="n">
        <f aca="false">Таблица18[[#This Row],[Отход]]/Таблица18[[#This Row],[Вес нетто]]</f>
        <v>0.185</v>
      </c>
      <c r="V626" s="234" t="n">
        <f aca="false">MONTH(Таблица18[[#This Row],[Дата акта]])</f>
        <v>6</v>
      </c>
      <c r="W626" s="234" t="n">
        <v>7</v>
      </c>
      <c r="X626" s="248" t="n">
        <f aca="false">DATE(1900,Таблица18[[#This Row],[Месяц]],Таблица18[[#This Row],[Число]])</f>
        <v>159</v>
      </c>
      <c r="Y626" s="234"/>
      <c r="AF626" s="411"/>
      <c r="AG626" s="412"/>
    </row>
    <row r="627" s="410" customFormat="true" ht="15" hidden="true" customHeight="true" outlineLevel="0" collapsed="false">
      <c r="A627" s="198" t="s">
        <v>2227</v>
      </c>
      <c r="B627" s="199" t="s">
        <v>417</v>
      </c>
      <c r="C627" s="198" t="n">
        <v>247</v>
      </c>
      <c r="D627" s="198" t="n">
        <v>107</v>
      </c>
      <c r="E627" s="198" t="s">
        <v>422</v>
      </c>
      <c r="F627" s="198" t="s">
        <v>55</v>
      </c>
      <c r="G627" s="198" t="s">
        <v>56</v>
      </c>
      <c r="H627" s="198" t="s">
        <v>2220</v>
      </c>
      <c r="I627" s="199"/>
      <c r="J627" s="198" t="s">
        <v>2221</v>
      </c>
      <c r="K627" s="198" t="s">
        <v>1435</v>
      </c>
      <c r="L627" s="234" t="n">
        <v>29470</v>
      </c>
      <c r="M627" s="234" t="n">
        <v>14530</v>
      </c>
      <c r="N627" s="234" t="n">
        <v>17.5</v>
      </c>
      <c r="O627" s="407" t="n">
        <v>14940</v>
      </c>
      <c r="P627" s="407" t="n">
        <v>12325.5</v>
      </c>
      <c r="Q627" s="234" t="n">
        <v>2024</v>
      </c>
      <c r="R627" s="234"/>
      <c r="S627" s="248" t="n">
        <v>45450</v>
      </c>
      <c r="T627" s="407" t="n">
        <f aca="false">Таблица18[[#This Row],[Вес нетто]]-Таблица18[[#This Row],[Зачетный вес]]</f>
        <v>2614.5</v>
      </c>
      <c r="U627" s="409" t="n">
        <f aca="false">Таблица18[[#This Row],[Отход]]/Таблица18[[#This Row],[Вес нетто]]</f>
        <v>0.175</v>
      </c>
      <c r="V627" s="234" t="n">
        <f aca="false">MONTH(Таблица18[[#This Row],[Дата акта]])</f>
        <v>6</v>
      </c>
      <c r="W627" s="234" t="n">
        <v>7</v>
      </c>
      <c r="X627" s="248" t="n">
        <f aca="false">DATE(1900,Таблица18[[#This Row],[Месяц]],Таблица18[[#This Row],[Число]])</f>
        <v>159</v>
      </c>
      <c r="Y627" s="234"/>
      <c r="AF627" s="411"/>
      <c r="AG627" s="412"/>
    </row>
    <row r="628" s="410" customFormat="true" ht="15" hidden="true" customHeight="true" outlineLevel="0" collapsed="false">
      <c r="A628" s="198" t="s">
        <v>2228</v>
      </c>
      <c r="B628" s="199" t="s">
        <v>417</v>
      </c>
      <c r="C628" s="198" t="n">
        <v>248</v>
      </c>
      <c r="D628" s="198" t="n">
        <v>108</v>
      </c>
      <c r="E628" s="198" t="s">
        <v>422</v>
      </c>
      <c r="F628" s="198" t="s">
        <v>1876</v>
      </c>
      <c r="G628" s="198" t="s">
        <v>1877</v>
      </c>
      <c r="H628" s="198" t="s">
        <v>2220</v>
      </c>
      <c r="I628" s="199"/>
      <c r="J628" s="198" t="s">
        <v>2221</v>
      </c>
      <c r="K628" s="198" t="s">
        <v>1435</v>
      </c>
      <c r="L628" s="234" t="n">
        <v>29590</v>
      </c>
      <c r="M628" s="234" t="n">
        <v>14660</v>
      </c>
      <c r="N628" s="234" t="n">
        <v>14.5</v>
      </c>
      <c r="O628" s="407" t="n">
        <v>14930</v>
      </c>
      <c r="P628" s="407" t="n">
        <v>12765.1</v>
      </c>
      <c r="Q628" s="234" t="n">
        <v>2024</v>
      </c>
      <c r="R628" s="234"/>
      <c r="S628" s="248" t="n">
        <v>45450</v>
      </c>
      <c r="T628" s="407" t="n">
        <f aca="false">Таблица18[[#This Row],[Вес нетто]]-Таблица18[[#This Row],[Зачетный вес]]</f>
        <v>2164.9</v>
      </c>
      <c r="U628" s="409" t="n">
        <f aca="false">Таблица18[[#This Row],[Отход]]/Таблица18[[#This Row],[Вес нетто]]</f>
        <v>0.145003348961822</v>
      </c>
      <c r="V628" s="234" t="n">
        <f aca="false">MONTH(Таблица18[[#This Row],[Дата акта]])</f>
        <v>6</v>
      </c>
      <c r="W628" s="234" t="n">
        <v>7</v>
      </c>
      <c r="X628" s="248" t="n">
        <f aca="false">DATE(1900,Таблица18[[#This Row],[Месяц]],Таблица18[[#This Row],[Число]])</f>
        <v>159</v>
      </c>
      <c r="Y628" s="234"/>
      <c r="AF628" s="411"/>
      <c r="AG628" s="412"/>
    </row>
    <row r="629" s="410" customFormat="true" ht="15" hidden="true" customHeight="true" outlineLevel="0" collapsed="false">
      <c r="A629" s="198" t="s">
        <v>2229</v>
      </c>
      <c r="B629" s="199" t="s">
        <v>417</v>
      </c>
      <c r="C629" s="198" t="n">
        <v>249</v>
      </c>
      <c r="D629" s="198" t="n">
        <v>109</v>
      </c>
      <c r="E629" s="198" t="s">
        <v>422</v>
      </c>
      <c r="F629" s="198" t="s">
        <v>363</v>
      </c>
      <c r="G629" s="198" t="s">
        <v>364</v>
      </c>
      <c r="H629" s="198" t="s">
        <v>2220</v>
      </c>
      <c r="I629" s="199"/>
      <c r="J629" s="198" t="s">
        <v>2221</v>
      </c>
      <c r="K629" s="198" t="s">
        <v>1435</v>
      </c>
      <c r="L629" s="234" t="n">
        <v>28510</v>
      </c>
      <c r="M629" s="234" t="n">
        <v>14430</v>
      </c>
      <c r="N629" s="234" t="n">
        <v>12.5</v>
      </c>
      <c r="O629" s="407" t="n">
        <v>14080</v>
      </c>
      <c r="P629" s="407" t="n">
        <v>12320</v>
      </c>
      <c r="Q629" s="234" t="n">
        <v>2024</v>
      </c>
      <c r="R629" s="234"/>
      <c r="S629" s="248" t="n">
        <v>45450</v>
      </c>
      <c r="T629" s="407" t="n">
        <f aca="false">Таблица18[[#This Row],[Вес нетто]]-Таблица18[[#This Row],[Зачетный вес]]</f>
        <v>1760</v>
      </c>
      <c r="U629" s="409" t="n">
        <f aca="false">Таблица18[[#This Row],[Отход]]/Таблица18[[#This Row],[Вес нетто]]</f>
        <v>0.125</v>
      </c>
      <c r="V629" s="234" t="n">
        <f aca="false">MONTH(Таблица18[[#This Row],[Дата акта]])</f>
        <v>6</v>
      </c>
      <c r="W629" s="234" t="n">
        <v>7</v>
      </c>
      <c r="X629" s="248" t="n">
        <f aca="false">DATE(1900,Таблица18[[#This Row],[Месяц]],Таблица18[[#This Row],[Число]])</f>
        <v>159</v>
      </c>
      <c r="Y629" s="234"/>
      <c r="AF629" s="411"/>
      <c r="AG629" s="412"/>
    </row>
    <row r="630" s="410" customFormat="true" ht="15" hidden="true" customHeight="true" outlineLevel="0" collapsed="false">
      <c r="A630" s="198" t="s">
        <v>2230</v>
      </c>
      <c r="B630" s="199" t="s">
        <v>417</v>
      </c>
      <c r="C630" s="198" t="n">
        <v>250</v>
      </c>
      <c r="D630" s="198" t="n">
        <v>110</v>
      </c>
      <c r="E630" s="198" t="s">
        <v>422</v>
      </c>
      <c r="F630" s="198" t="s">
        <v>55</v>
      </c>
      <c r="G630" s="198" t="s">
        <v>56</v>
      </c>
      <c r="H630" s="198" t="s">
        <v>2220</v>
      </c>
      <c r="I630" s="199"/>
      <c r="J630" s="198" t="s">
        <v>1750</v>
      </c>
      <c r="K630" s="198" t="s">
        <v>1435</v>
      </c>
      <c r="L630" s="234" t="n">
        <v>28670</v>
      </c>
      <c r="M630" s="234" t="n">
        <v>21590</v>
      </c>
      <c r="N630" s="234" t="n">
        <v>15.5</v>
      </c>
      <c r="O630" s="407" t="n">
        <v>7080</v>
      </c>
      <c r="P630" s="407" t="n">
        <v>5982.6</v>
      </c>
      <c r="Q630" s="234" t="n">
        <v>2024</v>
      </c>
      <c r="R630" s="234"/>
      <c r="S630" s="248" t="n">
        <v>45451</v>
      </c>
      <c r="T630" s="407" t="n">
        <f aca="false">Таблица18[[#This Row],[Вес нетто]]-Таблица18[[#This Row],[Зачетный вес]]</f>
        <v>1097.4</v>
      </c>
      <c r="U630" s="409" t="n">
        <f aca="false">Таблица18[[#This Row],[Отход]]/Таблица18[[#This Row],[Вес нетто]]</f>
        <v>0.155</v>
      </c>
      <c r="V630" s="234" t="n">
        <f aca="false">MONTH(Таблица18[[#This Row],[Дата акта]])</f>
        <v>6</v>
      </c>
      <c r="W630" s="234" t="n">
        <v>8</v>
      </c>
      <c r="X630" s="248" t="n">
        <f aca="false">DATE(1900,Таблица18[[#This Row],[Месяц]],Таблица18[[#This Row],[Число]])</f>
        <v>160</v>
      </c>
      <c r="Y630" s="234"/>
      <c r="AF630" s="411"/>
      <c r="AG630" s="412"/>
    </row>
    <row r="631" s="410" customFormat="true" ht="15" hidden="true" customHeight="true" outlineLevel="0" collapsed="false">
      <c r="A631" s="198" t="s">
        <v>2231</v>
      </c>
      <c r="B631" s="199" t="s">
        <v>417</v>
      </c>
      <c r="C631" s="198" t="n">
        <v>251</v>
      </c>
      <c r="D631" s="198" t="n">
        <v>110</v>
      </c>
      <c r="E631" s="198" t="s">
        <v>422</v>
      </c>
      <c r="F631" s="198" t="s">
        <v>55</v>
      </c>
      <c r="G631" s="198" t="s">
        <v>56</v>
      </c>
      <c r="H631" s="198" t="s">
        <v>2220</v>
      </c>
      <c r="I631" s="199"/>
      <c r="J631" s="198" t="s">
        <v>2221</v>
      </c>
      <c r="K631" s="198" t="s">
        <v>1435</v>
      </c>
      <c r="L631" s="234" t="n">
        <v>21590</v>
      </c>
      <c r="M631" s="234" t="n">
        <v>14530</v>
      </c>
      <c r="N631" s="234" t="n">
        <v>13.5</v>
      </c>
      <c r="O631" s="407" t="n">
        <v>7060</v>
      </c>
      <c r="P631" s="407" t="n">
        <v>6106.9</v>
      </c>
      <c r="Q631" s="234" t="n">
        <v>2024</v>
      </c>
      <c r="R631" s="234"/>
      <c r="S631" s="248" t="n">
        <v>45451</v>
      </c>
      <c r="T631" s="407" t="n">
        <f aca="false">Таблица18[[#This Row],[Вес нетто]]-Таблица18[[#This Row],[Зачетный вес]]</f>
        <v>953.1</v>
      </c>
      <c r="U631" s="409" t="n">
        <f aca="false">Таблица18[[#This Row],[Отход]]/Таблица18[[#This Row],[Вес нетто]]</f>
        <v>0.135</v>
      </c>
      <c r="V631" s="234" t="n">
        <f aca="false">MONTH(Таблица18[[#This Row],[Дата акта]])</f>
        <v>6</v>
      </c>
      <c r="W631" s="234" t="n">
        <v>8</v>
      </c>
      <c r="X631" s="248" t="n">
        <f aca="false">DATE(1900,Таблица18[[#This Row],[Месяц]],Таблица18[[#This Row],[Число]])</f>
        <v>160</v>
      </c>
      <c r="Y631" s="234"/>
      <c r="AF631" s="411"/>
      <c r="AG631" s="412"/>
    </row>
    <row r="632" s="410" customFormat="true" ht="15" hidden="true" customHeight="true" outlineLevel="0" collapsed="false">
      <c r="A632" s="198" t="s">
        <v>2232</v>
      </c>
      <c r="B632" s="199" t="s">
        <v>417</v>
      </c>
      <c r="C632" s="198" t="n">
        <v>252</v>
      </c>
      <c r="D632" s="198" t="n">
        <v>111</v>
      </c>
      <c r="E632" s="198" t="s">
        <v>422</v>
      </c>
      <c r="F632" s="198" t="s">
        <v>1876</v>
      </c>
      <c r="G632" s="198" t="s">
        <v>1877</v>
      </c>
      <c r="H632" s="198" t="s">
        <v>2220</v>
      </c>
      <c r="I632" s="199"/>
      <c r="J632" s="198" t="s">
        <v>1750</v>
      </c>
      <c r="K632" s="198" t="s">
        <v>1435</v>
      </c>
      <c r="L632" s="234" t="n">
        <v>28680</v>
      </c>
      <c r="M632" s="234" t="n">
        <v>14720</v>
      </c>
      <c r="N632" s="234" t="n">
        <v>30.5</v>
      </c>
      <c r="O632" s="407" t="n">
        <v>13960</v>
      </c>
      <c r="P632" s="407" t="n">
        <v>9702.2</v>
      </c>
      <c r="Q632" s="234" t="n">
        <v>2024</v>
      </c>
      <c r="R632" s="234"/>
      <c r="S632" s="248" t="n">
        <v>45451</v>
      </c>
      <c r="T632" s="407" t="n">
        <f aca="false">Таблица18[[#This Row],[Вес нетто]]-Таблица18[[#This Row],[Зачетный вес]]</f>
        <v>4257.8</v>
      </c>
      <c r="U632" s="409" t="n">
        <f aca="false">Таблица18[[#This Row],[Отход]]/Таблица18[[#This Row],[Вес нетто]]</f>
        <v>0.305</v>
      </c>
      <c r="V632" s="234" t="n">
        <f aca="false">MONTH(Таблица18[[#This Row],[Дата акта]])</f>
        <v>6</v>
      </c>
      <c r="W632" s="234" t="n">
        <v>8</v>
      </c>
      <c r="X632" s="248" t="n">
        <f aca="false">DATE(1900,Таблица18[[#This Row],[Месяц]],Таблица18[[#This Row],[Число]])</f>
        <v>160</v>
      </c>
      <c r="Y632" s="234"/>
      <c r="AF632" s="411"/>
      <c r="AG632" s="412"/>
    </row>
    <row r="633" s="410" customFormat="true" ht="15" hidden="true" customHeight="true" outlineLevel="0" collapsed="false">
      <c r="A633" s="198" t="s">
        <v>2233</v>
      </c>
      <c r="B633" s="199" t="s">
        <v>417</v>
      </c>
      <c r="C633" s="198" t="n">
        <v>253</v>
      </c>
      <c r="D633" s="198" t="n">
        <v>112</v>
      </c>
      <c r="E633" s="198" t="s">
        <v>422</v>
      </c>
      <c r="F633" s="198" t="s">
        <v>363</v>
      </c>
      <c r="G633" s="198" t="s">
        <v>364</v>
      </c>
      <c r="H633" s="198" t="s">
        <v>2220</v>
      </c>
      <c r="I633" s="199"/>
      <c r="J633" s="198" t="s">
        <v>1750</v>
      </c>
      <c r="K633" s="198" t="s">
        <v>1435</v>
      </c>
      <c r="L633" s="234" t="n">
        <v>28260</v>
      </c>
      <c r="M633" s="234" t="n">
        <v>14450</v>
      </c>
      <c r="N633" s="234" t="n">
        <v>23.5</v>
      </c>
      <c r="O633" s="407" t="n">
        <v>13810</v>
      </c>
      <c r="P633" s="407" t="n">
        <v>10564.6</v>
      </c>
      <c r="Q633" s="234" t="n">
        <v>2024</v>
      </c>
      <c r="R633" s="234"/>
      <c r="S633" s="248" t="n">
        <v>45451</v>
      </c>
      <c r="T633" s="407" t="n">
        <f aca="false">Таблица18[[#This Row],[Вес нетто]]-Таблица18[[#This Row],[Зачетный вес]]</f>
        <v>3245.4</v>
      </c>
      <c r="U633" s="409" t="n">
        <f aca="false">Таблица18[[#This Row],[Отход]]/Таблица18[[#This Row],[Вес нетто]]</f>
        <v>0.235003620564808</v>
      </c>
      <c r="V633" s="234" t="n">
        <f aca="false">MONTH(Таблица18[[#This Row],[Дата акта]])</f>
        <v>6</v>
      </c>
      <c r="W633" s="234" t="n">
        <v>8</v>
      </c>
      <c r="X633" s="248" t="n">
        <f aca="false">DATE(1900,Таблица18[[#This Row],[Месяц]],Таблица18[[#This Row],[Число]])</f>
        <v>160</v>
      </c>
      <c r="Y633" s="234"/>
      <c r="AF633" s="411"/>
      <c r="AG633" s="412"/>
    </row>
    <row r="634" s="410" customFormat="true" ht="15" hidden="true" customHeight="true" outlineLevel="0" collapsed="false">
      <c r="A634" s="198" t="s">
        <v>2234</v>
      </c>
      <c r="B634" s="199" t="s">
        <v>417</v>
      </c>
      <c r="C634" s="198" t="n">
        <v>254</v>
      </c>
      <c r="D634" s="198" t="n">
        <v>113</v>
      </c>
      <c r="E634" s="198" t="s">
        <v>422</v>
      </c>
      <c r="F634" s="198" t="s">
        <v>55</v>
      </c>
      <c r="G634" s="198" t="s">
        <v>56</v>
      </c>
      <c r="H634" s="198" t="s">
        <v>2220</v>
      </c>
      <c r="I634" s="199"/>
      <c r="J634" s="198" t="s">
        <v>1750</v>
      </c>
      <c r="K634" s="198" t="s">
        <v>1435</v>
      </c>
      <c r="L634" s="234" t="n">
        <v>28330</v>
      </c>
      <c r="M634" s="234" t="n">
        <v>14540</v>
      </c>
      <c r="N634" s="234" t="n">
        <v>30.5</v>
      </c>
      <c r="O634" s="407" t="n">
        <v>13790</v>
      </c>
      <c r="P634" s="407" t="n">
        <v>9584</v>
      </c>
      <c r="Q634" s="234" t="n">
        <v>2024</v>
      </c>
      <c r="R634" s="234"/>
      <c r="S634" s="248" t="n">
        <v>45451</v>
      </c>
      <c r="T634" s="407" t="n">
        <f aca="false">Таблица18[[#This Row],[Вес нетто]]-Таблица18[[#This Row],[Зачетный вес]]</f>
        <v>4206</v>
      </c>
      <c r="U634" s="409" t="n">
        <f aca="false">Таблица18[[#This Row],[Отход]]/Таблица18[[#This Row],[Вес нетто]]</f>
        <v>0.305003625815809</v>
      </c>
      <c r="V634" s="234" t="n">
        <f aca="false">MONTH(Таблица18[[#This Row],[Дата акта]])</f>
        <v>6</v>
      </c>
      <c r="W634" s="234" t="n">
        <v>8</v>
      </c>
      <c r="X634" s="248" t="n">
        <f aca="false">DATE(1900,Таблица18[[#This Row],[Месяц]],Таблица18[[#This Row],[Число]])</f>
        <v>160</v>
      </c>
      <c r="Y634" s="234"/>
      <c r="AF634" s="411"/>
      <c r="AG634" s="412"/>
    </row>
    <row r="635" s="410" customFormat="true" ht="15" hidden="true" customHeight="true" outlineLevel="0" collapsed="false">
      <c r="A635" s="198" t="s">
        <v>2235</v>
      </c>
      <c r="B635" s="199" t="s">
        <v>417</v>
      </c>
      <c r="C635" s="198" t="n">
        <v>255</v>
      </c>
      <c r="D635" s="198" t="n">
        <v>114</v>
      </c>
      <c r="E635" s="198" t="s">
        <v>422</v>
      </c>
      <c r="F635" s="198" t="s">
        <v>1876</v>
      </c>
      <c r="G635" s="198" t="s">
        <v>1877</v>
      </c>
      <c r="H635" s="198" t="s">
        <v>2220</v>
      </c>
      <c r="I635" s="199"/>
      <c r="J635" s="198" t="s">
        <v>1750</v>
      </c>
      <c r="K635" s="198" t="s">
        <v>1435</v>
      </c>
      <c r="L635" s="234" t="n">
        <v>23240</v>
      </c>
      <c r="M635" s="234" t="n">
        <v>14690</v>
      </c>
      <c r="N635" s="234" t="n">
        <v>28.5</v>
      </c>
      <c r="O635" s="407" t="n">
        <v>8550</v>
      </c>
      <c r="P635" s="407" t="n">
        <v>6113.2</v>
      </c>
      <c r="Q635" s="234" t="n">
        <v>2024</v>
      </c>
      <c r="R635" s="234"/>
      <c r="S635" s="248" t="n">
        <v>45451</v>
      </c>
      <c r="T635" s="407" t="n">
        <f aca="false">Таблица18[[#This Row],[Вес нетто]]-Таблица18[[#This Row],[Зачетный вес]]</f>
        <v>2436.8</v>
      </c>
      <c r="U635" s="409" t="n">
        <f aca="false">Таблица18[[#This Row],[Отход]]/Таблица18[[#This Row],[Вес нетто]]</f>
        <v>0.285005847953216</v>
      </c>
      <c r="V635" s="234" t="n">
        <f aca="false">MONTH(Таблица18[[#This Row],[Дата акта]])</f>
        <v>6</v>
      </c>
      <c r="W635" s="234" t="n">
        <v>8</v>
      </c>
      <c r="X635" s="248" t="n">
        <f aca="false">DATE(1900,Таблица18[[#This Row],[Месяц]],Таблица18[[#This Row],[Число]])</f>
        <v>160</v>
      </c>
      <c r="Y635" s="234"/>
      <c r="AF635" s="411"/>
      <c r="AG635" s="412"/>
    </row>
    <row r="636" s="410" customFormat="true" ht="15" hidden="true" customHeight="true" outlineLevel="0" collapsed="false">
      <c r="A636" s="198" t="s">
        <v>2236</v>
      </c>
      <c r="B636" s="199" t="s">
        <v>417</v>
      </c>
      <c r="C636" s="198" t="n">
        <v>256</v>
      </c>
      <c r="D636" s="198" t="n">
        <v>115</v>
      </c>
      <c r="E636" s="198" t="s">
        <v>422</v>
      </c>
      <c r="F636" s="198" t="s">
        <v>2084</v>
      </c>
      <c r="G636" s="198" t="s">
        <v>2085</v>
      </c>
      <c r="H636" s="198" t="s">
        <v>2220</v>
      </c>
      <c r="I636" s="199"/>
      <c r="J636" s="198" t="s">
        <v>1750</v>
      </c>
      <c r="K636" s="198" t="s">
        <v>1435</v>
      </c>
      <c r="L636" s="234" t="n">
        <v>33120</v>
      </c>
      <c r="M636" s="234" t="n">
        <v>17260</v>
      </c>
      <c r="N636" s="234" t="n">
        <v>19.5</v>
      </c>
      <c r="O636" s="407" t="n">
        <v>15860</v>
      </c>
      <c r="P636" s="407" t="n">
        <v>12767.3</v>
      </c>
      <c r="Q636" s="234" t="n">
        <v>2024</v>
      </c>
      <c r="R636" s="234"/>
      <c r="S636" s="248" t="n">
        <v>45451</v>
      </c>
      <c r="T636" s="407" t="n">
        <f aca="false">Таблица18[[#This Row],[Вес нетто]]-Таблица18[[#This Row],[Зачетный вес]]</f>
        <v>3092.7</v>
      </c>
      <c r="U636" s="409" t="n">
        <f aca="false">Таблица18[[#This Row],[Отход]]/Таблица18[[#This Row],[Вес нетто]]</f>
        <v>0.195</v>
      </c>
      <c r="V636" s="234" t="n">
        <f aca="false">MONTH(Таблица18[[#This Row],[Дата акта]])</f>
        <v>6</v>
      </c>
      <c r="W636" s="234" t="n">
        <v>8</v>
      </c>
      <c r="X636" s="248" t="n">
        <f aca="false">DATE(1900,Таблица18[[#This Row],[Месяц]],Таблица18[[#This Row],[Число]])</f>
        <v>160</v>
      </c>
      <c r="Y636" s="234"/>
      <c r="AF636" s="411"/>
      <c r="AG636" s="412"/>
    </row>
    <row r="637" s="410" customFormat="true" ht="15" hidden="true" customHeight="true" outlineLevel="0" collapsed="false">
      <c r="A637" s="198" t="s">
        <v>2237</v>
      </c>
      <c r="B637" s="199" t="s">
        <v>417</v>
      </c>
      <c r="C637" s="198" t="n">
        <v>257</v>
      </c>
      <c r="D637" s="198" t="n">
        <v>116</v>
      </c>
      <c r="E637" s="198" t="s">
        <v>422</v>
      </c>
      <c r="F637" s="198" t="s">
        <v>1797</v>
      </c>
      <c r="G637" s="198" t="s">
        <v>385</v>
      </c>
      <c r="H637" s="198" t="s">
        <v>2220</v>
      </c>
      <c r="I637" s="199"/>
      <c r="J637" s="198" t="s">
        <v>1750</v>
      </c>
      <c r="K637" s="198" t="s">
        <v>1435</v>
      </c>
      <c r="L637" s="234" t="n">
        <v>28190</v>
      </c>
      <c r="M637" s="234" t="n">
        <v>14410</v>
      </c>
      <c r="N637" s="234" t="n">
        <v>25.5</v>
      </c>
      <c r="O637" s="407" t="n">
        <v>13780</v>
      </c>
      <c r="P637" s="407" t="n">
        <v>10266.1</v>
      </c>
      <c r="Q637" s="234" t="n">
        <v>2024</v>
      </c>
      <c r="R637" s="234"/>
      <c r="S637" s="248" t="n">
        <v>45451</v>
      </c>
      <c r="T637" s="407" t="n">
        <f aca="false">Таблица18[[#This Row],[Вес нетто]]-Таблица18[[#This Row],[Зачетный вес]]</f>
        <v>3513.9</v>
      </c>
      <c r="U637" s="409" t="n">
        <f aca="false">Таблица18[[#This Row],[Отход]]/Таблица18[[#This Row],[Вес нетто]]</f>
        <v>0.255</v>
      </c>
      <c r="V637" s="234" t="n">
        <f aca="false">MONTH(Таблица18[[#This Row],[Дата акта]])</f>
        <v>6</v>
      </c>
      <c r="W637" s="234" t="n">
        <v>8</v>
      </c>
      <c r="X637" s="248" t="n">
        <f aca="false">DATE(1900,Таблица18[[#This Row],[Месяц]],Таблица18[[#This Row],[Число]])</f>
        <v>160</v>
      </c>
      <c r="Y637" s="234"/>
      <c r="AF637" s="411"/>
      <c r="AG637" s="412"/>
    </row>
    <row r="638" s="410" customFormat="true" ht="15" hidden="true" customHeight="true" outlineLevel="0" collapsed="false">
      <c r="A638" s="198" t="s">
        <v>2238</v>
      </c>
      <c r="B638" s="199" t="s">
        <v>417</v>
      </c>
      <c r="C638" s="198" t="n">
        <v>258</v>
      </c>
      <c r="D638" s="198" t="n">
        <v>117</v>
      </c>
      <c r="E638" s="198" t="s">
        <v>422</v>
      </c>
      <c r="F638" s="198" t="s">
        <v>359</v>
      </c>
      <c r="G638" s="198" t="s">
        <v>426</v>
      </c>
      <c r="H638" s="198" t="s">
        <v>2220</v>
      </c>
      <c r="I638" s="199"/>
      <c r="J638" s="198" t="s">
        <v>1750</v>
      </c>
      <c r="K638" s="198" t="s">
        <v>1435</v>
      </c>
      <c r="L638" s="234" t="n">
        <v>27730</v>
      </c>
      <c r="M638" s="234" t="n">
        <v>13940</v>
      </c>
      <c r="N638" s="234" t="n">
        <v>28.5</v>
      </c>
      <c r="O638" s="407" t="n">
        <v>13790</v>
      </c>
      <c r="P638" s="407" t="n">
        <v>9859.8</v>
      </c>
      <c r="Q638" s="234" t="n">
        <v>2024</v>
      </c>
      <c r="R638" s="234"/>
      <c r="S638" s="248" t="n">
        <v>45451</v>
      </c>
      <c r="T638" s="407" t="n">
        <f aca="false">Таблица18[[#This Row],[Вес нетто]]-Таблица18[[#This Row],[Зачетный вес]]</f>
        <v>3930.2</v>
      </c>
      <c r="U638" s="409" t="n">
        <f aca="false">Таблица18[[#This Row],[Отход]]/Таблица18[[#This Row],[Вес нетто]]</f>
        <v>0.285003625815809</v>
      </c>
      <c r="V638" s="234" t="n">
        <f aca="false">MONTH(Таблица18[[#This Row],[Дата акта]])</f>
        <v>6</v>
      </c>
      <c r="W638" s="234" t="n">
        <v>8</v>
      </c>
      <c r="X638" s="248" t="n">
        <f aca="false">DATE(1900,Таблица18[[#This Row],[Месяц]],Таблица18[[#This Row],[Число]])</f>
        <v>160</v>
      </c>
      <c r="Y638" s="234"/>
      <c r="AF638" s="411"/>
      <c r="AG638" s="412"/>
    </row>
    <row r="639" s="410" customFormat="true" ht="15" hidden="true" customHeight="true" outlineLevel="0" collapsed="false">
      <c r="A639" s="198" t="s">
        <v>2239</v>
      </c>
      <c r="B639" s="199" t="s">
        <v>417</v>
      </c>
      <c r="C639" s="198" t="n">
        <v>259</v>
      </c>
      <c r="D639" s="198" t="n">
        <v>118</v>
      </c>
      <c r="E639" s="198" t="s">
        <v>422</v>
      </c>
      <c r="F639" s="198" t="s">
        <v>2084</v>
      </c>
      <c r="G639" s="198" t="s">
        <v>2085</v>
      </c>
      <c r="H639" s="198" t="s">
        <v>2220</v>
      </c>
      <c r="I639" s="199"/>
      <c r="J639" s="198" t="s">
        <v>2221</v>
      </c>
      <c r="K639" s="198" t="s">
        <v>1435</v>
      </c>
      <c r="L639" s="234" t="n">
        <v>33970</v>
      </c>
      <c r="M639" s="234" t="n">
        <v>24620</v>
      </c>
      <c r="N639" s="234" t="n">
        <v>16.5</v>
      </c>
      <c r="O639" s="407" t="n">
        <v>9350</v>
      </c>
      <c r="P639" s="407" t="n">
        <v>7807.2</v>
      </c>
      <c r="Q639" s="234" t="n">
        <v>2024</v>
      </c>
      <c r="R639" s="234"/>
      <c r="S639" s="248" t="n">
        <v>45451</v>
      </c>
      <c r="T639" s="407" t="n">
        <f aca="false">Таблица18[[#This Row],[Вес нетто]]-Таблица18[[#This Row],[Зачетный вес]]</f>
        <v>1542.8</v>
      </c>
      <c r="U639" s="409" t="n">
        <f aca="false">Таблица18[[#This Row],[Отход]]/Таблица18[[#This Row],[Вес нетто]]</f>
        <v>0.165005347593583</v>
      </c>
      <c r="V639" s="234" t="n">
        <f aca="false">MONTH(Таблица18[[#This Row],[Дата акта]])</f>
        <v>6</v>
      </c>
      <c r="W639" s="234" t="n">
        <v>8</v>
      </c>
      <c r="X639" s="248" t="n">
        <f aca="false">DATE(1900,Таблица18[[#This Row],[Месяц]],Таблица18[[#This Row],[Число]])</f>
        <v>160</v>
      </c>
      <c r="Y639" s="234"/>
      <c r="AF639" s="411"/>
      <c r="AG639" s="412"/>
    </row>
    <row r="640" s="410" customFormat="true" ht="15" hidden="true" customHeight="true" outlineLevel="0" collapsed="false">
      <c r="A640" s="198" t="s">
        <v>2240</v>
      </c>
      <c r="B640" s="199" t="s">
        <v>417</v>
      </c>
      <c r="C640" s="198" t="n">
        <v>260</v>
      </c>
      <c r="D640" s="198" t="n">
        <v>118</v>
      </c>
      <c r="E640" s="198" t="s">
        <v>422</v>
      </c>
      <c r="F640" s="198" t="s">
        <v>2084</v>
      </c>
      <c r="G640" s="198" t="s">
        <v>2085</v>
      </c>
      <c r="H640" s="198" t="s">
        <v>2220</v>
      </c>
      <c r="I640" s="199"/>
      <c r="J640" s="198" t="s">
        <v>1750</v>
      </c>
      <c r="K640" s="198" t="s">
        <v>1435</v>
      </c>
      <c r="L640" s="234" t="n">
        <v>24620</v>
      </c>
      <c r="M640" s="234" t="n">
        <v>17230</v>
      </c>
      <c r="N640" s="234" t="n">
        <v>23.5</v>
      </c>
      <c r="O640" s="407" t="n">
        <v>7390</v>
      </c>
      <c r="P640" s="407" t="n">
        <v>5653.3</v>
      </c>
      <c r="Q640" s="234" t="n">
        <v>2024</v>
      </c>
      <c r="R640" s="234"/>
      <c r="S640" s="248" t="n">
        <v>45451</v>
      </c>
      <c r="T640" s="407" t="n">
        <f aca="false">Таблица18[[#This Row],[Вес нетто]]-Таблица18[[#This Row],[Зачетный вес]]</f>
        <v>1736.7</v>
      </c>
      <c r="U640" s="409" t="n">
        <f aca="false">Таблица18[[#This Row],[Отход]]/Таблица18[[#This Row],[Вес нетто]]</f>
        <v>0.235006765899865</v>
      </c>
      <c r="V640" s="234" t="n">
        <f aca="false">MONTH(Таблица18[[#This Row],[Дата акта]])</f>
        <v>6</v>
      </c>
      <c r="W640" s="234" t="n">
        <v>8</v>
      </c>
      <c r="X640" s="248" t="n">
        <f aca="false">DATE(1900,Таблица18[[#This Row],[Месяц]],Таблица18[[#This Row],[Число]])</f>
        <v>160</v>
      </c>
      <c r="Y640" s="234"/>
      <c r="AF640" s="411"/>
      <c r="AG640" s="412"/>
    </row>
    <row r="641" s="410" customFormat="true" ht="15" hidden="true" customHeight="true" outlineLevel="0" collapsed="false">
      <c r="A641" s="198" t="s">
        <v>2241</v>
      </c>
      <c r="B641" s="199" t="s">
        <v>417</v>
      </c>
      <c r="C641" s="198" t="n">
        <v>261</v>
      </c>
      <c r="D641" s="198" t="n">
        <v>119</v>
      </c>
      <c r="E641" s="198" t="s">
        <v>422</v>
      </c>
      <c r="F641" s="198" t="s">
        <v>1797</v>
      </c>
      <c r="G641" s="198" t="s">
        <v>385</v>
      </c>
      <c r="H641" s="198" t="s">
        <v>2220</v>
      </c>
      <c r="I641" s="199"/>
      <c r="J641" s="198" t="s">
        <v>2221</v>
      </c>
      <c r="K641" s="198" t="s">
        <v>1435</v>
      </c>
      <c r="L641" s="234" t="n">
        <v>28100</v>
      </c>
      <c r="M641" s="234" t="n">
        <v>14390</v>
      </c>
      <c r="N641" s="234" t="n">
        <v>18.5</v>
      </c>
      <c r="O641" s="407" t="n">
        <v>13710</v>
      </c>
      <c r="P641" s="407" t="n">
        <v>11173.6</v>
      </c>
      <c r="Q641" s="234" t="n">
        <v>2024</v>
      </c>
      <c r="R641" s="234"/>
      <c r="S641" s="248" t="n">
        <v>45451</v>
      </c>
      <c r="T641" s="407" t="n">
        <f aca="false">Таблица18[[#This Row],[Вес нетто]]-Таблица18[[#This Row],[Зачетный вес]]</f>
        <v>2536.4</v>
      </c>
      <c r="U641" s="409" t="n">
        <f aca="false">Таблица18[[#This Row],[Отход]]/Таблица18[[#This Row],[Вес нетто]]</f>
        <v>0.185003646973012</v>
      </c>
      <c r="V641" s="234" t="n">
        <f aca="false">MONTH(Таблица18[[#This Row],[Дата акта]])</f>
        <v>6</v>
      </c>
      <c r="W641" s="234" t="n">
        <v>8</v>
      </c>
      <c r="X641" s="248" t="n">
        <f aca="false">DATE(1900,Таблица18[[#This Row],[Месяц]],Таблица18[[#This Row],[Число]])</f>
        <v>160</v>
      </c>
      <c r="Y641" s="234"/>
      <c r="AF641" s="411"/>
      <c r="AG641" s="412"/>
    </row>
    <row r="642" s="410" customFormat="true" ht="15" hidden="true" customHeight="true" outlineLevel="0" collapsed="false">
      <c r="A642" s="198" t="s">
        <v>2242</v>
      </c>
      <c r="B642" s="199" t="s">
        <v>417</v>
      </c>
      <c r="C642" s="198" t="n">
        <v>262</v>
      </c>
      <c r="D642" s="198" t="n">
        <v>120</v>
      </c>
      <c r="E642" s="198" t="s">
        <v>422</v>
      </c>
      <c r="F642" s="198" t="s">
        <v>359</v>
      </c>
      <c r="G642" s="198" t="s">
        <v>426</v>
      </c>
      <c r="H642" s="198" t="s">
        <v>2220</v>
      </c>
      <c r="I642" s="199"/>
      <c r="J642" s="198" t="s">
        <v>2221</v>
      </c>
      <c r="K642" s="198" t="s">
        <v>1435</v>
      </c>
      <c r="L642" s="234" t="n">
        <v>25650</v>
      </c>
      <c r="M642" s="234" t="n">
        <v>13920</v>
      </c>
      <c r="N642" s="234" t="n">
        <v>23</v>
      </c>
      <c r="O642" s="407" t="n">
        <v>11730</v>
      </c>
      <c r="P642" s="407" t="n">
        <v>9032.1</v>
      </c>
      <c r="Q642" s="234" t="n">
        <v>2024</v>
      </c>
      <c r="R642" s="234"/>
      <c r="S642" s="248" t="n">
        <v>45451</v>
      </c>
      <c r="T642" s="407" t="n">
        <f aca="false">Таблица18[[#This Row],[Вес нетто]]-Таблица18[[#This Row],[Зачетный вес]]</f>
        <v>2697.9</v>
      </c>
      <c r="U642" s="409" t="n">
        <f aca="false">Таблица18[[#This Row],[Отход]]/Таблица18[[#This Row],[Вес нетто]]</f>
        <v>0.23</v>
      </c>
      <c r="V642" s="234" t="n">
        <f aca="false">MONTH(Таблица18[[#This Row],[Дата акта]])</f>
        <v>6</v>
      </c>
      <c r="W642" s="234" t="n">
        <v>8</v>
      </c>
      <c r="X642" s="248" t="n">
        <f aca="false">DATE(1900,Таблица18[[#This Row],[Месяц]],Таблица18[[#This Row],[Число]])</f>
        <v>160</v>
      </c>
      <c r="Y642" s="234"/>
      <c r="AF642" s="411"/>
      <c r="AG642" s="412"/>
    </row>
    <row r="643" s="410" customFormat="true" ht="15" hidden="true" customHeight="true" outlineLevel="0" collapsed="false">
      <c r="A643" s="198" t="s">
        <v>2243</v>
      </c>
      <c r="B643" s="199" t="s">
        <v>417</v>
      </c>
      <c r="C643" s="198" t="n">
        <v>263</v>
      </c>
      <c r="D643" s="198" t="n">
        <v>1</v>
      </c>
      <c r="E643" s="198" t="s">
        <v>2244</v>
      </c>
      <c r="F643" s="198" t="s">
        <v>359</v>
      </c>
      <c r="G643" s="198" t="s">
        <v>426</v>
      </c>
      <c r="H643" s="198" t="s">
        <v>2245</v>
      </c>
      <c r="I643" s="199"/>
      <c r="J643" s="198" t="s">
        <v>1843</v>
      </c>
      <c r="K643" s="198" t="s">
        <v>1435</v>
      </c>
      <c r="L643" s="234" t="n">
        <v>26980</v>
      </c>
      <c r="M643" s="234" t="n">
        <v>13940</v>
      </c>
      <c r="N643" s="234" t="n">
        <v>30.5</v>
      </c>
      <c r="O643" s="407" t="n">
        <v>13040</v>
      </c>
      <c r="P643" s="407" t="n">
        <v>9062.8</v>
      </c>
      <c r="Q643" s="234" t="n">
        <v>2024</v>
      </c>
      <c r="R643" s="234"/>
      <c r="S643" s="248" t="n">
        <v>45452</v>
      </c>
      <c r="T643" s="407" t="n">
        <f aca="false">Таблица18[[#This Row],[Вес нетто]]-Таблица18[[#This Row],[Зачетный вес]]</f>
        <v>3977.2</v>
      </c>
      <c r="U643" s="409" t="n">
        <f aca="false">Таблица18[[#This Row],[Отход]]/Таблица18[[#This Row],[Вес нетто]]</f>
        <v>0.305</v>
      </c>
      <c r="V643" s="234" t="n">
        <f aca="false">MONTH(Таблица18[[#This Row],[Дата акта]])</f>
        <v>6</v>
      </c>
      <c r="W643" s="234" t="n">
        <v>9</v>
      </c>
      <c r="X643" s="248" t="n">
        <f aca="false">DATE(1900,Таблица18[[#This Row],[Месяц]],Таблица18[[#This Row],[Число]])</f>
        <v>161</v>
      </c>
      <c r="Y643" s="234"/>
      <c r="AF643" s="411"/>
      <c r="AG643" s="412"/>
    </row>
    <row r="644" s="410" customFormat="true" ht="15" hidden="true" customHeight="true" outlineLevel="0" collapsed="false">
      <c r="A644" s="198" t="s">
        <v>2246</v>
      </c>
      <c r="B644" s="199" t="s">
        <v>417</v>
      </c>
      <c r="C644" s="198" t="n">
        <v>265</v>
      </c>
      <c r="D644" s="198" t="n">
        <v>2</v>
      </c>
      <c r="E644" s="198" t="s">
        <v>2244</v>
      </c>
      <c r="F644" s="198" t="s">
        <v>371</v>
      </c>
      <c r="G644" s="198" t="s">
        <v>372</v>
      </c>
      <c r="H644" s="198" t="s">
        <v>2245</v>
      </c>
      <c r="I644" s="199"/>
      <c r="J644" s="198" t="s">
        <v>1843</v>
      </c>
      <c r="K644" s="198" t="s">
        <v>1435</v>
      </c>
      <c r="L644" s="234" t="n">
        <v>28750</v>
      </c>
      <c r="M644" s="234" t="n">
        <v>15080</v>
      </c>
      <c r="N644" s="234" t="n">
        <v>29.5</v>
      </c>
      <c r="O644" s="407" t="n">
        <v>13670</v>
      </c>
      <c r="P644" s="407" t="n">
        <v>9637.3</v>
      </c>
      <c r="Q644" s="234" t="n">
        <v>2024</v>
      </c>
      <c r="R644" s="234"/>
      <c r="S644" s="248" t="n">
        <v>45452</v>
      </c>
      <c r="T644" s="407" t="n">
        <f aca="false">Таблица18[[#This Row],[Вес нетто]]-Таблица18[[#This Row],[Зачетный вес]]</f>
        <v>4032.7</v>
      </c>
      <c r="U644" s="409" t="n">
        <f aca="false">Таблица18[[#This Row],[Отход]]/Таблица18[[#This Row],[Вес нетто]]</f>
        <v>0.295003657644477</v>
      </c>
      <c r="V644" s="234" t="n">
        <f aca="false">MONTH(Таблица18[[#This Row],[Дата акта]])</f>
        <v>6</v>
      </c>
      <c r="W644" s="234" t="n">
        <v>9</v>
      </c>
      <c r="X644" s="248" t="n">
        <f aca="false">DATE(1900,Таблица18[[#This Row],[Месяц]],Таблица18[[#This Row],[Число]])</f>
        <v>161</v>
      </c>
      <c r="Y644" s="234"/>
      <c r="AF644" s="411"/>
      <c r="AG644" s="412"/>
    </row>
    <row r="645" s="410" customFormat="true" ht="15" hidden="true" customHeight="true" outlineLevel="0" collapsed="false">
      <c r="A645" s="198" t="s">
        <v>2247</v>
      </c>
      <c r="B645" s="199" t="s">
        <v>417</v>
      </c>
      <c r="C645" s="198" t="n">
        <v>267</v>
      </c>
      <c r="D645" s="198" t="n">
        <v>4</v>
      </c>
      <c r="E645" s="198" t="s">
        <v>2244</v>
      </c>
      <c r="F645" s="198" t="s">
        <v>1086</v>
      </c>
      <c r="G645" s="198" t="s">
        <v>1087</v>
      </c>
      <c r="H645" s="198" t="s">
        <v>2245</v>
      </c>
      <c r="I645" s="199"/>
      <c r="J645" s="198" t="s">
        <v>1843</v>
      </c>
      <c r="K645" s="198" t="s">
        <v>1435</v>
      </c>
      <c r="L645" s="234" t="n">
        <v>28200</v>
      </c>
      <c r="M645" s="234" t="n">
        <v>15020</v>
      </c>
      <c r="N645" s="234" t="n">
        <v>27.5</v>
      </c>
      <c r="O645" s="407" t="n">
        <v>13180</v>
      </c>
      <c r="P645" s="407" t="n">
        <v>9555.5</v>
      </c>
      <c r="Q645" s="234" t="n">
        <v>2024</v>
      </c>
      <c r="R645" s="234"/>
      <c r="S645" s="248" t="n">
        <v>45452</v>
      </c>
      <c r="T645" s="407" t="n">
        <f aca="false">Таблица18[[#This Row],[Вес нетто]]-Таблица18[[#This Row],[Зачетный вес]]</f>
        <v>3624.5</v>
      </c>
      <c r="U645" s="409" t="n">
        <f aca="false">Таблица18[[#This Row],[Отход]]/Таблица18[[#This Row],[Вес нетто]]</f>
        <v>0.275</v>
      </c>
      <c r="V645" s="234" t="n">
        <f aca="false">MONTH(Таблица18[[#This Row],[Дата акта]])</f>
        <v>6</v>
      </c>
      <c r="W645" s="234" t="n">
        <v>9</v>
      </c>
      <c r="X645" s="248" t="n">
        <f aca="false">DATE(1900,Таблица18[[#This Row],[Месяц]],Таблица18[[#This Row],[Число]])</f>
        <v>161</v>
      </c>
      <c r="Y645" s="234"/>
      <c r="AF645" s="411"/>
      <c r="AG645" s="412"/>
    </row>
    <row r="646" s="410" customFormat="true" ht="15" hidden="true" customHeight="true" outlineLevel="0" collapsed="false">
      <c r="A646" s="198" t="s">
        <v>2248</v>
      </c>
      <c r="B646" s="199" t="s">
        <v>417</v>
      </c>
      <c r="C646" s="198" t="n">
        <v>268</v>
      </c>
      <c r="D646" s="198" t="n">
        <v>5</v>
      </c>
      <c r="E646" s="198" t="s">
        <v>2244</v>
      </c>
      <c r="F646" s="198" t="s">
        <v>547</v>
      </c>
      <c r="G646" s="198" t="s">
        <v>551</v>
      </c>
      <c r="H646" s="198" t="s">
        <v>2245</v>
      </c>
      <c r="I646" s="199"/>
      <c r="J646" s="198" t="s">
        <v>1843</v>
      </c>
      <c r="K646" s="198" t="s">
        <v>1435</v>
      </c>
      <c r="L646" s="234" t="n">
        <v>28190</v>
      </c>
      <c r="M646" s="234" t="n">
        <v>14590</v>
      </c>
      <c r="N646" s="234" t="n">
        <v>30.5</v>
      </c>
      <c r="O646" s="407" t="n">
        <v>13600</v>
      </c>
      <c r="P646" s="407" t="n">
        <v>9452</v>
      </c>
      <c r="Q646" s="234" t="n">
        <v>2024</v>
      </c>
      <c r="R646" s="234"/>
      <c r="S646" s="248" t="n">
        <v>45452</v>
      </c>
      <c r="T646" s="407" t="n">
        <f aca="false">Таблица18[[#This Row],[Вес нетто]]-Таблица18[[#This Row],[Зачетный вес]]</f>
        <v>4148</v>
      </c>
      <c r="U646" s="409" t="n">
        <f aca="false">Таблица18[[#This Row],[Отход]]/Таблица18[[#This Row],[Вес нетто]]</f>
        <v>0.305</v>
      </c>
      <c r="V646" s="234" t="n">
        <f aca="false">MONTH(Таблица18[[#This Row],[Дата акта]])</f>
        <v>6</v>
      </c>
      <c r="W646" s="234" t="n">
        <v>9</v>
      </c>
      <c r="X646" s="248" t="n">
        <f aca="false">DATE(1900,Таблица18[[#This Row],[Месяц]],Таблица18[[#This Row],[Число]])</f>
        <v>161</v>
      </c>
      <c r="Y646" s="234"/>
      <c r="AF646" s="411"/>
      <c r="AG646" s="412"/>
    </row>
    <row r="647" s="410" customFormat="true" ht="15" hidden="true" customHeight="true" outlineLevel="0" collapsed="false">
      <c r="A647" s="198" t="s">
        <v>2249</v>
      </c>
      <c r="B647" s="199" t="s">
        <v>417</v>
      </c>
      <c r="C647" s="198" t="n">
        <v>269</v>
      </c>
      <c r="D647" s="198" t="n">
        <v>3</v>
      </c>
      <c r="E647" s="198" t="s">
        <v>2244</v>
      </c>
      <c r="F647" s="198" t="s">
        <v>2084</v>
      </c>
      <c r="G647" s="198" t="s">
        <v>2085</v>
      </c>
      <c r="H647" s="198" t="s">
        <v>2245</v>
      </c>
      <c r="I647" s="199"/>
      <c r="J647" s="198" t="s">
        <v>1843</v>
      </c>
      <c r="K647" s="198" t="s">
        <v>1435</v>
      </c>
      <c r="L647" s="234" t="n">
        <v>33150</v>
      </c>
      <c r="M647" s="234" t="n">
        <v>17130</v>
      </c>
      <c r="N647" s="234" t="n">
        <v>30.5</v>
      </c>
      <c r="O647" s="407" t="n">
        <v>16020</v>
      </c>
      <c r="P647" s="407" t="n">
        <v>11133.9</v>
      </c>
      <c r="Q647" s="234" t="n">
        <v>2024</v>
      </c>
      <c r="R647" s="234"/>
      <c r="S647" s="248" t="n">
        <v>45452</v>
      </c>
      <c r="T647" s="407" t="n">
        <f aca="false">Таблица18[[#This Row],[Вес нетто]]-Таблица18[[#This Row],[Зачетный вес]]</f>
        <v>4886.1</v>
      </c>
      <c r="U647" s="409" t="n">
        <f aca="false">Таблица18[[#This Row],[Отход]]/Таблица18[[#This Row],[Вес нетто]]</f>
        <v>0.305</v>
      </c>
      <c r="V647" s="234" t="n">
        <f aca="false">MONTH(Таблица18[[#This Row],[Дата акта]])</f>
        <v>6</v>
      </c>
      <c r="W647" s="234" t="n">
        <v>9</v>
      </c>
      <c r="X647" s="248" t="n">
        <f aca="false">DATE(1900,Таблица18[[#This Row],[Месяц]],Таблица18[[#This Row],[Число]])</f>
        <v>161</v>
      </c>
      <c r="Y647" s="234"/>
      <c r="AF647" s="411"/>
      <c r="AG647" s="412"/>
    </row>
    <row r="648" s="410" customFormat="true" ht="15" hidden="true" customHeight="true" outlineLevel="0" collapsed="false">
      <c r="A648" s="198" t="s">
        <v>2250</v>
      </c>
      <c r="B648" s="199" t="s">
        <v>417</v>
      </c>
      <c r="C648" s="198" t="n">
        <v>270</v>
      </c>
      <c r="D648" s="198" t="n">
        <v>6</v>
      </c>
      <c r="E648" s="198" t="s">
        <v>2244</v>
      </c>
      <c r="F648" s="198" t="s">
        <v>2075</v>
      </c>
      <c r="G648" s="198" t="s">
        <v>2076</v>
      </c>
      <c r="H648" s="198" t="s">
        <v>2251</v>
      </c>
      <c r="I648" s="199"/>
      <c r="J648" s="198" t="s">
        <v>1843</v>
      </c>
      <c r="K648" s="198" t="s">
        <v>1435</v>
      </c>
      <c r="L648" s="234" t="n">
        <v>28890</v>
      </c>
      <c r="M648" s="234" t="n">
        <v>14930</v>
      </c>
      <c r="N648" s="234" t="n">
        <v>24.5</v>
      </c>
      <c r="O648" s="407" t="n">
        <v>13960</v>
      </c>
      <c r="P648" s="407" t="n">
        <v>10539.8</v>
      </c>
      <c r="Q648" s="234" t="n">
        <v>2024</v>
      </c>
      <c r="R648" s="234"/>
      <c r="S648" s="248" t="n">
        <v>45452</v>
      </c>
      <c r="T648" s="407" t="n">
        <f aca="false">Таблица18[[#This Row],[Вес нетто]]-Таблица18[[#This Row],[Зачетный вес]]</f>
        <v>3420.2</v>
      </c>
      <c r="U648" s="409" t="n">
        <f aca="false">Таблица18[[#This Row],[Отход]]/Таблица18[[#This Row],[Вес нетто]]</f>
        <v>0.245</v>
      </c>
      <c r="V648" s="234" t="n">
        <f aca="false">MONTH(Таблица18[[#This Row],[Дата акта]])</f>
        <v>6</v>
      </c>
      <c r="W648" s="234" t="n">
        <v>9</v>
      </c>
      <c r="X648" s="248" t="n">
        <f aca="false">DATE(1900,Таблица18[[#This Row],[Месяц]],Таблица18[[#This Row],[Число]])</f>
        <v>161</v>
      </c>
      <c r="Y648" s="234"/>
      <c r="AF648" s="411"/>
      <c r="AG648" s="412"/>
    </row>
    <row r="649" s="410" customFormat="true" ht="15" hidden="true" customHeight="true" outlineLevel="0" collapsed="false">
      <c r="A649" s="198" t="s">
        <v>2252</v>
      </c>
      <c r="B649" s="199" t="s">
        <v>417</v>
      </c>
      <c r="C649" s="198" t="n">
        <v>271</v>
      </c>
      <c r="D649" s="198" t="n">
        <v>7</v>
      </c>
      <c r="E649" s="198" t="s">
        <v>2244</v>
      </c>
      <c r="F649" s="198" t="s">
        <v>2253</v>
      </c>
      <c r="G649" s="198" t="s">
        <v>2254</v>
      </c>
      <c r="H649" s="198" t="s">
        <v>2251</v>
      </c>
      <c r="I649" s="199"/>
      <c r="J649" s="198" t="s">
        <v>1843</v>
      </c>
      <c r="K649" s="198" t="s">
        <v>1435</v>
      </c>
      <c r="L649" s="234" t="n">
        <v>32360</v>
      </c>
      <c r="M649" s="234" t="n">
        <v>16610</v>
      </c>
      <c r="N649" s="234" t="n">
        <v>30.5</v>
      </c>
      <c r="O649" s="407" t="n">
        <v>15750</v>
      </c>
      <c r="P649" s="407" t="n">
        <v>10946.2</v>
      </c>
      <c r="Q649" s="234" t="n">
        <v>2024</v>
      </c>
      <c r="R649" s="234"/>
      <c r="S649" s="248" t="n">
        <v>45452</v>
      </c>
      <c r="T649" s="407" t="n">
        <f aca="false">Таблица18[[#This Row],[Вес нетто]]-Таблица18[[#This Row],[Зачетный вес]]</f>
        <v>4803.8</v>
      </c>
      <c r="U649" s="409" t="n">
        <f aca="false">Таблица18[[#This Row],[Отход]]/Таблица18[[#This Row],[Вес нетто]]</f>
        <v>0.305003174603175</v>
      </c>
      <c r="V649" s="234" t="n">
        <f aca="false">MONTH(Таблица18[[#This Row],[Дата акта]])</f>
        <v>6</v>
      </c>
      <c r="W649" s="234" t="n">
        <v>9</v>
      </c>
      <c r="X649" s="248" t="n">
        <f aca="false">DATE(1900,Таблица18[[#This Row],[Месяц]],Таблица18[[#This Row],[Число]])</f>
        <v>161</v>
      </c>
      <c r="Y649" s="234"/>
      <c r="AF649" s="411"/>
      <c r="AG649" s="412"/>
    </row>
    <row r="650" s="410" customFormat="true" ht="15" hidden="true" customHeight="true" outlineLevel="0" collapsed="false">
      <c r="A650" s="198" t="s">
        <v>2255</v>
      </c>
      <c r="B650" s="199" t="s">
        <v>417</v>
      </c>
      <c r="C650" s="198" t="n">
        <v>272</v>
      </c>
      <c r="D650" s="198" t="n">
        <v>8</v>
      </c>
      <c r="E650" s="198" t="s">
        <v>2244</v>
      </c>
      <c r="F650" s="198" t="s">
        <v>2256</v>
      </c>
      <c r="G650" s="198" t="s">
        <v>2257</v>
      </c>
      <c r="H650" s="198" t="s">
        <v>2251</v>
      </c>
      <c r="I650" s="199"/>
      <c r="J650" s="198" t="s">
        <v>1843</v>
      </c>
      <c r="K650" s="198" t="s">
        <v>1435</v>
      </c>
      <c r="L650" s="234" t="n">
        <v>39070</v>
      </c>
      <c r="M650" s="234" t="n">
        <v>21210</v>
      </c>
      <c r="N650" s="234" t="n">
        <v>25.5</v>
      </c>
      <c r="O650" s="407" t="n">
        <v>17860</v>
      </c>
      <c r="P650" s="407" t="n">
        <v>13305.7</v>
      </c>
      <c r="Q650" s="234" t="n">
        <v>2024</v>
      </c>
      <c r="R650" s="234"/>
      <c r="S650" s="248" t="n">
        <v>45453</v>
      </c>
      <c r="T650" s="407" t="n">
        <f aca="false">Таблица18[[#This Row],[Вес нетто]]-Таблица18[[#This Row],[Зачетный вес]]</f>
        <v>4554.3</v>
      </c>
      <c r="U650" s="409" t="n">
        <f aca="false">Таблица18[[#This Row],[Отход]]/Таблица18[[#This Row],[Вес нетто]]</f>
        <v>0.255</v>
      </c>
      <c r="V650" s="234" t="n">
        <f aca="false">MONTH(Таблица18[[#This Row],[Дата акта]])</f>
        <v>6</v>
      </c>
      <c r="W650" s="234" t="n">
        <v>10</v>
      </c>
      <c r="X650" s="248" t="n">
        <f aca="false">DATE(1900,Таблица18[[#This Row],[Месяц]],Таблица18[[#This Row],[Число]])</f>
        <v>162</v>
      </c>
      <c r="Y650" s="234"/>
      <c r="AF650" s="411"/>
      <c r="AG650" s="412"/>
    </row>
    <row r="651" s="410" customFormat="true" ht="15" hidden="true" customHeight="true" outlineLevel="0" collapsed="false">
      <c r="A651" s="198" t="s">
        <v>2258</v>
      </c>
      <c r="B651" s="199" t="s">
        <v>417</v>
      </c>
      <c r="C651" s="198" t="n">
        <v>273</v>
      </c>
      <c r="D651" s="198" t="n">
        <v>9</v>
      </c>
      <c r="E651" s="198" t="s">
        <v>2244</v>
      </c>
      <c r="F651" s="198" t="s">
        <v>2078</v>
      </c>
      <c r="G651" s="198" t="s">
        <v>557</v>
      </c>
      <c r="H651" s="198" t="s">
        <v>2251</v>
      </c>
      <c r="I651" s="199"/>
      <c r="J651" s="198" t="s">
        <v>1843</v>
      </c>
      <c r="K651" s="198" t="s">
        <v>1435</v>
      </c>
      <c r="L651" s="234" t="n">
        <v>28390</v>
      </c>
      <c r="M651" s="234" t="n">
        <v>14940</v>
      </c>
      <c r="N651" s="234" t="n">
        <v>27</v>
      </c>
      <c r="O651" s="407" t="n">
        <v>13450</v>
      </c>
      <c r="P651" s="407" t="n">
        <v>9818.5</v>
      </c>
      <c r="Q651" s="234" t="n">
        <v>2024</v>
      </c>
      <c r="R651" s="234"/>
      <c r="S651" s="248" t="n">
        <v>45453</v>
      </c>
      <c r="T651" s="407" t="n">
        <f aca="false">Таблица18[[#This Row],[Вес нетто]]-Таблица18[[#This Row],[Зачетный вес]]</f>
        <v>3631.5</v>
      </c>
      <c r="U651" s="409" t="n">
        <f aca="false">Таблица18[[#This Row],[Отход]]/Таблица18[[#This Row],[Вес нетто]]</f>
        <v>0.27</v>
      </c>
      <c r="V651" s="234" t="n">
        <f aca="false">MONTH(Таблица18[[#This Row],[Дата акта]])</f>
        <v>6</v>
      </c>
      <c r="W651" s="234" t="n">
        <v>10</v>
      </c>
      <c r="X651" s="248" t="n">
        <f aca="false">DATE(1900,Таблица18[[#This Row],[Месяц]],Таблица18[[#This Row],[Число]])</f>
        <v>162</v>
      </c>
      <c r="Y651" s="234"/>
      <c r="AF651" s="411"/>
      <c r="AG651" s="412"/>
    </row>
    <row r="652" s="410" customFormat="true" ht="15" hidden="true" customHeight="true" outlineLevel="0" collapsed="false">
      <c r="A652" s="198" t="s">
        <v>2259</v>
      </c>
      <c r="B652" s="199" t="s">
        <v>417</v>
      </c>
      <c r="C652" s="198" t="n">
        <v>275</v>
      </c>
      <c r="D652" s="198" t="n">
        <v>10</v>
      </c>
      <c r="E652" s="198" t="s">
        <v>2244</v>
      </c>
      <c r="F652" s="198" t="s">
        <v>2260</v>
      </c>
      <c r="G652" s="198" t="s">
        <v>455</v>
      </c>
      <c r="H652" s="198" t="s">
        <v>2251</v>
      </c>
      <c r="I652" s="199"/>
      <c r="J652" s="198" t="s">
        <v>1843</v>
      </c>
      <c r="K652" s="198" t="s">
        <v>1435</v>
      </c>
      <c r="L652" s="234" t="n">
        <v>28870</v>
      </c>
      <c r="M652" s="234" t="n">
        <v>15090</v>
      </c>
      <c r="N652" s="234" t="n">
        <v>26</v>
      </c>
      <c r="O652" s="407" t="n">
        <v>13780</v>
      </c>
      <c r="P652" s="407" t="n">
        <v>10197.2</v>
      </c>
      <c r="Q652" s="234" t="n">
        <v>2024</v>
      </c>
      <c r="R652" s="234"/>
      <c r="S652" s="248" t="n">
        <v>45453</v>
      </c>
      <c r="T652" s="407" t="n">
        <f aca="false">Таблица18[[#This Row],[Вес нетто]]-Таблица18[[#This Row],[Зачетный вес]]</f>
        <v>3582.8</v>
      </c>
      <c r="U652" s="409" t="n">
        <f aca="false">Таблица18[[#This Row],[Отход]]/Таблица18[[#This Row],[Вес нетто]]</f>
        <v>0.26</v>
      </c>
      <c r="V652" s="234" t="n">
        <f aca="false">MONTH(Таблица18[[#This Row],[Дата акта]])</f>
        <v>6</v>
      </c>
      <c r="W652" s="234" t="n">
        <v>10</v>
      </c>
      <c r="X652" s="248" t="n">
        <f aca="false">DATE(1900,Таблица18[[#This Row],[Месяц]],Таблица18[[#This Row],[Число]])</f>
        <v>162</v>
      </c>
      <c r="Y652" s="234"/>
      <c r="AF652" s="411"/>
      <c r="AG652" s="412"/>
    </row>
    <row r="653" s="410" customFormat="true" ht="15" hidden="true" customHeight="true" outlineLevel="0" collapsed="false">
      <c r="A653" s="198" t="s">
        <v>2261</v>
      </c>
      <c r="B653" s="199" t="s">
        <v>417</v>
      </c>
      <c r="C653" s="198" t="n">
        <v>276</v>
      </c>
      <c r="D653" s="198" t="n">
        <v>11</v>
      </c>
      <c r="E653" s="198" t="s">
        <v>2244</v>
      </c>
      <c r="F653" s="198" t="s">
        <v>2262</v>
      </c>
      <c r="G653" s="198" t="s">
        <v>449</v>
      </c>
      <c r="H653" s="198" t="s">
        <v>2251</v>
      </c>
      <c r="I653" s="199"/>
      <c r="J653" s="198" t="s">
        <v>1843</v>
      </c>
      <c r="K653" s="198" t="s">
        <v>1435</v>
      </c>
      <c r="L653" s="234" t="n">
        <v>29350</v>
      </c>
      <c r="M653" s="234" t="n">
        <v>15660</v>
      </c>
      <c r="N653" s="234" t="n">
        <v>28</v>
      </c>
      <c r="O653" s="407" t="n">
        <v>13690</v>
      </c>
      <c r="P653" s="407" t="n">
        <v>9856.8</v>
      </c>
      <c r="Q653" s="234" t="n">
        <v>2024</v>
      </c>
      <c r="R653" s="234"/>
      <c r="S653" s="248" t="n">
        <v>45453</v>
      </c>
      <c r="T653" s="407" t="n">
        <f aca="false">Таблица18[[#This Row],[Вес нетто]]-Таблица18[[#This Row],[Зачетный вес]]</f>
        <v>3833.2</v>
      </c>
      <c r="U653" s="409" t="n">
        <f aca="false">Таблица18[[#This Row],[Отход]]/Таблица18[[#This Row],[Вес нетто]]</f>
        <v>0.28</v>
      </c>
      <c r="V653" s="234" t="n">
        <f aca="false">MONTH(Таблица18[[#This Row],[Дата акта]])</f>
        <v>6</v>
      </c>
      <c r="W653" s="234" t="n">
        <v>10</v>
      </c>
      <c r="X653" s="248" t="n">
        <f aca="false">DATE(1900,Таблица18[[#This Row],[Месяц]],Таблица18[[#This Row],[Число]])</f>
        <v>162</v>
      </c>
      <c r="Y653" s="234"/>
      <c r="AF653" s="411"/>
      <c r="AG653" s="412"/>
    </row>
    <row r="654" s="410" customFormat="true" ht="15" hidden="true" customHeight="true" outlineLevel="0" collapsed="false">
      <c r="A654" s="198" t="s">
        <v>2263</v>
      </c>
      <c r="B654" s="199" t="s">
        <v>417</v>
      </c>
      <c r="C654" s="198" t="n">
        <v>277</v>
      </c>
      <c r="D654" s="198" t="n">
        <v>12</v>
      </c>
      <c r="E654" s="198" t="s">
        <v>2244</v>
      </c>
      <c r="F654" s="198" t="s">
        <v>1876</v>
      </c>
      <c r="G654" s="198" t="s">
        <v>1877</v>
      </c>
      <c r="H654" s="198" t="s">
        <v>2251</v>
      </c>
      <c r="I654" s="199"/>
      <c r="J654" s="198" t="s">
        <v>1843</v>
      </c>
      <c r="K654" s="198" t="s">
        <v>1435</v>
      </c>
      <c r="L654" s="234" t="n">
        <v>28440</v>
      </c>
      <c r="M654" s="234" t="n">
        <v>14690</v>
      </c>
      <c r="N654" s="234" t="n">
        <v>14</v>
      </c>
      <c r="O654" s="407" t="n">
        <v>13750</v>
      </c>
      <c r="P654" s="407" t="n">
        <v>11825</v>
      </c>
      <c r="Q654" s="234" t="n">
        <v>2024</v>
      </c>
      <c r="R654" s="234"/>
      <c r="S654" s="248" t="n">
        <v>45453</v>
      </c>
      <c r="T654" s="407" t="n">
        <f aca="false">Таблица18[[#This Row],[Вес нетто]]-Таблица18[[#This Row],[Зачетный вес]]</f>
        <v>1925</v>
      </c>
      <c r="U654" s="409" t="n">
        <f aca="false">Таблица18[[#This Row],[Отход]]/Таблица18[[#This Row],[Вес нетто]]</f>
        <v>0.14</v>
      </c>
      <c r="V654" s="234" t="n">
        <f aca="false">MONTH(Таблица18[[#This Row],[Дата акта]])</f>
        <v>6</v>
      </c>
      <c r="W654" s="234" t="n">
        <v>10</v>
      </c>
      <c r="X654" s="248" t="n">
        <f aca="false">DATE(1900,Таблица18[[#This Row],[Месяц]],Таблица18[[#This Row],[Число]])</f>
        <v>162</v>
      </c>
      <c r="Y654" s="234"/>
      <c r="AF654" s="411"/>
      <c r="AG654" s="412"/>
    </row>
    <row r="655" s="410" customFormat="true" ht="15" hidden="true" customHeight="true" outlineLevel="0" collapsed="false">
      <c r="A655" s="198" t="s">
        <v>2264</v>
      </c>
      <c r="B655" s="199" t="s">
        <v>417</v>
      </c>
      <c r="C655" s="198" t="n">
        <v>278</v>
      </c>
      <c r="D655" s="198" t="n">
        <v>13</v>
      </c>
      <c r="E655" s="198" t="s">
        <v>2244</v>
      </c>
      <c r="F655" s="198" t="s">
        <v>55</v>
      </c>
      <c r="G655" s="198" t="s">
        <v>56</v>
      </c>
      <c r="H655" s="198" t="s">
        <v>2251</v>
      </c>
      <c r="I655" s="199"/>
      <c r="J655" s="198" t="s">
        <v>1843</v>
      </c>
      <c r="K655" s="198" t="s">
        <v>1435</v>
      </c>
      <c r="L655" s="234" t="n">
        <v>27930</v>
      </c>
      <c r="M655" s="234" t="n">
        <v>14490</v>
      </c>
      <c r="N655" s="234" t="n">
        <v>24.5</v>
      </c>
      <c r="O655" s="407" t="n">
        <v>13440</v>
      </c>
      <c r="P655" s="407" t="n">
        <v>10147.2</v>
      </c>
      <c r="Q655" s="234" t="n">
        <v>2024</v>
      </c>
      <c r="R655" s="234"/>
      <c r="S655" s="248" t="n">
        <v>45453</v>
      </c>
      <c r="T655" s="407" t="n">
        <f aca="false">Таблица18[[#This Row],[Вес нетто]]-Таблица18[[#This Row],[Зачетный вес]]</f>
        <v>3292.8</v>
      </c>
      <c r="U655" s="409" t="n">
        <f aca="false">Таблица18[[#This Row],[Отход]]/Таблица18[[#This Row],[Вес нетто]]</f>
        <v>0.245</v>
      </c>
      <c r="V655" s="234" t="n">
        <f aca="false">MONTH(Таблица18[[#This Row],[Дата акта]])</f>
        <v>6</v>
      </c>
      <c r="W655" s="234" t="n">
        <v>10</v>
      </c>
      <c r="X655" s="248" t="n">
        <f aca="false">DATE(1900,Таблица18[[#This Row],[Месяц]],Таблица18[[#This Row],[Число]])</f>
        <v>162</v>
      </c>
      <c r="Y655" s="234"/>
      <c r="AF655" s="411"/>
      <c r="AG655" s="412"/>
    </row>
    <row r="656" s="410" customFormat="true" ht="15" hidden="true" customHeight="true" outlineLevel="0" collapsed="false">
      <c r="A656" s="198" t="s">
        <v>2265</v>
      </c>
      <c r="B656" s="199" t="s">
        <v>417</v>
      </c>
      <c r="C656" s="198" t="n">
        <v>279</v>
      </c>
      <c r="D656" s="198" t="n">
        <v>14</v>
      </c>
      <c r="E656" s="198" t="s">
        <v>2244</v>
      </c>
      <c r="F656" s="198" t="s">
        <v>365</v>
      </c>
      <c r="G656" s="198" t="s">
        <v>373</v>
      </c>
      <c r="H656" s="198" t="s">
        <v>2251</v>
      </c>
      <c r="I656" s="199"/>
      <c r="J656" s="198" t="s">
        <v>1843</v>
      </c>
      <c r="K656" s="198" t="s">
        <v>1435</v>
      </c>
      <c r="L656" s="234" t="n">
        <v>33990</v>
      </c>
      <c r="M656" s="234" t="n">
        <v>18690</v>
      </c>
      <c r="N656" s="234" t="n">
        <v>22.5</v>
      </c>
      <c r="O656" s="407" t="n">
        <v>15300</v>
      </c>
      <c r="P656" s="407" t="n">
        <v>11857.5</v>
      </c>
      <c r="Q656" s="234" t="n">
        <v>2024</v>
      </c>
      <c r="R656" s="234"/>
      <c r="S656" s="248" t="n">
        <v>45453</v>
      </c>
      <c r="T656" s="407" t="n">
        <f aca="false">Таблица18[[#This Row],[Вес нетто]]-Таблица18[[#This Row],[Зачетный вес]]</f>
        <v>3442.5</v>
      </c>
      <c r="U656" s="409" t="n">
        <f aca="false">Таблица18[[#This Row],[Отход]]/Таблица18[[#This Row],[Вес нетто]]</f>
        <v>0.225</v>
      </c>
      <c r="V656" s="234" t="n">
        <f aca="false">MONTH(Таблица18[[#This Row],[Дата акта]])</f>
        <v>6</v>
      </c>
      <c r="W656" s="234" t="n">
        <v>10</v>
      </c>
      <c r="X656" s="248" t="n">
        <f aca="false">DATE(1900,Таблица18[[#This Row],[Месяц]],Таблица18[[#This Row],[Число]])</f>
        <v>162</v>
      </c>
      <c r="Y656" s="234"/>
      <c r="AF656" s="411"/>
      <c r="AG656" s="412"/>
    </row>
    <row r="657" s="410" customFormat="true" ht="15" hidden="true" customHeight="true" outlineLevel="0" collapsed="false">
      <c r="A657" s="198" t="s">
        <v>2266</v>
      </c>
      <c r="B657" s="199" t="s">
        <v>417</v>
      </c>
      <c r="C657" s="198" t="n">
        <v>280</v>
      </c>
      <c r="D657" s="198" t="n">
        <v>15</v>
      </c>
      <c r="E657" s="198" t="s">
        <v>2244</v>
      </c>
      <c r="F657" s="198" t="s">
        <v>1086</v>
      </c>
      <c r="G657" s="198" t="s">
        <v>1087</v>
      </c>
      <c r="H657" s="198" t="s">
        <v>2251</v>
      </c>
      <c r="I657" s="199"/>
      <c r="J657" s="198" t="s">
        <v>1843</v>
      </c>
      <c r="K657" s="198" t="s">
        <v>1435</v>
      </c>
      <c r="L657" s="234" t="n">
        <v>28300</v>
      </c>
      <c r="M657" s="234" t="n">
        <v>14880</v>
      </c>
      <c r="N657" s="234" t="n">
        <v>26.5</v>
      </c>
      <c r="O657" s="407" t="n">
        <v>13420</v>
      </c>
      <c r="P657" s="407" t="n">
        <v>9863.7</v>
      </c>
      <c r="Q657" s="234" t="n">
        <v>2024</v>
      </c>
      <c r="R657" s="234"/>
      <c r="S657" s="248" t="n">
        <v>45453</v>
      </c>
      <c r="T657" s="407" t="n">
        <f aca="false">Таблица18[[#This Row],[Вес нетто]]-Таблица18[[#This Row],[Зачетный вес]]</f>
        <v>3556.3</v>
      </c>
      <c r="U657" s="409" t="n">
        <f aca="false">Таблица18[[#This Row],[Отход]]/Таблица18[[#This Row],[Вес нетто]]</f>
        <v>0.265</v>
      </c>
      <c r="V657" s="234" t="n">
        <f aca="false">MONTH(Таблица18[[#This Row],[Дата акта]])</f>
        <v>6</v>
      </c>
      <c r="W657" s="234" t="n">
        <v>10</v>
      </c>
      <c r="X657" s="248" t="n">
        <f aca="false">DATE(1900,Таблица18[[#This Row],[Месяц]],Таблица18[[#This Row],[Число]])</f>
        <v>162</v>
      </c>
      <c r="Y657" s="234"/>
      <c r="AF657" s="411"/>
      <c r="AG657" s="412"/>
    </row>
    <row r="658" s="410" customFormat="true" ht="15" hidden="true" customHeight="true" outlineLevel="0" collapsed="false">
      <c r="A658" s="198" t="s">
        <v>2267</v>
      </c>
      <c r="B658" s="199" t="s">
        <v>417</v>
      </c>
      <c r="C658" s="198" t="n">
        <v>281</v>
      </c>
      <c r="D658" s="198" t="n">
        <v>16</v>
      </c>
      <c r="E658" s="198" t="s">
        <v>2244</v>
      </c>
      <c r="F658" s="198" t="s">
        <v>457</v>
      </c>
      <c r="G658" s="198" t="s">
        <v>366</v>
      </c>
      <c r="H658" s="198" t="s">
        <v>2251</v>
      </c>
      <c r="I658" s="199"/>
      <c r="J658" s="198" t="s">
        <v>1843</v>
      </c>
      <c r="K658" s="198" t="s">
        <v>1435</v>
      </c>
      <c r="L658" s="234" t="n">
        <v>32650</v>
      </c>
      <c r="M658" s="234" t="n">
        <v>17290</v>
      </c>
      <c r="N658" s="234" t="n">
        <v>22.5</v>
      </c>
      <c r="O658" s="407" t="n">
        <v>15360</v>
      </c>
      <c r="P658" s="407" t="n">
        <v>11904</v>
      </c>
      <c r="Q658" s="234" t="n">
        <v>2024</v>
      </c>
      <c r="R658" s="234"/>
      <c r="S658" s="248" t="n">
        <v>45453</v>
      </c>
      <c r="T658" s="407" t="n">
        <f aca="false">Таблица18[[#This Row],[Вес нетто]]-Таблица18[[#This Row],[Зачетный вес]]</f>
        <v>3456</v>
      </c>
      <c r="U658" s="409" t="n">
        <f aca="false">Таблица18[[#This Row],[Отход]]/Таблица18[[#This Row],[Вес нетто]]</f>
        <v>0.225</v>
      </c>
      <c r="V658" s="234" t="n">
        <f aca="false">MONTH(Таблица18[[#This Row],[Дата акта]])</f>
        <v>6</v>
      </c>
      <c r="W658" s="234" t="n">
        <v>10</v>
      </c>
      <c r="X658" s="248" t="n">
        <f aca="false">DATE(1900,Таблица18[[#This Row],[Месяц]],Таблица18[[#This Row],[Число]])</f>
        <v>162</v>
      </c>
      <c r="Y658" s="234"/>
      <c r="AF658" s="411"/>
      <c r="AG658" s="412"/>
    </row>
    <row r="659" s="410" customFormat="true" ht="15" hidden="true" customHeight="true" outlineLevel="0" collapsed="false">
      <c r="A659" s="198" t="s">
        <v>2268</v>
      </c>
      <c r="B659" s="199" t="s">
        <v>417</v>
      </c>
      <c r="C659" s="198" t="n">
        <v>282</v>
      </c>
      <c r="D659" s="198" t="n">
        <v>17</v>
      </c>
      <c r="E659" s="198" t="s">
        <v>2244</v>
      </c>
      <c r="F659" s="198" t="s">
        <v>1797</v>
      </c>
      <c r="G659" s="198" t="s">
        <v>385</v>
      </c>
      <c r="H659" s="198" t="s">
        <v>2251</v>
      </c>
      <c r="I659" s="199"/>
      <c r="J659" s="198" t="s">
        <v>1843</v>
      </c>
      <c r="K659" s="198" t="s">
        <v>1435</v>
      </c>
      <c r="L659" s="234" t="n">
        <v>27770</v>
      </c>
      <c r="M659" s="234" t="n">
        <v>14390</v>
      </c>
      <c r="N659" s="234" t="n">
        <v>16.5</v>
      </c>
      <c r="O659" s="407" t="n">
        <v>13380</v>
      </c>
      <c r="P659" s="407" t="n">
        <v>11172.3</v>
      </c>
      <c r="Q659" s="234" t="n">
        <v>2024</v>
      </c>
      <c r="R659" s="234"/>
      <c r="S659" s="248" t="n">
        <v>45453</v>
      </c>
      <c r="T659" s="407" t="n">
        <f aca="false">Таблица18[[#This Row],[Вес нетто]]-Таблица18[[#This Row],[Зачетный вес]]</f>
        <v>2207.7</v>
      </c>
      <c r="U659" s="409" t="n">
        <f aca="false">Таблица18[[#This Row],[Отход]]/Таблица18[[#This Row],[Вес нетто]]</f>
        <v>0.165</v>
      </c>
      <c r="V659" s="234" t="n">
        <f aca="false">MONTH(Таблица18[[#This Row],[Дата акта]])</f>
        <v>6</v>
      </c>
      <c r="W659" s="234" t="n">
        <v>10</v>
      </c>
      <c r="X659" s="248" t="n">
        <f aca="false">DATE(1900,Таблица18[[#This Row],[Месяц]],Таблица18[[#This Row],[Число]])</f>
        <v>162</v>
      </c>
      <c r="Y659" s="234"/>
      <c r="AF659" s="411"/>
      <c r="AG659" s="412"/>
    </row>
    <row r="660" s="410" customFormat="true" ht="15" hidden="true" customHeight="true" outlineLevel="0" collapsed="false">
      <c r="A660" s="198" t="s">
        <v>2269</v>
      </c>
      <c r="B660" s="199" t="s">
        <v>417</v>
      </c>
      <c r="C660" s="198" t="n">
        <v>283</v>
      </c>
      <c r="D660" s="198" t="n">
        <v>18</v>
      </c>
      <c r="E660" s="198" t="s">
        <v>2244</v>
      </c>
      <c r="F660" s="198" t="s">
        <v>547</v>
      </c>
      <c r="G660" s="198" t="s">
        <v>551</v>
      </c>
      <c r="H660" s="198" t="s">
        <v>2251</v>
      </c>
      <c r="I660" s="199"/>
      <c r="J660" s="198" t="s">
        <v>1843</v>
      </c>
      <c r="K660" s="198" t="s">
        <v>1435</v>
      </c>
      <c r="L660" s="234" t="n">
        <v>27830</v>
      </c>
      <c r="M660" s="234" t="n">
        <v>14500</v>
      </c>
      <c r="N660" s="234" t="n">
        <v>23.5</v>
      </c>
      <c r="O660" s="407" t="n">
        <v>13330</v>
      </c>
      <c r="P660" s="407" t="n">
        <v>10197.4</v>
      </c>
      <c r="Q660" s="234" t="n">
        <v>2024</v>
      </c>
      <c r="R660" s="234"/>
      <c r="S660" s="248" t="n">
        <v>45453</v>
      </c>
      <c r="T660" s="407" t="n">
        <f aca="false">Таблица18[[#This Row],[Вес нетто]]-Таблица18[[#This Row],[Зачетный вес]]</f>
        <v>3132.6</v>
      </c>
      <c r="U660" s="409" t="n">
        <f aca="false">Таблица18[[#This Row],[Отход]]/Таблица18[[#This Row],[Вес нетто]]</f>
        <v>0.235003750937734</v>
      </c>
      <c r="V660" s="234" t="n">
        <f aca="false">MONTH(Таблица18[[#This Row],[Дата акта]])</f>
        <v>6</v>
      </c>
      <c r="W660" s="234" t="n">
        <v>10</v>
      </c>
      <c r="X660" s="248" t="n">
        <f aca="false">DATE(1900,Таблица18[[#This Row],[Месяц]],Таблица18[[#This Row],[Число]])</f>
        <v>162</v>
      </c>
      <c r="Y660" s="234"/>
      <c r="AF660" s="411"/>
      <c r="AG660" s="412"/>
    </row>
    <row r="661" s="410" customFormat="true" ht="15" hidden="true" customHeight="true" outlineLevel="0" collapsed="false">
      <c r="A661" s="198" t="s">
        <v>2270</v>
      </c>
      <c r="B661" s="199" t="s">
        <v>417</v>
      </c>
      <c r="C661" s="198" t="n">
        <v>284</v>
      </c>
      <c r="D661" s="198" t="n">
        <v>19</v>
      </c>
      <c r="E661" s="198" t="s">
        <v>2244</v>
      </c>
      <c r="F661" s="198" t="s">
        <v>2075</v>
      </c>
      <c r="G661" s="198" t="s">
        <v>2076</v>
      </c>
      <c r="H661" s="198" t="s">
        <v>2251</v>
      </c>
      <c r="I661" s="199"/>
      <c r="J661" s="198" t="s">
        <v>1843</v>
      </c>
      <c r="K661" s="198" t="s">
        <v>1435</v>
      </c>
      <c r="L661" s="234" t="n">
        <v>28350</v>
      </c>
      <c r="M661" s="234" t="n">
        <v>14900</v>
      </c>
      <c r="N661" s="234" t="n">
        <v>25.5</v>
      </c>
      <c r="O661" s="407" t="n">
        <v>13450</v>
      </c>
      <c r="P661" s="407" t="n">
        <v>10020.2</v>
      </c>
      <c r="Q661" s="234" t="n">
        <v>2024</v>
      </c>
      <c r="R661" s="234"/>
      <c r="S661" s="248" t="n">
        <v>45453</v>
      </c>
      <c r="T661" s="407" t="n">
        <f aca="false">Таблица18[[#This Row],[Вес нетто]]-Таблица18[[#This Row],[Зачетный вес]]</f>
        <v>3429.8</v>
      </c>
      <c r="U661" s="409" t="n">
        <f aca="false">Таблица18[[#This Row],[Отход]]/Таблица18[[#This Row],[Вес нетто]]</f>
        <v>0.255003717472119</v>
      </c>
      <c r="V661" s="234" t="n">
        <f aca="false">MONTH(Таблица18[[#This Row],[Дата акта]])</f>
        <v>6</v>
      </c>
      <c r="W661" s="234" t="n">
        <v>10</v>
      </c>
      <c r="X661" s="248" t="n">
        <f aca="false">DATE(1900,Таблица18[[#This Row],[Месяц]],Таблица18[[#This Row],[Число]])</f>
        <v>162</v>
      </c>
      <c r="Y661" s="234"/>
      <c r="AF661" s="411"/>
      <c r="AG661" s="412"/>
    </row>
    <row r="662" s="410" customFormat="true" ht="15" hidden="true" customHeight="true" outlineLevel="0" collapsed="false">
      <c r="A662" s="198" t="s">
        <v>2271</v>
      </c>
      <c r="B662" s="199" t="s">
        <v>417</v>
      </c>
      <c r="C662" s="198" t="n">
        <v>285</v>
      </c>
      <c r="D662" s="198" t="n">
        <v>20</v>
      </c>
      <c r="E662" s="198" t="s">
        <v>2244</v>
      </c>
      <c r="F662" s="198" t="s">
        <v>363</v>
      </c>
      <c r="G662" s="198" t="s">
        <v>364</v>
      </c>
      <c r="H662" s="198" t="s">
        <v>2245</v>
      </c>
      <c r="I662" s="199"/>
      <c r="J662" s="198" t="s">
        <v>2272</v>
      </c>
      <c r="K662" s="198" t="s">
        <v>1435</v>
      </c>
      <c r="L662" s="234" t="n">
        <v>29360</v>
      </c>
      <c r="M662" s="234" t="n">
        <v>22700</v>
      </c>
      <c r="N662" s="234" t="n">
        <v>31.5</v>
      </c>
      <c r="O662" s="407" t="n">
        <v>6660</v>
      </c>
      <c r="P662" s="407" t="n">
        <v>4562.1</v>
      </c>
      <c r="Q662" s="234" t="n">
        <v>2024</v>
      </c>
      <c r="R662" s="234"/>
      <c r="S662" s="248" t="n">
        <v>45453</v>
      </c>
      <c r="T662" s="407" t="n">
        <f aca="false">Таблица18[[#This Row],[Вес нетто]]-Таблица18[[#This Row],[Зачетный вес]]</f>
        <v>2097.9</v>
      </c>
      <c r="U662" s="409" t="n">
        <f aca="false">Таблица18[[#This Row],[Отход]]/Таблица18[[#This Row],[Вес нетто]]</f>
        <v>0.315</v>
      </c>
      <c r="V662" s="234" t="n">
        <f aca="false">MONTH(Таблица18[[#This Row],[Дата акта]])</f>
        <v>6</v>
      </c>
      <c r="W662" s="234" t="n">
        <v>10</v>
      </c>
      <c r="X662" s="248" t="n">
        <f aca="false">DATE(1900,Таблица18[[#This Row],[Месяц]],Таблица18[[#This Row],[Число]])</f>
        <v>162</v>
      </c>
      <c r="Y662" s="234"/>
      <c r="AF662" s="411"/>
      <c r="AG662" s="412"/>
    </row>
    <row r="663" s="410" customFormat="true" ht="15" hidden="true" customHeight="true" outlineLevel="0" collapsed="false">
      <c r="A663" s="198" t="s">
        <v>2273</v>
      </c>
      <c r="B663" s="199" t="s">
        <v>417</v>
      </c>
      <c r="C663" s="198" t="n">
        <v>286</v>
      </c>
      <c r="D663" s="198" t="n">
        <v>20</v>
      </c>
      <c r="E663" s="198" t="s">
        <v>2244</v>
      </c>
      <c r="F663" s="198" t="s">
        <v>363</v>
      </c>
      <c r="G663" s="198" t="s">
        <v>364</v>
      </c>
      <c r="H663" s="198" t="s">
        <v>2251</v>
      </c>
      <c r="I663" s="199"/>
      <c r="J663" s="198" t="s">
        <v>1843</v>
      </c>
      <c r="K663" s="198" t="s">
        <v>1435</v>
      </c>
      <c r="L663" s="234" t="n">
        <v>22700</v>
      </c>
      <c r="M663" s="234" t="n">
        <v>14520</v>
      </c>
      <c r="N663" s="234" t="n">
        <v>23.5</v>
      </c>
      <c r="O663" s="407" t="n">
        <v>8180</v>
      </c>
      <c r="P663" s="407" t="n">
        <v>6257.7</v>
      </c>
      <c r="Q663" s="234" t="n">
        <v>2024</v>
      </c>
      <c r="R663" s="234"/>
      <c r="S663" s="248" t="n">
        <v>45453</v>
      </c>
      <c r="T663" s="407" t="n">
        <f aca="false">Таблица18[[#This Row],[Вес нетто]]-Таблица18[[#This Row],[Зачетный вес]]</f>
        <v>1922.3</v>
      </c>
      <c r="U663" s="409" t="n">
        <f aca="false">Таблица18[[#This Row],[Отход]]/Таблица18[[#This Row],[Вес нетто]]</f>
        <v>0.235</v>
      </c>
      <c r="V663" s="234" t="n">
        <f aca="false">MONTH(Таблица18[[#This Row],[Дата акта]])</f>
        <v>6</v>
      </c>
      <c r="W663" s="234" t="n">
        <v>10</v>
      </c>
      <c r="X663" s="248" t="n">
        <f aca="false">DATE(1900,Таблица18[[#This Row],[Месяц]],Таблица18[[#This Row],[Число]])</f>
        <v>162</v>
      </c>
      <c r="Y663" s="234"/>
      <c r="AF663" s="411"/>
      <c r="AG663" s="412"/>
    </row>
    <row r="664" s="410" customFormat="true" ht="15" hidden="true" customHeight="true" outlineLevel="0" collapsed="false">
      <c r="A664" s="198" t="s">
        <v>2274</v>
      </c>
      <c r="B664" s="199" t="s">
        <v>417</v>
      </c>
      <c r="C664" s="198" t="n">
        <v>287</v>
      </c>
      <c r="D664" s="198" t="n">
        <v>21</v>
      </c>
      <c r="E664" s="198" t="s">
        <v>2244</v>
      </c>
      <c r="F664" s="198" t="s">
        <v>2253</v>
      </c>
      <c r="G664" s="198" t="s">
        <v>2254</v>
      </c>
      <c r="H664" s="198" t="s">
        <v>2245</v>
      </c>
      <c r="I664" s="199"/>
      <c r="J664" s="198" t="s">
        <v>2272</v>
      </c>
      <c r="K664" s="198" t="s">
        <v>1435</v>
      </c>
      <c r="L664" s="234" t="n">
        <v>32310</v>
      </c>
      <c r="M664" s="234" t="n">
        <v>16720</v>
      </c>
      <c r="N664" s="234" t="n">
        <v>33.5</v>
      </c>
      <c r="O664" s="407" t="n">
        <v>15590</v>
      </c>
      <c r="P664" s="407" t="n">
        <v>10367.3</v>
      </c>
      <c r="Q664" s="234" t="n">
        <v>2024</v>
      </c>
      <c r="R664" s="234"/>
      <c r="S664" s="248" t="n">
        <v>45453</v>
      </c>
      <c r="T664" s="407" t="n">
        <f aca="false">Таблица18[[#This Row],[Вес нетто]]-Таблица18[[#This Row],[Зачетный вес]]</f>
        <v>5222.7</v>
      </c>
      <c r="U664" s="409" t="n">
        <f aca="false">Таблица18[[#This Row],[Отход]]/Таблица18[[#This Row],[Вес нетто]]</f>
        <v>0.335003207184092</v>
      </c>
      <c r="V664" s="234" t="n">
        <f aca="false">MONTH(Таблица18[[#This Row],[Дата акта]])</f>
        <v>6</v>
      </c>
      <c r="W664" s="234" t="n">
        <v>10</v>
      </c>
      <c r="X664" s="248" t="n">
        <f aca="false">DATE(1900,Таблица18[[#This Row],[Месяц]],Таблица18[[#This Row],[Число]])</f>
        <v>162</v>
      </c>
      <c r="Y664" s="234"/>
      <c r="AF664" s="411"/>
      <c r="AG664" s="412"/>
    </row>
    <row r="665" s="410" customFormat="true" ht="15" hidden="true" customHeight="true" outlineLevel="0" collapsed="false">
      <c r="A665" s="198" t="s">
        <v>2275</v>
      </c>
      <c r="B665" s="199" t="s">
        <v>417</v>
      </c>
      <c r="C665" s="198" t="n">
        <v>288</v>
      </c>
      <c r="D665" s="198" t="n">
        <v>22</v>
      </c>
      <c r="E665" s="198" t="s">
        <v>2244</v>
      </c>
      <c r="F665" s="198" t="s">
        <v>2078</v>
      </c>
      <c r="G665" s="198" t="s">
        <v>557</v>
      </c>
      <c r="H665" s="198" t="s">
        <v>2245</v>
      </c>
      <c r="I665" s="199"/>
      <c r="J665" s="198" t="s">
        <v>2272</v>
      </c>
      <c r="K665" s="198" t="s">
        <v>1435</v>
      </c>
      <c r="L665" s="234" t="n">
        <v>28270</v>
      </c>
      <c r="M665" s="234" t="n">
        <v>14900</v>
      </c>
      <c r="N665" s="234" t="n">
        <v>32.5</v>
      </c>
      <c r="O665" s="407" t="n">
        <v>13370</v>
      </c>
      <c r="P665" s="407" t="n">
        <v>9024.7</v>
      </c>
      <c r="Q665" s="234" t="n">
        <v>2024</v>
      </c>
      <c r="R665" s="234"/>
      <c r="S665" s="248" t="n">
        <v>45454</v>
      </c>
      <c r="T665" s="407" t="n">
        <f aca="false">Таблица18[[#This Row],[Вес нетто]]-Таблица18[[#This Row],[Зачетный вес]]</f>
        <v>4345.3</v>
      </c>
      <c r="U665" s="409" t="n">
        <f aca="false">Таблица18[[#This Row],[Отход]]/Таблица18[[#This Row],[Вес нетто]]</f>
        <v>0.325003739715782</v>
      </c>
      <c r="V665" s="234" t="n">
        <f aca="false">MONTH(Таблица18[[#This Row],[Дата акта]])</f>
        <v>6</v>
      </c>
      <c r="W665" s="234" t="n">
        <v>11</v>
      </c>
      <c r="X665" s="248" t="n">
        <f aca="false">DATE(1900,Таблица18[[#This Row],[Месяц]],Таблица18[[#This Row],[Число]])</f>
        <v>163</v>
      </c>
      <c r="Y665" s="234"/>
      <c r="AF665" s="411"/>
      <c r="AG665" s="412"/>
    </row>
    <row r="666" s="410" customFormat="true" ht="15" hidden="true" customHeight="true" outlineLevel="0" collapsed="false">
      <c r="A666" s="198" t="s">
        <v>2276</v>
      </c>
      <c r="B666" s="199" t="s">
        <v>417</v>
      </c>
      <c r="C666" s="198" t="n">
        <v>289</v>
      </c>
      <c r="D666" s="198" t="n">
        <v>23</v>
      </c>
      <c r="E666" s="198" t="s">
        <v>2244</v>
      </c>
      <c r="F666" s="198" t="s">
        <v>2256</v>
      </c>
      <c r="G666" s="198" t="s">
        <v>2257</v>
      </c>
      <c r="H666" s="198" t="s">
        <v>2245</v>
      </c>
      <c r="I666" s="199"/>
      <c r="J666" s="198" t="s">
        <v>2272</v>
      </c>
      <c r="K666" s="198" t="s">
        <v>1435</v>
      </c>
      <c r="L666" s="234" t="n">
        <v>38940</v>
      </c>
      <c r="M666" s="234" t="n">
        <v>21370</v>
      </c>
      <c r="N666" s="234" t="n">
        <v>29.5</v>
      </c>
      <c r="O666" s="407" t="n">
        <v>17570</v>
      </c>
      <c r="P666" s="407" t="n">
        <v>12386.8</v>
      </c>
      <c r="Q666" s="234" t="n">
        <v>2024</v>
      </c>
      <c r="R666" s="234"/>
      <c r="S666" s="248" t="n">
        <v>45454</v>
      </c>
      <c r="T666" s="407" t="n">
        <f aca="false">Таблица18[[#This Row],[Вес нетто]]-Таблица18[[#This Row],[Зачетный вес]]</f>
        <v>5183.2</v>
      </c>
      <c r="U666" s="409" t="n">
        <f aca="false">Таблица18[[#This Row],[Отход]]/Таблица18[[#This Row],[Вес нетто]]</f>
        <v>0.295002845759818</v>
      </c>
      <c r="V666" s="234" t="n">
        <f aca="false">MONTH(Таблица18[[#This Row],[Дата акта]])</f>
        <v>6</v>
      </c>
      <c r="W666" s="234" t="n">
        <v>11</v>
      </c>
      <c r="X666" s="248" t="n">
        <f aca="false">DATE(1900,Таблица18[[#This Row],[Месяц]],Таблица18[[#This Row],[Число]])</f>
        <v>163</v>
      </c>
      <c r="Y666" s="234"/>
      <c r="AF666" s="411"/>
      <c r="AG666" s="412"/>
    </row>
    <row r="667" s="410" customFormat="true" ht="15" hidden="true" customHeight="true" outlineLevel="0" collapsed="false">
      <c r="A667" s="198" t="s">
        <v>2277</v>
      </c>
      <c r="B667" s="199" t="s">
        <v>417</v>
      </c>
      <c r="C667" s="198" t="n">
        <v>290</v>
      </c>
      <c r="D667" s="198" t="n">
        <v>24</v>
      </c>
      <c r="E667" s="198" t="s">
        <v>2244</v>
      </c>
      <c r="F667" s="198" t="s">
        <v>2260</v>
      </c>
      <c r="G667" s="198" t="s">
        <v>455</v>
      </c>
      <c r="H667" s="198" t="s">
        <v>2245</v>
      </c>
      <c r="I667" s="199"/>
      <c r="J667" s="198" t="s">
        <v>2272</v>
      </c>
      <c r="K667" s="198" t="s">
        <v>1435</v>
      </c>
      <c r="L667" s="234" t="n">
        <v>28400</v>
      </c>
      <c r="M667" s="234" t="n">
        <v>15040</v>
      </c>
      <c r="N667" s="234" t="n">
        <v>31.5</v>
      </c>
      <c r="O667" s="407" t="n">
        <v>13360</v>
      </c>
      <c r="P667" s="407" t="n">
        <v>9151.6</v>
      </c>
      <c r="Q667" s="234" t="n">
        <v>2024</v>
      </c>
      <c r="R667" s="234"/>
      <c r="S667" s="248" t="n">
        <v>45454</v>
      </c>
      <c r="T667" s="407" t="n">
        <f aca="false">Таблица18[[#This Row],[Вес нетто]]-Таблица18[[#This Row],[Зачетный вес]]</f>
        <v>4208.4</v>
      </c>
      <c r="U667" s="409" t="n">
        <f aca="false">Таблица18[[#This Row],[Отход]]/Таблица18[[#This Row],[Вес нетто]]</f>
        <v>0.315</v>
      </c>
      <c r="V667" s="234" t="n">
        <f aca="false">MONTH(Таблица18[[#This Row],[Дата акта]])</f>
        <v>6</v>
      </c>
      <c r="W667" s="234" t="n">
        <v>11</v>
      </c>
      <c r="X667" s="248" t="n">
        <f aca="false">DATE(1900,Таблица18[[#This Row],[Месяц]],Таблица18[[#This Row],[Число]])</f>
        <v>163</v>
      </c>
      <c r="Y667" s="234"/>
      <c r="AF667" s="411"/>
      <c r="AG667" s="412"/>
    </row>
    <row r="668" s="410" customFormat="true" ht="15" hidden="true" customHeight="true" outlineLevel="0" collapsed="false">
      <c r="A668" s="198" t="s">
        <v>2278</v>
      </c>
      <c r="B668" s="199" t="s">
        <v>417</v>
      </c>
      <c r="C668" s="198" t="n">
        <v>291</v>
      </c>
      <c r="D668" s="198" t="n">
        <v>25</v>
      </c>
      <c r="E668" s="198" t="s">
        <v>2244</v>
      </c>
      <c r="F668" s="198" t="s">
        <v>1523</v>
      </c>
      <c r="G668" s="198" t="s">
        <v>1447</v>
      </c>
      <c r="H668" s="198" t="s">
        <v>2245</v>
      </c>
      <c r="I668" s="199"/>
      <c r="J668" s="198" t="s">
        <v>2272</v>
      </c>
      <c r="K668" s="198" t="s">
        <v>1435</v>
      </c>
      <c r="L668" s="234" t="n">
        <v>28110</v>
      </c>
      <c r="M668" s="234" t="n">
        <v>14730</v>
      </c>
      <c r="N668" s="234" t="n">
        <v>33.5</v>
      </c>
      <c r="O668" s="407" t="n">
        <v>13380</v>
      </c>
      <c r="P668" s="407" t="n">
        <v>8897.7</v>
      </c>
      <c r="Q668" s="234" t="n">
        <v>2024</v>
      </c>
      <c r="R668" s="234"/>
      <c r="S668" s="248" t="n">
        <v>45454</v>
      </c>
      <c r="T668" s="407" t="n">
        <f aca="false">Таблица18[[#This Row],[Вес нетто]]-Таблица18[[#This Row],[Зачетный вес]]</f>
        <v>4482.3</v>
      </c>
      <c r="U668" s="409" t="n">
        <f aca="false">Таблица18[[#This Row],[Отход]]/Таблица18[[#This Row],[Вес нетто]]</f>
        <v>0.335</v>
      </c>
      <c r="V668" s="234" t="n">
        <f aca="false">MONTH(Таблица18[[#This Row],[Дата акта]])</f>
        <v>6</v>
      </c>
      <c r="W668" s="234" t="n">
        <v>11</v>
      </c>
      <c r="X668" s="248" t="n">
        <f aca="false">DATE(1900,Таблица18[[#This Row],[Месяц]],Таблица18[[#This Row],[Число]])</f>
        <v>163</v>
      </c>
      <c r="Y668" s="234"/>
      <c r="AF668" s="411"/>
      <c r="AG668" s="412"/>
    </row>
    <row r="669" s="410" customFormat="true" ht="15" hidden="true" customHeight="true" outlineLevel="0" collapsed="false">
      <c r="A669" s="198" t="s">
        <v>2279</v>
      </c>
      <c r="B669" s="199" t="s">
        <v>417</v>
      </c>
      <c r="C669" s="198" t="n">
        <v>292</v>
      </c>
      <c r="D669" s="198" t="n">
        <v>26</v>
      </c>
      <c r="E669" s="198" t="s">
        <v>2244</v>
      </c>
      <c r="F669" s="198" t="s">
        <v>2262</v>
      </c>
      <c r="G669" s="198" t="s">
        <v>449</v>
      </c>
      <c r="H669" s="198" t="s">
        <v>2245</v>
      </c>
      <c r="I669" s="199"/>
      <c r="J669" s="198" t="s">
        <v>2272</v>
      </c>
      <c r="K669" s="198" t="s">
        <v>1435</v>
      </c>
      <c r="L669" s="234" t="n">
        <v>29000</v>
      </c>
      <c r="M669" s="234" t="n">
        <v>15590</v>
      </c>
      <c r="N669" s="234" t="n">
        <v>30.5</v>
      </c>
      <c r="O669" s="407" t="n">
        <v>13410</v>
      </c>
      <c r="P669" s="407" t="n">
        <v>9319.9</v>
      </c>
      <c r="Q669" s="234" t="n">
        <v>2024</v>
      </c>
      <c r="R669" s="234"/>
      <c r="S669" s="248" t="n">
        <v>45454</v>
      </c>
      <c r="T669" s="407" t="n">
        <f aca="false">Таблица18[[#This Row],[Вес нетто]]-Таблица18[[#This Row],[Зачетный вес]]</f>
        <v>4090.1</v>
      </c>
      <c r="U669" s="409" t="n">
        <f aca="false">Таблица18[[#This Row],[Отход]]/Таблица18[[#This Row],[Вес нетто]]</f>
        <v>0.305003728560776</v>
      </c>
      <c r="V669" s="234" t="n">
        <f aca="false">MONTH(Таблица18[[#This Row],[Дата акта]])</f>
        <v>6</v>
      </c>
      <c r="W669" s="234" t="n">
        <v>11</v>
      </c>
      <c r="X669" s="248" t="n">
        <f aca="false">DATE(1900,Таблица18[[#This Row],[Месяц]],Таблица18[[#This Row],[Число]])</f>
        <v>163</v>
      </c>
      <c r="Y669" s="234"/>
      <c r="AF669" s="411"/>
      <c r="AG669" s="412"/>
    </row>
    <row r="670" s="410" customFormat="true" ht="15" hidden="true" customHeight="true" outlineLevel="0" collapsed="false">
      <c r="A670" s="198" t="s">
        <v>2280</v>
      </c>
      <c r="B670" s="199" t="s">
        <v>417</v>
      </c>
      <c r="C670" s="198" t="n">
        <v>293</v>
      </c>
      <c r="D670" s="198" t="n">
        <v>28</v>
      </c>
      <c r="E670" s="198" t="s">
        <v>2244</v>
      </c>
      <c r="F670" s="198" t="s">
        <v>371</v>
      </c>
      <c r="G670" s="198" t="s">
        <v>372</v>
      </c>
      <c r="H670" s="198" t="s">
        <v>2245</v>
      </c>
      <c r="I670" s="199"/>
      <c r="J670" s="198" t="s">
        <v>2272</v>
      </c>
      <c r="K670" s="198" t="s">
        <v>1435</v>
      </c>
      <c r="L670" s="234" t="n">
        <v>28390</v>
      </c>
      <c r="M670" s="234" t="n">
        <v>15110</v>
      </c>
      <c r="N670" s="234" t="n">
        <v>22.5</v>
      </c>
      <c r="O670" s="407" t="n">
        <v>13280</v>
      </c>
      <c r="P670" s="407" t="n">
        <v>10292</v>
      </c>
      <c r="Q670" s="234" t="n">
        <v>2024</v>
      </c>
      <c r="R670" s="234"/>
      <c r="S670" s="248" t="n">
        <v>45454</v>
      </c>
      <c r="T670" s="407" t="n">
        <f aca="false">Таблица18[[#This Row],[Вес нетто]]-Таблица18[[#This Row],[Зачетный вес]]</f>
        <v>2988</v>
      </c>
      <c r="U670" s="409" t="n">
        <f aca="false">Таблица18[[#This Row],[Отход]]/Таблица18[[#This Row],[Вес нетто]]</f>
        <v>0.225</v>
      </c>
      <c r="V670" s="234" t="n">
        <f aca="false">MONTH(Таблица18[[#This Row],[Дата акта]])</f>
        <v>6</v>
      </c>
      <c r="W670" s="234" t="n">
        <v>11</v>
      </c>
      <c r="X670" s="248" t="n">
        <f aca="false">DATE(1900,Таблица18[[#This Row],[Месяц]],Таблица18[[#This Row],[Число]])</f>
        <v>163</v>
      </c>
      <c r="Y670" s="234"/>
      <c r="AF670" s="411"/>
      <c r="AG670" s="412"/>
    </row>
    <row r="671" s="410" customFormat="true" ht="15" hidden="true" customHeight="true" outlineLevel="0" collapsed="false">
      <c r="A671" s="198" t="s">
        <v>2281</v>
      </c>
      <c r="B671" s="199" t="s">
        <v>417</v>
      </c>
      <c r="C671" s="198" t="n">
        <v>294</v>
      </c>
      <c r="D671" s="198" t="n">
        <v>27</v>
      </c>
      <c r="E671" s="198" t="s">
        <v>2244</v>
      </c>
      <c r="F671" s="198" t="s">
        <v>359</v>
      </c>
      <c r="G671" s="198" t="s">
        <v>426</v>
      </c>
      <c r="H671" s="198" t="s">
        <v>2245</v>
      </c>
      <c r="I671" s="199"/>
      <c r="J671" s="198" t="s">
        <v>2272</v>
      </c>
      <c r="K671" s="198" t="s">
        <v>1435</v>
      </c>
      <c r="L671" s="234" t="n">
        <v>27250</v>
      </c>
      <c r="M671" s="234" t="n">
        <v>14090</v>
      </c>
      <c r="N671" s="234" t="n">
        <v>18.5</v>
      </c>
      <c r="O671" s="407" t="n">
        <v>13160</v>
      </c>
      <c r="P671" s="407" t="n">
        <v>10725.4</v>
      </c>
      <c r="Q671" s="234" t="n">
        <v>2024</v>
      </c>
      <c r="R671" s="234"/>
      <c r="S671" s="248" t="n">
        <v>45454</v>
      </c>
      <c r="T671" s="407" t="n">
        <f aca="false">Таблица18[[#This Row],[Вес нетто]]-Таблица18[[#This Row],[Зачетный вес]]</f>
        <v>2434.6</v>
      </c>
      <c r="U671" s="409" t="n">
        <f aca="false">Таблица18[[#This Row],[Отход]]/Таблица18[[#This Row],[Вес нетто]]</f>
        <v>0.185</v>
      </c>
      <c r="V671" s="234" t="n">
        <f aca="false">MONTH(Таблица18[[#This Row],[Дата акта]])</f>
        <v>6</v>
      </c>
      <c r="W671" s="234" t="n">
        <v>11</v>
      </c>
      <c r="X671" s="248" t="n">
        <f aca="false">DATE(1900,Таблица18[[#This Row],[Месяц]],Таблица18[[#This Row],[Число]])</f>
        <v>163</v>
      </c>
      <c r="Y671" s="234"/>
      <c r="AF671" s="411"/>
      <c r="AG671" s="412"/>
    </row>
    <row r="672" s="410" customFormat="true" ht="15" hidden="true" customHeight="true" outlineLevel="0" collapsed="false">
      <c r="A672" s="198" t="s">
        <v>2282</v>
      </c>
      <c r="B672" s="199" t="s">
        <v>417</v>
      </c>
      <c r="C672" s="198" t="n">
        <v>295</v>
      </c>
      <c r="D672" s="198" t="n">
        <v>30</v>
      </c>
      <c r="E672" s="198" t="s">
        <v>2244</v>
      </c>
      <c r="F672" s="198" t="s">
        <v>2084</v>
      </c>
      <c r="G672" s="198" t="s">
        <v>2085</v>
      </c>
      <c r="H672" s="198" t="s">
        <v>2251</v>
      </c>
      <c r="I672" s="199"/>
      <c r="J672" s="198" t="s">
        <v>1750</v>
      </c>
      <c r="K672" s="198" t="s">
        <v>1435</v>
      </c>
      <c r="L672" s="234" t="n">
        <v>33520</v>
      </c>
      <c r="M672" s="234" t="n">
        <v>17400</v>
      </c>
      <c r="N672" s="234" t="n">
        <v>18.5</v>
      </c>
      <c r="O672" s="407" t="n">
        <v>16120</v>
      </c>
      <c r="P672" s="407" t="n">
        <v>13137.8</v>
      </c>
      <c r="Q672" s="234" t="n">
        <v>2024</v>
      </c>
      <c r="R672" s="234"/>
      <c r="S672" s="248" t="n">
        <v>45454</v>
      </c>
      <c r="T672" s="407" t="n">
        <f aca="false">Таблица18[[#This Row],[Вес нетто]]-Таблица18[[#This Row],[Зачетный вес]]</f>
        <v>2982.2</v>
      </c>
      <c r="U672" s="409" t="n">
        <f aca="false">Таблица18[[#This Row],[Отход]]/Таблица18[[#This Row],[Вес нетто]]</f>
        <v>0.185</v>
      </c>
      <c r="V672" s="234" t="n">
        <f aca="false">MONTH(Таблица18[[#This Row],[Дата акта]])</f>
        <v>6</v>
      </c>
      <c r="W672" s="234" t="n">
        <v>11</v>
      </c>
      <c r="X672" s="248" t="n">
        <f aca="false">DATE(1900,Таблица18[[#This Row],[Месяц]],Таблица18[[#This Row],[Число]])</f>
        <v>163</v>
      </c>
      <c r="Y672" s="234"/>
      <c r="AF672" s="411"/>
      <c r="AG672" s="412"/>
    </row>
    <row r="673" s="410" customFormat="true" ht="15" hidden="true" customHeight="true" outlineLevel="0" collapsed="false">
      <c r="A673" s="198" t="s">
        <v>2283</v>
      </c>
      <c r="B673" s="199" t="s">
        <v>417</v>
      </c>
      <c r="C673" s="198" t="n">
        <v>296</v>
      </c>
      <c r="D673" s="198" t="n">
        <v>29</v>
      </c>
      <c r="E673" s="198" t="s">
        <v>2244</v>
      </c>
      <c r="F673" s="198" t="s">
        <v>1086</v>
      </c>
      <c r="G673" s="198" t="s">
        <v>1087</v>
      </c>
      <c r="H673" s="198" t="s">
        <v>2251</v>
      </c>
      <c r="I673" s="199"/>
      <c r="J673" s="198" t="s">
        <v>1750</v>
      </c>
      <c r="K673" s="198" t="s">
        <v>1435</v>
      </c>
      <c r="L673" s="234" t="n">
        <v>30300</v>
      </c>
      <c r="M673" s="234" t="n">
        <v>14800</v>
      </c>
      <c r="N673" s="234" t="n">
        <v>15.5</v>
      </c>
      <c r="O673" s="407" t="n">
        <v>15500</v>
      </c>
      <c r="P673" s="407" t="n">
        <v>13097.5</v>
      </c>
      <c r="Q673" s="234" t="n">
        <v>2024</v>
      </c>
      <c r="R673" s="234"/>
      <c r="S673" s="248" t="n">
        <v>45454</v>
      </c>
      <c r="T673" s="407" t="n">
        <f aca="false">Таблица18[[#This Row],[Вес нетто]]-Таблица18[[#This Row],[Зачетный вес]]</f>
        <v>2402.5</v>
      </c>
      <c r="U673" s="409" t="n">
        <f aca="false">Таблица18[[#This Row],[Отход]]/Таблица18[[#This Row],[Вес нетто]]</f>
        <v>0.155</v>
      </c>
      <c r="V673" s="234" t="n">
        <f aca="false">MONTH(Таблица18[[#This Row],[Дата акта]])</f>
        <v>6</v>
      </c>
      <c r="W673" s="234" t="n">
        <v>11</v>
      </c>
      <c r="X673" s="248" t="n">
        <f aca="false">DATE(1900,Таблица18[[#This Row],[Месяц]],Таблица18[[#This Row],[Число]])</f>
        <v>163</v>
      </c>
      <c r="Y673" s="234"/>
      <c r="AF673" s="411"/>
      <c r="AG673" s="412"/>
    </row>
    <row r="674" s="410" customFormat="true" ht="15" hidden="true" customHeight="true" outlineLevel="0" collapsed="false">
      <c r="A674" s="198" t="s">
        <v>2284</v>
      </c>
      <c r="B674" s="199" t="s">
        <v>417</v>
      </c>
      <c r="C674" s="198" t="n">
        <v>297</v>
      </c>
      <c r="D674" s="198" t="n">
        <v>31</v>
      </c>
      <c r="E674" s="198" t="s">
        <v>2244</v>
      </c>
      <c r="F674" s="198" t="s">
        <v>1485</v>
      </c>
      <c r="G674" s="198" t="s">
        <v>431</v>
      </c>
      <c r="H674" s="198" t="s">
        <v>2251</v>
      </c>
      <c r="I674" s="199"/>
      <c r="J674" s="198" t="s">
        <v>1750</v>
      </c>
      <c r="K674" s="198" t="s">
        <v>1435</v>
      </c>
      <c r="L674" s="234" t="n">
        <v>39020</v>
      </c>
      <c r="M674" s="234" t="n">
        <v>21070</v>
      </c>
      <c r="N674" s="234" t="n">
        <v>22.5</v>
      </c>
      <c r="O674" s="407" t="n">
        <v>17950</v>
      </c>
      <c r="P674" s="407" t="n">
        <v>13911.2</v>
      </c>
      <c r="Q674" s="234" t="n">
        <v>2024</v>
      </c>
      <c r="R674" s="234"/>
      <c r="S674" s="248" t="n">
        <v>45455</v>
      </c>
      <c r="T674" s="407" t="n">
        <f aca="false">Таблица18[[#This Row],[Вес нетто]]-Таблица18[[#This Row],[Зачетный вес]]</f>
        <v>4038.8</v>
      </c>
      <c r="U674" s="409" t="n">
        <f aca="false">Таблица18[[#This Row],[Отход]]/Таблица18[[#This Row],[Вес нетто]]</f>
        <v>0.22500278551532</v>
      </c>
      <c r="V674" s="234" t="n">
        <f aca="false">MONTH(Таблица18[[#This Row],[Дата акта]])</f>
        <v>6</v>
      </c>
      <c r="W674" s="234" t="n">
        <v>12</v>
      </c>
      <c r="X674" s="248" t="n">
        <f aca="false">DATE(1900,Таблица18[[#This Row],[Месяц]],Таблица18[[#This Row],[Число]])</f>
        <v>164</v>
      </c>
      <c r="Y674" s="234"/>
      <c r="AF674" s="411"/>
      <c r="AG674" s="412"/>
    </row>
    <row r="675" s="410" customFormat="true" ht="15" hidden="true" customHeight="true" outlineLevel="0" collapsed="false">
      <c r="A675" s="198" t="s">
        <v>2285</v>
      </c>
      <c r="B675" s="199" t="s">
        <v>417</v>
      </c>
      <c r="C675" s="198" t="n">
        <v>298</v>
      </c>
      <c r="D675" s="198" t="n">
        <v>32</v>
      </c>
      <c r="E675" s="198" t="s">
        <v>2244</v>
      </c>
      <c r="F675" s="198" t="s">
        <v>547</v>
      </c>
      <c r="G675" s="198" t="s">
        <v>551</v>
      </c>
      <c r="H675" s="198" t="s">
        <v>2251</v>
      </c>
      <c r="I675" s="199"/>
      <c r="J675" s="198" t="s">
        <v>1750</v>
      </c>
      <c r="K675" s="198" t="s">
        <v>1435</v>
      </c>
      <c r="L675" s="234" t="n">
        <v>28070</v>
      </c>
      <c r="M675" s="234" t="n">
        <v>14420</v>
      </c>
      <c r="N675" s="234" t="n">
        <v>23.5</v>
      </c>
      <c r="O675" s="407" t="n">
        <v>13650</v>
      </c>
      <c r="P675" s="407" t="n">
        <v>10442.2</v>
      </c>
      <c r="Q675" s="234" t="n">
        <v>2024</v>
      </c>
      <c r="R675" s="234"/>
      <c r="S675" s="248" t="n">
        <v>45455</v>
      </c>
      <c r="T675" s="407" t="n">
        <f aca="false">Таблица18[[#This Row],[Вес нетто]]-Таблица18[[#This Row],[Зачетный вес]]</f>
        <v>3207.8</v>
      </c>
      <c r="U675" s="409" t="n">
        <f aca="false">Таблица18[[#This Row],[Отход]]/Таблица18[[#This Row],[Вес нетто]]</f>
        <v>0.235003663003663</v>
      </c>
      <c r="V675" s="234" t="n">
        <f aca="false">MONTH(Таблица18[[#This Row],[Дата акта]])</f>
        <v>6</v>
      </c>
      <c r="W675" s="234" t="n">
        <v>12</v>
      </c>
      <c r="X675" s="248" t="n">
        <f aca="false">DATE(1900,Таблица18[[#This Row],[Месяц]],Таблица18[[#This Row],[Число]])</f>
        <v>164</v>
      </c>
      <c r="Y675" s="234"/>
      <c r="AF675" s="411"/>
      <c r="AG675" s="412"/>
    </row>
    <row r="676" s="410" customFormat="true" ht="15" hidden="true" customHeight="true" outlineLevel="0" collapsed="false">
      <c r="A676" s="198" t="s">
        <v>2286</v>
      </c>
      <c r="B676" s="199" t="s">
        <v>417</v>
      </c>
      <c r="C676" s="198" t="n">
        <v>299</v>
      </c>
      <c r="D676" s="198" t="n">
        <v>33</v>
      </c>
      <c r="E676" s="198" t="s">
        <v>2244</v>
      </c>
      <c r="F676" s="198" t="s">
        <v>2075</v>
      </c>
      <c r="G676" s="198" t="s">
        <v>2076</v>
      </c>
      <c r="H676" s="198" t="s">
        <v>2251</v>
      </c>
      <c r="I676" s="199"/>
      <c r="J676" s="198" t="s">
        <v>1750</v>
      </c>
      <c r="K676" s="198" t="s">
        <v>1435</v>
      </c>
      <c r="L676" s="234" t="n">
        <v>28140</v>
      </c>
      <c r="M676" s="234" t="n">
        <v>14780</v>
      </c>
      <c r="N676" s="234" t="n">
        <v>30.5</v>
      </c>
      <c r="O676" s="407" t="n">
        <v>13360</v>
      </c>
      <c r="P676" s="407" t="n">
        <v>9285.2</v>
      </c>
      <c r="Q676" s="234" t="n">
        <v>2024</v>
      </c>
      <c r="R676" s="234"/>
      <c r="S676" s="248" t="n">
        <v>45455</v>
      </c>
      <c r="T676" s="407" t="n">
        <f aca="false">Таблица18[[#This Row],[Вес нетто]]-Таблица18[[#This Row],[Зачетный вес]]</f>
        <v>4074.8</v>
      </c>
      <c r="U676" s="409" t="n">
        <f aca="false">Таблица18[[#This Row],[Отход]]/Таблица18[[#This Row],[Вес нетто]]</f>
        <v>0.305</v>
      </c>
      <c r="V676" s="234" t="n">
        <f aca="false">MONTH(Таблица18[[#This Row],[Дата акта]])</f>
        <v>6</v>
      </c>
      <c r="W676" s="234" t="n">
        <v>12</v>
      </c>
      <c r="X676" s="248" t="n">
        <f aca="false">DATE(1900,Таблица18[[#This Row],[Месяц]],Таблица18[[#This Row],[Число]])</f>
        <v>164</v>
      </c>
      <c r="Y676" s="234"/>
      <c r="AF676" s="411"/>
      <c r="AG676" s="412"/>
    </row>
    <row r="677" s="410" customFormat="true" ht="15" hidden="true" customHeight="true" outlineLevel="0" collapsed="false">
      <c r="A677" s="198" t="s">
        <v>2287</v>
      </c>
      <c r="B677" s="199" t="s">
        <v>417</v>
      </c>
      <c r="C677" s="198" t="n">
        <v>300</v>
      </c>
      <c r="D677" s="198" t="n">
        <v>34</v>
      </c>
      <c r="E677" s="198" t="s">
        <v>2244</v>
      </c>
      <c r="F677" s="198" t="s">
        <v>2253</v>
      </c>
      <c r="G677" s="198" t="s">
        <v>2254</v>
      </c>
      <c r="H677" s="198" t="s">
        <v>2251</v>
      </c>
      <c r="I677" s="199"/>
      <c r="J677" s="198" t="s">
        <v>1750</v>
      </c>
      <c r="K677" s="198" t="s">
        <v>1435</v>
      </c>
      <c r="L677" s="234" t="n">
        <v>32590</v>
      </c>
      <c r="M677" s="234" t="n">
        <v>16670</v>
      </c>
      <c r="N677" s="234" t="n">
        <v>26.5</v>
      </c>
      <c r="O677" s="407" t="n">
        <v>15920</v>
      </c>
      <c r="P677" s="407" t="n">
        <v>11701.2</v>
      </c>
      <c r="Q677" s="234" t="n">
        <v>2024</v>
      </c>
      <c r="R677" s="234"/>
      <c r="S677" s="248" t="n">
        <v>45455</v>
      </c>
      <c r="T677" s="407" t="n">
        <f aca="false">Таблица18[[#This Row],[Вес нетто]]-Таблица18[[#This Row],[Зачетный вес]]</f>
        <v>4218.8</v>
      </c>
      <c r="U677" s="409" t="n">
        <f aca="false">Таблица18[[#This Row],[Отход]]/Таблица18[[#This Row],[Вес нетто]]</f>
        <v>0.265</v>
      </c>
      <c r="V677" s="234" t="n">
        <f aca="false">MONTH(Таблица18[[#This Row],[Дата акта]])</f>
        <v>6</v>
      </c>
      <c r="W677" s="234" t="n">
        <v>12</v>
      </c>
      <c r="X677" s="248" t="n">
        <f aca="false">DATE(1900,Таблица18[[#This Row],[Месяц]],Таблица18[[#This Row],[Число]])</f>
        <v>164</v>
      </c>
      <c r="Y677" s="234"/>
      <c r="AF677" s="411"/>
      <c r="AG677" s="412"/>
    </row>
    <row r="678" s="410" customFormat="true" ht="15" hidden="true" customHeight="true" outlineLevel="0" collapsed="false">
      <c r="A678" s="198" t="s">
        <v>2288</v>
      </c>
      <c r="B678" s="199" t="s">
        <v>417</v>
      </c>
      <c r="C678" s="198" t="n">
        <v>301</v>
      </c>
      <c r="D678" s="198" t="n">
        <v>35</v>
      </c>
      <c r="E678" s="198" t="s">
        <v>2244</v>
      </c>
      <c r="F678" s="198" t="s">
        <v>2078</v>
      </c>
      <c r="G678" s="198" t="s">
        <v>557</v>
      </c>
      <c r="H678" s="198" t="s">
        <v>2251</v>
      </c>
      <c r="I678" s="199"/>
      <c r="J678" s="198" t="s">
        <v>1750</v>
      </c>
      <c r="K678" s="198" t="s">
        <v>1435</v>
      </c>
      <c r="L678" s="234" t="n">
        <v>31130</v>
      </c>
      <c r="M678" s="234" t="n">
        <v>15010</v>
      </c>
      <c r="N678" s="234" t="n">
        <v>24.5</v>
      </c>
      <c r="O678" s="407" t="n">
        <v>16120</v>
      </c>
      <c r="P678" s="407" t="n">
        <v>12170.6</v>
      </c>
      <c r="Q678" s="234" t="n">
        <v>2024</v>
      </c>
      <c r="R678" s="234"/>
      <c r="S678" s="248" t="n">
        <v>45455</v>
      </c>
      <c r="T678" s="407" t="n">
        <f aca="false">Таблица18[[#This Row],[Вес нетто]]-Таблица18[[#This Row],[Зачетный вес]]</f>
        <v>3949.4</v>
      </c>
      <c r="U678" s="409" t="n">
        <f aca="false">Таблица18[[#This Row],[Отход]]/Таблица18[[#This Row],[Вес нетто]]</f>
        <v>0.245</v>
      </c>
      <c r="V678" s="234" t="n">
        <f aca="false">MONTH(Таблица18[[#This Row],[Дата акта]])</f>
        <v>6</v>
      </c>
      <c r="W678" s="234" t="n">
        <v>12</v>
      </c>
      <c r="X678" s="248" t="n">
        <f aca="false">DATE(1900,Таблица18[[#This Row],[Месяц]],Таблица18[[#This Row],[Число]])</f>
        <v>164</v>
      </c>
      <c r="Y678" s="234"/>
      <c r="AF678" s="411"/>
      <c r="AG678" s="412"/>
    </row>
    <row r="679" s="410" customFormat="true" ht="15" hidden="true" customHeight="true" outlineLevel="0" collapsed="false">
      <c r="A679" s="198" t="s">
        <v>2289</v>
      </c>
      <c r="B679" s="199" t="s">
        <v>417</v>
      </c>
      <c r="C679" s="198" t="n">
        <v>302</v>
      </c>
      <c r="D679" s="198" t="n">
        <v>36</v>
      </c>
      <c r="E679" s="198" t="s">
        <v>2244</v>
      </c>
      <c r="F679" s="198" t="s">
        <v>457</v>
      </c>
      <c r="G679" s="198" t="s">
        <v>366</v>
      </c>
      <c r="H679" s="198" t="s">
        <v>2251</v>
      </c>
      <c r="I679" s="199"/>
      <c r="J679" s="198" t="s">
        <v>1750</v>
      </c>
      <c r="K679" s="198" t="s">
        <v>1435</v>
      </c>
      <c r="L679" s="234" t="n">
        <v>29430</v>
      </c>
      <c r="M679" s="234" t="n">
        <v>17180</v>
      </c>
      <c r="N679" s="234" t="n">
        <v>23.5</v>
      </c>
      <c r="O679" s="407" t="n">
        <v>12250</v>
      </c>
      <c r="P679" s="407" t="n">
        <v>9371.2</v>
      </c>
      <c r="Q679" s="234" t="n">
        <v>2024</v>
      </c>
      <c r="R679" s="234"/>
      <c r="S679" s="248" t="n">
        <v>45455</v>
      </c>
      <c r="T679" s="407" t="n">
        <f aca="false">Таблица18[[#This Row],[Вес нетто]]-Таблица18[[#This Row],[Зачетный вес]]</f>
        <v>2878.8</v>
      </c>
      <c r="U679" s="409" t="n">
        <f aca="false">Таблица18[[#This Row],[Отход]]/Таблица18[[#This Row],[Вес нетто]]</f>
        <v>0.235004081632653</v>
      </c>
      <c r="V679" s="234" t="n">
        <f aca="false">MONTH(Таблица18[[#This Row],[Дата акта]])</f>
        <v>6</v>
      </c>
      <c r="W679" s="234" t="n">
        <v>12</v>
      </c>
      <c r="X679" s="248" t="n">
        <f aca="false">DATE(1900,Таблица18[[#This Row],[Месяц]],Таблица18[[#This Row],[Число]])</f>
        <v>164</v>
      </c>
      <c r="Y679" s="234"/>
      <c r="AF679" s="411"/>
      <c r="AG679" s="412"/>
    </row>
    <row r="680" s="410" customFormat="true" ht="15" hidden="true" customHeight="true" outlineLevel="0" collapsed="false">
      <c r="A680" s="198" t="s">
        <v>2290</v>
      </c>
      <c r="B680" s="199" t="s">
        <v>417</v>
      </c>
      <c r="C680" s="198" t="n">
        <v>303</v>
      </c>
      <c r="D680" s="198" t="n">
        <v>38</v>
      </c>
      <c r="E680" s="198" t="s">
        <v>2244</v>
      </c>
      <c r="F680" s="198" t="s">
        <v>2260</v>
      </c>
      <c r="G680" s="198" t="s">
        <v>455</v>
      </c>
      <c r="H680" s="198" t="s">
        <v>2245</v>
      </c>
      <c r="I680" s="199"/>
      <c r="J680" s="198" t="s">
        <v>1868</v>
      </c>
      <c r="K680" s="198" t="s">
        <v>1435</v>
      </c>
      <c r="L680" s="234" t="n">
        <v>28180</v>
      </c>
      <c r="M680" s="234" t="n">
        <v>14900</v>
      </c>
      <c r="N680" s="234" t="n">
        <v>15.5</v>
      </c>
      <c r="O680" s="407" t="n">
        <v>13280</v>
      </c>
      <c r="P680" s="407" t="n">
        <v>11221.6</v>
      </c>
      <c r="Q680" s="234" t="n">
        <v>2024</v>
      </c>
      <c r="R680" s="234"/>
      <c r="S680" s="248" t="n">
        <v>45455</v>
      </c>
      <c r="T680" s="407" t="n">
        <f aca="false">Таблица18[[#This Row],[Вес нетто]]-Таблица18[[#This Row],[Зачетный вес]]</f>
        <v>2058.4</v>
      </c>
      <c r="U680" s="409" t="n">
        <f aca="false">Таблица18[[#This Row],[Отход]]/Таблица18[[#This Row],[Вес нетто]]</f>
        <v>0.155</v>
      </c>
      <c r="V680" s="234" t="n">
        <f aca="false">MONTH(Таблица18[[#This Row],[Дата акта]])</f>
        <v>6</v>
      </c>
      <c r="W680" s="234" t="n">
        <v>12</v>
      </c>
      <c r="X680" s="248" t="n">
        <f aca="false">DATE(1900,Таблица18[[#This Row],[Месяц]],Таблица18[[#This Row],[Число]])</f>
        <v>164</v>
      </c>
      <c r="Y680" s="234"/>
      <c r="AF680" s="411"/>
      <c r="AG680" s="412"/>
    </row>
    <row r="681" s="410" customFormat="true" ht="15" hidden="true" customHeight="true" outlineLevel="0" collapsed="false">
      <c r="A681" s="198" t="s">
        <v>2291</v>
      </c>
      <c r="B681" s="199" t="s">
        <v>417</v>
      </c>
      <c r="C681" s="198" t="n">
        <v>304</v>
      </c>
      <c r="D681" s="198" t="n">
        <v>121</v>
      </c>
      <c r="E681" s="198" t="s">
        <v>422</v>
      </c>
      <c r="F681" s="198" t="s">
        <v>363</v>
      </c>
      <c r="G681" s="198" t="s">
        <v>364</v>
      </c>
      <c r="H681" s="198" t="s">
        <v>2220</v>
      </c>
      <c r="I681" s="199"/>
      <c r="J681" s="198" t="s">
        <v>898</v>
      </c>
      <c r="K681" s="198" t="s">
        <v>1435</v>
      </c>
      <c r="L681" s="234" t="n">
        <v>23690</v>
      </c>
      <c r="M681" s="234" t="n">
        <v>14480</v>
      </c>
      <c r="N681" s="234" t="n">
        <v>17.5</v>
      </c>
      <c r="O681" s="407" t="n">
        <v>9210</v>
      </c>
      <c r="P681" s="407" t="n">
        <v>7598.2</v>
      </c>
      <c r="Q681" s="234" t="n">
        <v>2024</v>
      </c>
      <c r="R681" s="234"/>
      <c r="S681" s="248" t="n">
        <v>45455</v>
      </c>
      <c r="T681" s="407" t="n">
        <f aca="false">Таблица18[[#This Row],[Вес нетто]]-Таблица18[[#This Row],[Зачетный вес]]</f>
        <v>1611.8</v>
      </c>
      <c r="U681" s="409" t="n">
        <f aca="false">Таблица18[[#This Row],[Отход]]/Таблица18[[#This Row],[Вес нетто]]</f>
        <v>0.17500542888165</v>
      </c>
      <c r="V681" s="234" t="n">
        <f aca="false">MONTH(Таблица18[[#This Row],[Дата акта]])</f>
        <v>6</v>
      </c>
      <c r="W681" s="234" t="n">
        <v>12</v>
      </c>
      <c r="X681" s="248" t="n">
        <f aca="false">DATE(1900,Таблица18[[#This Row],[Месяц]],Таблица18[[#This Row],[Число]])</f>
        <v>164</v>
      </c>
      <c r="Y681" s="234"/>
      <c r="AF681" s="411"/>
      <c r="AG681" s="412"/>
    </row>
    <row r="682" s="410" customFormat="true" ht="15" hidden="true" customHeight="true" outlineLevel="0" collapsed="false">
      <c r="A682" s="198" t="s">
        <v>2292</v>
      </c>
      <c r="B682" s="199" t="s">
        <v>417</v>
      </c>
      <c r="C682" s="198" t="n">
        <v>305</v>
      </c>
      <c r="D682" s="198" t="n">
        <v>39</v>
      </c>
      <c r="E682" s="198" t="s">
        <v>2244</v>
      </c>
      <c r="F682" s="198" t="s">
        <v>2262</v>
      </c>
      <c r="G682" s="198" t="s">
        <v>449</v>
      </c>
      <c r="H682" s="198" t="s">
        <v>2245</v>
      </c>
      <c r="I682" s="199"/>
      <c r="J682" s="198" t="s">
        <v>1868</v>
      </c>
      <c r="K682" s="198" t="s">
        <v>1435</v>
      </c>
      <c r="L682" s="234" t="n">
        <v>31630</v>
      </c>
      <c r="M682" s="234" t="n">
        <v>15690</v>
      </c>
      <c r="N682" s="234" t="n">
        <v>14.5</v>
      </c>
      <c r="O682" s="407" t="n">
        <v>15940</v>
      </c>
      <c r="P682" s="407" t="n">
        <v>13628.7</v>
      </c>
      <c r="Q682" s="234" t="n">
        <v>2024</v>
      </c>
      <c r="R682" s="234"/>
      <c r="S682" s="248" t="n">
        <v>45455</v>
      </c>
      <c r="T682" s="407" t="n">
        <f aca="false">Таблица18[[#This Row],[Вес нетто]]-Таблица18[[#This Row],[Зачетный вес]]</f>
        <v>2311.3</v>
      </c>
      <c r="U682" s="409" t="n">
        <f aca="false">Таблица18[[#This Row],[Отход]]/Таблица18[[#This Row],[Вес нетто]]</f>
        <v>0.145</v>
      </c>
      <c r="V682" s="234" t="n">
        <f aca="false">MONTH(Таблица18[[#This Row],[Дата акта]])</f>
        <v>6</v>
      </c>
      <c r="W682" s="234" t="n">
        <v>12</v>
      </c>
      <c r="X682" s="248" t="n">
        <f aca="false">DATE(1900,Таблица18[[#This Row],[Месяц]],Таблица18[[#This Row],[Число]])</f>
        <v>164</v>
      </c>
      <c r="Y682" s="234"/>
      <c r="AF682" s="411"/>
      <c r="AG682" s="412"/>
    </row>
    <row r="683" s="410" customFormat="true" ht="15" hidden="true" customHeight="true" outlineLevel="0" collapsed="false">
      <c r="A683" s="198" t="s">
        <v>2293</v>
      </c>
      <c r="B683" s="199" t="s">
        <v>417</v>
      </c>
      <c r="C683" s="198" t="n">
        <v>306</v>
      </c>
      <c r="D683" s="198" t="n">
        <v>40</v>
      </c>
      <c r="E683" s="198" t="s">
        <v>2244</v>
      </c>
      <c r="F683" s="198" t="s">
        <v>1876</v>
      </c>
      <c r="G683" s="198" t="s">
        <v>1877</v>
      </c>
      <c r="H683" s="198" t="s">
        <v>2245</v>
      </c>
      <c r="I683" s="199"/>
      <c r="J683" s="198" t="s">
        <v>1868</v>
      </c>
      <c r="K683" s="198" t="s">
        <v>1435</v>
      </c>
      <c r="L683" s="234" t="n">
        <v>30660</v>
      </c>
      <c r="M683" s="234" t="n">
        <v>14660</v>
      </c>
      <c r="N683" s="234" t="n">
        <v>13</v>
      </c>
      <c r="O683" s="407" t="n">
        <v>16000</v>
      </c>
      <c r="P683" s="407" t="n">
        <v>13920</v>
      </c>
      <c r="Q683" s="234" t="n">
        <v>2024</v>
      </c>
      <c r="R683" s="234"/>
      <c r="S683" s="248" t="n">
        <v>45455</v>
      </c>
      <c r="T683" s="407" t="n">
        <f aca="false">Таблица18[[#This Row],[Вес нетто]]-Таблица18[[#This Row],[Зачетный вес]]</f>
        <v>2080</v>
      </c>
      <c r="U683" s="409" t="n">
        <f aca="false">Таблица18[[#This Row],[Отход]]/Таблица18[[#This Row],[Вес нетто]]</f>
        <v>0.13</v>
      </c>
      <c r="V683" s="234" t="n">
        <f aca="false">MONTH(Таблица18[[#This Row],[Дата акта]])</f>
        <v>6</v>
      </c>
      <c r="W683" s="234" t="n">
        <v>12</v>
      </c>
      <c r="X683" s="248" t="n">
        <f aca="false">DATE(1900,Таблица18[[#This Row],[Месяц]],Таблица18[[#This Row],[Число]])</f>
        <v>164</v>
      </c>
      <c r="Y683" s="234"/>
      <c r="AF683" s="411"/>
      <c r="AG683" s="412"/>
    </row>
    <row r="684" s="410" customFormat="true" ht="15" hidden="true" customHeight="true" outlineLevel="0" collapsed="false">
      <c r="A684" s="198" t="s">
        <v>2294</v>
      </c>
      <c r="B684" s="199" t="s">
        <v>417</v>
      </c>
      <c r="C684" s="198" t="n">
        <v>307</v>
      </c>
      <c r="D684" s="198" t="n">
        <v>41</v>
      </c>
      <c r="E684" s="198" t="s">
        <v>2244</v>
      </c>
      <c r="F684" s="198" t="s">
        <v>55</v>
      </c>
      <c r="G684" s="198" t="s">
        <v>56</v>
      </c>
      <c r="H684" s="198" t="s">
        <v>2245</v>
      </c>
      <c r="I684" s="199"/>
      <c r="J684" s="198" t="s">
        <v>1868</v>
      </c>
      <c r="K684" s="198" t="s">
        <v>1435</v>
      </c>
      <c r="L684" s="234" t="n">
        <v>30540</v>
      </c>
      <c r="M684" s="234" t="n">
        <v>14560</v>
      </c>
      <c r="N684" s="234" t="n">
        <v>14.5</v>
      </c>
      <c r="O684" s="407" t="n">
        <v>15980</v>
      </c>
      <c r="P684" s="407" t="n">
        <v>13662.9</v>
      </c>
      <c r="Q684" s="234" t="n">
        <v>2024</v>
      </c>
      <c r="R684" s="234"/>
      <c r="S684" s="248" t="n">
        <v>45455</v>
      </c>
      <c r="T684" s="407" t="n">
        <f aca="false">Таблица18[[#This Row],[Вес нетто]]-Таблица18[[#This Row],[Зачетный вес]]</f>
        <v>2317.1</v>
      </c>
      <c r="U684" s="409" t="n">
        <f aca="false">Таблица18[[#This Row],[Отход]]/Таблица18[[#This Row],[Вес нетто]]</f>
        <v>0.145</v>
      </c>
      <c r="V684" s="234" t="n">
        <f aca="false">MONTH(Таблица18[[#This Row],[Дата акта]])</f>
        <v>6</v>
      </c>
      <c r="W684" s="234" t="n">
        <v>12</v>
      </c>
      <c r="X684" s="248" t="n">
        <f aca="false">DATE(1900,Таблица18[[#This Row],[Месяц]],Таблица18[[#This Row],[Число]])</f>
        <v>164</v>
      </c>
      <c r="Y684" s="234"/>
      <c r="AF684" s="411"/>
      <c r="AG684" s="412"/>
    </row>
    <row r="685" s="410" customFormat="true" ht="15" hidden="true" customHeight="true" outlineLevel="0" collapsed="false">
      <c r="A685" s="198" t="s">
        <v>2295</v>
      </c>
      <c r="B685" s="199" t="s">
        <v>417</v>
      </c>
      <c r="C685" s="198" t="n">
        <v>308</v>
      </c>
      <c r="D685" s="198" t="n">
        <v>42</v>
      </c>
      <c r="E685" s="198" t="s">
        <v>2244</v>
      </c>
      <c r="F685" s="198" t="s">
        <v>1576</v>
      </c>
      <c r="G685" s="198" t="s">
        <v>1455</v>
      </c>
      <c r="H685" s="198" t="s">
        <v>2245</v>
      </c>
      <c r="I685" s="199"/>
      <c r="J685" s="198" t="s">
        <v>1868</v>
      </c>
      <c r="K685" s="198" t="s">
        <v>1435</v>
      </c>
      <c r="L685" s="234" t="n">
        <v>30540</v>
      </c>
      <c r="M685" s="234" t="n">
        <v>14360</v>
      </c>
      <c r="N685" s="234" t="n">
        <v>17.5</v>
      </c>
      <c r="O685" s="407" t="n">
        <v>16180</v>
      </c>
      <c r="P685" s="407" t="n">
        <v>13348.5</v>
      </c>
      <c r="Q685" s="234" t="n">
        <v>2024</v>
      </c>
      <c r="R685" s="234"/>
      <c r="S685" s="248" t="n">
        <v>45455</v>
      </c>
      <c r="T685" s="407" t="n">
        <f aca="false">Таблица18[[#This Row],[Вес нетто]]-Таблица18[[#This Row],[Зачетный вес]]</f>
        <v>2831.5</v>
      </c>
      <c r="U685" s="409" t="n">
        <f aca="false">Таблица18[[#This Row],[Отход]]/Таблица18[[#This Row],[Вес нетто]]</f>
        <v>0.175</v>
      </c>
      <c r="V685" s="234" t="n">
        <f aca="false">MONTH(Таблица18[[#This Row],[Дата акта]])</f>
        <v>6</v>
      </c>
      <c r="W685" s="234" t="n">
        <v>12</v>
      </c>
      <c r="X685" s="248" t="n">
        <f aca="false">DATE(1900,Таблица18[[#This Row],[Месяц]],Таблица18[[#This Row],[Число]])</f>
        <v>164</v>
      </c>
      <c r="Y685" s="234"/>
      <c r="AF685" s="411"/>
      <c r="AG685" s="412"/>
    </row>
    <row r="686" s="410" customFormat="true" ht="15" hidden="true" customHeight="true" outlineLevel="0" collapsed="false">
      <c r="A686" s="198" t="s">
        <v>2296</v>
      </c>
      <c r="B686" s="199" t="s">
        <v>746</v>
      </c>
      <c r="C686" s="198" t="n">
        <v>309</v>
      </c>
      <c r="D686" s="198" t="n">
        <v>43</v>
      </c>
      <c r="E686" s="198" t="s">
        <v>2244</v>
      </c>
      <c r="F686" s="198" t="s">
        <v>2253</v>
      </c>
      <c r="G686" s="198" t="s">
        <v>2254</v>
      </c>
      <c r="H686" s="198" t="s">
        <v>2245</v>
      </c>
      <c r="I686" s="199"/>
      <c r="J686" s="198" t="s">
        <v>1868</v>
      </c>
      <c r="K686" s="198" t="s">
        <v>1435</v>
      </c>
      <c r="L686" s="234" t="n">
        <v>34940</v>
      </c>
      <c r="M686" s="234" t="n">
        <v>16530</v>
      </c>
      <c r="N686" s="234" t="n">
        <v>16.5</v>
      </c>
      <c r="O686" s="407" t="n">
        <v>18410</v>
      </c>
      <c r="P686" s="407" t="n">
        <v>15372.3</v>
      </c>
      <c r="Q686" s="234" t="n">
        <v>2024</v>
      </c>
      <c r="R686" s="234"/>
      <c r="S686" s="248" t="n">
        <v>45455</v>
      </c>
      <c r="T686" s="407" t="n">
        <f aca="false">Таблица18[[#This Row],[Вес нетто]]-Таблица18[[#This Row],[Зачетный вес]]</f>
        <v>3037.7</v>
      </c>
      <c r="U686" s="409" t="n">
        <f aca="false">Таблица18[[#This Row],[Отход]]/Таблица18[[#This Row],[Вес нетто]]</f>
        <v>0.165002715915263</v>
      </c>
      <c r="V686" s="234" t="n">
        <f aca="false">MONTH(Таблица18[[#This Row],[Дата акта]])</f>
        <v>6</v>
      </c>
      <c r="W686" s="234" t="n">
        <v>12</v>
      </c>
      <c r="X686" s="248" t="n">
        <f aca="false">DATE(1900,Таблица18[[#This Row],[Месяц]],Таблица18[[#This Row],[Число]])</f>
        <v>164</v>
      </c>
      <c r="Y686" s="234"/>
      <c r="AF686" s="411"/>
      <c r="AG686" s="412"/>
    </row>
    <row r="687" s="410" customFormat="true" ht="15" hidden="true" customHeight="true" outlineLevel="0" collapsed="false">
      <c r="A687" s="198" t="s">
        <v>2297</v>
      </c>
      <c r="B687" s="199" t="s">
        <v>417</v>
      </c>
      <c r="C687" s="198" t="n">
        <v>310</v>
      </c>
      <c r="D687" s="198" t="n">
        <v>586128</v>
      </c>
      <c r="E687" s="198" t="s">
        <v>2298</v>
      </c>
      <c r="F687" s="198" t="s">
        <v>1523</v>
      </c>
      <c r="G687" s="198" t="s">
        <v>1447</v>
      </c>
      <c r="H687" s="198" t="s">
        <v>2299</v>
      </c>
      <c r="I687" s="199"/>
      <c r="J687" s="198" t="s">
        <v>1750</v>
      </c>
      <c r="K687" s="198" t="s">
        <v>1435</v>
      </c>
      <c r="L687" s="234" t="n">
        <v>23450</v>
      </c>
      <c r="M687" s="234" t="n">
        <v>14840</v>
      </c>
      <c r="N687" s="234" t="n">
        <v>25.5</v>
      </c>
      <c r="O687" s="407" t="n">
        <v>8610</v>
      </c>
      <c r="P687" s="407" t="n">
        <v>6414.4</v>
      </c>
      <c r="Q687" s="234" t="n">
        <v>2024</v>
      </c>
      <c r="R687" s="234"/>
      <c r="S687" s="248" t="n">
        <v>45455</v>
      </c>
      <c r="T687" s="407" t="n">
        <f aca="false">Таблица18[[#This Row],[Вес нетто]]-Таблица18[[#This Row],[Зачетный вес]]</f>
        <v>2195.6</v>
      </c>
      <c r="U687" s="409" t="n">
        <f aca="false">Таблица18[[#This Row],[Отход]]/Таблица18[[#This Row],[Вес нетто]]</f>
        <v>0.255005807200929</v>
      </c>
      <c r="V687" s="234" t="n">
        <f aca="false">MONTH(Таблица18[[#This Row],[Дата акта]])</f>
        <v>6</v>
      </c>
      <c r="W687" s="234" t="n">
        <v>12</v>
      </c>
      <c r="X687" s="248" t="n">
        <f aca="false">DATE(1900,Таблица18[[#This Row],[Месяц]],Таблица18[[#This Row],[Число]])</f>
        <v>164</v>
      </c>
      <c r="Y687" s="234"/>
      <c r="AF687" s="411"/>
      <c r="AG687" s="412"/>
    </row>
    <row r="688" s="410" customFormat="true" ht="15" hidden="true" customHeight="true" outlineLevel="0" collapsed="false">
      <c r="A688" s="198" t="s">
        <v>2300</v>
      </c>
      <c r="B688" s="199" t="s">
        <v>417</v>
      </c>
      <c r="C688" s="198" t="n">
        <v>311</v>
      </c>
      <c r="D688" s="198" t="n">
        <v>44</v>
      </c>
      <c r="E688" s="198" t="s">
        <v>2244</v>
      </c>
      <c r="F688" s="198" t="s">
        <v>1086</v>
      </c>
      <c r="G688" s="198" t="s">
        <v>1087</v>
      </c>
      <c r="H688" s="198" t="s">
        <v>2245</v>
      </c>
      <c r="I688" s="199"/>
      <c r="J688" s="198" t="s">
        <v>1868</v>
      </c>
      <c r="K688" s="198" t="s">
        <v>1435</v>
      </c>
      <c r="L688" s="234" t="n">
        <v>33480</v>
      </c>
      <c r="M688" s="234" t="n">
        <v>14940</v>
      </c>
      <c r="N688" s="234" t="n">
        <v>17</v>
      </c>
      <c r="O688" s="407" t="n">
        <v>18540</v>
      </c>
      <c r="P688" s="407" t="n">
        <v>15388.2</v>
      </c>
      <c r="Q688" s="234" t="n">
        <v>2024</v>
      </c>
      <c r="R688" s="234"/>
      <c r="S688" s="248" t="n">
        <v>45455</v>
      </c>
      <c r="T688" s="407" t="n">
        <f aca="false">Таблица18[[#This Row],[Вес нетто]]-Таблица18[[#This Row],[Зачетный вес]]</f>
        <v>3151.8</v>
      </c>
      <c r="U688" s="409" t="n">
        <f aca="false">Таблица18[[#This Row],[Отход]]/Таблица18[[#This Row],[Вес нетто]]</f>
        <v>0.17</v>
      </c>
      <c r="V688" s="234" t="n">
        <f aca="false">MONTH(Таблица18[[#This Row],[Дата акта]])</f>
        <v>6</v>
      </c>
      <c r="W688" s="234" t="n">
        <v>12</v>
      </c>
      <c r="X688" s="248" t="n">
        <f aca="false">DATE(1900,Таблица18[[#This Row],[Месяц]],Таблица18[[#This Row],[Число]])</f>
        <v>164</v>
      </c>
      <c r="Y688" s="234"/>
      <c r="AF688" s="411"/>
      <c r="AG688" s="412"/>
    </row>
    <row r="689" s="410" customFormat="true" ht="15" hidden="true" customHeight="true" outlineLevel="0" collapsed="false">
      <c r="A689" s="198" t="s">
        <v>2301</v>
      </c>
      <c r="B689" s="199" t="s">
        <v>417</v>
      </c>
      <c r="C689" s="198" t="n">
        <v>313</v>
      </c>
      <c r="D689" s="198" t="n">
        <v>45</v>
      </c>
      <c r="E689" s="198" t="s">
        <v>2244</v>
      </c>
      <c r="F689" s="198" t="s">
        <v>547</v>
      </c>
      <c r="G689" s="198" t="s">
        <v>551</v>
      </c>
      <c r="H689" s="198" t="s">
        <v>2245</v>
      </c>
      <c r="I689" s="199"/>
      <c r="J689" s="198" t="s">
        <v>1868</v>
      </c>
      <c r="K689" s="198" t="s">
        <v>1435</v>
      </c>
      <c r="L689" s="234" t="n">
        <v>32040</v>
      </c>
      <c r="M689" s="234" t="n">
        <v>14480</v>
      </c>
      <c r="N689" s="234" t="n">
        <v>18.5</v>
      </c>
      <c r="O689" s="407" t="n">
        <v>17560</v>
      </c>
      <c r="P689" s="407" t="n">
        <v>14305.8</v>
      </c>
      <c r="Q689" s="234" t="n">
        <v>2024</v>
      </c>
      <c r="R689" s="234"/>
      <c r="S689" s="248" t="n">
        <v>45456</v>
      </c>
      <c r="T689" s="407" t="n">
        <f aca="false">Таблица18[[#This Row],[Вес нетто]]-Таблица18[[#This Row],[Зачетный вес]]</f>
        <v>3254.2</v>
      </c>
      <c r="U689" s="409" t="n">
        <f aca="false">Таблица18[[#This Row],[Отход]]/Таблица18[[#This Row],[Вес нетто]]</f>
        <v>0.185318906605923</v>
      </c>
      <c r="V689" s="234" t="n">
        <f aca="false">MONTH(Таблица18[[#This Row],[Дата акта]])</f>
        <v>6</v>
      </c>
      <c r="W689" s="234" t="n">
        <v>13</v>
      </c>
      <c r="X689" s="248" t="n">
        <f aca="false">DATE(1900,Таблица18[[#This Row],[Месяц]],Таблица18[[#This Row],[Число]])</f>
        <v>165</v>
      </c>
      <c r="Y689" s="234"/>
      <c r="AF689" s="411"/>
      <c r="AG689" s="412"/>
    </row>
    <row r="690" s="410" customFormat="true" ht="15" hidden="true" customHeight="true" outlineLevel="0" collapsed="false">
      <c r="A690" s="198" t="s">
        <v>2302</v>
      </c>
      <c r="B690" s="199" t="s">
        <v>417</v>
      </c>
      <c r="C690" s="198" t="n">
        <v>314</v>
      </c>
      <c r="D690" s="198" t="n">
        <v>586127</v>
      </c>
      <c r="E690" s="198" t="s">
        <v>2298</v>
      </c>
      <c r="F690" s="198" t="s">
        <v>371</v>
      </c>
      <c r="G690" s="198" t="s">
        <v>372</v>
      </c>
      <c r="H690" s="198" t="s">
        <v>2299</v>
      </c>
      <c r="I690" s="199"/>
      <c r="J690" s="198" t="s">
        <v>1750</v>
      </c>
      <c r="K690" s="198" t="s">
        <v>1435</v>
      </c>
      <c r="L690" s="234" t="n">
        <v>28360</v>
      </c>
      <c r="M690" s="234" t="n">
        <v>15080</v>
      </c>
      <c r="N690" s="234" t="n">
        <v>19.5</v>
      </c>
      <c r="O690" s="407" t="n">
        <v>13280</v>
      </c>
      <c r="P690" s="407" t="n">
        <v>10690.4</v>
      </c>
      <c r="Q690" s="234" t="n">
        <v>2024</v>
      </c>
      <c r="R690" s="234"/>
      <c r="S690" s="248" t="n">
        <v>45456</v>
      </c>
      <c r="T690" s="407" t="n">
        <f aca="false">Таблица18[[#This Row],[Вес нетто]]-Таблица18[[#This Row],[Зачетный вес]]</f>
        <v>2589.6</v>
      </c>
      <c r="U690" s="409" t="n">
        <f aca="false">Таблица18[[#This Row],[Отход]]/Таблица18[[#This Row],[Вес нетто]]</f>
        <v>0.195</v>
      </c>
      <c r="V690" s="234" t="n">
        <f aca="false">MONTH(Таблица18[[#This Row],[Дата акта]])</f>
        <v>6</v>
      </c>
      <c r="W690" s="234" t="n">
        <v>13</v>
      </c>
      <c r="X690" s="248" t="n">
        <f aca="false">DATE(1900,Таблица18[[#This Row],[Месяц]],Таблица18[[#This Row],[Число]])</f>
        <v>165</v>
      </c>
      <c r="Y690" s="234"/>
      <c r="AF690" s="411"/>
      <c r="AG690" s="412"/>
    </row>
    <row r="691" s="410" customFormat="true" ht="15" hidden="true" customHeight="true" outlineLevel="0" collapsed="false">
      <c r="A691" s="198" t="s">
        <v>2303</v>
      </c>
      <c r="B691" s="199" t="s">
        <v>417</v>
      </c>
      <c r="C691" s="198" t="n">
        <v>316</v>
      </c>
      <c r="D691" s="198" t="n">
        <v>46</v>
      </c>
      <c r="E691" s="198" t="s">
        <v>2244</v>
      </c>
      <c r="F691" s="198" t="s">
        <v>2075</v>
      </c>
      <c r="G691" s="198" t="s">
        <v>2076</v>
      </c>
      <c r="H691" s="198" t="s">
        <v>2245</v>
      </c>
      <c r="I691" s="199"/>
      <c r="J691" s="198" t="s">
        <v>1868</v>
      </c>
      <c r="K691" s="198" t="s">
        <v>1435</v>
      </c>
      <c r="L691" s="234" t="n">
        <v>24580</v>
      </c>
      <c r="M691" s="234" t="n">
        <v>14800</v>
      </c>
      <c r="N691" s="234" t="n">
        <v>20.5</v>
      </c>
      <c r="O691" s="407" t="n">
        <v>9780</v>
      </c>
      <c r="P691" s="407" t="n">
        <v>7775.1</v>
      </c>
      <c r="Q691" s="234" t="n">
        <v>2024</v>
      </c>
      <c r="R691" s="234"/>
      <c r="S691" s="248" t="n">
        <v>45456</v>
      </c>
      <c r="T691" s="407" t="n">
        <f aca="false">Таблица18[[#This Row],[Вес нетто]]-Таблица18[[#This Row],[Зачетный вес]]</f>
        <v>2004.9</v>
      </c>
      <c r="U691" s="409" t="n">
        <f aca="false">Таблица18[[#This Row],[Отход]]/Таблица18[[#This Row],[Вес нетто]]</f>
        <v>0.205</v>
      </c>
      <c r="V691" s="234" t="n">
        <f aca="false">MONTH(Таблица18[[#This Row],[Дата акта]])</f>
        <v>6</v>
      </c>
      <c r="W691" s="234" t="n">
        <v>13</v>
      </c>
      <c r="X691" s="248" t="n">
        <f aca="false">DATE(1900,Таблица18[[#This Row],[Месяц]],Таблица18[[#This Row],[Число]])</f>
        <v>165</v>
      </c>
      <c r="Y691" s="234"/>
      <c r="AF691" s="411"/>
      <c r="AG691" s="412"/>
    </row>
    <row r="692" s="410" customFormat="true" ht="15" hidden="true" customHeight="true" outlineLevel="0" collapsed="false">
      <c r="A692" s="198" t="s">
        <v>2304</v>
      </c>
      <c r="B692" s="199" t="s">
        <v>417</v>
      </c>
      <c r="C692" s="198" t="n">
        <v>317</v>
      </c>
      <c r="D692" s="198" t="n">
        <v>586126</v>
      </c>
      <c r="E692" s="198" t="s">
        <v>2298</v>
      </c>
      <c r="F692" s="198" t="s">
        <v>359</v>
      </c>
      <c r="G692" s="198" t="s">
        <v>426</v>
      </c>
      <c r="H692" s="198" t="s">
        <v>2299</v>
      </c>
      <c r="I692" s="199"/>
      <c r="J692" s="198" t="s">
        <v>1750</v>
      </c>
      <c r="K692" s="198" t="s">
        <v>1435</v>
      </c>
      <c r="L692" s="234" t="n">
        <v>29480</v>
      </c>
      <c r="M692" s="234" t="n">
        <v>14040</v>
      </c>
      <c r="N692" s="234" t="n">
        <v>19.5</v>
      </c>
      <c r="O692" s="407" t="n">
        <v>15440</v>
      </c>
      <c r="P692" s="407" t="n">
        <v>12429.2</v>
      </c>
      <c r="Q692" s="234" t="n">
        <v>2024</v>
      </c>
      <c r="R692" s="234"/>
      <c r="S692" s="248" t="n">
        <v>45456</v>
      </c>
      <c r="T692" s="407" t="n">
        <f aca="false">Таблица18[[#This Row],[Вес нетто]]-Таблица18[[#This Row],[Зачетный вес]]</f>
        <v>3010.8</v>
      </c>
      <c r="U692" s="409" t="n">
        <f aca="false">Таблица18[[#This Row],[Отход]]/Таблица18[[#This Row],[Вес нетто]]</f>
        <v>0.195</v>
      </c>
      <c r="V692" s="234" t="n">
        <f aca="false">MONTH(Таблица18[[#This Row],[Дата акта]])</f>
        <v>6</v>
      </c>
      <c r="W692" s="234" t="n">
        <v>13</v>
      </c>
      <c r="X692" s="248" t="n">
        <f aca="false">DATE(1900,Таблица18[[#This Row],[Месяц]],Таблица18[[#This Row],[Число]])</f>
        <v>165</v>
      </c>
      <c r="Y692" s="234"/>
      <c r="AF692" s="411"/>
      <c r="AG692" s="412"/>
    </row>
    <row r="693" s="410" customFormat="true" ht="15" hidden="true" customHeight="true" outlineLevel="0" collapsed="false">
      <c r="A693" s="198" t="s">
        <v>2305</v>
      </c>
      <c r="B693" s="199" t="s">
        <v>417</v>
      </c>
      <c r="C693" s="198" t="n">
        <v>318</v>
      </c>
      <c r="D693" s="198" t="n">
        <v>586129</v>
      </c>
      <c r="E693" s="198" t="s">
        <v>2298</v>
      </c>
      <c r="F693" s="198" t="s">
        <v>2084</v>
      </c>
      <c r="G693" s="198" t="s">
        <v>2085</v>
      </c>
      <c r="H693" s="198" t="s">
        <v>2299</v>
      </c>
      <c r="I693" s="199"/>
      <c r="J693" s="198" t="s">
        <v>1750</v>
      </c>
      <c r="K693" s="198" t="s">
        <v>1435</v>
      </c>
      <c r="L693" s="234" t="n">
        <v>33510</v>
      </c>
      <c r="M693" s="234" t="n">
        <v>17350</v>
      </c>
      <c r="N693" s="234" t="n">
        <v>21.5</v>
      </c>
      <c r="O693" s="407" t="n">
        <v>16160</v>
      </c>
      <c r="P693" s="407" t="n">
        <v>12685.6</v>
      </c>
      <c r="Q693" s="234" t="n">
        <v>2024</v>
      </c>
      <c r="R693" s="234"/>
      <c r="S693" s="248" t="n">
        <v>45456</v>
      </c>
      <c r="T693" s="407" t="n">
        <f aca="false">Таблица18[[#This Row],[Вес нетто]]-Таблица18[[#This Row],[Зачетный вес]]</f>
        <v>3474.4</v>
      </c>
      <c r="U693" s="409" t="n">
        <f aca="false">Таблица18[[#This Row],[Отход]]/Таблица18[[#This Row],[Вес нетто]]</f>
        <v>0.215</v>
      </c>
      <c r="V693" s="234" t="n">
        <f aca="false">MONTH(Таблица18[[#This Row],[Дата акта]])</f>
        <v>6</v>
      </c>
      <c r="W693" s="234" t="n">
        <v>13</v>
      </c>
      <c r="X693" s="248" t="n">
        <f aca="false">DATE(1900,Таблица18[[#This Row],[Месяц]],Таблица18[[#This Row],[Число]])</f>
        <v>165</v>
      </c>
      <c r="Y693" s="234"/>
      <c r="AF693" s="411"/>
      <c r="AG693" s="412"/>
    </row>
    <row r="694" s="410" customFormat="true" ht="15" hidden="true" customHeight="true" outlineLevel="0" collapsed="false">
      <c r="A694" s="198" t="s">
        <v>2306</v>
      </c>
      <c r="B694" s="199" t="s">
        <v>417</v>
      </c>
      <c r="C694" s="198" t="n">
        <v>319</v>
      </c>
      <c r="D694" s="198" t="n">
        <v>586130</v>
      </c>
      <c r="E694" s="198" t="s">
        <v>2298</v>
      </c>
      <c r="F694" s="198" t="s">
        <v>365</v>
      </c>
      <c r="G694" s="198" t="s">
        <v>373</v>
      </c>
      <c r="H694" s="198" t="s">
        <v>2299</v>
      </c>
      <c r="I694" s="199"/>
      <c r="J694" s="198" t="s">
        <v>1750</v>
      </c>
      <c r="K694" s="198" t="s">
        <v>1435</v>
      </c>
      <c r="L694" s="234" t="n">
        <v>34320</v>
      </c>
      <c r="M694" s="234" t="n">
        <v>18610</v>
      </c>
      <c r="N694" s="234" t="n">
        <v>20.5</v>
      </c>
      <c r="O694" s="407" t="n">
        <v>15710</v>
      </c>
      <c r="P694" s="407" t="n">
        <v>12489.4</v>
      </c>
      <c r="Q694" s="234" t="n">
        <v>2024</v>
      </c>
      <c r="R694" s="234"/>
      <c r="S694" s="248" t="n">
        <v>45456</v>
      </c>
      <c r="T694" s="407" t="n">
        <f aca="false">Таблица18[[#This Row],[Вес нетто]]-Таблица18[[#This Row],[Зачетный вес]]</f>
        <v>3220.6</v>
      </c>
      <c r="U694" s="409" t="n">
        <f aca="false">Таблица18[[#This Row],[Отход]]/Таблица18[[#This Row],[Вес нетто]]</f>
        <v>0.205003182686187</v>
      </c>
      <c r="V694" s="234" t="n">
        <f aca="false">MONTH(Таблица18[[#This Row],[Дата акта]])</f>
        <v>6</v>
      </c>
      <c r="W694" s="234" t="n">
        <v>13</v>
      </c>
      <c r="X694" s="248" t="n">
        <f aca="false">DATE(1900,Таблица18[[#This Row],[Месяц]],Таблица18[[#This Row],[Число]])</f>
        <v>165</v>
      </c>
      <c r="Y694" s="234"/>
      <c r="AF694" s="411"/>
      <c r="AG694" s="412"/>
    </row>
    <row r="695" s="410" customFormat="true" ht="15" hidden="true" customHeight="true" outlineLevel="0" collapsed="false">
      <c r="A695" s="198" t="s">
        <v>2307</v>
      </c>
      <c r="B695" s="199" t="s">
        <v>417</v>
      </c>
      <c r="C695" s="198" t="n">
        <v>321</v>
      </c>
      <c r="D695" s="198" t="n">
        <v>586131</v>
      </c>
      <c r="E695" s="198" t="s">
        <v>2298</v>
      </c>
      <c r="F695" s="198" t="s">
        <v>457</v>
      </c>
      <c r="G695" s="198" t="s">
        <v>366</v>
      </c>
      <c r="H695" s="198" t="s">
        <v>2299</v>
      </c>
      <c r="I695" s="199"/>
      <c r="J695" s="198" t="s">
        <v>1750</v>
      </c>
      <c r="K695" s="198" t="s">
        <v>1435</v>
      </c>
      <c r="L695" s="234" t="n">
        <v>32960</v>
      </c>
      <c r="M695" s="234" t="n">
        <v>17360</v>
      </c>
      <c r="N695" s="234" t="n">
        <v>38.5</v>
      </c>
      <c r="O695" s="407" t="n">
        <v>15600</v>
      </c>
      <c r="P695" s="407" t="n">
        <v>9594</v>
      </c>
      <c r="Q695" s="234" t="n">
        <v>2024</v>
      </c>
      <c r="R695" s="234"/>
      <c r="S695" s="248" t="n">
        <v>45456</v>
      </c>
      <c r="T695" s="407" t="n">
        <f aca="false">Таблица18[[#This Row],[Вес нетто]]-Таблица18[[#This Row],[Зачетный вес]]</f>
        <v>6006</v>
      </c>
      <c r="U695" s="409" t="n">
        <f aca="false">Таблица18[[#This Row],[Отход]]/Таблица18[[#This Row],[Вес нетто]]</f>
        <v>0.385</v>
      </c>
      <c r="V695" s="234" t="n">
        <f aca="false">MONTH(Таблица18[[#This Row],[Дата акта]])</f>
        <v>6</v>
      </c>
      <c r="W695" s="234" t="n">
        <v>13</v>
      </c>
      <c r="X695" s="248" t="n">
        <f aca="false">DATE(1900,Таблица18[[#This Row],[Месяц]],Таблица18[[#This Row],[Число]])</f>
        <v>165</v>
      </c>
      <c r="Y695" s="234"/>
      <c r="AF695" s="411"/>
      <c r="AG695" s="412"/>
    </row>
    <row r="696" s="410" customFormat="true" ht="15" hidden="true" customHeight="true" outlineLevel="0" collapsed="false">
      <c r="A696" s="198" t="s">
        <v>2308</v>
      </c>
      <c r="B696" s="199" t="s">
        <v>417</v>
      </c>
      <c r="C696" s="198" t="n">
        <v>323</v>
      </c>
      <c r="D696" s="198" t="n">
        <v>586132</v>
      </c>
      <c r="E696" s="198" t="s">
        <v>2298</v>
      </c>
      <c r="F696" s="198" t="s">
        <v>1485</v>
      </c>
      <c r="G696" s="198" t="s">
        <v>431</v>
      </c>
      <c r="H696" s="198" t="s">
        <v>2299</v>
      </c>
      <c r="I696" s="199"/>
      <c r="J696" s="198" t="s">
        <v>1750</v>
      </c>
      <c r="K696" s="198" t="s">
        <v>1435</v>
      </c>
      <c r="L696" s="234" t="n">
        <v>38990</v>
      </c>
      <c r="M696" s="234" t="n">
        <v>21120</v>
      </c>
      <c r="N696" s="234" t="n">
        <v>21.5</v>
      </c>
      <c r="O696" s="407" t="n">
        <v>17870</v>
      </c>
      <c r="P696" s="407" t="n">
        <v>14027.9</v>
      </c>
      <c r="Q696" s="234" t="n">
        <v>2024</v>
      </c>
      <c r="R696" s="234"/>
      <c r="S696" s="248" t="n">
        <v>45456</v>
      </c>
      <c r="T696" s="407" t="n">
        <f aca="false">Таблица18[[#This Row],[Вес нетто]]-Таблица18[[#This Row],[Зачетный вес]]</f>
        <v>3842.1</v>
      </c>
      <c r="U696" s="409" t="n">
        <f aca="false">Таблица18[[#This Row],[Отход]]/Таблица18[[#This Row],[Вес нетто]]</f>
        <v>0.215002797985451</v>
      </c>
      <c r="V696" s="234" t="n">
        <f aca="false">MONTH(Таблица18[[#This Row],[Дата акта]])</f>
        <v>6</v>
      </c>
      <c r="W696" s="234" t="n">
        <v>13</v>
      </c>
      <c r="X696" s="248" t="n">
        <f aca="false">DATE(1900,Таблица18[[#This Row],[Месяц]],Таблица18[[#This Row],[Число]])</f>
        <v>165</v>
      </c>
      <c r="Y696" s="234"/>
      <c r="AF696" s="411"/>
      <c r="AG696" s="412"/>
    </row>
    <row r="697" s="410" customFormat="true" ht="15" hidden="true" customHeight="true" outlineLevel="0" collapsed="false">
      <c r="A697" s="198" t="s">
        <v>2309</v>
      </c>
      <c r="B697" s="199" t="s">
        <v>417</v>
      </c>
      <c r="C697" s="198" t="n">
        <v>324</v>
      </c>
      <c r="D697" s="198" t="n">
        <v>586133</v>
      </c>
      <c r="E697" s="198" t="s">
        <v>2298</v>
      </c>
      <c r="F697" s="198" t="s">
        <v>1523</v>
      </c>
      <c r="G697" s="198" t="s">
        <v>1447</v>
      </c>
      <c r="H697" s="198" t="s">
        <v>2299</v>
      </c>
      <c r="I697" s="199"/>
      <c r="J697" s="198" t="s">
        <v>1750</v>
      </c>
      <c r="K697" s="198" t="s">
        <v>1435</v>
      </c>
      <c r="L697" s="234" t="n">
        <v>28690</v>
      </c>
      <c r="M697" s="234" t="n">
        <v>14780</v>
      </c>
      <c r="N697" s="234" t="n">
        <v>20.5</v>
      </c>
      <c r="O697" s="407" t="n">
        <v>13910</v>
      </c>
      <c r="P697" s="407" t="n">
        <v>11058.4</v>
      </c>
      <c r="Q697" s="234" t="n">
        <v>2024</v>
      </c>
      <c r="R697" s="234"/>
      <c r="S697" s="248" t="n">
        <v>45456</v>
      </c>
      <c r="T697" s="407" t="n">
        <f aca="false">Таблица18[[#This Row],[Вес нетто]]-Таблица18[[#This Row],[Зачетный вес]]</f>
        <v>2851.6</v>
      </c>
      <c r="U697" s="409" t="n">
        <f aca="false">Таблица18[[#This Row],[Отход]]/Таблица18[[#This Row],[Вес нетто]]</f>
        <v>0.205003594536305</v>
      </c>
      <c r="V697" s="234" t="n">
        <f aca="false">MONTH(Таблица18[[#This Row],[Дата акта]])</f>
        <v>6</v>
      </c>
      <c r="W697" s="234" t="n">
        <v>13</v>
      </c>
      <c r="X697" s="248" t="n">
        <f aca="false">DATE(1900,Таблица18[[#This Row],[Месяц]],Таблица18[[#This Row],[Число]])</f>
        <v>165</v>
      </c>
      <c r="Y697" s="234"/>
      <c r="AF697" s="411"/>
      <c r="AG697" s="412"/>
    </row>
    <row r="698" s="410" customFormat="true" ht="15" hidden="true" customHeight="true" outlineLevel="0" collapsed="false">
      <c r="A698" s="198" t="s">
        <v>2310</v>
      </c>
      <c r="B698" s="199" t="s">
        <v>417</v>
      </c>
      <c r="C698" s="198" t="n">
        <v>325</v>
      </c>
      <c r="D698" s="198" t="n">
        <v>586134</v>
      </c>
      <c r="E698" s="198" t="s">
        <v>2298</v>
      </c>
      <c r="F698" s="198" t="s">
        <v>363</v>
      </c>
      <c r="G698" s="198" t="s">
        <v>364</v>
      </c>
      <c r="H698" s="198" t="s">
        <v>2299</v>
      </c>
      <c r="I698" s="199"/>
      <c r="J698" s="198" t="s">
        <v>1750</v>
      </c>
      <c r="K698" s="198" t="s">
        <v>1435</v>
      </c>
      <c r="L698" s="234" t="n">
        <v>27960</v>
      </c>
      <c r="M698" s="234" t="n">
        <v>14660</v>
      </c>
      <c r="N698" s="234" t="n">
        <v>19.5</v>
      </c>
      <c r="O698" s="407" t="n">
        <v>13300</v>
      </c>
      <c r="P698" s="407" t="n">
        <v>10706.5</v>
      </c>
      <c r="Q698" s="234" t="n">
        <v>2024</v>
      </c>
      <c r="R698" s="234"/>
      <c r="S698" s="248" t="n">
        <v>45456</v>
      </c>
      <c r="T698" s="407" t="n">
        <f aca="false">Таблица18[[#This Row],[Вес нетто]]-Таблица18[[#This Row],[Зачетный вес]]</f>
        <v>2593.5</v>
      </c>
      <c r="U698" s="409" t="n">
        <f aca="false">Таблица18[[#This Row],[Отход]]/Таблица18[[#This Row],[Вес нетто]]</f>
        <v>0.195</v>
      </c>
      <c r="V698" s="234" t="n">
        <f aca="false">MONTH(Таблица18[[#This Row],[Дата акта]])</f>
        <v>6</v>
      </c>
      <c r="W698" s="234" t="n">
        <v>13</v>
      </c>
      <c r="X698" s="248" t="n">
        <f aca="false">DATE(1900,Таблица18[[#This Row],[Месяц]],Таблица18[[#This Row],[Число]])</f>
        <v>165</v>
      </c>
      <c r="Y698" s="234"/>
      <c r="AF698" s="411"/>
      <c r="AG698" s="412"/>
    </row>
    <row r="699" s="410" customFormat="true" ht="15" hidden="true" customHeight="true" outlineLevel="0" collapsed="false">
      <c r="A699" s="198" t="s">
        <v>2311</v>
      </c>
      <c r="B699" s="199" t="s">
        <v>417</v>
      </c>
      <c r="C699" s="198" t="n">
        <v>326</v>
      </c>
      <c r="D699" s="198" t="n">
        <v>586135</v>
      </c>
      <c r="E699" s="198" t="s">
        <v>2298</v>
      </c>
      <c r="F699" s="198" t="s">
        <v>2253</v>
      </c>
      <c r="G699" s="198" t="s">
        <v>2254</v>
      </c>
      <c r="H699" s="198" t="s">
        <v>2299</v>
      </c>
      <c r="I699" s="199"/>
      <c r="J699" s="198" t="s">
        <v>1750</v>
      </c>
      <c r="K699" s="198" t="s">
        <v>1435</v>
      </c>
      <c r="L699" s="234" t="n">
        <v>32430</v>
      </c>
      <c r="M699" s="234" t="n">
        <v>16470</v>
      </c>
      <c r="N699" s="234" t="n">
        <v>15.5</v>
      </c>
      <c r="O699" s="407" t="n">
        <v>15960</v>
      </c>
      <c r="P699" s="407" t="n">
        <v>13486.2</v>
      </c>
      <c r="Q699" s="234" t="n">
        <v>2024</v>
      </c>
      <c r="R699" s="234"/>
      <c r="S699" s="248" t="n">
        <v>45456</v>
      </c>
      <c r="T699" s="407" t="n">
        <f aca="false">Таблица18[[#This Row],[Вес нетто]]-Таблица18[[#This Row],[Зачетный вес]]</f>
        <v>2473.8</v>
      </c>
      <c r="U699" s="409" t="n">
        <f aca="false">Таблица18[[#This Row],[Отход]]/Таблица18[[#This Row],[Вес нетто]]</f>
        <v>0.155</v>
      </c>
      <c r="V699" s="234" t="n">
        <f aca="false">MONTH(Таблица18[[#This Row],[Дата акта]])</f>
        <v>6</v>
      </c>
      <c r="W699" s="234" t="n">
        <v>13</v>
      </c>
      <c r="X699" s="248" t="n">
        <f aca="false">DATE(1900,Таблица18[[#This Row],[Месяц]],Таблица18[[#This Row],[Число]])</f>
        <v>165</v>
      </c>
      <c r="Y699" s="234"/>
      <c r="AF699" s="411"/>
      <c r="AG699" s="412"/>
    </row>
    <row r="700" s="410" customFormat="true" ht="15" hidden="true" customHeight="true" outlineLevel="0" collapsed="false">
      <c r="A700" s="198" t="s">
        <v>2312</v>
      </c>
      <c r="B700" s="199" t="s">
        <v>417</v>
      </c>
      <c r="C700" s="198" t="n">
        <v>327</v>
      </c>
      <c r="D700" s="198" t="n">
        <v>586136</v>
      </c>
      <c r="E700" s="198" t="s">
        <v>2298</v>
      </c>
      <c r="F700" s="198" t="s">
        <v>371</v>
      </c>
      <c r="G700" s="198" t="s">
        <v>372</v>
      </c>
      <c r="H700" s="198" t="s">
        <v>2299</v>
      </c>
      <c r="I700" s="199"/>
      <c r="J700" s="198" t="s">
        <v>1750</v>
      </c>
      <c r="K700" s="198" t="s">
        <v>1435</v>
      </c>
      <c r="L700" s="234" t="n">
        <v>28690</v>
      </c>
      <c r="M700" s="234" t="n">
        <v>15120</v>
      </c>
      <c r="N700" s="234" t="n">
        <v>15.5</v>
      </c>
      <c r="O700" s="407" t="n">
        <v>13570</v>
      </c>
      <c r="P700" s="407" t="n">
        <v>11466.6</v>
      </c>
      <c r="Q700" s="234" t="n">
        <v>2024</v>
      </c>
      <c r="R700" s="234"/>
      <c r="S700" s="248" t="n">
        <v>45456</v>
      </c>
      <c r="T700" s="407" t="n">
        <f aca="false">Таблица18[[#This Row],[Вес нетто]]-Таблица18[[#This Row],[Зачетный вес]]</f>
        <v>2103.4</v>
      </c>
      <c r="U700" s="409" t="n">
        <f aca="false">Таблица18[[#This Row],[Отход]]/Таблица18[[#This Row],[Вес нетто]]</f>
        <v>0.155003684598379</v>
      </c>
      <c r="V700" s="234" t="n">
        <f aca="false">MONTH(Таблица18[[#This Row],[Дата акта]])</f>
        <v>6</v>
      </c>
      <c r="W700" s="234" t="n">
        <v>13</v>
      </c>
      <c r="X700" s="248" t="n">
        <f aca="false">DATE(1900,Таблица18[[#This Row],[Месяц]],Таблица18[[#This Row],[Число]])</f>
        <v>165</v>
      </c>
      <c r="Y700" s="234"/>
      <c r="AF700" s="411"/>
      <c r="AG700" s="412"/>
    </row>
    <row r="701" s="410" customFormat="true" ht="15" hidden="true" customHeight="true" outlineLevel="0" collapsed="false">
      <c r="A701" s="198" t="s">
        <v>2313</v>
      </c>
      <c r="B701" s="199" t="s">
        <v>417</v>
      </c>
      <c r="C701" s="198" t="n">
        <v>328</v>
      </c>
      <c r="D701" s="198" t="n">
        <v>586137</v>
      </c>
      <c r="E701" s="198" t="s">
        <v>2298</v>
      </c>
      <c r="F701" s="198" t="s">
        <v>359</v>
      </c>
      <c r="G701" s="198" t="s">
        <v>426</v>
      </c>
      <c r="H701" s="198" t="s">
        <v>2299</v>
      </c>
      <c r="I701" s="199"/>
      <c r="J701" s="198" t="s">
        <v>1750</v>
      </c>
      <c r="K701" s="198" t="s">
        <v>1435</v>
      </c>
      <c r="L701" s="234" t="n">
        <v>27010</v>
      </c>
      <c r="M701" s="234" t="n">
        <v>13980</v>
      </c>
      <c r="N701" s="234" t="n">
        <v>18.5</v>
      </c>
      <c r="O701" s="407" t="n">
        <v>13030</v>
      </c>
      <c r="P701" s="407" t="n">
        <v>10619.4</v>
      </c>
      <c r="Q701" s="234" t="n">
        <v>2024</v>
      </c>
      <c r="R701" s="234"/>
      <c r="S701" s="248" t="n">
        <v>45456</v>
      </c>
      <c r="T701" s="407" t="n">
        <f aca="false">Таблица18[[#This Row],[Вес нетто]]-Таблица18[[#This Row],[Зачетный вес]]</f>
        <v>2410.6</v>
      </c>
      <c r="U701" s="409" t="n">
        <f aca="false">Таблица18[[#This Row],[Отход]]/Таблица18[[#This Row],[Вес нетто]]</f>
        <v>0.185003837298542</v>
      </c>
      <c r="V701" s="234" t="n">
        <f aca="false">MONTH(Таблица18[[#This Row],[Дата акта]])</f>
        <v>6</v>
      </c>
      <c r="W701" s="234" t="n">
        <v>13</v>
      </c>
      <c r="X701" s="248" t="n">
        <f aca="false">DATE(1900,Таблица18[[#This Row],[Месяц]],Таблица18[[#This Row],[Число]])</f>
        <v>165</v>
      </c>
      <c r="Y701" s="234"/>
      <c r="AF701" s="411"/>
      <c r="AG701" s="412"/>
    </row>
    <row r="702" s="410" customFormat="true" ht="15" hidden="true" customHeight="true" outlineLevel="0" collapsed="false">
      <c r="A702" s="198" t="s">
        <v>2314</v>
      </c>
      <c r="B702" s="199" t="s">
        <v>417</v>
      </c>
      <c r="C702" s="198" t="n">
        <v>329</v>
      </c>
      <c r="D702" s="198" t="n">
        <v>586138</v>
      </c>
      <c r="E702" s="198" t="s">
        <v>2298</v>
      </c>
      <c r="F702" s="198" t="s">
        <v>2084</v>
      </c>
      <c r="G702" s="198" t="s">
        <v>2085</v>
      </c>
      <c r="H702" s="198" t="s">
        <v>2299</v>
      </c>
      <c r="I702" s="199"/>
      <c r="J702" s="198" t="s">
        <v>1750</v>
      </c>
      <c r="K702" s="198" t="s">
        <v>1435</v>
      </c>
      <c r="L702" s="234" t="n">
        <v>32440</v>
      </c>
      <c r="M702" s="234" t="n">
        <v>17310</v>
      </c>
      <c r="N702" s="234" t="n">
        <v>20.5</v>
      </c>
      <c r="O702" s="407" t="n">
        <v>15130</v>
      </c>
      <c r="P702" s="407" t="n">
        <v>12028.3</v>
      </c>
      <c r="Q702" s="234" t="n">
        <v>2024</v>
      </c>
      <c r="R702" s="234"/>
      <c r="S702" s="248" t="n">
        <v>45456</v>
      </c>
      <c r="T702" s="407" t="n">
        <f aca="false">Таблица18[[#This Row],[Вес нетто]]-Таблица18[[#This Row],[Зачетный вес]]</f>
        <v>3101.7</v>
      </c>
      <c r="U702" s="409" t="n">
        <f aca="false">Таблица18[[#This Row],[Отход]]/Таблица18[[#This Row],[Вес нетто]]</f>
        <v>0.205003304692664</v>
      </c>
      <c r="V702" s="234" t="n">
        <f aca="false">MONTH(Таблица18[[#This Row],[Дата акта]])</f>
        <v>6</v>
      </c>
      <c r="W702" s="234" t="n">
        <v>13</v>
      </c>
      <c r="X702" s="248" t="n">
        <f aca="false">DATE(1900,Таблица18[[#This Row],[Месяц]],Таблица18[[#This Row],[Число]])</f>
        <v>165</v>
      </c>
      <c r="Y702" s="234"/>
      <c r="AF702" s="411"/>
      <c r="AG702" s="412"/>
    </row>
    <row r="703" s="410" customFormat="true" ht="15" hidden="true" customHeight="true" outlineLevel="0" collapsed="false">
      <c r="A703" s="198" t="s">
        <v>2315</v>
      </c>
      <c r="B703" s="199" t="s">
        <v>417</v>
      </c>
      <c r="C703" s="198" t="n">
        <v>330</v>
      </c>
      <c r="D703" s="198" t="n">
        <v>586139</v>
      </c>
      <c r="E703" s="198" t="s">
        <v>2298</v>
      </c>
      <c r="F703" s="198" t="s">
        <v>55</v>
      </c>
      <c r="G703" s="198" t="s">
        <v>56</v>
      </c>
      <c r="H703" s="198" t="s">
        <v>2299</v>
      </c>
      <c r="I703" s="199"/>
      <c r="J703" s="198" t="s">
        <v>1750</v>
      </c>
      <c r="K703" s="198" t="s">
        <v>1435</v>
      </c>
      <c r="L703" s="234" t="n">
        <v>29910</v>
      </c>
      <c r="M703" s="234" t="n">
        <v>14510</v>
      </c>
      <c r="N703" s="234" t="n">
        <v>14.5</v>
      </c>
      <c r="O703" s="407" t="n">
        <v>15400</v>
      </c>
      <c r="P703" s="407" t="n">
        <v>13167</v>
      </c>
      <c r="Q703" s="234" t="n">
        <v>2024</v>
      </c>
      <c r="R703" s="234"/>
      <c r="S703" s="248" t="n">
        <v>45457</v>
      </c>
      <c r="T703" s="407" t="n">
        <f aca="false">Таблица18[[#This Row],[Вес нетто]]-Таблица18[[#This Row],[Зачетный вес]]</f>
        <v>2233</v>
      </c>
      <c r="U703" s="409" t="n">
        <f aca="false">Таблица18[[#This Row],[Отход]]/Таблица18[[#This Row],[Вес нетто]]</f>
        <v>0.145</v>
      </c>
      <c r="V703" s="234" t="n">
        <f aca="false">MONTH(Таблица18[[#This Row],[Дата акта]])</f>
        <v>6</v>
      </c>
      <c r="W703" s="234" t="n">
        <v>14</v>
      </c>
      <c r="X703" s="248" t="n">
        <f aca="false">DATE(1900,Таблица18[[#This Row],[Месяц]],Таблица18[[#This Row],[Число]])</f>
        <v>166</v>
      </c>
      <c r="Y703" s="234"/>
      <c r="AF703" s="411"/>
      <c r="AG703" s="412"/>
    </row>
    <row r="704" s="410" customFormat="true" ht="15" hidden="true" customHeight="true" outlineLevel="0" collapsed="false">
      <c r="A704" s="198" t="s">
        <v>2316</v>
      </c>
      <c r="B704" s="199" t="s">
        <v>417</v>
      </c>
      <c r="C704" s="198" t="n">
        <v>331</v>
      </c>
      <c r="D704" s="198" t="n">
        <v>586140</v>
      </c>
      <c r="E704" s="198" t="s">
        <v>2298</v>
      </c>
      <c r="F704" s="198" t="s">
        <v>457</v>
      </c>
      <c r="G704" s="198" t="s">
        <v>366</v>
      </c>
      <c r="H704" s="198" t="s">
        <v>2299</v>
      </c>
      <c r="I704" s="199"/>
      <c r="J704" s="198" t="s">
        <v>1750</v>
      </c>
      <c r="K704" s="198" t="s">
        <v>1435</v>
      </c>
      <c r="L704" s="234" t="n">
        <v>32730</v>
      </c>
      <c r="M704" s="234" t="n">
        <v>17320</v>
      </c>
      <c r="N704" s="234" t="n">
        <v>14.5</v>
      </c>
      <c r="O704" s="407" t="n">
        <v>15410</v>
      </c>
      <c r="P704" s="407" t="n">
        <v>13175.5</v>
      </c>
      <c r="Q704" s="234" t="n">
        <v>2024</v>
      </c>
      <c r="R704" s="234"/>
      <c r="S704" s="248" t="n">
        <v>45457</v>
      </c>
      <c r="T704" s="407" t="n">
        <f aca="false">Таблица18[[#This Row],[Вес нетто]]-Таблица18[[#This Row],[Зачетный вес]]</f>
        <v>2234.5</v>
      </c>
      <c r="U704" s="409" t="n">
        <f aca="false">Таблица18[[#This Row],[Отход]]/Таблица18[[#This Row],[Вес нетто]]</f>
        <v>0.145003244646334</v>
      </c>
      <c r="V704" s="234" t="n">
        <f aca="false">MONTH(Таблица18[[#This Row],[Дата акта]])</f>
        <v>6</v>
      </c>
      <c r="W704" s="234" t="n">
        <v>14</v>
      </c>
      <c r="X704" s="248" t="n">
        <f aca="false">DATE(1900,Таблица18[[#This Row],[Месяц]],Таблица18[[#This Row],[Число]])</f>
        <v>166</v>
      </c>
      <c r="Y704" s="234"/>
      <c r="AF704" s="411"/>
      <c r="AG704" s="412"/>
    </row>
    <row r="705" s="410" customFormat="true" ht="15" hidden="true" customHeight="true" outlineLevel="0" collapsed="false">
      <c r="A705" s="198" t="s">
        <v>2317</v>
      </c>
      <c r="B705" s="199" t="s">
        <v>417</v>
      </c>
      <c r="C705" s="198" t="n">
        <v>332</v>
      </c>
      <c r="D705" s="198" t="n">
        <v>586141</v>
      </c>
      <c r="E705" s="198" t="s">
        <v>2298</v>
      </c>
      <c r="F705" s="198" t="s">
        <v>1876</v>
      </c>
      <c r="G705" s="198" t="s">
        <v>1877</v>
      </c>
      <c r="H705" s="198" t="s">
        <v>2299</v>
      </c>
      <c r="I705" s="199"/>
      <c r="J705" s="198" t="s">
        <v>1750</v>
      </c>
      <c r="K705" s="198" t="s">
        <v>1435</v>
      </c>
      <c r="L705" s="234" t="n">
        <v>30880</v>
      </c>
      <c r="M705" s="234" t="n">
        <v>14620</v>
      </c>
      <c r="N705" s="234" t="n">
        <v>16.5</v>
      </c>
      <c r="O705" s="407" t="n">
        <v>16260</v>
      </c>
      <c r="P705" s="407" t="n">
        <v>13577.1</v>
      </c>
      <c r="Q705" s="234" t="n">
        <v>2024</v>
      </c>
      <c r="R705" s="234"/>
      <c r="S705" s="248" t="n">
        <v>45457</v>
      </c>
      <c r="T705" s="407" t="n">
        <f aca="false">Таблица18[[#This Row],[Вес нетто]]-Таблица18[[#This Row],[Зачетный вес]]</f>
        <v>2682.9</v>
      </c>
      <c r="U705" s="409" t="n">
        <f aca="false">Таблица18[[#This Row],[Отход]]/Таблица18[[#This Row],[Вес нетто]]</f>
        <v>0.165</v>
      </c>
      <c r="V705" s="234" t="n">
        <f aca="false">MONTH(Таблица18[[#This Row],[Дата акта]])</f>
        <v>6</v>
      </c>
      <c r="W705" s="234" t="n">
        <v>14</v>
      </c>
      <c r="X705" s="248" t="n">
        <f aca="false">DATE(1900,Таблица18[[#This Row],[Месяц]],Таблица18[[#This Row],[Число]])</f>
        <v>166</v>
      </c>
      <c r="Y705" s="234"/>
      <c r="AF705" s="411"/>
      <c r="AG705" s="412"/>
    </row>
    <row r="706" s="410" customFormat="true" ht="15" hidden="true" customHeight="true" outlineLevel="0" collapsed="false">
      <c r="A706" s="198" t="s">
        <v>2318</v>
      </c>
      <c r="B706" s="199" t="s">
        <v>417</v>
      </c>
      <c r="C706" s="198" t="n">
        <v>333</v>
      </c>
      <c r="D706" s="198" t="n">
        <v>586142</v>
      </c>
      <c r="E706" s="198" t="s">
        <v>2298</v>
      </c>
      <c r="F706" s="198" t="s">
        <v>1485</v>
      </c>
      <c r="G706" s="198" t="s">
        <v>431</v>
      </c>
      <c r="H706" s="198" t="s">
        <v>2319</v>
      </c>
      <c r="I706" s="199"/>
      <c r="J706" s="198" t="s">
        <v>1750</v>
      </c>
      <c r="K706" s="198" t="s">
        <v>1435</v>
      </c>
      <c r="L706" s="234" t="n">
        <v>37530</v>
      </c>
      <c r="M706" s="234" t="n">
        <v>21050</v>
      </c>
      <c r="N706" s="234" t="n">
        <v>34.5</v>
      </c>
      <c r="O706" s="407" t="n">
        <v>16480</v>
      </c>
      <c r="P706" s="407" t="n">
        <v>10794.4</v>
      </c>
      <c r="Q706" s="234" t="n">
        <v>2024</v>
      </c>
      <c r="R706" s="234"/>
      <c r="S706" s="248" t="n">
        <v>45457</v>
      </c>
      <c r="T706" s="407" t="n">
        <f aca="false">Таблица18[[#This Row],[Вес нетто]]-Таблица18[[#This Row],[Зачетный вес]]</f>
        <v>5685.6</v>
      </c>
      <c r="U706" s="409" t="n">
        <f aca="false">Таблица18[[#This Row],[Отход]]/Таблица18[[#This Row],[Вес нетто]]</f>
        <v>0.345</v>
      </c>
      <c r="V706" s="234" t="n">
        <f aca="false">MONTH(Таблица18[[#This Row],[Дата акта]])</f>
        <v>6</v>
      </c>
      <c r="W706" s="234" t="n">
        <v>14</v>
      </c>
      <c r="X706" s="248" t="n">
        <f aca="false">DATE(1900,Таблица18[[#This Row],[Месяц]],Таблица18[[#This Row],[Число]])</f>
        <v>166</v>
      </c>
      <c r="Y706" s="234"/>
      <c r="AF706" s="411"/>
      <c r="AG706" s="412"/>
    </row>
    <row r="707" s="410" customFormat="true" ht="15" hidden="true" customHeight="true" outlineLevel="0" collapsed="false">
      <c r="A707" s="198" t="s">
        <v>2320</v>
      </c>
      <c r="B707" s="199" t="s">
        <v>417</v>
      </c>
      <c r="C707" s="198" t="n">
        <v>334</v>
      </c>
      <c r="D707" s="198" t="n">
        <v>586144</v>
      </c>
      <c r="E707" s="198" t="s">
        <v>2298</v>
      </c>
      <c r="F707" s="198" t="s">
        <v>1523</v>
      </c>
      <c r="G707" s="198" t="s">
        <v>1447</v>
      </c>
      <c r="H707" s="198" t="s">
        <v>2319</v>
      </c>
      <c r="I707" s="199"/>
      <c r="J707" s="198" t="s">
        <v>1750</v>
      </c>
      <c r="K707" s="198" t="s">
        <v>1435</v>
      </c>
      <c r="L707" s="234" t="n">
        <v>27860</v>
      </c>
      <c r="M707" s="234" t="n">
        <v>14760</v>
      </c>
      <c r="N707" s="234" t="n">
        <v>16.5</v>
      </c>
      <c r="O707" s="407" t="n">
        <v>13100</v>
      </c>
      <c r="P707" s="407" t="n">
        <v>10938.5</v>
      </c>
      <c r="Q707" s="234" t="n">
        <v>2024</v>
      </c>
      <c r="R707" s="234"/>
      <c r="S707" s="248" t="n">
        <v>45457</v>
      </c>
      <c r="T707" s="407" t="n">
        <f aca="false">Таблица18[[#This Row],[Вес нетто]]-Таблица18[[#This Row],[Зачетный вес]]</f>
        <v>2161.5</v>
      </c>
      <c r="U707" s="409" t="n">
        <f aca="false">Таблица18[[#This Row],[Отход]]/Таблица18[[#This Row],[Вес нетто]]</f>
        <v>0.165</v>
      </c>
      <c r="V707" s="234" t="n">
        <f aca="false">MONTH(Таблица18[[#This Row],[Дата акта]])</f>
        <v>6</v>
      </c>
      <c r="W707" s="234" t="n">
        <v>14</v>
      </c>
      <c r="X707" s="248" t="n">
        <f aca="false">DATE(1900,Таблица18[[#This Row],[Месяц]],Таблица18[[#This Row],[Число]])</f>
        <v>166</v>
      </c>
      <c r="Y707" s="234"/>
      <c r="AF707" s="411"/>
      <c r="AG707" s="412"/>
    </row>
    <row r="708" s="410" customFormat="true" ht="15" hidden="true" customHeight="true" outlineLevel="0" collapsed="false">
      <c r="A708" s="198" t="s">
        <v>2321</v>
      </c>
      <c r="B708" s="199" t="s">
        <v>417</v>
      </c>
      <c r="C708" s="198" t="n">
        <v>335</v>
      </c>
      <c r="D708" s="198" t="n">
        <v>586145</v>
      </c>
      <c r="E708" s="198" t="s">
        <v>2298</v>
      </c>
      <c r="F708" s="198" t="s">
        <v>363</v>
      </c>
      <c r="G708" s="198" t="s">
        <v>364</v>
      </c>
      <c r="H708" s="198" t="s">
        <v>2319</v>
      </c>
      <c r="I708" s="199"/>
      <c r="J708" s="198" t="s">
        <v>1750</v>
      </c>
      <c r="K708" s="198" t="s">
        <v>1435</v>
      </c>
      <c r="L708" s="234" t="n">
        <v>29770</v>
      </c>
      <c r="M708" s="234" t="n">
        <v>14620</v>
      </c>
      <c r="N708" s="234" t="n">
        <v>22.5</v>
      </c>
      <c r="O708" s="407" t="n">
        <v>15150</v>
      </c>
      <c r="P708" s="407" t="n">
        <v>11741.2</v>
      </c>
      <c r="Q708" s="234" t="n">
        <v>2024</v>
      </c>
      <c r="R708" s="234"/>
      <c r="S708" s="248" t="n">
        <v>45457</v>
      </c>
      <c r="T708" s="407" t="n">
        <f aca="false">Таблица18[[#This Row],[Вес нетто]]-Таблица18[[#This Row],[Зачетный вес]]</f>
        <v>3408.8</v>
      </c>
      <c r="U708" s="409" t="n">
        <f aca="false">Таблица18[[#This Row],[Отход]]/Таблица18[[#This Row],[Вес нетто]]</f>
        <v>0.225003300330033</v>
      </c>
      <c r="V708" s="234" t="n">
        <f aca="false">MONTH(Таблица18[[#This Row],[Дата акта]])</f>
        <v>6</v>
      </c>
      <c r="W708" s="234" t="n">
        <v>14</v>
      </c>
      <c r="X708" s="248" t="n">
        <f aca="false">DATE(1900,Таблица18[[#This Row],[Месяц]],Таблица18[[#This Row],[Число]])</f>
        <v>166</v>
      </c>
      <c r="Y708" s="234"/>
      <c r="AF708" s="411"/>
      <c r="AG708" s="412"/>
    </row>
    <row r="709" s="410" customFormat="true" ht="15" hidden="true" customHeight="true" outlineLevel="0" collapsed="false">
      <c r="A709" s="198" t="s">
        <v>2322</v>
      </c>
      <c r="B709" s="199" t="s">
        <v>417</v>
      </c>
      <c r="C709" s="198" t="n">
        <v>336</v>
      </c>
      <c r="D709" s="198" t="n">
        <v>586146</v>
      </c>
      <c r="E709" s="198" t="s">
        <v>2298</v>
      </c>
      <c r="F709" s="198" t="s">
        <v>2253</v>
      </c>
      <c r="G709" s="198" t="s">
        <v>2254</v>
      </c>
      <c r="H709" s="198" t="s">
        <v>2319</v>
      </c>
      <c r="I709" s="199"/>
      <c r="J709" s="198" t="s">
        <v>1750</v>
      </c>
      <c r="K709" s="198" t="s">
        <v>1435</v>
      </c>
      <c r="L709" s="234" t="n">
        <v>32110</v>
      </c>
      <c r="M709" s="234" t="n">
        <v>16410</v>
      </c>
      <c r="N709" s="234" t="n">
        <v>23.5</v>
      </c>
      <c r="O709" s="407" t="n">
        <v>15700</v>
      </c>
      <c r="P709" s="407" t="n">
        <v>12010.5</v>
      </c>
      <c r="Q709" s="234" t="n">
        <v>2024</v>
      </c>
      <c r="R709" s="234"/>
      <c r="S709" s="248" t="n">
        <v>45457</v>
      </c>
      <c r="T709" s="407" t="n">
        <f aca="false">Таблица18[[#This Row],[Вес нетто]]-Таблица18[[#This Row],[Зачетный вес]]</f>
        <v>3689.5</v>
      </c>
      <c r="U709" s="409" t="n">
        <f aca="false">Таблица18[[#This Row],[Отход]]/Таблица18[[#This Row],[Вес нетто]]</f>
        <v>0.235</v>
      </c>
      <c r="V709" s="234" t="n">
        <f aca="false">MONTH(Таблица18[[#This Row],[Дата акта]])</f>
        <v>6</v>
      </c>
      <c r="W709" s="234" t="n">
        <v>14</v>
      </c>
      <c r="X709" s="248" t="n">
        <f aca="false">DATE(1900,Таблица18[[#This Row],[Месяц]],Таблица18[[#This Row],[Число]])</f>
        <v>166</v>
      </c>
      <c r="Y709" s="234"/>
      <c r="AF709" s="411"/>
      <c r="AG709" s="412"/>
    </row>
    <row r="710" s="410" customFormat="true" ht="15" hidden="true" customHeight="true" outlineLevel="0" collapsed="false">
      <c r="A710" s="198" t="s">
        <v>2323</v>
      </c>
      <c r="B710" s="199" t="s">
        <v>417</v>
      </c>
      <c r="C710" s="198" t="n">
        <v>338</v>
      </c>
      <c r="D710" s="198" t="n">
        <v>586147</v>
      </c>
      <c r="E710" s="198" t="s">
        <v>2298</v>
      </c>
      <c r="F710" s="198" t="s">
        <v>1876</v>
      </c>
      <c r="G710" s="198" t="s">
        <v>1877</v>
      </c>
      <c r="H710" s="198" t="s">
        <v>2319</v>
      </c>
      <c r="I710" s="199"/>
      <c r="J710" s="198" t="s">
        <v>1750</v>
      </c>
      <c r="K710" s="198" t="s">
        <v>1435</v>
      </c>
      <c r="L710" s="234" t="n">
        <v>29760</v>
      </c>
      <c r="M710" s="234" t="n">
        <v>14570</v>
      </c>
      <c r="N710" s="234" t="n">
        <v>22.5</v>
      </c>
      <c r="O710" s="407" t="n">
        <v>15190</v>
      </c>
      <c r="P710" s="407" t="n">
        <v>11772.2</v>
      </c>
      <c r="Q710" s="234" t="n">
        <v>2024</v>
      </c>
      <c r="R710" s="234"/>
      <c r="S710" s="248" t="n">
        <v>45457</v>
      </c>
      <c r="T710" s="407" t="n">
        <f aca="false">Таблица18[[#This Row],[Вес нетто]]-Таблица18[[#This Row],[Зачетный вес]]</f>
        <v>3417.8</v>
      </c>
      <c r="U710" s="409" t="n">
        <f aca="false">Таблица18[[#This Row],[Отход]]/Таблица18[[#This Row],[Вес нетто]]</f>
        <v>0.225003291639236</v>
      </c>
      <c r="V710" s="234" t="n">
        <f aca="false">MONTH(Таблица18[[#This Row],[Дата акта]])</f>
        <v>6</v>
      </c>
      <c r="W710" s="234" t="n">
        <v>14</v>
      </c>
      <c r="X710" s="248" t="n">
        <f aca="false">DATE(1900,Таблица18[[#This Row],[Месяц]],Таблица18[[#This Row],[Число]])</f>
        <v>166</v>
      </c>
      <c r="Y710" s="234"/>
      <c r="AF710" s="411"/>
      <c r="AG710" s="412"/>
    </row>
    <row r="711" s="410" customFormat="true" ht="15" hidden="true" customHeight="true" outlineLevel="0" collapsed="false">
      <c r="A711" s="198" t="s">
        <v>2324</v>
      </c>
      <c r="B711" s="199" t="s">
        <v>417</v>
      </c>
      <c r="C711" s="198" t="n">
        <v>340</v>
      </c>
      <c r="D711" s="198" t="n">
        <v>586148</v>
      </c>
      <c r="E711" s="198" t="s">
        <v>2298</v>
      </c>
      <c r="F711" s="198" t="s">
        <v>2084</v>
      </c>
      <c r="G711" s="198" t="s">
        <v>2085</v>
      </c>
      <c r="H711" s="198" t="s">
        <v>2319</v>
      </c>
      <c r="I711" s="199"/>
      <c r="J711" s="198" t="s">
        <v>1750</v>
      </c>
      <c r="K711" s="198" t="s">
        <v>1435</v>
      </c>
      <c r="L711" s="234" t="n">
        <v>32590</v>
      </c>
      <c r="M711" s="234" t="n">
        <v>17250</v>
      </c>
      <c r="N711" s="234" t="n">
        <v>26.5</v>
      </c>
      <c r="O711" s="407" t="n">
        <v>15340</v>
      </c>
      <c r="P711" s="407" t="n">
        <v>11274.9</v>
      </c>
      <c r="Q711" s="234" t="n">
        <v>2024</v>
      </c>
      <c r="R711" s="234"/>
      <c r="S711" s="248" t="n">
        <v>45457</v>
      </c>
      <c r="T711" s="407" t="n">
        <f aca="false">Таблица18[[#This Row],[Вес нетто]]-Таблица18[[#This Row],[Зачетный вес]]</f>
        <v>4065.1</v>
      </c>
      <c r="U711" s="409" t="n">
        <f aca="false">Таблица18[[#This Row],[Отход]]/Таблица18[[#This Row],[Вес нетто]]</f>
        <v>0.265</v>
      </c>
      <c r="V711" s="234" t="n">
        <f aca="false">MONTH(Таблица18[[#This Row],[Дата акта]])</f>
        <v>6</v>
      </c>
      <c r="W711" s="234" t="n">
        <v>14</v>
      </c>
      <c r="X711" s="248" t="n">
        <f aca="false">DATE(1900,Таблица18[[#This Row],[Месяц]],Таблица18[[#This Row],[Число]])</f>
        <v>166</v>
      </c>
      <c r="Y711" s="234"/>
      <c r="AF711" s="411"/>
      <c r="AG711" s="412"/>
    </row>
    <row r="712" s="410" customFormat="true" ht="15" hidden="true" customHeight="true" outlineLevel="0" collapsed="false">
      <c r="A712" s="198" t="s">
        <v>2325</v>
      </c>
      <c r="B712" s="199" t="s">
        <v>417</v>
      </c>
      <c r="C712" s="198" t="n">
        <v>341</v>
      </c>
      <c r="D712" s="198" t="n">
        <v>586149</v>
      </c>
      <c r="E712" s="198" t="s">
        <v>2298</v>
      </c>
      <c r="F712" s="198" t="s">
        <v>1523</v>
      </c>
      <c r="G712" s="198" t="s">
        <v>1447</v>
      </c>
      <c r="H712" s="198" t="s">
        <v>2319</v>
      </c>
      <c r="I712" s="199"/>
      <c r="J712" s="198" t="s">
        <v>1750</v>
      </c>
      <c r="K712" s="198" t="s">
        <v>1435</v>
      </c>
      <c r="L712" s="234" t="n">
        <v>30230</v>
      </c>
      <c r="M712" s="234" t="n">
        <v>14700</v>
      </c>
      <c r="N712" s="234" t="n">
        <v>29.5</v>
      </c>
      <c r="O712" s="407" t="n">
        <v>15530</v>
      </c>
      <c r="P712" s="407" t="n">
        <v>10948.6</v>
      </c>
      <c r="Q712" s="234" t="n">
        <v>2024</v>
      </c>
      <c r="R712" s="234"/>
      <c r="S712" s="248" t="n">
        <v>45457</v>
      </c>
      <c r="T712" s="407" t="n">
        <f aca="false">Таблица18[[#This Row],[Вес нетто]]-Таблица18[[#This Row],[Зачетный вес]]</f>
        <v>4581.4</v>
      </c>
      <c r="U712" s="409" t="n">
        <f aca="false">Таблица18[[#This Row],[Отход]]/Таблица18[[#This Row],[Вес нетто]]</f>
        <v>0.295003219575016</v>
      </c>
      <c r="V712" s="234" t="n">
        <f aca="false">MONTH(Таблица18[[#This Row],[Дата акта]])</f>
        <v>6</v>
      </c>
      <c r="W712" s="234" t="n">
        <v>14</v>
      </c>
      <c r="X712" s="248" t="n">
        <f aca="false">DATE(1900,Таблица18[[#This Row],[Месяц]],Таблица18[[#This Row],[Число]])</f>
        <v>166</v>
      </c>
      <c r="Y712" s="234"/>
      <c r="AF712" s="411"/>
      <c r="AG712" s="412"/>
    </row>
    <row r="713" s="410" customFormat="true" ht="15" hidden="true" customHeight="true" outlineLevel="0" collapsed="false">
      <c r="A713" s="198" t="s">
        <v>2326</v>
      </c>
      <c r="B713" s="199" t="s">
        <v>746</v>
      </c>
      <c r="C713" s="198" t="n">
        <v>342</v>
      </c>
      <c r="D713" s="198" t="n">
        <v>586150</v>
      </c>
      <c r="E713" s="198" t="s">
        <v>2298</v>
      </c>
      <c r="F713" s="198" t="s">
        <v>457</v>
      </c>
      <c r="G713" s="198" t="s">
        <v>366</v>
      </c>
      <c r="H713" s="198" t="s">
        <v>2319</v>
      </c>
      <c r="I713" s="199"/>
      <c r="J713" s="198" t="s">
        <v>1750</v>
      </c>
      <c r="K713" s="198" t="s">
        <v>1435</v>
      </c>
      <c r="L713" s="234" t="n">
        <v>32880</v>
      </c>
      <c r="M713" s="234" t="n">
        <v>17270</v>
      </c>
      <c r="N713" s="234" t="n">
        <v>23.5</v>
      </c>
      <c r="O713" s="407" t="n">
        <v>15610</v>
      </c>
      <c r="P713" s="407" t="n">
        <v>11941.6</v>
      </c>
      <c r="Q713" s="234" t="n">
        <v>2024</v>
      </c>
      <c r="R713" s="234"/>
      <c r="S713" s="248" t="n">
        <v>45457</v>
      </c>
      <c r="T713" s="407" t="n">
        <f aca="false">Таблица18[[#This Row],[Вес нетто]]-Таблица18[[#This Row],[Зачетный вес]]</f>
        <v>3668.4</v>
      </c>
      <c r="U713" s="409" t="n">
        <f aca="false">Таблица18[[#This Row],[Отход]]/Таблица18[[#This Row],[Вес нетто]]</f>
        <v>0.235003203074952</v>
      </c>
      <c r="V713" s="234" t="n">
        <f aca="false">MONTH(Таблица18[[#This Row],[Дата акта]])</f>
        <v>6</v>
      </c>
      <c r="W713" s="234" t="n">
        <v>14</v>
      </c>
      <c r="X713" s="248" t="n">
        <f aca="false">DATE(1900,Таблица18[[#This Row],[Месяц]],Таблица18[[#This Row],[Число]])</f>
        <v>166</v>
      </c>
      <c r="Y713" s="234"/>
      <c r="AF713" s="411"/>
      <c r="AG713" s="412"/>
    </row>
    <row r="714" s="410" customFormat="true" ht="15" hidden="true" customHeight="true" outlineLevel="0" collapsed="false">
      <c r="A714" s="198" t="s">
        <v>2327</v>
      </c>
      <c r="B714" s="199" t="s">
        <v>746</v>
      </c>
      <c r="C714" s="198" t="n">
        <v>343</v>
      </c>
      <c r="D714" s="198" t="n">
        <v>586152</v>
      </c>
      <c r="E714" s="198" t="s">
        <v>2298</v>
      </c>
      <c r="F714" s="198" t="s">
        <v>1863</v>
      </c>
      <c r="G714" s="198" t="s">
        <v>1864</v>
      </c>
      <c r="H714" s="198" t="s">
        <v>2319</v>
      </c>
      <c r="I714" s="199"/>
      <c r="J714" s="198" t="s">
        <v>1750</v>
      </c>
      <c r="K714" s="198" t="s">
        <v>1435</v>
      </c>
      <c r="L714" s="234" t="n">
        <v>30980</v>
      </c>
      <c r="M714" s="234" t="n">
        <v>15560</v>
      </c>
      <c r="N714" s="234" t="n">
        <v>26.5</v>
      </c>
      <c r="O714" s="407" t="n">
        <v>15420</v>
      </c>
      <c r="P714" s="407" t="n">
        <v>11333.7</v>
      </c>
      <c r="Q714" s="234" t="n">
        <v>2024</v>
      </c>
      <c r="R714" s="234"/>
      <c r="S714" s="248" t="n">
        <v>45457</v>
      </c>
      <c r="T714" s="407" t="n">
        <f aca="false">Таблица18[[#This Row],[Вес нетто]]-Таблица18[[#This Row],[Зачетный вес]]</f>
        <v>4086.3</v>
      </c>
      <c r="U714" s="409" t="n">
        <f aca="false">Таблица18[[#This Row],[Отход]]/Таблица18[[#This Row],[Вес нетто]]</f>
        <v>0.265</v>
      </c>
      <c r="V714" s="234" t="n">
        <f aca="false">MONTH(Таблица18[[#This Row],[Дата акта]])</f>
        <v>6</v>
      </c>
      <c r="W714" s="234" t="n">
        <v>14</v>
      </c>
      <c r="X714" s="248" t="n">
        <f aca="false">DATE(1900,Таблица18[[#This Row],[Месяц]],Таблица18[[#This Row],[Число]])</f>
        <v>166</v>
      </c>
      <c r="Y714" s="234"/>
      <c r="AF714" s="411"/>
      <c r="AG714" s="412"/>
    </row>
    <row r="715" s="410" customFormat="true" ht="15" hidden="true" customHeight="true" outlineLevel="0" collapsed="false">
      <c r="A715" s="198" t="s">
        <v>2328</v>
      </c>
      <c r="B715" s="199" t="s">
        <v>746</v>
      </c>
      <c r="C715" s="198" t="n">
        <v>344</v>
      </c>
      <c r="D715" s="198" t="n">
        <v>586151</v>
      </c>
      <c r="E715" s="198" t="s">
        <v>2298</v>
      </c>
      <c r="F715" s="198" t="s">
        <v>1866</v>
      </c>
      <c r="G715" s="198" t="s">
        <v>1867</v>
      </c>
      <c r="H715" s="198" t="s">
        <v>2319</v>
      </c>
      <c r="I715" s="199"/>
      <c r="J715" s="198" t="s">
        <v>1750</v>
      </c>
      <c r="K715" s="198" t="s">
        <v>1435</v>
      </c>
      <c r="L715" s="234" t="n">
        <v>27830</v>
      </c>
      <c r="M715" s="234" t="n">
        <v>14690</v>
      </c>
      <c r="N715" s="234" t="n">
        <v>27.5</v>
      </c>
      <c r="O715" s="407" t="n">
        <v>13140</v>
      </c>
      <c r="P715" s="407" t="n">
        <v>9526.5</v>
      </c>
      <c r="Q715" s="234" t="n">
        <v>2024</v>
      </c>
      <c r="R715" s="234"/>
      <c r="S715" s="248" t="n">
        <v>45457</v>
      </c>
      <c r="T715" s="407" t="n">
        <f aca="false">Таблица18[[#This Row],[Вес нетто]]-Таблица18[[#This Row],[Зачетный вес]]</f>
        <v>3613.5</v>
      </c>
      <c r="U715" s="409" t="n">
        <f aca="false">Таблица18[[#This Row],[Отход]]/Таблица18[[#This Row],[Вес нетто]]</f>
        <v>0.275</v>
      </c>
      <c r="V715" s="234" t="n">
        <f aca="false">MONTH(Таблица18[[#This Row],[Дата акта]])</f>
        <v>6</v>
      </c>
      <c r="W715" s="234" t="n">
        <v>14</v>
      </c>
      <c r="X715" s="248" t="n">
        <f aca="false">DATE(1900,Таблица18[[#This Row],[Месяц]],Таблица18[[#This Row],[Число]])</f>
        <v>166</v>
      </c>
      <c r="Y715" s="234"/>
      <c r="AF715" s="411"/>
      <c r="AG715" s="412"/>
    </row>
    <row r="716" s="410" customFormat="true" ht="15" hidden="true" customHeight="true" outlineLevel="0" collapsed="false">
      <c r="A716" s="198" t="s">
        <v>2329</v>
      </c>
      <c r="B716" s="199" t="s">
        <v>746</v>
      </c>
      <c r="C716" s="198" t="n">
        <v>345</v>
      </c>
      <c r="D716" s="198" t="n">
        <v>586153</v>
      </c>
      <c r="E716" s="198" t="s">
        <v>2298</v>
      </c>
      <c r="F716" s="198" t="s">
        <v>1485</v>
      </c>
      <c r="G716" s="198" t="s">
        <v>431</v>
      </c>
      <c r="H716" s="198" t="s">
        <v>2319</v>
      </c>
      <c r="I716" s="199"/>
      <c r="J716" s="198" t="s">
        <v>1750</v>
      </c>
      <c r="K716" s="198" t="s">
        <v>1435</v>
      </c>
      <c r="L716" s="234" t="n">
        <v>38190</v>
      </c>
      <c r="M716" s="234" t="n">
        <v>20990</v>
      </c>
      <c r="N716" s="234" t="n">
        <v>24.5</v>
      </c>
      <c r="O716" s="407" t="n">
        <v>17200</v>
      </c>
      <c r="P716" s="407" t="n">
        <v>12986</v>
      </c>
      <c r="Q716" s="234" t="n">
        <v>2024</v>
      </c>
      <c r="R716" s="234"/>
      <c r="S716" s="248" t="n">
        <v>45458</v>
      </c>
      <c r="T716" s="407" t="n">
        <f aca="false">Таблица18[[#This Row],[Вес нетто]]-Таблица18[[#This Row],[Зачетный вес]]</f>
        <v>4214</v>
      </c>
      <c r="U716" s="409" t="n">
        <f aca="false">Таблица18[[#This Row],[Отход]]/Таблица18[[#This Row],[Вес нетто]]</f>
        <v>0.245</v>
      </c>
      <c r="V716" s="234" t="n">
        <f aca="false">MONTH(Таблица18[[#This Row],[Дата акта]])</f>
        <v>6</v>
      </c>
      <c r="W716" s="234" t="n">
        <v>15</v>
      </c>
      <c r="X716" s="248" t="n">
        <f aca="false">DATE(1900,Таблица18[[#This Row],[Месяц]],Таблица18[[#This Row],[Число]])</f>
        <v>167</v>
      </c>
      <c r="Y716" s="234"/>
      <c r="AF716" s="411"/>
      <c r="AG716" s="412"/>
    </row>
    <row r="717" s="410" customFormat="true" ht="15" hidden="true" customHeight="true" outlineLevel="0" collapsed="false">
      <c r="A717" s="198" t="s">
        <v>2330</v>
      </c>
      <c r="B717" s="199" t="s">
        <v>746</v>
      </c>
      <c r="C717" s="198" t="n">
        <v>346</v>
      </c>
      <c r="D717" s="198" t="n">
        <v>586154</v>
      </c>
      <c r="E717" s="198" t="s">
        <v>2298</v>
      </c>
      <c r="F717" s="198" t="s">
        <v>2253</v>
      </c>
      <c r="G717" s="198" t="s">
        <v>2254</v>
      </c>
      <c r="H717" s="198" t="s">
        <v>2319</v>
      </c>
      <c r="I717" s="199"/>
      <c r="J717" s="198" t="s">
        <v>1750</v>
      </c>
      <c r="K717" s="198" t="s">
        <v>1435</v>
      </c>
      <c r="L717" s="234" t="n">
        <v>33810</v>
      </c>
      <c r="M717" s="234" t="n">
        <v>16350</v>
      </c>
      <c r="N717" s="234" t="n">
        <v>26.5</v>
      </c>
      <c r="O717" s="407" t="n">
        <v>17460</v>
      </c>
      <c r="P717" s="407" t="n">
        <v>12833.1</v>
      </c>
      <c r="Q717" s="234" t="n">
        <v>2024</v>
      </c>
      <c r="R717" s="234"/>
      <c r="S717" s="248" t="n">
        <v>45458</v>
      </c>
      <c r="T717" s="407" t="n">
        <f aca="false">Таблица18[[#This Row],[Вес нетто]]-Таблица18[[#This Row],[Зачетный вес]]</f>
        <v>4626.9</v>
      </c>
      <c r="U717" s="409" t="n">
        <f aca="false">Таблица18[[#This Row],[Отход]]/Таблица18[[#This Row],[Вес нетто]]</f>
        <v>0.265</v>
      </c>
      <c r="V717" s="234" t="n">
        <f aca="false">MONTH(Таблица18[[#This Row],[Дата акта]])</f>
        <v>6</v>
      </c>
      <c r="W717" s="234" t="n">
        <v>15</v>
      </c>
      <c r="X717" s="248" t="n">
        <f aca="false">DATE(1900,Таблица18[[#This Row],[Месяц]],Таблица18[[#This Row],[Число]])</f>
        <v>167</v>
      </c>
      <c r="Y717" s="234"/>
      <c r="AF717" s="411"/>
      <c r="AG717" s="412"/>
    </row>
    <row r="718" s="410" customFormat="true" ht="15" hidden="true" customHeight="true" outlineLevel="0" collapsed="false">
      <c r="A718" s="198" t="s">
        <v>2331</v>
      </c>
      <c r="B718" s="199" t="s">
        <v>746</v>
      </c>
      <c r="C718" s="198" t="n">
        <v>347</v>
      </c>
      <c r="D718" s="198" t="n">
        <v>586155</v>
      </c>
      <c r="E718" s="198" t="s">
        <v>2298</v>
      </c>
      <c r="F718" s="198" t="s">
        <v>359</v>
      </c>
      <c r="G718" s="198" t="s">
        <v>426</v>
      </c>
      <c r="H718" s="198" t="s">
        <v>2319</v>
      </c>
      <c r="I718" s="199"/>
      <c r="J718" s="198" t="s">
        <v>1750</v>
      </c>
      <c r="K718" s="198" t="s">
        <v>1435</v>
      </c>
      <c r="L718" s="234" t="n">
        <v>31140</v>
      </c>
      <c r="M718" s="234" t="n">
        <v>13940</v>
      </c>
      <c r="N718" s="234" t="n">
        <v>25.5</v>
      </c>
      <c r="O718" s="407" t="n">
        <v>17200</v>
      </c>
      <c r="P718" s="407" t="n">
        <v>12814</v>
      </c>
      <c r="Q718" s="234" t="n">
        <v>2024</v>
      </c>
      <c r="R718" s="234"/>
      <c r="S718" s="248" t="n">
        <v>45458</v>
      </c>
      <c r="T718" s="407" t="n">
        <f aca="false">Таблица18[[#This Row],[Вес нетто]]-Таблица18[[#This Row],[Зачетный вес]]</f>
        <v>4386</v>
      </c>
      <c r="U718" s="409" t="n">
        <f aca="false">Таблица18[[#This Row],[Отход]]/Таблица18[[#This Row],[Вес нетто]]</f>
        <v>0.255</v>
      </c>
      <c r="V718" s="234" t="n">
        <f aca="false">MONTH(Таблица18[[#This Row],[Дата акта]])</f>
        <v>6</v>
      </c>
      <c r="W718" s="234" t="n">
        <v>15</v>
      </c>
      <c r="X718" s="248" t="n">
        <f aca="false">DATE(1900,Таблица18[[#This Row],[Месяц]],Таблица18[[#This Row],[Число]])</f>
        <v>167</v>
      </c>
      <c r="Y718" s="234"/>
      <c r="AF718" s="411"/>
      <c r="AG718" s="412"/>
    </row>
    <row r="719" s="410" customFormat="true" ht="15" hidden="true" customHeight="true" outlineLevel="0" collapsed="false">
      <c r="A719" s="198" t="s">
        <v>2332</v>
      </c>
      <c r="B719" s="199" t="s">
        <v>746</v>
      </c>
      <c r="C719" s="198" t="n">
        <v>348</v>
      </c>
      <c r="D719" s="198" t="n">
        <v>586156</v>
      </c>
      <c r="E719" s="198" t="s">
        <v>2298</v>
      </c>
      <c r="F719" s="198" t="s">
        <v>1876</v>
      </c>
      <c r="G719" s="198" t="s">
        <v>1877</v>
      </c>
      <c r="H719" s="198" t="s">
        <v>2319</v>
      </c>
      <c r="I719" s="199"/>
      <c r="J719" s="198" t="s">
        <v>1750</v>
      </c>
      <c r="K719" s="198" t="s">
        <v>1435</v>
      </c>
      <c r="L719" s="234" t="n">
        <v>29910</v>
      </c>
      <c r="M719" s="234" t="n">
        <v>14620</v>
      </c>
      <c r="N719" s="234" t="n">
        <v>22.5</v>
      </c>
      <c r="O719" s="407" t="n">
        <v>15290</v>
      </c>
      <c r="P719" s="407" t="n">
        <v>11849.7</v>
      </c>
      <c r="Q719" s="234" t="n">
        <v>2024</v>
      </c>
      <c r="R719" s="234"/>
      <c r="S719" s="248" t="n">
        <v>45458</v>
      </c>
      <c r="T719" s="407" t="n">
        <f aca="false">Таблица18[[#This Row],[Вес нетто]]-Таблица18[[#This Row],[Зачетный вес]]</f>
        <v>3440.3</v>
      </c>
      <c r="U719" s="409" t="n">
        <f aca="false">Таблица18[[#This Row],[Отход]]/Таблица18[[#This Row],[Вес нетто]]</f>
        <v>0.225003270111184</v>
      </c>
      <c r="V719" s="234" t="n">
        <f aca="false">MONTH(Таблица18[[#This Row],[Дата акта]])</f>
        <v>6</v>
      </c>
      <c r="W719" s="234" t="n">
        <v>15</v>
      </c>
      <c r="X719" s="248" t="n">
        <f aca="false">DATE(1900,Таблица18[[#This Row],[Месяц]],Таблица18[[#This Row],[Число]])</f>
        <v>167</v>
      </c>
      <c r="Y719" s="234"/>
      <c r="AF719" s="411"/>
      <c r="AG719" s="412"/>
    </row>
    <row r="720" s="410" customFormat="true" ht="15" hidden="true" customHeight="true" outlineLevel="0" collapsed="false">
      <c r="A720" s="198" t="s">
        <v>2333</v>
      </c>
      <c r="B720" s="199" t="s">
        <v>746</v>
      </c>
      <c r="C720" s="198" t="n">
        <v>349</v>
      </c>
      <c r="D720" s="198" t="n">
        <v>586157</v>
      </c>
      <c r="E720" s="198" t="s">
        <v>2298</v>
      </c>
      <c r="F720" s="198" t="s">
        <v>363</v>
      </c>
      <c r="G720" s="198" t="s">
        <v>364</v>
      </c>
      <c r="H720" s="198" t="s">
        <v>2319</v>
      </c>
      <c r="I720" s="199"/>
      <c r="J720" s="198" t="s">
        <v>1750</v>
      </c>
      <c r="K720" s="198" t="s">
        <v>1435</v>
      </c>
      <c r="L720" s="234" t="n">
        <v>29410</v>
      </c>
      <c r="M720" s="234" t="n">
        <v>14590</v>
      </c>
      <c r="N720" s="234" t="n">
        <v>24.5</v>
      </c>
      <c r="O720" s="407" t="n">
        <v>14820</v>
      </c>
      <c r="P720" s="407" t="n">
        <v>11189.1</v>
      </c>
      <c r="Q720" s="234" t="n">
        <v>2024</v>
      </c>
      <c r="R720" s="234"/>
      <c r="S720" s="248" t="n">
        <v>45458</v>
      </c>
      <c r="T720" s="407" t="n">
        <f aca="false">Таблица18[[#This Row],[Вес нетто]]-Таблица18[[#This Row],[Зачетный вес]]</f>
        <v>3630.9</v>
      </c>
      <c r="U720" s="409" t="n">
        <f aca="false">Таблица18[[#This Row],[Отход]]/Таблица18[[#This Row],[Вес нетто]]</f>
        <v>0.245</v>
      </c>
      <c r="V720" s="234" t="n">
        <f aca="false">MONTH(Таблица18[[#This Row],[Дата акта]])</f>
        <v>6</v>
      </c>
      <c r="W720" s="234" t="n">
        <v>15</v>
      </c>
      <c r="X720" s="248" t="n">
        <f aca="false">DATE(1900,Таблица18[[#This Row],[Месяц]],Таблица18[[#This Row],[Число]])</f>
        <v>167</v>
      </c>
      <c r="Y720" s="234"/>
      <c r="AF720" s="411"/>
      <c r="AG720" s="412"/>
    </row>
    <row r="721" s="410" customFormat="true" ht="15" hidden="true" customHeight="true" outlineLevel="0" collapsed="false">
      <c r="A721" s="198" t="s">
        <v>2334</v>
      </c>
      <c r="B721" s="199" t="s">
        <v>746</v>
      </c>
      <c r="C721" s="198" t="n">
        <v>350</v>
      </c>
      <c r="D721" s="198" t="n">
        <v>586158</v>
      </c>
      <c r="E721" s="198" t="s">
        <v>2298</v>
      </c>
      <c r="F721" s="198" t="s">
        <v>457</v>
      </c>
      <c r="G721" s="198" t="s">
        <v>366</v>
      </c>
      <c r="H721" s="198" t="s">
        <v>2319</v>
      </c>
      <c r="I721" s="199"/>
      <c r="J721" s="198" t="s">
        <v>1750</v>
      </c>
      <c r="K721" s="198" t="s">
        <v>1435</v>
      </c>
      <c r="L721" s="234" t="n">
        <v>32300</v>
      </c>
      <c r="M721" s="234" t="n">
        <v>17230</v>
      </c>
      <c r="N721" s="234" t="n">
        <v>27.5</v>
      </c>
      <c r="O721" s="407" t="n">
        <v>15070</v>
      </c>
      <c r="P721" s="407" t="n">
        <v>10925.7</v>
      </c>
      <c r="Q721" s="234" t="n">
        <v>2024</v>
      </c>
      <c r="R721" s="234"/>
      <c r="S721" s="248" t="n">
        <v>45458</v>
      </c>
      <c r="T721" s="407" t="n">
        <f aca="false">Таблица18[[#This Row],[Вес нетто]]-Таблица18[[#This Row],[Зачетный вес]]</f>
        <v>4144.3</v>
      </c>
      <c r="U721" s="409" t="n">
        <f aca="false">Таблица18[[#This Row],[Отход]]/Таблица18[[#This Row],[Вес нетто]]</f>
        <v>0.275003317850033</v>
      </c>
      <c r="V721" s="234" t="n">
        <f aca="false">MONTH(Таблица18[[#This Row],[Дата акта]])</f>
        <v>6</v>
      </c>
      <c r="W721" s="234" t="n">
        <v>15</v>
      </c>
      <c r="X721" s="248" t="n">
        <f aca="false">DATE(1900,Таблица18[[#This Row],[Месяц]],Таблица18[[#This Row],[Число]])</f>
        <v>167</v>
      </c>
      <c r="Y721" s="234"/>
      <c r="AF721" s="411"/>
      <c r="AG721" s="412"/>
    </row>
    <row r="722" s="410" customFormat="true" ht="15" hidden="true" customHeight="true" outlineLevel="0" collapsed="false">
      <c r="A722" s="198" t="s">
        <v>2335</v>
      </c>
      <c r="B722" s="199" t="s">
        <v>886</v>
      </c>
      <c r="C722" s="198" t="n">
        <v>352</v>
      </c>
      <c r="D722" s="198" t="n">
        <v>586159</v>
      </c>
      <c r="E722" s="198" t="s">
        <v>2298</v>
      </c>
      <c r="F722" s="198" t="s">
        <v>1863</v>
      </c>
      <c r="G722" s="198" t="s">
        <v>1864</v>
      </c>
      <c r="H722" s="198" t="s">
        <v>2319</v>
      </c>
      <c r="I722" s="199"/>
      <c r="J722" s="198" t="s">
        <v>1750</v>
      </c>
      <c r="K722" s="198" t="s">
        <v>1435</v>
      </c>
      <c r="L722" s="234" t="n">
        <v>28230</v>
      </c>
      <c r="M722" s="234" t="n">
        <v>15530</v>
      </c>
      <c r="N722" s="234" t="n">
        <v>29.5</v>
      </c>
      <c r="O722" s="407" t="n">
        <v>12700</v>
      </c>
      <c r="P722" s="407" t="n">
        <v>8953.5</v>
      </c>
      <c r="Q722" s="234" t="n">
        <v>2024</v>
      </c>
      <c r="R722" s="234"/>
      <c r="S722" s="248" t="n">
        <v>45458</v>
      </c>
      <c r="T722" s="407" t="n">
        <f aca="false">Таблица18[[#This Row],[Вес нетто]]-Таблица18[[#This Row],[Зачетный вес]]</f>
        <v>3746.5</v>
      </c>
      <c r="U722" s="409" t="n">
        <f aca="false">Таблица18[[#This Row],[Отход]]/Таблица18[[#This Row],[Вес нетто]]</f>
        <v>0.295</v>
      </c>
      <c r="V722" s="234" t="n">
        <f aca="false">MONTH(Таблица18[[#This Row],[Дата акта]])</f>
        <v>6</v>
      </c>
      <c r="W722" s="234" t="n">
        <v>15</v>
      </c>
      <c r="X722" s="248" t="n">
        <f aca="false">DATE(1900,Таблица18[[#This Row],[Месяц]],Таблица18[[#This Row],[Число]])</f>
        <v>167</v>
      </c>
      <c r="Y722" s="234"/>
      <c r="AF722" s="411"/>
      <c r="AG722" s="412"/>
    </row>
    <row r="723" s="410" customFormat="true" ht="15" hidden="true" customHeight="true" outlineLevel="0" collapsed="false">
      <c r="A723" s="198" t="s">
        <v>2336</v>
      </c>
      <c r="B723" s="199" t="s">
        <v>417</v>
      </c>
      <c r="C723" s="198" t="n">
        <v>353</v>
      </c>
      <c r="D723" s="198" t="n">
        <v>1</v>
      </c>
      <c r="E723" s="198" t="s">
        <v>2244</v>
      </c>
      <c r="F723" s="198" t="s">
        <v>1866</v>
      </c>
      <c r="G723" s="198" t="s">
        <v>1867</v>
      </c>
      <c r="H723" s="198" t="s">
        <v>2337</v>
      </c>
      <c r="I723" s="199"/>
      <c r="J723" s="198" t="s">
        <v>2272</v>
      </c>
      <c r="K723" s="198" t="s">
        <v>1435</v>
      </c>
      <c r="L723" s="234" t="n">
        <v>27870</v>
      </c>
      <c r="M723" s="234" t="n">
        <v>21390</v>
      </c>
      <c r="N723" s="234" t="n">
        <v>32.5</v>
      </c>
      <c r="O723" s="407" t="n">
        <v>6480</v>
      </c>
      <c r="P723" s="407" t="n">
        <v>4374</v>
      </c>
      <c r="Q723" s="234" t="n">
        <v>2024</v>
      </c>
      <c r="R723" s="234"/>
      <c r="S723" s="248" t="n">
        <v>45459</v>
      </c>
      <c r="T723" s="407" t="n">
        <f aca="false">Таблица18[[#This Row],[Вес нетто]]-Таблица18[[#This Row],[Зачетный вес]]</f>
        <v>2106</v>
      </c>
      <c r="U723" s="409" t="n">
        <f aca="false">Таблица18[[#This Row],[Отход]]/Таблица18[[#This Row],[Вес нетто]]</f>
        <v>0.325</v>
      </c>
      <c r="V723" s="234" t="n">
        <f aca="false">MONTH(Таблица18[[#This Row],[Дата акта]])</f>
        <v>6</v>
      </c>
      <c r="W723" s="234" t="n">
        <v>16</v>
      </c>
      <c r="X723" s="248" t="n">
        <f aca="false">DATE(1900,Таблица18[[#This Row],[Месяц]],Таблица18[[#This Row],[Число]])</f>
        <v>168</v>
      </c>
      <c r="Y723" s="234"/>
      <c r="AF723" s="411"/>
      <c r="AG723" s="412"/>
    </row>
    <row r="724" s="410" customFormat="true" ht="15" hidden="true" customHeight="true" outlineLevel="0" collapsed="false">
      <c r="A724" s="198" t="s">
        <v>2338</v>
      </c>
      <c r="B724" s="199" t="s">
        <v>417</v>
      </c>
      <c r="C724" s="198" t="n">
        <v>354</v>
      </c>
      <c r="D724" s="198" t="n">
        <v>1</v>
      </c>
      <c r="E724" s="198" t="s">
        <v>2244</v>
      </c>
      <c r="F724" s="198" t="s">
        <v>1866</v>
      </c>
      <c r="G724" s="198" t="s">
        <v>1867</v>
      </c>
      <c r="H724" s="198" t="s">
        <v>2337</v>
      </c>
      <c r="I724" s="199"/>
      <c r="J724" s="198" t="s">
        <v>869</v>
      </c>
      <c r="K724" s="198" t="s">
        <v>1435</v>
      </c>
      <c r="L724" s="234" t="n">
        <v>21390</v>
      </c>
      <c r="M724" s="234" t="n">
        <v>14570</v>
      </c>
      <c r="N724" s="234" t="n">
        <v>53.5</v>
      </c>
      <c r="O724" s="407" t="n">
        <v>6820</v>
      </c>
      <c r="P724" s="407" t="n">
        <v>3171.3</v>
      </c>
      <c r="Q724" s="234" t="n">
        <v>2024</v>
      </c>
      <c r="R724" s="234"/>
      <c r="S724" s="248" t="n">
        <v>45459</v>
      </c>
      <c r="T724" s="407" t="n">
        <f aca="false">Таблица18[[#This Row],[Вес нетто]]-Таблица18[[#This Row],[Зачетный вес]]</f>
        <v>3648.7</v>
      </c>
      <c r="U724" s="409" t="n">
        <f aca="false">Таблица18[[#This Row],[Отход]]/Таблица18[[#This Row],[Вес нетто]]</f>
        <v>0.535</v>
      </c>
      <c r="V724" s="234" t="n">
        <f aca="false">MONTH(Таблица18[[#This Row],[Дата акта]])</f>
        <v>6</v>
      </c>
      <c r="W724" s="234" t="n">
        <v>16</v>
      </c>
      <c r="X724" s="248" t="n">
        <f aca="false">DATE(1900,Таблица18[[#This Row],[Месяц]],Таблица18[[#This Row],[Число]])</f>
        <v>168</v>
      </c>
      <c r="Y724" s="234"/>
      <c r="AF724" s="411"/>
      <c r="AG724" s="412"/>
    </row>
    <row r="725" s="410" customFormat="true" ht="15" hidden="true" customHeight="true" outlineLevel="0" collapsed="false">
      <c r="A725" s="198" t="s">
        <v>2339</v>
      </c>
      <c r="B725" s="199" t="s">
        <v>417</v>
      </c>
      <c r="C725" s="198" t="n">
        <v>355</v>
      </c>
      <c r="D725" s="198" t="n">
        <v>122</v>
      </c>
      <c r="E725" s="198" t="s">
        <v>422</v>
      </c>
      <c r="F725" s="198" t="s">
        <v>359</v>
      </c>
      <c r="G725" s="198" t="s">
        <v>426</v>
      </c>
      <c r="H725" s="198" t="s">
        <v>2220</v>
      </c>
      <c r="I725" s="199"/>
      <c r="J725" s="198" t="s">
        <v>1058</v>
      </c>
      <c r="K725" s="198" t="s">
        <v>1435</v>
      </c>
      <c r="L725" s="234" t="n">
        <v>23070</v>
      </c>
      <c r="M725" s="234" t="n">
        <v>13990</v>
      </c>
      <c r="N725" s="234" t="n">
        <v>16.5</v>
      </c>
      <c r="O725" s="407" t="n">
        <v>9080</v>
      </c>
      <c r="P725" s="407" t="n">
        <v>7581.8</v>
      </c>
      <c r="Q725" s="234" t="n">
        <v>2024</v>
      </c>
      <c r="R725" s="234"/>
      <c r="S725" s="248" t="n">
        <v>45459</v>
      </c>
      <c r="T725" s="407" t="n">
        <f aca="false">Таблица18[[#This Row],[Вес нетто]]-Таблица18[[#This Row],[Зачетный вес]]</f>
        <v>1498.2</v>
      </c>
      <c r="U725" s="409" t="n">
        <f aca="false">Таблица18[[#This Row],[Отход]]/Таблица18[[#This Row],[Вес нетто]]</f>
        <v>0.165</v>
      </c>
      <c r="V725" s="234" t="n">
        <f aca="false">MONTH(Таблица18[[#This Row],[Дата акта]])</f>
        <v>6</v>
      </c>
      <c r="W725" s="234" t="n">
        <v>16</v>
      </c>
      <c r="X725" s="248" t="n">
        <f aca="false">DATE(1900,Таблица18[[#This Row],[Месяц]],Таблица18[[#This Row],[Число]])</f>
        <v>168</v>
      </c>
      <c r="Y725" s="234"/>
      <c r="AF725" s="411"/>
      <c r="AG725" s="412"/>
    </row>
    <row r="726" s="410" customFormat="true" ht="15" hidden="true" customHeight="true" outlineLevel="0" collapsed="false">
      <c r="A726" s="198" t="s">
        <v>2340</v>
      </c>
      <c r="B726" s="199" t="s">
        <v>746</v>
      </c>
      <c r="C726" s="198" t="n">
        <v>356</v>
      </c>
      <c r="D726" s="198" t="n">
        <v>6</v>
      </c>
      <c r="E726" s="198" t="s">
        <v>2244</v>
      </c>
      <c r="F726" s="198" t="s">
        <v>1485</v>
      </c>
      <c r="G726" s="198" t="s">
        <v>431</v>
      </c>
      <c r="H726" s="198" t="s">
        <v>2337</v>
      </c>
      <c r="I726" s="199"/>
      <c r="J726" s="198" t="s">
        <v>2272</v>
      </c>
      <c r="K726" s="198" t="s">
        <v>1435</v>
      </c>
      <c r="L726" s="234" t="n">
        <v>37370</v>
      </c>
      <c r="M726" s="234" t="n">
        <v>20850</v>
      </c>
      <c r="N726" s="234" t="n">
        <v>24.5</v>
      </c>
      <c r="O726" s="407" t="n">
        <v>16520</v>
      </c>
      <c r="P726" s="407" t="n">
        <v>12472.6</v>
      </c>
      <c r="Q726" s="234" t="n">
        <v>2024</v>
      </c>
      <c r="R726" s="234"/>
      <c r="S726" s="248" t="n">
        <v>45459</v>
      </c>
      <c r="T726" s="407" t="n">
        <f aca="false">Таблица18[[#This Row],[Вес нетто]]-Таблица18[[#This Row],[Зачетный вес]]</f>
        <v>4047.4</v>
      </c>
      <c r="U726" s="409" t="n">
        <f aca="false">Таблица18[[#This Row],[Отход]]/Таблица18[[#This Row],[Вес нетто]]</f>
        <v>0.245</v>
      </c>
      <c r="V726" s="234" t="n">
        <f aca="false">MONTH(Таблица18[[#This Row],[Дата акта]])</f>
        <v>6</v>
      </c>
      <c r="W726" s="234" t="n">
        <v>16</v>
      </c>
      <c r="X726" s="248" t="n">
        <f aca="false">DATE(1900,Таблица18[[#This Row],[Месяц]],Таблица18[[#This Row],[Число]])</f>
        <v>168</v>
      </c>
      <c r="Y726" s="234"/>
      <c r="AF726" s="411"/>
      <c r="AG726" s="412"/>
    </row>
    <row r="727" s="410" customFormat="true" ht="15" hidden="true" customHeight="true" outlineLevel="0" collapsed="false">
      <c r="A727" s="198" t="s">
        <v>2341</v>
      </c>
      <c r="B727" s="199" t="s">
        <v>746</v>
      </c>
      <c r="C727" s="198" t="n">
        <v>357</v>
      </c>
      <c r="D727" s="198" t="n">
        <v>5</v>
      </c>
      <c r="E727" s="198" t="s">
        <v>2244</v>
      </c>
      <c r="F727" s="198" t="s">
        <v>2253</v>
      </c>
      <c r="G727" s="198" t="s">
        <v>2254</v>
      </c>
      <c r="H727" s="198" t="s">
        <v>2337</v>
      </c>
      <c r="I727" s="199"/>
      <c r="J727" s="198" t="s">
        <v>2272</v>
      </c>
      <c r="K727" s="198" t="s">
        <v>1435</v>
      </c>
      <c r="L727" s="234" t="n">
        <v>31440</v>
      </c>
      <c r="M727" s="234" t="n">
        <v>16670</v>
      </c>
      <c r="N727" s="234" t="n">
        <v>23.5</v>
      </c>
      <c r="O727" s="407" t="n">
        <v>14770</v>
      </c>
      <c r="P727" s="407" t="n">
        <v>11299</v>
      </c>
      <c r="Q727" s="234" t="n">
        <v>2024</v>
      </c>
      <c r="R727" s="234"/>
      <c r="S727" s="248" t="n">
        <v>45459</v>
      </c>
      <c r="T727" s="407" t="n">
        <f aca="false">Таблица18[[#This Row],[Вес нетто]]-Таблица18[[#This Row],[Зачетный вес]]</f>
        <v>3471</v>
      </c>
      <c r="U727" s="409" t="n">
        <f aca="false">Таблица18[[#This Row],[Отход]]/Таблица18[[#This Row],[Вес нетто]]</f>
        <v>0.235003385240352</v>
      </c>
      <c r="V727" s="234" t="n">
        <f aca="false">MONTH(Таблица18[[#This Row],[Дата акта]])</f>
        <v>6</v>
      </c>
      <c r="W727" s="234" t="n">
        <v>16</v>
      </c>
      <c r="X727" s="248" t="n">
        <f aca="false">DATE(1900,Таблица18[[#This Row],[Месяц]],Таблица18[[#This Row],[Число]])</f>
        <v>168</v>
      </c>
      <c r="Y727" s="234"/>
      <c r="AF727" s="411"/>
      <c r="AG727" s="412"/>
    </row>
    <row r="728" s="410" customFormat="true" ht="15" hidden="true" customHeight="true" outlineLevel="0" collapsed="false">
      <c r="A728" s="198" t="s">
        <v>2342</v>
      </c>
      <c r="B728" s="199" t="s">
        <v>746</v>
      </c>
      <c r="C728" s="198" t="n">
        <v>358</v>
      </c>
      <c r="D728" s="198" t="n">
        <v>2</v>
      </c>
      <c r="E728" s="198" t="s">
        <v>2244</v>
      </c>
      <c r="F728" s="198" t="s">
        <v>55</v>
      </c>
      <c r="G728" s="198" t="s">
        <v>56</v>
      </c>
      <c r="H728" s="198" t="s">
        <v>2337</v>
      </c>
      <c r="I728" s="199"/>
      <c r="J728" s="198" t="s">
        <v>869</v>
      </c>
      <c r="K728" s="198" t="s">
        <v>1435</v>
      </c>
      <c r="L728" s="234" t="n">
        <v>26810</v>
      </c>
      <c r="M728" s="234" t="n">
        <v>14400</v>
      </c>
      <c r="N728" s="234" t="n">
        <v>33.5</v>
      </c>
      <c r="O728" s="407" t="n">
        <v>12410</v>
      </c>
      <c r="P728" s="407" t="n">
        <v>8252.6</v>
      </c>
      <c r="Q728" s="234" t="n">
        <v>2024</v>
      </c>
      <c r="R728" s="234"/>
      <c r="S728" s="248" t="n">
        <v>45459</v>
      </c>
      <c r="T728" s="407" t="n">
        <f aca="false">Таблица18[[#This Row],[Вес нетто]]-Таблица18[[#This Row],[Зачетный вес]]</f>
        <v>4157.4</v>
      </c>
      <c r="U728" s="409" t="n">
        <f aca="false">Таблица18[[#This Row],[Отход]]/Таблица18[[#This Row],[Вес нетто]]</f>
        <v>0.335004029008864</v>
      </c>
      <c r="V728" s="234" t="n">
        <f aca="false">MONTH(Таблица18[[#This Row],[Дата акта]])</f>
        <v>6</v>
      </c>
      <c r="W728" s="234" t="n">
        <v>16</v>
      </c>
      <c r="X728" s="248" t="n">
        <f aca="false">DATE(1900,Таблица18[[#This Row],[Месяц]],Таблица18[[#This Row],[Число]])</f>
        <v>168</v>
      </c>
      <c r="Y728" s="234"/>
      <c r="AF728" s="411"/>
      <c r="AG728" s="412"/>
    </row>
    <row r="729" s="410" customFormat="true" ht="15" hidden="true" customHeight="true" outlineLevel="0" collapsed="false">
      <c r="A729" s="198" t="s">
        <v>2343</v>
      </c>
      <c r="B729" s="199" t="s">
        <v>417</v>
      </c>
      <c r="C729" s="198" t="n">
        <v>359</v>
      </c>
      <c r="D729" s="198" t="n">
        <v>3</v>
      </c>
      <c r="E729" s="198" t="s">
        <v>2244</v>
      </c>
      <c r="F729" s="198" t="s">
        <v>1464</v>
      </c>
      <c r="G729" s="198" t="s">
        <v>1447</v>
      </c>
      <c r="H729" s="198" t="s">
        <v>2344</v>
      </c>
      <c r="I729" s="199"/>
      <c r="J729" s="198" t="s">
        <v>869</v>
      </c>
      <c r="K729" s="198" t="s">
        <v>1435</v>
      </c>
      <c r="L729" s="234" t="n">
        <v>28330</v>
      </c>
      <c r="M729" s="234" t="n">
        <v>14710</v>
      </c>
      <c r="N729" s="234" t="n">
        <v>30.5</v>
      </c>
      <c r="O729" s="407" t="n">
        <v>13620</v>
      </c>
      <c r="P729" s="407" t="n">
        <v>9465.9</v>
      </c>
      <c r="Q729" s="234" t="n">
        <v>2024</v>
      </c>
      <c r="R729" s="234"/>
      <c r="S729" s="248" t="n">
        <v>45460</v>
      </c>
      <c r="T729" s="407" t="n">
        <f aca="false">Таблица18[[#This Row],[Вес нетто]]-Таблица18[[#This Row],[Зачетный вес]]</f>
        <v>4154.1</v>
      </c>
      <c r="U729" s="409" t="n">
        <f aca="false">Таблица18[[#This Row],[Отход]]/Таблица18[[#This Row],[Вес нетто]]</f>
        <v>0.305</v>
      </c>
      <c r="V729" s="234" t="n">
        <f aca="false">MONTH(Таблица18[[#This Row],[Дата акта]])</f>
        <v>6</v>
      </c>
      <c r="W729" s="234" t="n">
        <v>17</v>
      </c>
      <c r="X729" s="248" t="n">
        <f aca="false">DATE(1900,Таблица18[[#This Row],[Месяц]],Таблица18[[#This Row],[Число]])</f>
        <v>169</v>
      </c>
      <c r="Y729" s="234"/>
      <c r="AF729" s="411"/>
      <c r="AG729" s="412"/>
    </row>
    <row r="730" s="410" customFormat="true" ht="15" hidden="true" customHeight="true" outlineLevel="0" collapsed="false">
      <c r="A730" s="198" t="s">
        <v>2345</v>
      </c>
      <c r="B730" s="199" t="s">
        <v>417</v>
      </c>
      <c r="C730" s="198" t="n">
        <v>360</v>
      </c>
      <c r="D730" s="198" t="n">
        <v>4</v>
      </c>
      <c r="E730" s="198" t="s">
        <v>2244</v>
      </c>
      <c r="F730" s="198" t="s">
        <v>2084</v>
      </c>
      <c r="G730" s="198" t="s">
        <v>2085</v>
      </c>
      <c r="H730" s="198" t="s">
        <v>2344</v>
      </c>
      <c r="I730" s="199"/>
      <c r="J730" s="198" t="s">
        <v>2346</v>
      </c>
      <c r="K730" s="198" t="s">
        <v>1435</v>
      </c>
      <c r="L730" s="234" t="n">
        <v>33380</v>
      </c>
      <c r="M730" s="234" t="n">
        <v>17440</v>
      </c>
      <c r="N730" s="234" t="n">
        <v>28.5</v>
      </c>
      <c r="O730" s="407" t="n">
        <v>15940</v>
      </c>
      <c r="P730" s="407" t="n">
        <v>11397.1</v>
      </c>
      <c r="Q730" s="234" t="n">
        <v>2024</v>
      </c>
      <c r="R730" s="234"/>
      <c r="S730" s="248" t="n">
        <v>45460</v>
      </c>
      <c r="T730" s="407" t="n">
        <f aca="false">Таблица18[[#This Row],[Вес нетто]]-Таблица18[[#This Row],[Зачетный вес]]</f>
        <v>4542.9</v>
      </c>
      <c r="U730" s="409" t="n">
        <f aca="false">Таблица18[[#This Row],[Отход]]/Таблица18[[#This Row],[Вес нетто]]</f>
        <v>0.285</v>
      </c>
      <c r="V730" s="234" t="n">
        <f aca="false">MONTH(Таблица18[[#This Row],[Дата акта]])</f>
        <v>6</v>
      </c>
      <c r="W730" s="234" t="n">
        <v>17</v>
      </c>
      <c r="X730" s="248" t="n">
        <f aca="false">DATE(1900,Таблица18[[#This Row],[Месяц]],Таблица18[[#This Row],[Число]])</f>
        <v>169</v>
      </c>
      <c r="Y730" s="234"/>
      <c r="AF730" s="411"/>
      <c r="AG730" s="412"/>
    </row>
    <row r="731" s="410" customFormat="true" ht="15" hidden="true" customHeight="true" outlineLevel="0" collapsed="false">
      <c r="A731" s="198" t="s">
        <v>2347</v>
      </c>
      <c r="B731" s="199" t="s">
        <v>417</v>
      </c>
      <c r="C731" s="198" t="n">
        <v>361</v>
      </c>
      <c r="D731" s="198" t="n">
        <v>7</v>
      </c>
      <c r="E731" s="198" t="s">
        <v>2244</v>
      </c>
      <c r="F731" s="198" t="s">
        <v>2078</v>
      </c>
      <c r="G731" s="198" t="s">
        <v>557</v>
      </c>
      <c r="H731" s="198" t="s">
        <v>2344</v>
      </c>
      <c r="I731" s="199"/>
      <c r="J731" s="198" t="s">
        <v>2346</v>
      </c>
      <c r="K731" s="198" t="s">
        <v>1435</v>
      </c>
      <c r="L731" s="234" t="n">
        <v>28540</v>
      </c>
      <c r="M731" s="234" t="n">
        <v>14900</v>
      </c>
      <c r="N731" s="234" t="n">
        <v>27.5</v>
      </c>
      <c r="O731" s="407" t="n">
        <v>13640</v>
      </c>
      <c r="P731" s="407" t="n">
        <v>9889</v>
      </c>
      <c r="Q731" s="234" t="n">
        <v>2024</v>
      </c>
      <c r="R731" s="234"/>
      <c r="S731" s="248" t="n">
        <v>45460</v>
      </c>
      <c r="T731" s="407" t="n">
        <f aca="false">Таблица18[[#This Row],[Вес нетто]]-Таблица18[[#This Row],[Зачетный вес]]</f>
        <v>3751</v>
      </c>
      <c r="U731" s="409" t="n">
        <f aca="false">Таблица18[[#This Row],[Отход]]/Таблица18[[#This Row],[Вес нетто]]</f>
        <v>0.275</v>
      </c>
      <c r="V731" s="234" t="n">
        <f aca="false">MONTH(Таблица18[[#This Row],[Дата акта]])</f>
        <v>6</v>
      </c>
      <c r="W731" s="234" t="n">
        <v>17</v>
      </c>
      <c r="X731" s="248" t="n">
        <f aca="false">DATE(1900,Таблица18[[#This Row],[Месяц]],Таблица18[[#This Row],[Число]])</f>
        <v>169</v>
      </c>
      <c r="Y731" s="234"/>
      <c r="AF731" s="411"/>
      <c r="AG731" s="412"/>
    </row>
    <row r="732" s="410" customFormat="true" ht="15" hidden="true" customHeight="true" outlineLevel="0" collapsed="false">
      <c r="A732" s="198" t="s">
        <v>2348</v>
      </c>
      <c r="B732" s="199" t="s">
        <v>417</v>
      </c>
      <c r="C732" s="198" t="n">
        <v>363</v>
      </c>
      <c r="D732" s="198" t="n">
        <v>8</v>
      </c>
      <c r="E732" s="198" t="s">
        <v>2244</v>
      </c>
      <c r="F732" s="198" t="s">
        <v>2253</v>
      </c>
      <c r="G732" s="198" t="s">
        <v>2254</v>
      </c>
      <c r="H732" s="198" t="s">
        <v>2344</v>
      </c>
      <c r="I732" s="199"/>
      <c r="J732" s="198" t="s">
        <v>2346</v>
      </c>
      <c r="K732" s="198" t="s">
        <v>1435</v>
      </c>
      <c r="L732" s="234" t="n">
        <v>23670</v>
      </c>
      <c r="M732" s="234" t="n">
        <v>16550</v>
      </c>
      <c r="N732" s="234" t="n">
        <v>30.5</v>
      </c>
      <c r="O732" s="407" t="n">
        <v>7120</v>
      </c>
      <c r="P732" s="407" t="n">
        <v>4948.4</v>
      </c>
      <c r="Q732" s="234" t="n">
        <v>2024</v>
      </c>
      <c r="R732" s="234"/>
      <c r="S732" s="248" t="n">
        <v>45460</v>
      </c>
      <c r="T732" s="407" t="n">
        <f aca="false">Таблица18[[#This Row],[Вес нетто]]-Таблица18[[#This Row],[Зачетный вес]]</f>
        <v>2171.6</v>
      </c>
      <c r="U732" s="409" t="n">
        <f aca="false">Таблица18[[#This Row],[Отход]]/Таблица18[[#This Row],[Вес нетто]]</f>
        <v>0.305</v>
      </c>
      <c r="V732" s="234" t="n">
        <f aca="false">MONTH(Таблица18[[#This Row],[Дата акта]])</f>
        <v>6</v>
      </c>
      <c r="W732" s="234" t="n">
        <v>17</v>
      </c>
      <c r="X732" s="248" t="n">
        <f aca="false">DATE(1900,Таблица18[[#This Row],[Месяц]],Таблица18[[#This Row],[Число]])</f>
        <v>169</v>
      </c>
      <c r="Y732" s="234"/>
      <c r="AF732" s="411"/>
      <c r="AG732" s="412"/>
    </row>
    <row r="733" s="410" customFormat="true" ht="15" hidden="true" customHeight="true" outlineLevel="0" collapsed="false">
      <c r="A733" s="198" t="s">
        <v>2349</v>
      </c>
      <c r="B733" s="199" t="s">
        <v>417</v>
      </c>
      <c r="C733" s="198" t="n">
        <v>366</v>
      </c>
      <c r="D733" s="198" t="n">
        <v>57</v>
      </c>
      <c r="E733" s="198" t="s">
        <v>2244</v>
      </c>
      <c r="F733" s="198" t="s">
        <v>2260</v>
      </c>
      <c r="G733" s="198" t="s">
        <v>455</v>
      </c>
      <c r="H733" s="198" t="s">
        <v>2344</v>
      </c>
      <c r="I733" s="199"/>
      <c r="J733" s="198" t="s">
        <v>2346</v>
      </c>
      <c r="K733" s="198" t="s">
        <v>1435</v>
      </c>
      <c r="L733" s="234" t="n">
        <v>28460</v>
      </c>
      <c r="M733" s="234" t="n">
        <v>15140</v>
      </c>
      <c r="N733" s="234" t="n">
        <v>22.5</v>
      </c>
      <c r="O733" s="407" t="n">
        <v>13320</v>
      </c>
      <c r="P733" s="407" t="n">
        <v>10323</v>
      </c>
      <c r="Q733" s="234" t="n">
        <v>2024</v>
      </c>
      <c r="R733" s="234"/>
      <c r="S733" s="248" t="n">
        <v>45461</v>
      </c>
      <c r="T733" s="407" t="n">
        <f aca="false">Таблица18[[#This Row],[Вес нетто]]-Таблица18[[#This Row],[Зачетный вес]]</f>
        <v>2997</v>
      </c>
      <c r="U733" s="409" t="n">
        <f aca="false">Таблица18[[#This Row],[Отход]]/Таблица18[[#This Row],[Вес нетто]]</f>
        <v>0.225</v>
      </c>
      <c r="V733" s="234" t="n">
        <f aca="false">MONTH(Таблица18[[#This Row],[Дата акта]])</f>
        <v>6</v>
      </c>
      <c r="W733" s="234" t="n">
        <v>18</v>
      </c>
      <c r="X733" s="248" t="n">
        <f aca="false">DATE(1900,Таблица18[[#This Row],[Месяц]],Таблица18[[#This Row],[Число]])</f>
        <v>170</v>
      </c>
      <c r="Y733" s="234"/>
      <c r="AF733" s="411"/>
      <c r="AG733" s="412"/>
    </row>
    <row r="734" s="410" customFormat="true" ht="15" hidden="true" customHeight="true" outlineLevel="0" collapsed="false">
      <c r="A734" s="198" t="s">
        <v>2350</v>
      </c>
      <c r="B734" s="199" t="s">
        <v>417</v>
      </c>
      <c r="C734" s="198" t="n">
        <v>367</v>
      </c>
      <c r="D734" s="198" t="n">
        <v>58</v>
      </c>
      <c r="E734" s="198" t="s">
        <v>2244</v>
      </c>
      <c r="F734" s="198" t="s">
        <v>2262</v>
      </c>
      <c r="G734" s="198" t="s">
        <v>449</v>
      </c>
      <c r="H734" s="198" t="s">
        <v>2344</v>
      </c>
      <c r="I734" s="199"/>
      <c r="J734" s="198" t="s">
        <v>2346</v>
      </c>
      <c r="K734" s="198" t="s">
        <v>1435</v>
      </c>
      <c r="L734" s="234" t="n">
        <v>31200</v>
      </c>
      <c r="M734" s="234" t="n">
        <v>15550</v>
      </c>
      <c r="N734" s="234" t="n">
        <v>23.5</v>
      </c>
      <c r="O734" s="407" t="n">
        <v>15650</v>
      </c>
      <c r="P734" s="407" t="n">
        <v>11972.2</v>
      </c>
      <c r="Q734" s="234" t="n">
        <v>2024</v>
      </c>
      <c r="R734" s="234"/>
      <c r="S734" s="248" t="n">
        <v>45461</v>
      </c>
      <c r="T734" s="407" t="n">
        <f aca="false">Таблица18[[#This Row],[Вес нетто]]-Таблица18[[#This Row],[Зачетный вес]]</f>
        <v>3677.8</v>
      </c>
      <c r="U734" s="409" t="n">
        <f aca="false">Таблица18[[#This Row],[Отход]]/Таблица18[[#This Row],[Вес нетто]]</f>
        <v>0.235003194888179</v>
      </c>
      <c r="V734" s="234" t="n">
        <f aca="false">MONTH(Таблица18[[#This Row],[Дата акта]])</f>
        <v>6</v>
      </c>
      <c r="W734" s="234" t="n">
        <v>18</v>
      </c>
      <c r="X734" s="248" t="n">
        <f aca="false">DATE(1900,Таблица18[[#This Row],[Месяц]],Таблица18[[#This Row],[Число]])</f>
        <v>170</v>
      </c>
      <c r="Y734" s="234"/>
      <c r="AF734" s="411"/>
      <c r="AG734" s="412"/>
    </row>
    <row r="735" s="410" customFormat="true" ht="15" hidden="true" customHeight="true" outlineLevel="0" collapsed="false">
      <c r="A735" s="198" t="s">
        <v>2351</v>
      </c>
      <c r="B735" s="199" t="s">
        <v>417</v>
      </c>
      <c r="C735" s="198" t="n">
        <v>368</v>
      </c>
      <c r="D735" s="198" t="n">
        <v>60</v>
      </c>
      <c r="E735" s="198" t="s">
        <v>2244</v>
      </c>
      <c r="F735" s="198" t="s">
        <v>2078</v>
      </c>
      <c r="G735" s="198" t="s">
        <v>557</v>
      </c>
      <c r="H735" s="198" t="s">
        <v>2344</v>
      </c>
      <c r="I735" s="199"/>
      <c r="J735" s="198" t="s">
        <v>2346</v>
      </c>
      <c r="K735" s="198" t="s">
        <v>1435</v>
      </c>
      <c r="L735" s="234" t="n">
        <v>28000</v>
      </c>
      <c r="M735" s="234" t="n">
        <v>14930</v>
      </c>
      <c r="N735" s="234" t="n">
        <v>27.5</v>
      </c>
      <c r="O735" s="407" t="n">
        <v>13070</v>
      </c>
      <c r="P735" s="407" t="n">
        <v>9475.7</v>
      </c>
      <c r="Q735" s="234" t="n">
        <v>2024</v>
      </c>
      <c r="R735" s="234"/>
      <c r="S735" s="248" t="n">
        <v>45461</v>
      </c>
      <c r="T735" s="407" t="n">
        <f aca="false">Таблица18[[#This Row],[Вес нетто]]-Таблица18[[#This Row],[Зачетный вес]]</f>
        <v>3594.3</v>
      </c>
      <c r="U735" s="409" t="n">
        <f aca="false">Таблица18[[#This Row],[Отход]]/Таблица18[[#This Row],[Вес нетто]]</f>
        <v>0.275003825554705</v>
      </c>
      <c r="V735" s="234" t="n">
        <f aca="false">MONTH(Таблица18[[#This Row],[Дата акта]])</f>
        <v>6</v>
      </c>
      <c r="W735" s="234" t="n">
        <v>18</v>
      </c>
      <c r="X735" s="248" t="n">
        <f aca="false">DATE(1900,Таблица18[[#This Row],[Месяц]],Таблица18[[#This Row],[Число]])</f>
        <v>170</v>
      </c>
      <c r="Y735" s="234"/>
      <c r="AF735" s="411"/>
      <c r="AG735" s="412"/>
    </row>
    <row r="736" s="410" customFormat="true" ht="15" hidden="true" customHeight="true" outlineLevel="0" collapsed="false">
      <c r="A736" s="198" t="s">
        <v>2352</v>
      </c>
      <c r="B736" s="199" t="s">
        <v>417</v>
      </c>
      <c r="C736" s="198" t="n">
        <v>369</v>
      </c>
      <c r="D736" s="198" t="n">
        <v>59</v>
      </c>
      <c r="E736" s="198" t="s">
        <v>2244</v>
      </c>
      <c r="F736" s="198" t="s">
        <v>359</v>
      </c>
      <c r="G736" s="198" t="s">
        <v>426</v>
      </c>
      <c r="H736" s="198" t="s">
        <v>2344</v>
      </c>
      <c r="I736" s="199"/>
      <c r="J736" s="198" t="s">
        <v>2346</v>
      </c>
      <c r="K736" s="198" t="s">
        <v>1435</v>
      </c>
      <c r="L736" s="234" t="n">
        <v>27290</v>
      </c>
      <c r="M736" s="234" t="n">
        <v>14070</v>
      </c>
      <c r="N736" s="234" t="n">
        <v>26.5</v>
      </c>
      <c r="O736" s="407" t="n">
        <v>13220</v>
      </c>
      <c r="P736" s="407" t="n">
        <v>9716.7</v>
      </c>
      <c r="Q736" s="234" t="n">
        <v>2024</v>
      </c>
      <c r="R736" s="234"/>
      <c r="S736" s="248" t="n">
        <v>45462</v>
      </c>
      <c r="T736" s="407" t="n">
        <f aca="false">Таблица18[[#This Row],[Вес нетто]]-Таблица18[[#This Row],[Зачетный вес]]</f>
        <v>3503.3</v>
      </c>
      <c r="U736" s="409" t="n">
        <f aca="false">Таблица18[[#This Row],[Отход]]/Таблица18[[#This Row],[Вес нетто]]</f>
        <v>0.265</v>
      </c>
      <c r="V736" s="234" t="n">
        <f aca="false">MONTH(Таблица18[[#This Row],[Дата акта]])</f>
        <v>6</v>
      </c>
      <c r="W736" s="234" t="n">
        <v>19</v>
      </c>
      <c r="X736" s="248" t="n">
        <f aca="false">DATE(1900,Таблица18[[#This Row],[Месяц]],Таблица18[[#This Row],[Число]])</f>
        <v>171</v>
      </c>
      <c r="Y736" s="234"/>
      <c r="AF736" s="411"/>
      <c r="AG736" s="412"/>
    </row>
    <row r="737" s="410" customFormat="true" ht="15" hidden="true" customHeight="true" outlineLevel="0" collapsed="false">
      <c r="A737" s="198" t="s">
        <v>2353</v>
      </c>
      <c r="B737" s="199" t="s">
        <v>417</v>
      </c>
      <c r="C737" s="198" t="n">
        <v>370</v>
      </c>
      <c r="D737" s="198" t="n">
        <v>61</v>
      </c>
      <c r="E737" s="198" t="s">
        <v>2244</v>
      </c>
      <c r="F737" s="198" t="s">
        <v>2084</v>
      </c>
      <c r="G737" s="198" t="s">
        <v>2085</v>
      </c>
      <c r="H737" s="198" t="s">
        <v>2354</v>
      </c>
      <c r="I737" s="199"/>
      <c r="J737" s="198" t="s">
        <v>2355</v>
      </c>
      <c r="K737" s="198" t="s">
        <v>1435</v>
      </c>
      <c r="L737" s="234" t="n">
        <v>32510</v>
      </c>
      <c r="M737" s="234" t="n">
        <v>23900</v>
      </c>
      <c r="N737" s="234" t="n">
        <v>27.5</v>
      </c>
      <c r="O737" s="407" t="n">
        <v>8610</v>
      </c>
      <c r="P737" s="407" t="n">
        <v>6242.2</v>
      </c>
      <c r="Q737" s="234" t="n">
        <v>2024</v>
      </c>
      <c r="R737" s="234"/>
      <c r="S737" s="248" t="n">
        <v>45462</v>
      </c>
      <c r="T737" s="407" t="n">
        <f aca="false">Таблица18[[#This Row],[Вес нетто]]-Таблица18[[#This Row],[Зачетный вес]]</f>
        <v>2367.8</v>
      </c>
      <c r="U737" s="409" t="n">
        <f aca="false">Таблица18[[#This Row],[Отход]]/Таблица18[[#This Row],[Вес нетто]]</f>
        <v>0.275005807200929</v>
      </c>
      <c r="V737" s="234" t="n">
        <f aca="false">MONTH(Таблица18[[#This Row],[Дата акта]])</f>
        <v>6</v>
      </c>
      <c r="W737" s="234" t="n">
        <v>19</v>
      </c>
      <c r="X737" s="248" t="n">
        <f aca="false">DATE(1900,Таблица18[[#This Row],[Месяц]],Таблица18[[#This Row],[Число]])</f>
        <v>171</v>
      </c>
      <c r="Y737" s="234"/>
      <c r="AF737" s="411"/>
      <c r="AG737" s="412"/>
    </row>
    <row r="738" s="410" customFormat="true" ht="15" hidden="true" customHeight="true" outlineLevel="0" collapsed="false">
      <c r="A738" s="198" t="s">
        <v>2356</v>
      </c>
      <c r="B738" s="199" t="s">
        <v>417</v>
      </c>
      <c r="C738" s="198" t="n">
        <v>371</v>
      </c>
      <c r="D738" s="198" t="n">
        <v>61</v>
      </c>
      <c r="E738" s="198" t="s">
        <v>2244</v>
      </c>
      <c r="F738" s="198" t="s">
        <v>2084</v>
      </c>
      <c r="G738" s="198" t="s">
        <v>2085</v>
      </c>
      <c r="H738" s="198" t="s">
        <v>2344</v>
      </c>
      <c r="I738" s="199"/>
      <c r="J738" s="198" t="s">
        <v>2346</v>
      </c>
      <c r="K738" s="198" t="s">
        <v>1435</v>
      </c>
      <c r="L738" s="234" t="n">
        <v>23900</v>
      </c>
      <c r="M738" s="234" t="n">
        <v>17310</v>
      </c>
      <c r="N738" s="234" t="n">
        <v>21.5</v>
      </c>
      <c r="O738" s="407" t="n">
        <v>6590</v>
      </c>
      <c r="P738" s="407" t="n">
        <v>5173.1</v>
      </c>
      <c r="Q738" s="234" t="n">
        <v>2024</v>
      </c>
      <c r="R738" s="234"/>
      <c r="S738" s="248" t="n">
        <v>45462</v>
      </c>
      <c r="T738" s="407" t="n">
        <f aca="false">Таблица18[[#This Row],[Вес нетто]]-Таблица18[[#This Row],[Зачетный вес]]</f>
        <v>1416.9</v>
      </c>
      <c r="U738" s="409" t="n">
        <f aca="false">Таблица18[[#This Row],[Отход]]/Таблица18[[#This Row],[Вес нетто]]</f>
        <v>0.215007587253414</v>
      </c>
      <c r="V738" s="234" t="n">
        <f aca="false">MONTH(Таблица18[[#This Row],[Дата акта]])</f>
        <v>6</v>
      </c>
      <c r="W738" s="234" t="n">
        <v>19</v>
      </c>
      <c r="X738" s="248" t="n">
        <f aca="false">DATE(1900,Таблица18[[#This Row],[Месяц]],Таблица18[[#This Row],[Число]])</f>
        <v>171</v>
      </c>
      <c r="Y738" s="234"/>
      <c r="AF738" s="411"/>
      <c r="AG738" s="412"/>
    </row>
    <row r="739" s="410" customFormat="true" ht="15" hidden="true" customHeight="true" outlineLevel="0" collapsed="false">
      <c r="A739" s="198" t="s">
        <v>2357</v>
      </c>
      <c r="B739" s="199" t="s">
        <v>417</v>
      </c>
      <c r="C739" s="198" t="n">
        <v>373</v>
      </c>
      <c r="D739" s="198" t="n">
        <v>62</v>
      </c>
      <c r="E739" s="198" t="s">
        <v>2244</v>
      </c>
      <c r="F739" s="198" t="s">
        <v>1797</v>
      </c>
      <c r="G739" s="198" t="s">
        <v>385</v>
      </c>
      <c r="H739" s="198" t="s">
        <v>2354</v>
      </c>
      <c r="I739" s="199"/>
      <c r="J739" s="198" t="s">
        <v>2355</v>
      </c>
      <c r="K739" s="198" t="s">
        <v>1435</v>
      </c>
      <c r="L739" s="234" t="n">
        <v>28580</v>
      </c>
      <c r="M739" s="234" t="n">
        <v>14400</v>
      </c>
      <c r="N739" s="234" t="n">
        <v>32.5</v>
      </c>
      <c r="O739" s="407" t="n">
        <v>14180</v>
      </c>
      <c r="P739" s="407" t="n">
        <v>9571.5</v>
      </c>
      <c r="Q739" s="234" t="n">
        <v>2024</v>
      </c>
      <c r="R739" s="234"/>
      <c r="S739" s="248" t="n">
        <v>45462</v>
      </c>
      <c r="T739" s="407" t="n">
        <f aca="false">Таблица18[[#This Row],[Вес нетто]]-Таблица18[[#This Row],[Зачетный вес]]</f>
        <v>4608.5</v>
      </c>
      <c r="U739" s="409" t="n">
        <f aca="false">Таблица18[[#This Row],[Отход]]/Таблица18[[#This Row],[Вес нетто]]</f>
        <v>0.325</v>
      </c>
      <c r="V739" s="234" t="n">
        <f aca="false">MONTH(Таблица18[[#This Row],[Дата акта]])</f>
        <v>6</v>
      </c>
      <c r="W739" s="234" t="n">
        <v>19</v>
      </c>
      <c r="X739" s="248" t="n">
        <f aca="false">DATE(1900,Таблица18[[#This Row],[Месяц]],Таблица18[[#This Row],[Число]])</f>
        <v>171</v>
      </c>
      <c r="Y739" s="234"/>
      <c r="AF739" s="411"/>
      <c r="AG739" s="412"/>
    </row>
    <row r="740" s="410" customFormat="true" ht="15" hidden="true" customHeight="true" outlineLevel="0" collapsed="false">
      <c r="A740" s="198" t="s">
        <v>2358</v>
      </c>
      <c r="B740" s="199" t="s">
        <v>417</v>
      </c>
      <c r="C740" s="198" t="n">
        <v>375</v>
      </c>
      <c r="D740" s="198" t="n">
        <v>63</v>
      </c>
      <c r="E740" s="198" t="s">
        <v>2244</v>
      </c>
      <c r="F740" s="198" t="s">
        <v>457</v>
      </c>
      <c r="G740" s="198" t="s">
        <v>366</v>
      </c>
      <c r="H740" s="198" t="s">
        <v>2354</v>
      </c>
      <c r="I740" s="199"/>
      <c r="J740" s="198" t="s">
        <v>2355</v>
      </c>
      <c r="K740" s="198" t="s">
        <v>1435</v>
      </c>
      <c r="L740" s="234" t="n">
        <v>32550</v>
      </c>
      <c r="M740" s="234" t="n">
        <v>17300</v>
      </c>
      <c r="N740" s="234" t="n">
        <v>43.5</v>
      </c>
      <c r="O740" s="407" t="n">
        <v>15250</v>
      </c>
      <c r="P740" s="407" t="n">
        <v>8616.2</v>
      </c>
      <c r="Q740" s="234" t="n">
        <v>2024</v>
      </c>
      <c r="R740" s="234"/>
      <c r="S740" s="248" t="n">
        <v>45462</v>
      </c>
      <c r="T740" s="407" t="n">
        <f aca="false">Таблица18[[#This Row],[Вес нетто]]-Таблица18[[#This Row],[Зачетный вес]]</f>
        <v>6633.8</v>
      </c>
      <c r="U740" s="409" t="n">
        <f aca="false">Таблица18[[#This Row],[Отход]]/Таблица18[[#This Row],[Вес нетто]]</f>
        <v>0.435003278688525</v>
      </c>
      <c r="V740" s="234" t="n">
        <f aca="false">MONTH(Таблица18[[#This Row],[Дата акта]])</f>
        <v>6</v>
      </c>
      <c r="W740" s="234" t="n">
        <v>19</v>
      </c>
      <c r="X740" s="248" t="n">
        <f aca="false">DATE(1900,Таблица18[[#This Row],[Месяц]],Таблица18[[#This Row],[Число]])</f>
        <v>171</v>
      </c>
      <c r="Y740" s="234"/>
      <c r="AF740" s="411"/>
      <c r="AG740" s="412"/>
    </row>
    <row r="741" s="410" customFormat="true" ht="15" hidden="true" customHeight="true" outlineLevel="0" collapsed="false">
      <c r="A741" s="198" t="s">
        <v>2359</v>
      </c>
      <c r="B741" s="199" t="s">
        <v>417</v>
      </c>
      <c r="C741" s="198" t="n">
        <v>376</v>
      </c>
      <c r="D741" s="198" t="n">
        <v>64</v>
      </c>
      <c r="E741" s="198" t="s">
        <v>2244</v>
      </c>
      <c r="F741" s="198" t="s">
        <v>1485</v>
      </c>
      <c r="G741" s="198" t="s">
        <v>431</v>
      </c>
      <c r="H741" s="198" t="s">
        <v>2354</v>
      </c>
      <c r="I741" s="199"/>
      <c r="J741" s="198" t="s">
        <v>2355</v>
      </c>
      <c r="K741" s="198" t="s">
        <v>1435</v>
      </c>
      <c r="L741" s="234" t="n">
        <v>39730</v>
      </c>
      <c r="M741" s="234" t="n">
        <v>21050</v>
      </c>
      <c r="N741" s="234" t="n">
        <v>39.5</v>
      </c>
      <c r="O741" s="407" t="n">
        <v>18680</v>
      </c>
      <c r="P741" s="407" t="n">
        <v>11301.4</v>
      </c>
      <c r="Q741" s="234" t="n">
        <v>2024</v>
      </c>
      <c r="R741" s="234"/>
      <c r="S741" s="248" t="n">
        <v>45462</v>
      </c>
      <c r="T741" s="407" t="n">
        <f aca="false">Таблица18[[#This Row],[Вес нетто]]-Таблица18[[#This Row],[Зачетный вес]]</f>
        <v>7378.6</v>
      </c>
      <c r="U741" s="409" t="n">
        <f aca="false">Таблица18[[#This Row],[Отход]]/Таблица18[[#This Row],[Вес нетто]]</f>
        <v>0.395</v>
      </c>
      <c r="V741" s="234" t="n">
        <f aca="false">MONTH(Таблица18[[#This Row],[Дата акта]])</f>
        <v>6</v>
      </c>
      <c r="W741" s="234" t="n">
        <v>19</v>
      </c>
      <c r="X741" s="248" t="n">
        <f aca="false">DATE(1900,Таблица18[[#This Row],[Месяц]],Таблица18[[#This Row],[Число]])</f>
        <v>171</v>
      </c>
      <c r="Y741" s="234"/>
      <c r="AF741" s="411"/>
      <c r="AG741" s="412"/>
    </row>
    <row r="742" s="410" customFormat="true" ht="15" hidden="true" customHeight="true" outlineLevel="0" collapsed="false">
      <c r="A742" s="198" t="s">
        <v>2360</v>
      </c>
      <c r="B742" s="199" t="s">
        <v>417</v>
      </c>
      <c r="C742" s="198" t="n">
        <v>377</v>
      </c>
      <c r="D742" s="198" t="n">
        <v>65</v>
      </c>
      <c r="E742" s="198" t="s">
        <v>2244</v>
      </c>
      <c r="F742" s="198" t="s">
        <v>1866</v>
      </c>
      <c r="G742" s="198" t="s">
        <v>1867</v>
      </c>
      <c r="H742" s="198" t="s">
        <v>2344</v>
      </c>
      <c r="I742" s="199"/>
      <c r="J742" s="198" t="s">
        <v>2346</v>
      </c>
      <c r="K742" s="198" t="s">
        <v>1435</v>
      </c>
      <c r="L742" s="234" t="n">
        <v>27970</v>
      </c>
      <c r="M742" s="234" t="n">
        <v>14550</v>
      </c>
      <c r="N742" s="234" t="n">
        <v>15.5</v>
      </c>
      <c r="O742" s="407" t="n">
        <v>13420</v>
      </c>
      <c r="P742" s="407" t="n">
        <v>11339.9</v>
      </c>
      <c r="Q742" s="234" t="n">
        <v>2024</v>
      </c>
      <c r="R742" s="234"/>
      <c r="S742" s="248" t="n">
        <v>45462</v>
      </c>
      <c r="T742" s="407" t="n">
        <f aca="false">Таблица18[[#This Row],[Вес нетто]]-Таблица18[[#This Row],[Зачетный вес]]</f>
        <v>2080.1</v>
      </c>
      <c r="U742" s="409" t="n">
        <f aca="false">Таблица18[[#This Row],[Отход]]/Таблица18[[#This Row],[Вес нетто]]</f>
        <v>0.155</v>
      </c>
      <c r="V742" s="234" t="n">
        <f aca="false">MONTH(Таблица18[[#This Row],[Дата акта]])</f>
        <v>6</v>
      </c>
      <c r="W742" s="234" t="n">
        <v>19</v>
      </c>
      <c r="X742" s="248" t="n">
        <f aca="false">DATE(1900,Таблица18[[#This Row],[Месяц]],Таблица18[[#This Row],[Число]])</f>
        <v>171</v>
      </c>
      <c r="Y742" s="234"/>
      <c r="AF742" s="411"/>
      <c r="AG742" s="412"/>
    </row>
    <row r="743" s="410" customFormat="true" ht="15" hidden="true" customHeight="true" outlineLevel="0" collapsed="false">
      <c r="A743" s="198" t="s">
        <v>2361</v>
      </c>
      <c r="B743" s="199" t="s">
        <v>417</v>
      </c>
      <c r="C743" s="198" t="n">
        <v>378</v>
      </c>
      <c r="D743" s="198" t="n">
        <v>66</v>
      </c>
      <c r="E743" s="198" t="s">
        <v>2244</v>
      </c>
      <c r="F743" s="198" t="s">
        <v>2260</v>
      </c>
      <c r="G743" s="198" t="s">
        <v>455</v>
      </c>
      <c r="H743" s="198" t="s">
        <v>2344</v>
      </c>
      <c r="I743" s="199"/>
      <c r="J743" s="198" t="s">
        <v>2346</v>
      </c>
      <c r="K743" s="198" t="s">
        <v>1435</v>
      </c>
      <c r="L743" s="234" t="n">
        <v>28040</v>
      </c>
      <c r="M743" s="234" t="n">
        <v>15030</v>
      </c>
      <c r="N743" s="234" t="n">
        <v>18.5</v>
      </c>
      <c r="O743" s="407" t="n">
        <v>13010</v>
      </c>
      <c r="P743" s="407" t="n">
        <v>10603.1</v>
      </c>
      <c r="Q743" s="234" t="n">
        <v>2024</v>
      </c>
      <c r="R743" s="234"/>
      <c r="S743" s="248" t="n">
        <v>45462</v>
      </c>
      <c r="T743" s="407" t="n">
        <f aca="false">Таблица18[[#This Row],[Вес нетто]]-Таблица18[[#This Row],[Зачетный вес]]</f>
        <v>2406.9</v>
      </c>
      <c r="U743" s="409" t="n">
        <f aca="false">Таблица18[[#This Row],[Отход]]/Таблица18[[#This Row],[Вес нетто]]</f>
        <v>0.18500384319754</v>
      </c>
      <c r="V743" s="234" t="n">
        <f aca="false">MONTH(Таблица18[[#This Row],[Дата акта]])</f>
        <v>6</v>
      </c>
      <c r="W743" s="234" t="n">
        <v>19</v>
      </c>
      <c r="X743" s="248" t="n">
        <f aca="false">DATE(1900,Таблица18[[#This Row],[Месяц]],Таблица18[[#This Row],[Число]])</f>
        <v>171</v>
      </c>
      <c r="Y743" s="234"/>
      <c r="AF743" s="411"/>
      <c r="AG743" s="412"/>
    </row>
    <row r="744" s="410" customFormat="true" ht="15" hidden="true" customHeight="true" outlineLevel="0" collapsed="false">
      <c r="A744" s="198" t="s">
        <v>2362</v>
      </c>
      <c r="B744" s="199" t="s">
        <v>417</v>
      </c>
      <c r="C744" s="198" t="n">
        <v>379</v>
      </c>
      <c r="D744" s="198" t="n">
        <v>67</v>
      </c>
      <c r="E744" s="198" t="s">
        <v>2244</v>
      </c>
      <c r="F744" s="198" t="s">
        <v>2262</v>
      </c>
      <c r="G744" s="198" t="s">
        <v>449</v>
      </c>
      <c r="H744" s="198" t="s">
        <v>2344</v>
      </c>
      <c r="I744" s="199"/>
      <c r="J744" s="198" t="s">
        <v>2346</v>
      </c>
      <c r="K744" s="198" t="s">
        <v>1435</v>
      </c>
      <c r="L744" s="234" t="n">
        <v>30690</v>
      </c>
      <c r="M744" s="234" t="n">
        <v>15430</v>
      </c>
      <c r="N744" s="234" t="n">
        <v>17.5</v>
      </c>
      <c r="O744" s="407" t="n">
        <v>15260</v>
      </c>
      <c r="P744" s="407" t="n">
        <v>12589.5</v>
      </c>
      <c r="Q744" s="234" t="n">
        <v>2024</v>
      </c>
      <c r="R744" s="234"/>
      <c r="S744" s="248" t="n">
        <v>45462</v>
      </c>
      <c r="T744" s="407" t="n">
        <f aca="false">Таблица18[[#This Row],[Вес нетто]]-Таблица18[[#This Row],[Зачетный вес]]</f>
        <v>2670.5</v>
      </c>
      <c r="U744" s="409" t="n">
        <f aca="false">Таблица18[[#This Row],[Отход]]/Таблица18[[#This Row],[Вес нетто]]</f>
        <v>0.175</v>
      </c>
      <c r="V744" s="234" t="n">
        <f aca="false">MONTH(Таблица18[[#This Row],[Дата акта]])</f>
        <v>6</v>
      </c>
      <c r="W744" s="234" t="n">
        <v>19</v>
      </c>
      <c r="X744" s="248" t="n">
        <f aca="false">DATE(1900,Таблица18[[#This Row],[Месяц]],Таблица18[[#This Row],[Число]])</f>
        <v>171</v>
      </c>
      <c r="Y744" s="234"/>
      <c r="AF744" s="411"/>
      <c r="AG744" s="412"/>
    </row>
    <row r="745" s="410" customFormat="true" ht="15" hidden="true" customHeight="true" outlineLevel="0" collapsed="false">
      <c r="A745" s="198" t="s">
        <v>2363</v>
      </c>
      <c r="B745" s="199" t="s">
        <v>417</v>
      </c>
      <c r="C745" s="198" t="n">
        <v>380</v>
      </c>
      <c r="D745" s="198" t="n">
        <v>68</v>
      </c>
      <c r="E745" s="198" t="s">
        <v>2244</v>
      </c>
      <c r="F745" s="198" t="s">
        <v>2078</v>
      </c>
      <c r="G745" s="198" t="s">
        <v>557</v>
      </c>
      <c r="H745" s="198" t="s">
        <v>2344</v>
      </c>
      <c r="I745" s="199"/>
      <c r="J745" s="198" t="s">
        <v>2346</v>
      </c>
      <c r="K745" s="198" t="s">
        <v>1435</v>
      </c>
      <c r="L745" s="234" t="n">
        <v>30350</v>
      </c>
      <c r="M745" s="234" t="n">
        <v>14830</v>
      </c>
      <c r="N745" s="234" t="n">
        <v>27.5</v>
      </c>
      <c r="O745" s="407" t="n">
        <v>15520</v>
      </c>
      <c r="P745" s="407" t="n">
        <v>11252</v>
      </c>
      <c r="Q745" s="234" t="n">
        <v>2024</v>
      </c>
      <c r="R745" s="234"/>
      <c r="S745" s="248" t="n">
        <v>45462</v>
      </c>
      <c r="T745" s="407" t="n">
        <f aca="false">Таблица18[[#This Row],[Вес нетто]]-Таблица18[[#This Row],[Зачетный вес]]</f>
        <v>4268</v>
      </c>
      <c r="U745" s="409" t="n">
        <f aca="false">Таблица18[[#This Row],[Отход]]/Таблица18[[#This Row],[Вес нетто]]</f>
        <v>0.275</v>
      </c>
      <c r="V745" s="234" t="n">
        <f aca="false">MONTH(Таблица18[[#This Row],[Дата акта]])</f>
        <v>6</v>
      </c>
      <c r="W745" s="234" t="n">
        <v>19</v>
      </c>
      <c r="X745" s="248" t="n">
        <f aca="false">DATE(1900,Таблица18[[#This Row],[Месяц]],Таблица18[[#This Row],[Число]])</f>
        <v>171</v>
      </c>
      <c r="Y745" s="234"/>
      <c r="AF745" s="411"/>
      <c r="AG745" s="412"/>
    </row>
    <row r="746" s="410" customFormat="true" ht="15" hidden="true" customHeight="true" outlineLevel="0" collapsed="false">
      <c r="A746" s="198" t="s">
        <v>2364</v>
      </c>
      <c r="B746" s="199" t="s">
        <v>417</v>
      </c>
      <c r="C746" s="198" t="n">
        <v>381</v>
      </c>
      <c r="D746" s="198" t="n">
        <v>69</v>
      </c>
      <c r="E746" s="198" t="s">
        <v>2244</v>
      </c>
      <c r="F746" s="198" t="s">
        <v>363</v>
      </c>
      <c r="G746" s="198" t="s">
        <v>364</v>
      </c>
      <c r="H746" s="198" t="s">
        <v>2344</v>
      </c>
      <c r="I746" s="199"/>
      <c r="J746" s="198" t="s">
        <v>2346</v>
      </c>
      <c r="K746" s="198" t="s">
        <v>1435</v>
      </c>
      <c r="L746" s="234" t="n">
        <v>27690</v>
      </c>
      <c r="M746" s="234" t="n">
        <v>14560</v>
      </c>
      <c r="N746" s="234" t="n">
        <v>23.5</v>
      </c>
      <c r="O746" s="407" t="n">
        <v>13130</v>
      </c>
      <c r="P746" s="407" t="n">
        <v>10044.4</v>
      </c>
      <c r="Q746" s="234" t="n">
        <v>2024</v>
      </c>
      <c r="R746" s="234"/>
      <c r="S746" s="248" t="n">
        <v>45463</v>
      </c>
      <c r="T746" s="407" t="n">
        <f aca="false">Таблица18[[#This Row],[Вес нетто]]-Таблица18[[#This Row],[Зачетный вес]]</f>
        <v>3085.6</v>
      </c>
      <c r="U746" s="409" t="n">
        <f aca="false">Таблица18[[#This Row],[Отход]]/Таблица18[[#This Row],[Вес нетто]]</f>
        <v>0.235003808073115</v>
      </c>
      <c r="V746" s="234" t="n">
        <f aca="false">MONTH(Таблица18[[#This Row],[Дата акта]])</f>
        <v>6</v>
      </c>
      <c r="W746" s="234" t="n">
        <v>20</v>
      </c>
      <c r="X746" s="248" t="n">
        <f aca="false">DATE(1900,Таблица18[[#This Row],[Месяц]],Таблица18[[#This Row],[Число]])</f>
        <v>172</v>
      </c>
      <c r="Y746" s="234"/>
      <c r="AF746" s="411"/>
      <c r="AG746" s="412"/>
    </row>
    <row r="747" s="410" customFormat="true" ht="15" hidden="true" customHeight="true" outlineLevel="0" collapsed="false">
      <c r="A747" s="198" t="s">
        <v>2365</v>
      </c>
      <c r="B747" s="199" t="s">
        <v>417</v>
      </c>
      <c r="C747" s="198" t="n">
        <v>382</v>
      </c>
      <c r="D747" s="198" t="n">
        <v>70</v>
      </c>
      <c r="E747" s="198" t="s">
        <v>2244</v>
      </c>
      <c r="F747" s="198" t="s">
        <v>1086</v>
      </c>
      <c r="G747" s="198" t="s">
        <v>1087</v>
      </c>
      <c r="H747" s="198" t="s">
        <v>2354</v>
      </c>
      <c r="I747" s="199"/>
      <c r="J747" s="198" t="s">
        <v>2355</v>
      </c>
      <c r="K747" s="198" t="s">
        <v>1435</v>
      </c>
      <c r="L747" s="234" t="n">
        <v>30100</v>
      </c>
      <c r="M747" s="234" t="n">
        <v>15000</v>
      </c>
      <c r="N747" s="234" t="n">
        <v>28.5</v>
      </c>
      <c r="O747" s="407" t="n">
        <v>15100</v>
      </c>
      <c r="P747" s="407" t="n">
        <v>10796.5</v>
      </c>
      <c r="Q747" s="234" t="n">
        <v>2024</v>
      </c>
      <c r="R747" s="234"/>
      <c r="S747" s="248" t="n">
        <v>45463</v>
      </c>
      <c r="T747" s="407" t="n">
        <f aca="false">Таблица18[[#This Row],[Вес нетто]]-Таблица18[[#This Row],[Зачетный вес]]</f>
        <v>4303.5</v>
      </c>
      <c r="U747" s="409" t="n">
        <f aca="false">Таблица18[[#This Row],[Отход]]/Таблица18[[#This Row],[Вес нетто]]</f>
        <v>0.285</v>
      </c>
      <c r="V747" s="234" t="n">
        <f aca="false">MONTH(Таблица18[[#This Row],[Дата акта]])</f>
        <v>6</v>
      </c>
      <c r="W747" s="234" t="n">
        <v>20</v>
      </c>
      <c r="X747" s="248" t="n">
        <f aca="false">DATE(1900,Таблица18[[#This Row],[Месяц]],Таблица18[[#This Row],[Число]])</f>
        <v>172</v>
      </c>
      <c r="Y747" s="234"/>
      <c r="AF747" s="411"/>
      <c r="AG747" s="412"/>
    </row>
    <row r="748" s="410" customFormat="true" ht="15" hidden="true" customHeight="true" outlineLevel="0" collapsed="false">
      <c r="A748" s="198" t="s">
        <v>2366</v>
      </c>
      <c r="B748" s="199" t="s">
        <v>417</v>
      </c>
      <c r="C748" s="198" t="n">
        <v>383</v>
      </c>
      <c r="D748" s="198" t="n">
        <v>71</v>
      </c>
      <c r="E748" s="198" t="s">
        <v>2244</v>
      </c>
      <c r="F748" s="198" t="s">
        <v>359</v>
      </c>
      <c r="G748" s="198" t="s">
        <v>426</v>
      </c>
      <c r="H748" s="198" t="s">
        <v>2354</v>
      </c>
      <c r="I748" s="199"/>
      <c r="J748" s="198" t="s">
        <v>2355</v>
      </c>
      <c r="K748" s="198" t="s">
        <v>1435</v>
      </c>
      <c r="L748" s="234" t="n">
        <v>29360</v>
      </c>
      <c r="M748" s="234" t="n">
        <v>13960</v>
      </c>
      <c r="N748" s="234" t="n">
        <v>23</v>
      </c>
      <c r="O748" s="407" t="n">
        <v>15400</v>
      </c>
      <c r="P748" s="407" t="n">
        <v>11858</v>
      </c>
      <c r="Q748" s="234" t="n">
        <v>2024</v>
      </c>
      <c r="R748" s="234"/>
      <c r="S748" s="248" t="n">
        <v>45463</v>
      </c>
      <c r="T748" s="407" t="n">
        <f aca="false">Таблица18[[#This Row],[Вес нетто]]-Таблица18[[#This Row],[Зачетный вес]]</f>
        <v>3542</v>
      </c>
      <c r="U748" s="409" t="n">
        <f aca="false">Таблица18[[#This Row],[Отход]]/Таблица18[[#This Row],[Вес нетто]]</f>
        <v>0.23</v>
      </c>
      <c r="V748" s="234" t="n">
        <f aca="false">MONTH(Таблица18[[#This Row],[Дата акта]])</f>
        <v>6</v>
      </c>
      <c r="W748" s="234" t="n">
        <v>20</v>
      </c>
      <c r="X748" s="248" t="n">
        <f aca="false">DATE(1900,Таблица18[[#This Row],[Месяц]],Таблица18[[#This Row],[Число]])</f>
        <v>172</v>
      </c>
      <c r="Y748" s="234"/>
      <c r="AF748" s="411"/>
      <c r="AG748" s="412"/>
    </row>
    <row r="749" s="410" customFormat="true" ht="15" hidden="true" customHeight="true" outlineLevel="0" collapsed="false">
      <c r="A749" s="198" t="s">
        <v>2367</v>
      </c>
      <c r="B749" s="199" t="s">
        <v>417</v>
      </c>
      <c r="C749" s="198" t="n">
        <v>386</v>
      </c>
      <c r="D749" s="198" t="n">
        <v>72</v>
      </c>
      <c r="E749" s="198" t="s">
        <v>2244</v>
      </c>
      <c r="F749" s="198" t="s">
        <v>457</v>
      </c>
      <c r="G749" s="198" t="s">
        <v>366</v>
      </c>
      <c r="H749" s="198" t="s">
        <v>2344</v>
      </c>
      <c r="I749" s="199"/>
      <c r="J749" s="198" t="s">
        <v>2346</v>
      </c>
      <c r="K749" s="198" t="s">
        <v>1435</v>
      </c>
      <c r="L749" s="234" t="n">
        <v>32080</v>
      </c>
      <c r="M749" s="234" t="n">
        <v>23630</v>
      </c>
      <c r="N749" s="234" t="n">
        <v>14.5</v>
      </c>
      <c r="O749" s="407" t="n">
        <v>8450</v>
      </c>
      <c r="P749" s="407" t="n">
        <v>7224.7</v>
      </c>
      <c r="Q749" s="234" t="n">
        <v>2024</v>
      </c>
      <c r="R749" s="234"/>
      <c r="S749" s="248" t="n">
        <v>45463</v>
      </c>
      <c r="T749" s="407" t="n">
        <f aca="false">Таблица18[[#This Row],[Вес нетто]]-Таблица18[[#This Row],[Зачетный вес]]</f>
        <v>1225.3</v>
      </c>
      <c r="U749" s="409" t="n">
        <f aca="false">Таблица18[[#This Row],[Отход]]/Таблица18[[#This Row],[Вес нетто]]</f>
        <v>0.145005917159763</v>
      </c>
      <c r="V749" s="234" t="n">
        <f aca="false">MONTH(Таблица18[[#This Row],[Дата акта]])</f>
        <v>6</v>
      </c>
      <c r="W749" s="234" t="n">
        <v>20</v>
      </c>
      <c r="X749" s="248" t="n">
        <f aca="false">DATE(1900,Таблица18[[#This Row],[Месяц]],Таблица18[[#This Row],[Число]])</f>
        <v>172</v>
      </c>
      <c r="Y749" s="234"/>
      <c r="AF749" s="411"/>
      <c r="AG749" s="412"/>
    </row>
    <row r="750" s="410" customFormat="true" ht="15" hidden="true" customHeight="true" outlineLevel="0" collapsed="false">
      <c r="A750" s="198" t="s">
        <v>2368</v>
      </c>
      <c r="B750" s="199" t="s">
        <v>417</v>
      </c>
      <c r="C750" s="198" t="n">
        <v>387</v>
      </c>
      <c r="D750" s="198" t="n">
        <v>72</v>
      </c>
      <c r="E750" s="198" t="s">
        <v>2244</v>
      </c>
      <c r="F750" s="198" t="s">
        <v>457</v>
      </c>
      <c r="G750" s="198" t="s">
        <v>366</v>
      </c>
      <c r="H750" s="198" t="s">
        <v>2354</v>
      </c>
      <c r="I750" s="199"/>
      <c r="J750" s="198" t="s">
        <v>2355</v>
      </c>
      <c r="K750" s="198" t="s">
        <v>1435</v>
      </c>
      <c r="L750" s="234" t="n">
        <v>23630</v>
      </c>
      <c r="M750" s="234" t="n">
        <v>17200</v>
      </c>
      <c r="N750" s="234" t="n">
        <v>31.5</v>
      </c>
      <c r="O750" s="407" t="n">
        <v>6430</v>
      </c>
      <c r="P750" s="407" t="n">
        <v>4404.5</v>
      </c>
      <c r="Q750" s="234" t="n">
        <v>2024</v>
      </c>
      <c r="R750" s="234"/>
      <c r="S750" s="248" t="n">
        <v>45463</v>
      </c>
      <c r="T750" s="407" t="n">
        <f aca="false">Таблица18[[#This Row],[Вес нетто]]-Таблица18[[#This Row],[Зачетный вес]]</f>
        <v>2025.5</v>
      </c>
      <c r="U750" s="409" t="n">
        <f aca="false">Таблица18[[#This Row],[Отход]]/Таблица18[[#This Row],[Вес нетто]]</f>
        <v>0.315007776049767</v>
      </c>
      <c r="V750" s="234" t="n">
        <f aca="false">MONTH(Таблица18[[#This Row],[Дата акта]])</f>
        <v>6</v>
      </c>
      <c r="W750" s="234" t="n">
        <v>20</v>
      </c>
      <c r="X750" s="248" t="n">
        <f aca="false">DATE(1900,Таблица18[[#This Row],[Месяц]],Таблица18[[#This Row],[Число]])</f>
        <v>172</v>
      </c>
      <c r="Y750" s="234"/>
      <c r="AF750" s="411"/>
      <c r="AG750" s="412"/>
    </row>
    <row r="751" s="410" customFormat="true" ht="15" hidden="true" customHeight="true" outlineLevel="0" collapsed="false">
      <c r="A751" s="198" t="s">
        <v>2369</v>
      </c>
      <c r="B751" s="199" t="s">
        <v>417</v>
      </c>
      <c r="C751" s="198" t="n">
        <v>388</v>
      </c>
      <c r="D751" s="198" t="n">
        <v>73</v>
      </c>
      <c r="E751" s="198" t="s">
        <v>2244</v>
      </c>
      <c r="F751" s="198" t="s">
        <v>1797</v>
      </c>
      <c r="G751" s="198" t="s">
        <v>385</v>
      </c>
      <c r="H751" s="198" t="s">
        <v>2344</v>
      </c>
      <c r="I751" s="199"/>
      <c r="J751" s="198" t="s">
        <v>2346</v>
      </c>
      <c r="K751" s="198" t="s">
        <v>1435</v>
      </c>
      <c r="L751" s="234" t="n">
        <v>27810</v>
      </c>
      <c r="M751" s="234" t="n">
        <v>14410</v>
      </c>
      <c r="N751" s="234" t="n">
        <v>11.5</v>
      </c>
      <c r="O751" s="407" t="n">
        <v>13400</v>
      </c>
      <c r="P751" s="407" t="n">
        <v>11859</v>
      </c>
      <c r="Q751" s="234" t="n">
        <v>2024</v>
      </c>
      <c r="R751" s="234"/>
      <c r="S751" s="248" t="n">
        <v>45463</v>
      </c>
      <c r="T751" s="407" t="n">
        <f aca="false">Таблица18[[#This Row],[Вес нетто]]-Таблица18[[#This Row],[Зачетный вес]]</f>
        <v>1541</v>
      </c>
      <c r="U751" s="409" t="n">
        <f aca="false">Таблица18[[#This Row],[Отход]]/Таблица18[[#This Row],[Вес нетто]]</f>
        <v>0.115</v>
      </c>
      <c r="V751" s="234" t="n">
        <f aca="false">MONTH(Таблица18[[#This Row],[Дата акта]])</f>
        <v>6</v>
      </c>
      <c r="W751" s="234" t="n">
        <v>20</v>
      </c>
      <c r="X751" s="248" t="n">
        <f aca="false">DATE(1900,Таблица18[[#This Row],[Месяц]],Таблица18[[#This Row],[Число]])</f>
        <v>172</v>
      </c>
      <c r="Y751" s="234"/>
      <c r="AF751" s="411"/>
      <c r="AG751" s="412"/>
    </row>
    <row r="752" s="410" customFormat="true" ht="15" hidden="true" customHeight="true" outlineLevel="0" collapsed="false">
      <c r="A752" s="198" t="s">
        <v>2370</v>
      </c>
      <c r="B752" s="199" t="s">
        <v>417</v>
      </c>
      <c r="C752" s="198" t="n">
        <v>389</v>
      </c>
      <c r="D752" s="198" t="n">
        <v>74</v>
      </c>
      <c r="E752" s="198" t="s">
        <v>2244</v>
      </c>
      <c r="F752" s="198" t="s">
        <v>382</v>
      </c>
      <c r="G752" s="198" t="s">
        <v>383</v>
      </c>
      <c r="H752" s="198" t="s">
        <v>2344</v>
      </c>
      <c r="I752" s="199"/>
      <c r="J752" s="198" t="s">
        <v>2346</v>
      </c>
      <c r="K752" s="198" t="s">
        <v>1435</v>
      </c>
      <c r="L752" s="234" t="n">
        <v>28100</v>
      </c>
      <c r="M752" s="234" t="n">
        <v>14950</v>
      </c>
      <c r="N752" s="234" t="n">
        <v>16.5</v>
      </c>
      <c r="O752" s="407" t="n">
        <v>13150</v>
      </c>
      <c r="P752" s="407" t="n">
        <v>10980.2</v>
      </c>
      <c r="Q752" s="234" t="n">
        <v>2024</v>
      </c>
      <c r="R752" s="234"/>
      <c r="S752" s="248" t="n">
        <v>45463</v>
      </c>
      <c r="T752" s="407" t="n">
        <f aca="false">Таблица18[[#This Row],[Вес нетто]]-Таблица18[[#This Row],[Зачетный вес]]</f>
        <v>2169.8</v>
      </c>
      <c r="U752" s="409" t="n">
        <f aca="false">Таблица18[[#This Row],[Отход]]/Таблица18[[#This Row],[Вес нетто]]</f>
        <v>0.165003802281369</v>
      </c>
      <c r="V752" s="234" t="n">
        <f aca="false">MONTH(Таблица18[[#This Row],[Дата акта]])</f>
        <v>6</v>
      </c>
      <c r="W752" s="234" t="n">
        <v>20</v>
      </c>
      <c r="X752" s="248" t="n">
        <f aca="false">DATE(1900,Таблица18[[#This Row],[Месяц]],Таблица18[[#This Row],[Число]])</f>
        <v>172</v>
      </c>
      <c r="Y752" s="234"/>
      <c r="AF752" s="411"/>
      <c r="AG752" s="412"/>
    </row>
    <row r="753" s="410" customFormat="true" ht="15" hidden="true" customHeight="true" outlineLevel="0" collapsed="false">
      <c r="A753" s="198" t="s">
        <v>2371</v>
      </c>
      <c r="B753" s="199" t="s">
        <v>417</v>
      </c>
      <c r="C753" s="198" t="n">
        <v>390</v>
      </c>
      <c r="D753" s="198" t="n">
        <v>75</v>
      </c>
      <c r="E753" s="198" t="s">
        <v>2244</v>
      </c>
      <c r="F753" s="198" t="s">
        <v>2260</v>
      </c>
      <c r="G753" s="198" t="s">
        <v>455</v>
      </c>
      <c r="H753" s="198" t="s">
        <v>2344</v>
      </c>
      <c r="I753" s="199"/>
      <c r="J753" s="198" t="s">
        <v>2346</v>
      </c>
      <c r="K753" s="198" t="s">
        <v>1435</v>
      </c>
      <c r="L753" s="234" t="n">
        <v>28250</v>
      </c>
      <c r="M753" s="234" t="n">
        <v>14920</v>
      </c>
      <c r="N753" s="234" t="n">
        <v>15.5</v>
      </c>
      <c r="O753" s="407" t="n">
        <v>13330</v>
      </c>
      <c r="P753" s="407" t="n">
        <v>11263.8</v>
      </c>
      <c r="Q753" s="234" t="n">
        <v>2024</v>
      </c>
      <c r="R753" s="234"/>
      <c r="S753" s="248" t="n">
        <v>45463</v>
      </c>
      <c r="T753" s="407" t="n">
        <f aca="false">Таблица18[[#This Row],[Вес нетто]]-Таблица18[[#This Row],[Зачетный вес]]</f>
        <v>2066.2</v>
      </c>
      <c r="U753" s="409" t="n">
        <f aca="false">Таблица18[[#This Row],[Отход]]/Таблица18[[#This Row],[Вес нетто]]</f>
        <v>0.155003750937735</v>
      </c>
      <c r="V753" s="234" t="n">
        <f aca="false">MONTH(Таблица18[[#This Row],[Дата акта]])</f>
        <v>6</v>
      </c>
      <c r="W753" s="234" t="n">
        <v>20</v>
      </c>
      <c r="X753" s="248" t="n">
        <f aca="false">DATE(1900,Таблица18[[#This Row],[Месяц]],Таблица18[[#This Row],[Число]])</f>
        <v>172</v>
      </c>
      <c r="Y753" s="234"/>
      <c r="AF753" s="411"/>
      <c r="AG753" s="412"/>
    </row>
    <row r="754" s="410" customFormat="true" ht="15" hidden="true" customHeight="true" outlineLevel="0" collapsed="false">
      <c r="A754" s="198" t="s">
        <v>2372</v>
      </c>
      <c r="B754" s="199" t="s">
        <v>417</v>
      </c>
      <c r="C754" s="198" t="n">
        <v>391</v>
      </c>
      <c r="D754" s="198" t="n">
        <v>76</v>
      </c>
      <c r="E754" s="198" t="s">
        <v>2244</v>
      </c>
      <c r="F754" s="198" t="s">
        <v>2262</v>
      </c>
      <c r="G754" s="198" t="s">
        <v>449</v>
      </c>
      <c r="H754" s="198" t="s">
        <v>2344</v>
      </c>
      <c r="I754" s="199"/>
      <c r="J754" s="198" t="s">
        <v>2346</v>
      </c>
      <c r="K754" s="198" t="s">
        <v>1435</v>
      </c>
      <c r="L754" s="234" t="n">
        <v>31040</v>
      </c>
      <c r="M754" s="234" t="n">
        <v>15500</v>
      </c>
      <c r="N754" s="234" t="n">
        <v>19.5</v>
      </c>
      <c r="O754" s="407" t="n">
        <v>15540</v>
      </c>
      <c r="P754" s="407" t="n">
        <v>12509.7</v>
      </c>
      <c r="Q754" s="234" t="n">
        <v>2024</v>
      </c>
      <c r="R754" s="234"/>
      <c r="S754" s="248" t="n">
        <v>45463</v>
      </c>
      <c r="T754" s="407" t="n">
        <f aca="false">Таблица18[[#This Row],[Вес нетто]]-Таблица18[[#This Row],[Зачетный вес]]</f>
        <v>3030.3</v>
      </c>
      <c r="U754" s="409" t="n">
        <f aca="false">Таблица18[[#This Row],[Отход]]/Таблица18[[#This Row],[Вес нетто]]</f>
        <v>0.195</v>
      </c>
      <c r="V754" s="234" t="n">
        <f aca="false">MONTH(Таблица18[[#This Row],[Дата акта]])</f>
        <v>6</v>
      </c>
      <c r="W754" s="234" t="n">
        <v>20</v>
      </c>
      <c r="X754" s="248" t="n">
        <f aca="false">DATE(1900,Таблица18[[#This Row],[Месяц]],Таблица18[[#This Row],[Число]])</f>
        <v>172</v>
      </c>
      <c r="Y754" s="234"/>
      <c r="AF754" s="411"/>
      <c r="AG754" s="412"/>
    </row>
    <row r="755" s="410" customFormat="true" ht="15" hidden="true" customHeight="true" outlineLevel="0" collapsed="false">
      <c r="A755" s="198" t="s">
        <v>2373</v>
      </c>
      <c r="B755" s="199" t="s">
        <v>417</v>
      </c>
      <c r="C755" s="198" t="n">
        <v>392</v>
      </c>
      <c r="D755" s="198" t="n">
        <v>78</v>
      </c>
      <c r="E755" s="198" t="s">
        <v>2244</v>
      </c>
      <c r="F755" s="198" t="s">
        <v>1485</v>
      </c>
      <c r="G755" s="198" t="s">
        <v>431</v>
      </c>
      <c r="H755" s="198" t="s">
        <v>2344</v>
      </c>
      <c r="I755" s="199"/>
      <c r="J755" s="198" t="s">
        <v>2346</v>
      </c>
      <c r="K755" s="198" t="s">
        <v>1435</v>
      </c>
      <c r="L755" s="234" t="n">
        <v>38660</v>
      </c>
      <c r="M755" s="234" t="n">
        <v>20880</v>
      </c>
      <c r="N755" s="234" t="n">
        <v>20.5</v>
      </c>
      <c r="O755" s="407" t="n">
        <v>17780</v>
      </c>
      <c r="P755" s="407" t="n">
        <v>14135.1</v>
      </c>
      <c r="Q755" s="234" t="n">
        <v>2024</v>
      </c>
      <c r="R755" s="234"/>
      <c r="S755" s="248" t="n">
        <v>45463</v>
      </c>
      <c r="T755" s="407" t="n">
        <f aca="false">Таблица18[[#This Row],[Вес нетто]]-Таблица18[[#This Row],[Зачетный вес]]</f>
        <v>3644.9</v>
      </c>
      <c r="U755" s="409" t="n">
        <f aca="false">Таблица18[[#This Row],[Отход]]/Таблица18[[#This Row],[Вес нетто]]</f>
        <v>0.205</v>
      </c>
      <c r="V755" s="234" t="n">
        <f aca="false">MONTH(Таблица18[[#This Row],[Дата акта]])</f>
        <v>6</v>
      </c>
      <c r="W755" s="234" t="n">
        <v>20</v>
      </c>
      <c r="X755" s="248" t="n">
        <f aca="false">DATE(1900,Таблица18[[#This Row],[Месяц]],Таблица18[[#This Row],[Число]])</f>
        <v>172</v>
      </c>
      <c r="Y755" s="234"/>
      <c r="AF755" s="411"/>
      <c r="AG755" s="412"/>
    </row>
    <row r="756" s="410" customFormat="true" ht="15" hidden="true" customHeight="true" outlineLevel="0" collapsed="false">
      <c r="A756" s="198" t="s">
        <v>2374</v>
      </c>
      <c r="B756" s="199" t="s">
        <v>417</v>
      </c>
      <c r="C756" s="198" t="n">
        <v>393</v>
      </c>
      <c r="D756" s="198" t="n">
        <v>79</v>
      </c>
      <c r="E756" s="198" t="s">
        <v>2244</v>
      </c>
      <c r="F756" s="198" t="s">
        <v>1086</v>
      </c>
      <c r="G756" s="198" t="s">
        <v>1087</v>
      </c>
      <c r="H756" s="198" t="s">
        <v>2344</v>
      </c>
      <c r="I756" s="199"/>
      <c r="J756" s="198" t="s">
        <v>2346</v>
      </c>
      <c r="K756" s="198" t="s">
        <v>1435</v>
      </c>
      <c r="L756" s="234" t="n">
        <v>29680</v>
      </c>
      <c r="M756" s="234" t="n">
        <v>14910</v>
      </c>
      <c r="N756" s="234" t="n">
        <v>18.5</v>
      </c>
      <c r="O756" s="407" t="n">
        <v>14770</v>
      </c>
      <c r="P756" s="407" t="n">
        <v>12037.5</v>
      </c>
      <c r="Q756" s="234" t="n">
        <v>2024</v>
      </c>
      <c r="R756" s="234"/>
      <c r="S756" s="248" t="n">
        <v>45463</v>
      </c>
      <c r="T756" s="407" t="n">
        <f aca="false">Таблица18[[#This Row],[Вес нетто]]-Таблица18[[#This Row],[Зачетный вес]]</f>
        <v>2732.5</v>
      </c>
      <c r="U756" s="409" t="n">
        <f aca="false">Таблица18[[#This Row],[Отход]]/Таблица18[[#This Row],[Вес нетто]]</f>
        <v>0.185003385240352</v>
      </c>
      <c r="V756" s="234" t="n">
        <f aca="false">MONTH(Таблица18[[#This Row],[Дата акта]])</f>
        <v>6</v>
      </c>
      <c r="W756" s="234" t="n">
        <v>20</v>
      </c>
      <c r="X756" s="248" t="n">
        <f aca="false">DATE(1900,Таблица18[[#This Row],[Месяц]],Таблица18[[#This Row],[Число]])</f>
        <v>172</v>
      </c>
      <c r="Y756" s="234"/>
      <c r="AF756" s="411"/>
      <c r="AG756" s="412"/>
    </row>
    <row r="757" s="410" customFormat="true" ht="15" hidden="true" customHeight="true" outlineLevel="0" collapsed="false">
      <c r="A757" s="198" t="s">
        <v>2375</v>
      </c>
      <c r="B757" s="199" t="s">
        <v>417</v>
      </c>
      <c r="C757" s="198" t="n">
        <v>394</v>
      </c>
      <c r="D757" s="198" t="n">
        <v>80</v>
      </c>
      <c r="E757" s="198" t="s">
        <v>2244</v>
      </c>
      <c r="F757" s="198" t="s">
        <v>2084</v>
      </c>
      <c r="G757" s="198" t="s">
        <v>2085</v>
      </c>
      <c r="H757" s="198" t="s">
        <v>2344</v>
      </c>
      <c r="I757" s="199"/>
      <c r="J757" s="198" t="s">
        <v>2346</v>
      </c>
      <c r="K757" s="198" t="s">
        <v>1435</v>
      </c>
      <c r="L757" s="234" t="n">
        <v>33510</v>
      </c>
      <c r="M757" s="234" t="n">
        <v>17420</v>
      </c>
      <c r="N757" s="234" t="n">
        <v>14.5</v>
      </c>
      <c r="O757" s="407" t="n">
        <v>16090</v>
      </c>
      <c r="P757" s="407" t="n">
        <v>13756.9</v>
      </c>
      <c r="Q757" s="234" t="n">
        <v>2024</v>
      </c>
      <c r="R757" s="234"/>
      <c r="S757" s="248" t="n">
        <v>45464</v>
      </c>
      <c r="T757" s="407" t="n">
        <f aca="false">Таблица18[[#This Row],[Вес нетто]]-Таблица18[[#This Row],[Зачетный вес]]</f>
        <v>2333.1</v>
      </c>
      <c r="U757" s="409" t="n">
        <f aca="false">Таблица18[[#This Row],[Отход]]/Таблица18[[#This Row],[Вес нетто]]</f>
        <v>0.145003107520199</v>
      </c>
      <c r="V757" s="234" t="n">
        <f aca="false">MONTH(Таблица18[[#This Row],[Дата акта]])</f>
        <v>6</v>
      </c>
      <c r="W757" s="234" t="n">
        <v>21</v>
      </c>
      <c r="X757" s="248" t="n">
        <f aca="false">DATE(1900,Таблица18[[#This Row],[Месяц]],Таблица18[[#This Row],[Число]])</f>
        <v>173</v>
      </c>
      <c r="Y757" s="234"/>
      <c r="AF757" s="411"/>
      <c r="AG757" s="412"/>
    </row>
    <row r="758" s="410" customFormat="true" ht="15" hidden="true" customHeight="true" outlineLevel="0" collapsed="false">
      <c r="A758" s="198" t="s">
        <v>2376</v>
      </c>
      <c r="B758" s="199" t="s">
        <v>417</v>
      </c>
      <c r="C758" s="198" t="n">
        <v>395</v>
      </c>
      <c r="D758" s="198" t="n">
        <v>81</v>
      </c>
      <c r="E758" s="198" t="s">
        <v>2244</v>
      </c>
      <c r="F758" s="198" t="s">
        <v>363</v>
      </c>
      <c r="G758" s="198" t="s">
        <v>364</v>
      </c>
      <c r="H758" s="198" t="s">
        <v>2344</v>
      </c>
      <c r="I758" s="199"/>
      <c r="J758" s="198" t="s">
        <v>2346</v>
      </c>
      <c r="K758" s="198" t="s">
        <v>1435</v>
      </c>
      <c r="L758" s="234" t="n">
        <v>30450</v>
      </c>
      <c r="M758" s="234" t="n">
        <v>14680</v>
      </c>
      <c r="N758" s="234" t="n">
        <v>14.5</v>
      </c>
      <c r="O758" s="407" t="n">
        <v>15770</v>
      </c>
      <c r="P758" s="407" t="n">
        <v>13483.3</v>
      </c>
      <c r="Q758" s="234" t="n">
        <v>2024</v>
      </c>
      <c r="R758" s="234"/>
      <c r="S758" s="248" t="n">
        <v>45464</v>
      </c>
      <c r="T758" s="407" t="n">
        <f aca="false">Таблица18[[#This Row],[Вес нетто]]-Таблица18[[#This Row],[Зачетный вес]]</f>
        <v>2286.7</v>
      </c>
      <c r="U758" s="409" t="n">
        <f aca="false">Таблица18[[#This Row],[Отход]]/Таблица18[[#This Row],[Вес нетто]]</f>
        <v>0.145003170577045</v>
      </c>
      <c r="V758" s="234" t="n">
        <f aca="false">MONTH(Таблица18[[#This Row],[Дата акта]])</f>
        <v>6</v>
      </c>
      <c r="W758" s="234" t="n">
        <v>21</v>
      </c>
      <c r="X758" s="248" t="n">
        <f aca="false">DATE(1900,Таблица18[[#This Row],[Месяц]],Таблица18[[#This Row],[Число]])</f>
        <v>173</v>
      </c>
      <c r="Y758" s="234"/>
      <c r="AF758" s="411"/>
      <c r="AG758" s="412"/>
    </row>
    <row r="759" s="410" customFormat="true" ht="15" hidden="true" customHeight="true" outlineLevel="0" collapsed="false">
      <c r="A759" s="198" t="s">
        <v>2377</v>
      </c>
      <c r="B759" s="199" t="s">
        <v>417</v>
      </c>
      <c r="C759" s="198" t="n">
        <v>396</v>
      </c>
      <c r="D759" s="198" t="n">
        <v>77</v>
      </c>
      <c r="E759" s="198" t="s">
        <v>2244</v>
      </c>
      <c r="F759" s="198" t="s">
        <v>2078</v>
      </c>
      <c r="G759" s="198" t="s">
        <v>557</v>
      </c>
      <c r="H759" s="198" t="s">
        <v>2344</v>
      </c>
      <c r="I759" s="199"/>
      <c r="J759" s="198" t="s">
        <v>2346</v>
      </c>
      <c r="K759" s="198" t="s">
        <v>1435</v>
      </c>
      <c r="L759" s="234" t="n">
        <v>30060</v>
      </c>
      <c r="M759" s="234" t="n">
        <v>14780</v>
      </c>
      <c r="N759" s="234" t="n">
        <v>17.5</v>
      </c>
      <c r="O759" s="407" t="n">
        <v>15280</v>
      </c>
      <c r="P759" s="407" t="n">
        <v>12606</v>
      </c>
      <c r="Q759" s="234" t="n">
        <v>2024</v>
      </c>
      <c r="R759" s="234"/>
      <c r="S759" s="248" t="n">
        <v>45464</v>
      </c>
      <c r="T759" s="407" t="n">
        <f aca="false">Таблица18[[#This Row],[Вес нетто]]-Таблица18[[#This Row],[Зачетный вес]]</f>
        <v>2674</v>
      </c>
      <c r="U759" s="409" t="n">
        <f aca="false">Таблица18[[#This Row],[Отход]]/Таблица18[[#This Row],[Вес нетто]]</f>
        <v>0.175</v>
      </c>
      <c r="V759" s="234" t="n">
        <f aca="false">MONTH(Таблица18[[#This Row],[Дата акта]])</f>
        <v>6</v>
      </c>
      <c r="W759" s="234" t="n">
        <v>21</v>
      </c>
      <c r="X759" s="248" t="n">
        <f aca="false">DATE(1900,Таблица18[[#This Row],[Месяц]],Таблица18[[#This Row],[Число]])</f>
        <v>173</v>
      </c>
      <c r="Y759" s="234"/>
      <c r="AF759" s="411"/>
      <c r="AG759" s="412"/>
    </row>
    <row r="760" s="410" customFormat="true" ht="15" hidden="true" customHeight="true" outlineLevel="0" collapsed="false">
      <c r="A760" s="198" t="s">
        <v>2378</v>
      </c>
      <c r="B760" s="199" t="s">
        <v>417</v>
      </c>
      <c r="C760" s="198" t="n">
        <v>398</v>
      </c>
      <c r="D760" s="198" t="n">
        <v>82</v>
      </c>
      <c r="E760" s="198" t="s">
        <v>2244</v>
      </c>
      <c r="F760" s="198" t="s">
        <v>2260</v>
      </c>
      <c r="G760" s="198" t="s">
        <v>455</v>
      </c>
      <c r="H760" s="198" t="s">
        <v>2344</v>
      </c>
      <c r="I760" s="199"/>
      <c r="J760" s="198" t="s">
        <v>2346</v>
      </c>
      <c r="K760" s="198" t="s">
        <v>1435</v>
      </c>
      <c r="L760" s="234" t="n">
        <v>28970</v>
      </c>
      <c r="M760" s="234" t="n">
        <v>14970</v>
      </c>
      <c r="N760" s="234" t="n">
        <v>15.5</v>
      </c>
      <c r="O760" s="407" t="n">
        <v>14000</v>
      </c>
      <c r="P760" s="407" t="n">
        <v>11830</v>
      </c>
      <c r="Q760" s="234" t="n">
        <v>2024</v>
      </c>
      <c r="R760" s="234"/>
      <c r="S760" s="248" t="n">
        <v>45464</v>
      </c>
      <c r="T760" s="407" t="n">
        <f aca="false">Таблица18[[#This Row],[Вес нетто]]-Таблица18[[#This Row],[Зачетный вес]]</f>
        <v>2170</v>
      </c>
      <c r="U760" s="409" t="n">
        <f aca="false">Таблица18[[#This Row],[Отход]]/Таблица18[[#This Row],[Вес нетто]]</f>
        <v>0.155</v>
      </c>
      <c r="V760" s="234" t="n">
        <f aca="false">MONTH(Таблица18[[#This Row],[Дата акта]])</f>
        <v>6</v>
      </c>
      <c r="W760" s="234" t="n">
        <v>21</v>
      </c>
      <c r="X760" s="248" t="n">
        <f aca="false">DATE(1900,Таблица18[[#This Row],[Месяц]],Таблица18[[#This Row],[Число]])</f>
        <v>173</v>
      </c>
      <c r="Y760" s="234"/>
      <c r="AF760" s="411"/>
      <c r="AG760" s="412"/>
    </row>
    <row r="761" s="410" customFormat="true" ht="15" hidden="true" customHeight="true" outlineLevel="0" collapsed="false">
      <c r="A761" s="198" t="s">
        <v>2379</v>
      </c>
      <c r="B761" s="199" t="s">
        <v>417</v>
      </c>
      <c r="C761" s="198" t="n">
        <v>400</v>
      </c>
      <c r="D761" s="198" t="n">
        <v>83</v>
      </c>
      <c r="E761" s="198" t="s">
        <v>2244</v>
      </c>
      <c r="F761" s="198" t="s">
        <v>2262</v>
      </c>
      <c r="G761" s="198" t="s">
        <v>449</v>
      </c>
      <c r="H761" s="198" t="s">
        <v>2354</v>
      </c>
      <c r="I761" s="199"/>
      <c r="J761" s="198" t="s">
        <v>2355</v>
      </c>
      <c r="K761" s="198" t="s">
        <v>1435</v>
      </c>
      <c r="L761" s="234" t="n">
        <v>30510</v>
      </c>
      <c r="M761" s="234" t="n">
        <v>15370</v>
      </c>
      <c r="N761" s="234" t="n">
        <v>23.5</v>
      </c>
      <c r="O761" s="407" t="n">
        <v>15140</v>
      </c>
      <c r="P761" s="407" t="n">
        <v>11582.1</v>
      </c>
      <c r="Q761" s="234" t="n">
        <v>2024</v>
      </c>
      <c r="R761" s="234"/>
      <c r="S761" s="248" t="n">
        <v>45464</v>
      </c>
      <c r="T761" s="407" t="n">
        <f aca="false">Таблица18[[#This Row],[Вес нетто]]-Таблица18[[#This Row],[Зачетный вес]]</f>
        <v>3557.9</v>
      </c>
      <c r="U761" s="409" t="n">
        <f aca="false">Таблица18[[#This Row],[Отход]]/Таблица18[[#This Row],[Вес нетто]]</f>
        <v>0.235</v>
      </c>
      <c r="V761" s="234" t="n">
        <f aca="false">MONTH(Таблица18[[#This Row],[Дата акта]])</f>
        <v>6</v>
      </c>
      <c r="W761" s="234" t="n">
        <v>21</v>
      </c>
      <c r="X761" s="248" t="n">
        <f aca="false">DATE(1900,Таблица18[[#This Row],[Месяц]],Таблица18[[#This Row],[Число]])</f>
        <v>173</v>
      </c>
      <c r="Y761" s="234"/>
      <c r="AF761" s="411"/>
      <c r="AG761" s="412"/>
    </row>
    <row r="762" s="410" customFormat="true" ht="15" hidden="true" customHeight="true" outlineLevel="0" collapsed="false">
      <c r="A762" s="198" t="s">
        <v>2380</v>
      </c>
      <c r="B762" s="199" t="s">
        <v>417</v>
      </c>
      <c r="C762" s="198" t="n">
        <v>402</v>
      </c>
      <c r="D762" s="198" t="n">
        <v>84</v>
      </c>
      <c r="E762" s="198" t="s">
        <v>2244</v>
      </c>
      <c r="F762" s="198" t="s">
        <v>1086</v>
      </c>
      <c r="G762" s="198" t="s">
        <v>1087</v>
      </c>
      <c r="H762" s="198" t="s">
        <v>2354</v>
      </c>
      <c r="I762" s="199"/>
      <c r="J762" s="198" t="s">
        <v>2355</v>
      </c>
      <c r="K762" s="198" t="s">
        <v>1435</v>
      </c>
      <c r="L762" s="234" t="n">
        <v>31580</v>
      </c>
      <c r="M762" s="234" t="n">
        <v>14790</v>
      </c>
      <c r="N762" s="234" t="n">
        <v>16.5</v>
      </c>
      <c r="O762" s="407" t="n">
        <v>16790</v>
      </c>
      <c r="P762" s="407" t="n">
        <v>14019.6</v>
      </c>
      <c r="Q762" s="234" t="n">
        <v>2024</v>
      </c>
      <c r="R762" s="234"/>
      <c r="S762" s="248" t="n">
        <v>45464</v>
      </c>
      <c r="T762" s="407" t="n">
        <f aca="false">Таблица18[[#This Row],[Вес нетто]]-Таблица18[[#This Row],[Зачетный вес]]</f>
        <v>2770.4</v>
      </c>
      <c r="U762" s="409" t="n">
        <f aca="false">Таблица18[[#This Row],[Отход]]/Таблица18[[#This Row],[Вес нетто]]</f>
        <v>0.165002977963073</v>
      </c>
      <c r="V762" s="234" t="n">
        <f aca="false">MONTH(Таблица18[[#This Row],[Дата акта]])</f>
        <v>6</v>
      </c>
      <c r="W762" s="234" t="n">
        <v>21</v>
      </c>
      <c r="X762" s="248" t="n">
        <f aca="false">DATE(1900,Таблица18[[#This Row],[Месяц]],Таблица18[[#This Row],[Число]])</f>
        <v>173</v>
      </c>
      <c r="Y762" s="234"/>
      <c r="AF762" s="411"/>
      <c r="AG762" s="412"/>
    </row>
    <row r="763" s="410" customFormat="true" ht="15" hidden="true" customHeight="true" outlineLevel="0" collapsed="false">
      <c r="A763" s="198" t="s">
        <v>2381</v>
      </c>
      <c r="B763" s="199" t="s">
        <v>417</v>
      </c>
      <c r="C763" s="198" t="n">
        <v>403</v>
      </c>
      <c r="D763" s="198" t="n">
        <v>85</v>
      </c>
      <c r="E763" s="198" t="s">
        <v>2244</v>
      </c>
      <c r="F763" s="198" t="s">
        <v>2078</v>
      </c>
      <c r="G763" s="198" t="s">
        <v>557</v>
      </c>
      <c r="H763" s="198" t="s">
        <v>2354</v>
      </c>
      <c r="I763" s="199"/>
      <c r="J763" s="198" t="s">
        <v>2355</v>
      </c>
      <c r="K763" s="198" t="s">
        <v>1435</v>
      </c>
      <c r="L763" s="234" t="n">
        <v>31580</v>
      </c>
      <c r="M763" s="234" t="n">
        <v>14890</v>
      </c>
      <c r="N763" s="234" t="n">
        <v>19.5</v>
      </c>
      <c r="O763" s="407" t="n">
        <v>16690</v>
      </c>
      <c r="P763" s="407" t="n">
        <v>13435.4</v>
      </c>
      <c r="Q763" s="234" t="n">
        <v>2024</v>
      </c>
      <c r="R763" s="234"/>
      <c r="S763" s="248" t="n">
        <v>45464</v>
      </c>
      <c r="T763" s="407" t="n">
        <f aca="false">Таблица18[[#This Row],[Вес нетто]]-Таблица18[[#This Row],[Зачетный вес]]</f>
        <v>3254.6</v>
      </c>
      <c r="U763" s="409" t="n">
        <f aca="false">Таблица18[[#This Row],[Отход]]/Таблица18[[#This Row],[Вес нетто]]</f>
        <v>0.195002995805872</v>
      </c>
      <c r="V763" s="234" t="n">
        <f aca="false">MONTH(Таблица18[[#This Row],[Дата акта]])</f>
        <v>6</v>
      </c>
      <c r="W763" s="234" t="n">
        <v>21</v>
      </c>
      <c r="X763" s="248" t="n">
        <f aca="false">DATE(1900,Таблица18[[#This Row],[Месяц]],Таблица18[[#This Row],[Число]])</f>
        <v>173</v>
      </c>
      <c r="Y763" s="234"/>
      <c r="AF763" s="411"/>
      <c r="AG763" s="412"/>
    </row>
    <row r="764" s="410" customFormat="true" ht="15" hidden="true" customHeight="true" outlineLevel="0" collapsed="false">
      <c r="A764" s="198" t="s">
        <v>2382</v>
      </c>
      <c r="B764" s="199" t="s">
        <v>417</v>
      </c>
      <c r="C764" s="198" t="n">
        <v>404</v>
      </c>
      <c r="D764" s="198" t="n">
        <v>86</v>
      </c>
      <c r="E764" s="198" t="s">
        <v>2244</v>
      </c>
      <c r="F764" s="198" t="s">
        <v>457</v>
      </c>
      <c r="G764" s="198" t="s">
        <v>366</v>
      </c>
      <c r="H764" s="198" t="s">
        <v>2354</v>
      </c>
      <c r="I764" s="199"/>
      <c r="J764" s="198" t="s">
        <v>2355</v>
      </c>
      <c r="K764" s="198" t="s">
        <v>1435</v>
      </c>
      <c r="L764" s="234" t="n">
        <v>39930</v>
      </c>
      <c r="M764" s="234" t="n">
        <v>17290</v>
      </c>
      <c r="N764" s="234" t="n">
        <v>18.5</v>
      </c>
      <c r="O764" s="407" t="n">
        <v>22640</v>
      </c>
      <c r="P764" s="407" t="n">
        <v>18451.6</v>
      </c>
      <c r="Q764" s="234" t="n">
        <v>2024</v>
      </c>
      <c r="R764" s="234"/>
      <c r="S764" s="248" t="n">
        <v>45464</v>
      </c>
      <c r="T764" s="407" t="n">
        <f aca="false">Таблица18[[#This Row],[Вес нетто]]-Таблица18[[#This Row],[Зачетный вес]]</f>
        <v>4188.4</v>
      </c>
      <c r="U764" s="409" t="n">
        <f aca="false">Таблица18[[#This Row],[Отход]]/Таблица18[[#This Row],[Вес нетто]]</f>
        <v>0.185</v>
      </c>
      <c r="V764" s="234" t="n">
        <f aca="false">MONTH(Таблица18[[#This Row],[Дата акта]])</f>
        <v>6</v>
      </c>
      <c r="W764" s="234" t="n">
        <v>21</v>
      </c>
      <c r="X764" s="248" t="n">
        <f aca="false">DATE(1900,Таблица18[[#This Row],[Месяц]],Таблица18[[#This Row],[Число]])</f>
        <v>173</v>
      </c>
      <c r="Y764" s="234"/>
      <c r="AF764" s="411"/>
      <c r="AG764" s="412"/>
    </row>
    <row r="765" s="410" customFormat="true" ht="15" hidden="true" customHeight="true" outlineLevel="0" collapsed="false">
      <c r="A765" s="198" t="s">
        <v>2383</v>
      </c>
      <c r="B765" s="199" t="s">
        <v>417</v>
      </c>
      <c r="C765" s="198" t="n">
        <v>405</v>
      </c>
      <c r="D765" s="198" t="n">
        <v>87</v>
      </c>
      <c r="E765" s="198" t="s">
        <v>2244</v>
      </c>
      <c r="F765" s="198" t="s">
        <v>363</v>
      </c>
      <c r="G765" s="198" t="s">
        <v>364</v>
      </c>
      <c r="H765" s="198" t="s">
        <v>2384</v>
      </c>
      <c r="I765" s="199"/>
      <c r="J765" s="198" t="s">
        <v>2355</v>
      </c>
      <c r="K765" s="198" t="s">
        <v>1435</v>
      </c>
      <c r="L765" s="234" t="n">
        <v>23670</v>
      </c>
      <c r="M765" s="234" t="n">
        <v>14450</v>
      </c>
      <c r="N765" s="234" t="n">
        <v>23.5</v>
      </c>
      <c r="O765" s="407" t="n">
        <v>9220</v>
      </c>
      <c r="P765" s="407" t="n">
        <v>7053.3</v>
      </c>
      <c r="Q765" s="234" t="n">
        <v>2024</v>
      </c>
      <c r="R765" s="234"/>
      <c r="S765" s="248" t="n">
        <v>45465</v>
      </c>
      <c r="T765" s="407" t="n">
        <f aca="false">Таблица18[[#This Row],[Вес нетто]]-Таблица18[[#This Row],[Зачетный вес]]</f>
        <v>2166.7</v>
      </c>
      <c r="U765" s="409" t="n">
        <f aca="false">Таблица18[[#This Row],[Отход]]/Таблица18[[#This Row],[Вес нетто]]</f>
        <v>0.235</v>
      </c>
      <c r="V765" s="234" t="n">
        <f aca="false">MONTH(Таблица18[[#This Row],[Дата акта]])</f>
        <v>6</v>
      </c>
      <c r="W765" s="234" t="n">
        <v>22</v>
      </c>
      <c r="X765" s="248" t="n">
        <f aca="false">DATE(1900,Таблица18[[#This Row],[Месяц]],Таблица18[[#This Row],[Число]])</f>
        <v>174</v>
      </c>
      <c r="Y765" s="234"/>
      <c r="AF765" s="411"/>
      <c r="AG765" s="412"/>
    </row>
    <row r="766" s="410" customFormat="true" ht="15" hidden="true" customHeight="true" outlineLevel="0" collapsed="false">
      <c r="A766" s="198" t="s">
        <v>2385</v>
      </c>
      <c r="B766" s="199" t="s">
        <v>417</v>
      </c>
      <c r="C766" s="198" t="n">
        <v>407</v>
      </c>
      <c r="D766" s="198" t="n">
        <v>88</v>
      </c>
      <c r="E766" s="198" t="s">
        <v>2244</v>
      </c>
      <c r="F766" s="198" t="s">
        <v>359</v>
      </c>
      <c r="G766" s="198" t="s">
        <v>426</v>
      </c>
      <c r="H766" s="198" t="s">
        <v>2384</v>
      </c>
      <c r="I766" s="199"/>
      <c r="J766" s="198" t="s">
        <v>2355</v>
      </c>
      <c r="K766" s="198" t="s">
        <v>1435</v>
      </c>
      <c r="L766" s="234" t="n">
        <v>28230</v>
      </c>
      <c r="M766" s="234" t="n">
        <v>14090</v>
      </c>
      <c r="N766" s="234" t="n">
        <v>15.5</v>
      </c>
      <c r="O766" s="407" t="n">
        <v>14140</v>
      </c>
      <c r="P766" s="407" t="n">
        <v>11948.3</v>
      </c>
      <c r="Q766" s="234" t="n">
        <v>2024</v>
      </c>
      <c r="R766" s="234"/>
      <c r="S766" s="248" t="n">
        <v>45467</v>
      </c>
      <c r="T766" s="407" t="n">
        <f aca="false">Таблица18[[#This Row],[Вес нетто]]-Таблица18[[#This Row],[Зачетный вес]]</f>
        <v>2191.7</v>
      </c>
      <c r="U766" s="409" t="n">
        <f aca="false">Таблица18[[#This Row],[Отход]]/Таблица18[[#This Row],[Вес нетто]]</f>
        <v>0.155</v>
      </c>
      <c r="V766" s="234" t="n">
        <f aca="false">MONTH(Таблица18[[#This Row],[Дата акта]])</f>
        <v>6</v>
      </c>
      <c r="W766" s="234" t="n">
        <v>24</v>
      </c>
      <c r="X766" s="248" t="n">
        <f aca="false">DATE(1900,Таблица18[[#This Row],[Месяц]],Таблица18[[#This Row],[Число]])</f>
        <v>176</v>
      </c>
      <c r="Y766" s="234"/>
      <c r="AF766" s="411"/>
      <c r="AG766" s="412"/>
    </row>
    <row r="767" s="410" customFormat="true" ht="15" hidden="true" customHeight="true" outlineLevel="0" collapsed="false">
      <c r="A767" s="198" t="s">
        <v>2386</v>
      </c>
      <c r="B767" s="199" t="s">
        <v>417</v>
      </c>
      <c r="C767" s="198" t="n">
        <v>408</v>
      </c>
      <c r="D767" s="198" t="n">
        <v>89</v>
      </c>
      <c r="E767" s="198" t="s">
        <v>2244</v>
      </c>
      <c r="F767" s="198" t="s">
        <v>363</v>
      </c>
      <c r="G767" s="198" t="s">
        <v>364</v>
      </c>
      <c r="H767" s="198" t="s">
        <v>2384</v>
      </c>
      <c r="I767" s="199"/>
      <c r="J767" s="198" t="s">
        <v>2355</v>
      </c>
      <c r="K767" s="198" t="s">
        <v>1435</v>
      </c>
      <c r="L767" s="234" t="n">
        <v>31880</v>
      </c>
      <c r="M767" s="234" t="n">
        <v>23210</v>
      </c>
      <c r="N767" s="234" t="n">
        <v>13.5</v>
      </c>
      <c r="O767" s="407" t="n">
        <v>8670</v>
      </c>
      <c r="P767" s="407" t="n">
        <v>7499.5</v>
      </c>
      <c r="Q767" s="234" t="n">
        <v>2024</v>
      </c>
      <c r="R767" s="234"/>
      <c r="S767" s="248" t="n">
        <v>45467</v>
      </c>
      <c r="T767" s="407" t="n">
        <f aca="false">Таблица18[[#This Row],[Вес нетто]]-Таблица18[[#This Row],[Зачетный вес]]</f>
        <v>1170.5</v>
      </c>
      <c r="U767" s="409" t="n">
        <f aca="false">Таблица18[[#This Row],[Отход]]/Таблица18[[#This Row],[Вес нетто]]</f>
        <v>0.135005767012687</v>
      </c>
      <c r="V767" s="234" t="n">
        <f aca="false">MONTH(Таблица18[[#This Row],[Дата акта]])</f>
        <v>6</v>
      </c>
      <c r="W767" s="234" t="n">
        <v>24</v>
      </c>
      <c r="X767" s="248" t="n">
        <f aca="false">DATE(1900,Таблица18[[#This Row],[Месяц]],Таблица18[[#This Row],[Число]])</f>
        <v>176</v>
      </c>
      <c r="Y767" s="234"/>
      <c r="AF767" s="411"/>
      <c r="AG767" s="412"/>
    </row>
    <row r="768" s="410" customFormat="true" ht="15" hidden="true" customHeight="true" outlineLevel="0" collapsed="false">
      <c r="A768" s="198" t="s">
        <v>2387</v>
      </c>
      <c r="B768" s="199" t="s">
        <v>417</v>
      </c>
      <c r="C768" s="198" t="n">
        <v>409</v>
      </c>
      <c r="D768" s="198" t="n">
        <v>89</v>
      </c>
      <c r="E768" s="198" t="s">
        <v>2244</v>
      </c>
      <c r="F768" s="198" t="s">
        <v>363</v>
      </c>
      <c r="G768" s="198" t="s">
        <v>364</v>
      </c>
      <c r="H768" s="198" t="s">
        <v>2388</v>
      </c>
      <c r="I768" s="199"/>
      <c r="J768" s="198" t="s">
        <v>2389</v>
      </c>
      <c r="K768" s="198" t="s">
        <v>1435</v>
      </c>
      <c r="L768" s="234" t="n">
        <v>23210</v>
      </c>
      <c r="M768" s="234" t="n">
        <v>14430</v>
      </c>
      <c r="N768" s="234" t="n">
        <v>21.5</v>
      </c>
      <c r="O768" s="407" t="n">
        <v>8780</v>
      </c>
      <c r="P768" s="407" t="n">
        <v>6892.3</v>
      </c>
      <c r="Q768" s="234" t="n">
        <v>2024</v>
      </c>
      <c r="R768" s="234"/>
      <c r="S768" s="248" t="n">
        <v>45467</v>
      </c>
      <c r="T768" s="407" t="n">
        <f aca="false">Таблица18[[#This Row],[Вес нетто]]-Таблица18[[#This Row],[Зачетный вес]]</f>
        <v>1887.7</v>
      </c>
      <c r="U768" s="409" t="n">
        <f aca="false">Таблица18[[#This Row],[Отход]]/Таблица18[[#This Row],[Вес нетто]]</f>
        <v>0.215</v>
      </c>
      <c r="V768" s="234" t="n">
        <f aca="false">MONTH(Таблица18[[#This Row],[Дата акта]])</f>
        <v>6</v>
      </c>
      <c r="W768" s="234" t="n">
        <v>24</v>
      </c>
      <c r="X768" s="248" t="n">
        <f aca="false">DATE(1900,Таблица18[[#This Row],[Месяц]],Таблица18[[#This Row],[Число]])</f>
        <v>176</v>
      </c>
      <c r="Y768" s="234"/>
      <c r="AF768" s="411"/>
      <c r="AG768" s="412"/>
    </row>
    <row r="769" s="410" customFormat="true" ht="15" hidden="true" customHeight="true" outlineLevel="0" collapsed="false">
      <c r="A769" s="198" t="s">
        <v>2390</v>
      </c>
      <c r="B769" s="199" t="s">
        <v>417</v>
      </c>
      <c r="C769" s="198" t="n">
        <v>410</v>
      </c>
      <c r="D769" s="198" t="n">
        <v>90</v>
      </c>
      <c r="E769" s="198" t="s">
        <v>2244</v>
      </c>
      <c r="F769" s="198" t="s">
        <v>2084</v>
      </c>
      <c r="G769" s="198" t="s">
        <v>2085</v>
      </c>
      <c r="H769" s="198" t="s">
        <v>2384</v>
      </c>
      <c r="I769" s="199"/>
      <c r="J769" s="198" t="s">
        <v>2355</v>
      </c>
      <c r="K769" s="198" t="s">
        <v>1435</v>
      </c>
      <c r="L769" s="234" t="n">
        <v>35270</v>
      </c>
      <c r="M769" s="234" t="n">
        <v>17300</v>
      </c>
      <c r="N769" s="234" t="n">
        <v>10.5</v>
      </c>
      <c r="O769" s="407" t="n">
        <v>17970</v>
      </c>
      <c r="P769" s="407" t="n">
        <v>16083.1</v>
      </c>
      <c r="Q769" s="234" t="n">
        <v>2024</v>
      </c>
      <c r="R769" s="234"/>
      <c r="S769" s="248" t="n">
        <v>45467</v>
      </c>
      <c r="T769" s="407" t="n">
        <f aca="false">Таблица18[[#This Row],[Вес нетто]]-Таблица18[[#This Row],[Зачетный вес]]</f>
        <v>1886.9</v>
      </c>
      <c r="U769" s="409" t="n">
        <f aca="false">Таблица18[[#This Row],[Отход]]/Таблица18[[#This Row],[Вес нетто]]</f>
        <v>0.105002782415136</v>
      </c>
      <c r="V769" s="234" t="n">
        <f aca="false">MONTH(Таблица18[[#This Row],[Дата акта]])</f>
        <v>6</v>
      </c>
      <c r="W769" s="234" t="n">
        <v>24</v>
      </c>
      <c r="X769" s="248" t="n">
        <f aca="false">DATE(1900,Таблица18[[#This Row],[Месяц]],Таблица18[[#This Row],[Число]])</f>
        <v>176</v>
      </c>
      <c r="Y769" s="234"/>
      <c r="AF769" s="411"/>
      <c r="AG769" s="412"/>
    </row>
    <row r="770" s="410" customFormat="true" ht="15" hidden="true" customHeight="true" outlineLevel="0" collapsed="false">
      <c r="A770" s="198" t="s">
        <v>2391</v>
      </c>
      <c r="B770" s="199" t="s">
        <v>417</v>
      </c>
      <c r="C770" s="198" t="n">
        <v>411</v>
      </c>
      <c r="D770" s="198" t="n">
        <v>91</v>
      </c>
      <c r="E770" s="198" t="s">
        <v>2244</v>
      </c>
      <c r="F770" s="198" t="s">
        <v>1485</v>
      </c>
      <c r="G770" s="198" t="s">
        <v>431</v>
      </c>
      <c r="H770" s="198" t="s">
        <v>2384</v>
      </c>
      <c r="I770" s="199"/>
      <c r="J770" s="198" t="s">
        <v>2355</v>
      </c>
      <c r="K770" s="198" t="s">
        <v>1435</v>
      </c>
      <c r="L770" s="234" t="n">
        <v>38440</v>
      </c>
      <c r="M770" s="234" t="n">
        <v>20940</v>
      </c>
      <c r="N770" s="234" t="n">
        <v>9.5</v>
      </c>
      <c r="O770" s="407" t="n">
        <v>17500</v>
      </c>
      <c r="P770" s="407" t="n">
        <v>15837.5</v>
      </c>
      <c r="Q770" s="234" t="n">
        <v>2024</v>
      </c>
      <c r="R770" s="234"/>
      <c r="S770" s="248" t="n">
        <v>45467</v>
      </c>
      <c r="T770" s="407" t="n">
        <f aca="false">Таблица18[[#This Row],[Вес нетто]]-Таблица18[[#This Row],[Зачетный вес]]</f>
        <v>1662.5</v>
      </c>
      <c r="U770" s="409" t="n">
        <f aca="false">Таблица18[[#This Row],[Отход]]/Таблица18[[#This Row],[Вес нетто]]</f>
        <v>0.095</v>
      </c>
      <c r="V770" s="234" t="n">
        <f aca="false">MONTH(Таблица18[[#This Row],[Дата акта]])</f>
        <v>6</v>
      </c>
      <c r="W770" s="234" t="n">
        <v>24</v>
      </c>
      <c r="X770" s="248" t="n">
        <f aca="false">DATE(1900,Таблица18[[#This Row],[Месяц]],Таблица18[[#This Row],[Число]])</f>
        <v>176</v>
      </c>
      <c r="Y770" s="234"/>
      <c r="AF770" s="411"/>
      <c r="AG770" s="412"/>
    </row>
    <row r="771" s="410" customFormat="true" ht="15" hidden="true" customHeight="true" outlineLevel="0" collapsed="false">
      <c r="A771" s="198" t="s">
        <v>2392</v>
      </c>
      <c r="B771" s="199" t="s">
        <v>417</v>
      </c>
      <c r="C771" s="198" t="n">
        <v>412</v>
      </c>
      <c r="D771" s="198" t="n">
        <v>92</v>
      </c>
      <c r="E771" s="198" t="s">
        <v>2244</v>
      </c>
      <c r="F771" s="198" t="s">
        <v>382</v>
      </c>
      <c r="G771" s="198" t="s">
        <v>383</v>
      </c>
      <c r="H771" s="198" t="s">
        <v>2384</v>
      </c>
      <c r="I771" s="199"/>
      <c r="J771" s="198" t="s">
        <v>2355</v>
      </c>
      <c r="K771" s="198" t="s">
        <v>1435</v>
      </c>
      <c r="L771" s="234" t="n">
        <v>27900</v>
      </c>
      <c r="M771" s="234" t="n">
        <v>14860</v>
      </c>
      <c r="N771" s="234" t="n">
        <v>10.5</v>
      </c>
      <c r="O771" s="407" t="n">
        <v>13040</v>
      </c>
      <c r="P771" s="407" t="n">
        <v>11670.8</v>
      </c>
      <c r="Q771" s="234" t="n">
        <v>2024</v>
      </c>
      <c r="R771" s="234"/>
      <c r="S771" s="248" t="n">
        <v>45467</v>
      </c>
      <c r="T771" s="407" t="n">
        <f aca="false">Таблица18[[#This Row],[Вес нетто]]-Таблица18[[#This Row],[Зачетный вес]]</f>
        <v>1369.2</v>
      </c>
      <c r="U771" s="409" t="n">
        <f aca="false">Таблица18[[#This Row],[Отход]]/Таблица18[[#This Row],[Вес нетто]]</f>
        <v>0.105</v>
      </c>
      <c r="V771" s="234" t="n">
        <f aca="false">MONTH(Таблица18[[#This Row],[Дата акта]])</f>
        <v>6</v>
      </c>
      <c r="W771" s="234" t="n">
        <v>24</v>
      </c>
      <c r="X771" s="248" t="n">
        <f aca="false">DATE(1900,Таблица18[[#This Row],[Месяц]],Таблица18[[#This Row],[Число]])</f>
        <v>176</v>
      </c>
      <c r="Y771" s="234"/>
      <c r="AF771" s="411"/>
      <c r="AG771" s="412"/>
    </row>
    <row r="772" s="410" customFormat="true" ht="15" hidden="true" customHeight="true" outlineLevel="0" collapsed="false">
      <c r="A772" s="198" t="s">
        <v>2393</v>
      </c>
      <c r="B772" s="199" t="s">
        <v>417</v>
      </c>
      <c r="C772" s="198" t="n">
        <v>413</v>
      </c>
      <c r="D772" s="198" t="n">
        <v>93</v>
      </c>
      <c r="E772" s="198" t="s">
        <v>2244</v>
      </c>
      <c r="F772" s="198" t="s">
        <v>1797</v>
      </c>
      <c r="G772" s="198" t="s">
        <v>385</v>
      </c>
      <c r="H772" s="198" t="s">
        <v>2384</v>
      </c>
      <c r="I772" s="199"/>
      <c r="J772" s="198" t="s">
        <v>2355</v>
      </c>
      <c r="K772" s="198" t="s">
        <v>1435</v>
      </c>
      <c r="L772" s="234" t="n">
        <v>27420</v>
      </c>
      <c r="M772" s="234" t="n">
        <v>14400</v>
      </c>
      <c r="N772" s="234" t="n">
        <v>11.5</v>
      </c>
      <c r="O772" s="407" t="n">
        <v>13020</v>
      </c>
      <c r="P772" s="407" t="n">
        <v>11522.7</v>
      </c>
      <c r="Q772" s="234" t="n">
        <v>2024</v>
      </c>
      <c r="R772" s="234"/>
      <c r="S772" s="248" t="n">
        <v>45468</v>
      </c>
      <c r="T772" s="407" t="n">
        <f aca="false">Таблица18[[#This Row],[Вес нетто]]-Таблица18[[#This Row],[Зачетный вес]]</f>
        <v>1497.3</v>
      </c>
      <c r="U772" s="409" t="n">
        <f aca="false">Таблица18[[#This Row],[Отход]]/Таблица18[[#This Row],[Вес нетто]]</f>
        <v>0.115</v>
      </c>
      <c r="V772" s="234" t="n">
        <f aca="false">MONTH(Таблица18[[#This Row],[Дата акта]])</f>
        <v>6</v>
      </c>
      <c r="W772" s="234" t="n">
        <v>25</v>
      </c>
      <c r="X772" s="248" t="n">
        <f aca="false">DATE(1900,Таблица18[[#This Row],[Месяц]],Таблица18[[#This Row],[Число]])</f>
        <v>177</v>
      </c>
      <c r="Y772" s="234"/>
      <c r="AF772" s="411"/>
      <c r="AG772" s="412"/>
    </row>
    <row r="773" s="410" customFormat="true" ht="15" hidden="true" customHeight="true" outlineLevel="0" collapsed="false">
      <c r="A773" s="198" t="s">
        <v>2394</v>
      </c>
      <c r="B773" s="199" t="s">
        <v>417</v>
      </c>
      <c r="C773" s="198" t="n">
        <v>414</v>
      </c>
      <c r="D773" s="198" t="n">
        <v>94</v>
      </c>
      <c r="E773" s="198" t="s">
        <v>2244</v>
      </c>
      <c r="F773" s="198" t="s">
        <v>359</v>
      </c>
      <c r="G773" s="198" t="s">
        <v>426</v>
      </c>
      <c r="H773" s="198" t="s">
        <v>2388</v>
      </c>
      <c r="I773" s="199"/>
      <c r="J773" s="198" t="s">
        <v>2389</v>
      </c>
      <c r="K773" s="198" t="s">
        <v>1435</v>
      </c>
      <c r="L773" s="234" t="n">
        <v>27520</v>
      </c>
      <c r="M773" s="234" t="n">
        <v>14020</v>
      </c>
      <c r="N773" s="234" t="n">
        <v>22.5</v>
      </c>
      <c r="O773" s="407" t="n">
        <v>13500</v>
      </c>
      <c r="P773" s="407" t="n">
        <v>10462.5</v>
      </c>
      <c r="Q773" s="234" t="n">
        <v>2024</v>
      </c>
      <c r="R773" s="234"/>
      <c r="S773" s="248" t="n">
        <v>45468</v>
      </c>
      <c r="T773" s="407" t="n">
        <f aca="false">Таблица18[[#This Row],[Вес нетто]]-Таблица18[[#This Row],[Зачетный вес]]</f>
        <v>3037.5</v>
      </c>
      <c r="U773" s="409" t="n">
        <f aca="false">Таблица18[[#This Row],[Отход]]/Таблица18[[#This Row],[Вес нетто]]</f>
        <v>0.225</v>
      </c>
      <c r="V773" s="234" t="n">
        <f aca="false">MONTH(Таблица18[[#This Row],[Дата акта]])</f>
        <v>6</v>
      </c>
      <c r="W773" s="234" t="n">
        <v>25</v>
      </c>
      <c r="X773" s="248" t="n">
        <f aca="false">DATE(1900,Таблица18[[#This Row],[Месяц]],Таблица18[[#This Row],[Число]])</f>
        <v>177</v>
      </c>
      <c r="Y773" s="234"/>
      <c r="AF773" s="411"/>
      <c r="AG773" s="412"/>
    </row>
    <row r="774" s="410" customFormat="true" ht="15" hidden="true" customHeight="true" outlineLevel="0" collapsed="false">
      <c r="A774" s="198" t="s">
        <v>2395</v>
      </c>
      <c r="B774" s="199" t="s">
        <v>417</v>
      </c>
      <c r="C774" s="198" t="n">
        <v>415</v>
      </c>
      <c r="D774" s="198" t="n">
        <v>95</v>
      </c>
      <c r="E774" s="198" t="s">
        <v>2244</v>
      </c>
      <c r="F774" s="198" t="s">
        <v>2253</v>
      </c>
      <c r="G774" s="198" t="s">
        <v>2254</v>
      </c>
      <c r="H774" s="198" t="s">
        <v>2384</v>
      </c>
      <c r="I774" s="199"/>
      <c r="J774" s="198" t="s">
        <v>2355</v>
      </c>
      <c r="K774" s="198" t="s">
        <v>1435</v>
      </c>
      <c r="L774" s="234" t="n">
        <v>36100</v>
      </c>
      <c r="M774" s="234" t="n">
        <v>18730</v>
      </c>
      <c r="N774" s="234" t="n">
        <v>14.5</v>
      </c>
      <c r="O774" s="407" t="n">
        <v>17370</v>
      </c>
      <c r="P774" s="407" t="n">
        <v>14851.3</v>
      </c>
      <c r="Q774" s="234" t="n">
        <v>2024</v>
      </c>
      <c r="R774" s="234"/>
      <c r="S774" s="248" t="n">
        <v>45468</v>
      </c>
      <c r="T774" s="407" t="n">
        <f aca="false">Таблица18[[#This Row],[Вес нетто]]-Таблица18[[#This Row],[Зачетный вес]]</f>
        <v>2518.7</v>
      </c>
      <c r="U774" s="409" t="n">
        <f aca="false">Таблица18[[#This Row],[Отход]]/Таблица18[[#This Row],[Вес нетто]]</f>
        <v>0.145002878526195</v>
      </c>
      <c r="V774" s="234" t="n">
        <f aca="false">MONTH(Таблица18[[#This Row],[Дата акта]])</f>
        <v>6</v>
      </c>
      <c r="W774" s="234" t="n">
        <v>25</v>
      </c>
      <c r="X774" s="248" t="n">
        <f aca="false">DATE(1900,Таблица18[[#This Row],[Месяц]],Таблица18[[#This Row],[Число]])</f>
        <v>177</v>
      </c>
      <c r="Y774" s="234"/>
      <c r="AF774" s="411"/>
      <c r="AG774" s="412"/>
    </row>
    <row r="775" s="410" customFormat="true" ht="15" hidden="true" customHeight="true" outlineLevel="0" collapsed="false">
      <c r="A775" s="198" t="s">
        <v>2396</v>
      </c>
      <c r="B775" s="199" t="s">
        <v>417</v>
      </c>
      <c r="C775" s="198" t="n">
        <v>417</v>
      </c>
      <c r="D775" s="198" t="n">
        <v>96</v>
      </c>
      <c r="E775" s="198" t="s">
        <v>2244</v>
      </c>
      <c r="F775" s="198" t="s">
        <v>2084</v>
      </c>
      <c r="G775" s="198" t="s">
        <v>2085</v>
      </c>
      <c r="H775" s="198" t="s">
        <v>2388</v>
      </c>
      <c r="I775" s="199"/>
      <c r="J775" s="198" t="s">
        <v>2389</v>
      </c>
      <c r="K775" s="198" t="s">
        <v>1435</v>
      </c>
      <c r="L775" s="234" t="n">
        <v>34540</v>
      </c>
      <c r="M775" s="234" t="n">
        <v>25890</v>
      </c>
      <c r="N775" s="234" t="n">
        <v>45.5</v>
      </c>
      <c r="O775" s="407" t="n">
        <v>8650</v>
      </c>
      <c r="P775" s="407" t="n">
        <v>4714.2</v>
      </c>
      <c r="Q775" s="234" t="n">
        <v>2024</v>
      </c>
      <c r="R775" s="234"/>
      <c r="S775" s="248" t="n">
        <v>45468</v>
      </c>
      <c r="T775" s="407" t="n">
        <f aca="false">Таблица18[[#This Row],[Вес нетто]]-Таблица18[[#This Row],[Зачетный вес]]</f>
        <v>3935.8</v>
      </c>
      <c r="U775" s="409" t="n">
        <f aca="false">Таблица18[[#This Row],[Отход]]/Таблица18[[#This Row],[Вес нетто]]</f>
        <v>0.455005780346821</v>
      </c>
      <c r="V775" s="234" t="n">
        <f aca="false">MONTH(Таблица18[[#This Row],[Дата акта]])</f>
        <v>6</v>
      </c>
      <c r="W775" s="234" t="n">
        <v>25</v>
      </c>
      <c r="X775" s="248" t="n">
        <f aca="false">DATE(1900,Таблица18[[#This Row],[Месяц]],Таблица18[[#This Row],[Число]])</f>
        <v>177</v>
      </c>
      <c r="Y775" s="234"/>
      <c r="AF775" s="411"/>
      <c r="AG775" s="412"/>
    </row>
    <row r="776" s="410" customFormat="true" ht="15" hidden="true" customHeight="true" outlineLevel="0" collapsed="false">
      <c r="A776" s="198" t="s">
        <v>2397</v>
      </c>
      <c r="B776" s="199" t="s">
        <v>746</v>
      </c>
      <c r="C776" s="198" t="n">
        <v>418</v>
      </c>
      <c r="D776" s="198" t="n">
        <v>96</v>
      </c>
      <c r="E776" s="198" t="s">
        <v>2244</v>
      </c>
      <c r="F776" s="198" t="s">
        <v>2084</v>
      </c>
      <c r="G776" s="198" t="s">
        <v>2085</v>
      </c>
      <c r="H776" s="198" t="s">
        <v>2384</v>
      </c>
      <c r="I776" s="199"/>
      <c r="J776" s="198" t="s">
        <v>2355</v>
      </c>
      <c r="K776" s="198" t="s">
        <v>1435</v>
      </c>
      <c r="L776" s="234" t="n">
        <v>25890</v>
      </c>
      <c r="M776" s="234" t="n">
        <v>17420</v>
      </c>
      <c r="N776" s="234" t="n">
        <v>12</v>
      </c>
      <c r="O776" s="407" t="n">
        <v>8470</v>
      </c>
      <c r="P776" s="407" t="n">
        <v>7453.6</v>
      </c>
      <c r="Q776" s="234" t="n">
        <v>2024</v>
      </c>
      <c r="R776" s="234"/>
      <c r="S776" s="248" t="n">
        <v>45468</v>
      </c>
      <c r="T776" s="407" t="n">
        <f aca="false">Таблица18[[#This Row],[Вес нетто]]-Таблица18[[#This Row],[Зачетный вес]]</f>
        <v>1016.4</v>
      </c>
      <c r="U776" s="409" t="n">
        <f aca="false">Таблица18[[#This Row],[Отход]]/Таблица18[[#This Row],[Вес нетто]]</f>
        <v>0.12</v>
      </c>
      <c r="V776" s="234" t="n">
        <f aca="false">MONTH(Таблица18[[#This Row],[Дата акта]])</f>
        <v>6</v>
      </c>
      <c r="W776" s="234" t="n">
        <v>25</v>
      </c>
      <c r="X776" s="248" t="n">
        <f aca="false">DATE(1900,Таблица18[[#This Row],[Месяц]],Таблица18[[#This Row],[Число]])</f>
        <v>177</v>
      </c>
      <c r="Y776" s="234"/>
      <c r="AF776" s="411"/>
      <c r="AG776" s="412"/>
    </row>
    <row r="777" s="410" customFormat="true" ht="15" hidden="true" customHeight="true" outlineLevel="0" collapsed="false">
      <c r="A777" s="198" t="s">
        <v>2398</v>
      </c>
      <c r="B777" s="199" t="s">
        <v>417</v>
      </c>
      <c r="C777" s="198" t="n">
        <v>419</v>
      </c>
      <c r="D777" s="198" t="n">
        <v>97</v>
      </c>
      <c r="E777" s="198" t="s">
        <v>2244</v>
      </c>
      <c r="F777" s="198" t="s">
        <v>363</v>
      </c>
      <c r="G777" s="198" t="s">
        <v>364</v>
      </c>
      <c r="H777" s="198" t="s">
        <v>2388</v>
      </c>
      <c r="I777" s="199"/>
      <c r="J777" s="198" t="s">
        <v>2389</v>
      </c>
      <c r="K777" s="198" t="s">
        <v>1435</v>
      </c>
      <c r="L777" s="234" t="n">
        <v>29200</v>
      </c>
      <c r="M777" s="234" t="n">
        <v>14490</v>
      </c>
      <c r="N777" s="234" t="n">
        <v>32.5</v>
      </c>
      <c r="O777" s="407" t="n">
        <v>14710</v>
      </c>
      <c r="P777" s="407" t="n">
        <v>9929.2</v>
      </c>
      <c r="Q777" s="234" t="n">
        <v>2024</v>
      </c>
      <c r="R777" s="234"/>
      <c r="S777" s="248" t="n">
        <v>45468</v>
      </c>
      <c r="T777" s="407" t="n">
        <f aca="false">Таблица18[[#This Row],[Вес нетто]]-Таблица18[[#This Row],[Зачетный вес]]</f>
        <v>4780.8</v>
      </c>
      <c r="U777" s="409" t="n">
        <f aca="false">Таблица18[[#This Row],[Отход]]/Таблица18[[#This Row],[Вес нетто]]</f>
        <v>0.325003399048266</v>
      </c>
      <c r="V777" s="234" t="n">
        <f aca="false">MONTH(Таблица18[[#This Row],[Дата акта]])</f>
        <v>6</v>
      </c>
      <c r="W777" s="234" t="n">
        <v>25</v>
      </c>
      <c r="X777" s="248" t="n">
        <f aca="false">DATE(1900,Таблица18[[#This Row],[Месяц]],Таблица18[[#This Row],[Число]])</f>
        <v>177</v>
      </c>
      <c r="Y777" s="234"/>
      <c r="AF777" s="411"/>
      <c r="AG777" s="412"/>
    </row>
    <row r="778" s="410" customFormat="true" ht="15" hidden="true" customHeight="true" outlineLevel="0" collapsed="false">
      <c r="A778" s="198" t="s">
        <v>2399</v>
      </c>
      <c r="B778" s="199" t="s">
        <v>417</v>
      </c>
      <c r="C778" s="198" t="n">
        <v>420</v>
      </c>
      <c r="D778" s="198" t="n">
        <v>98</v>
      </c>
      <c r="E778" s="198" t="s">
        <v>2244</v>
      </c>
      <c r="F778" s="198" t="s">
        <v>1485</v>
      </c>
      <c r="G778" s="198" t="s">
        <v>431</v>
      </c>
      <c r="H778" s="198" t="s">
        <v>2400</v>
      </c>
      <c r="I778" s="199"/>
      <c r="J778" s="198" t="s">
        <v>2389</v>
      </c>
      <c r="K778" s="198" t="s">
        <v>1435</v>
      </c>
      <c r="L778" s="234" t="n">
        <v>38670</v>
      </c>
      <c r="M778" s="234" t="n">
        <v>21020</v>
      </c>
      <c r="N778" s="234" t="n">
        <v>34.5</v>
      </c>
      <c r="O778" s="407" t="n">
        <v>17650</v>
      </c>
      <c r="P778" s="407" t="n">
        <v>11560.7</v>
      </c>
      <c r="Q778" s="234" t="n">
        <v>2024</v>
      </c>
      <c r="R778" s="234"/>
      <c r="S778" s="248" t="n">
        <v>45468</v>
      </c>
      <c r="T778" s="407" t="n">
        <f aca="false">Таблица18[[#This Row],[Вес нетто]]-Таблица18[[#This Row],[Зачетный вес]]</f>
        <v>6089.3</v>
      </c>
      <c r="U778" s="409" t="n">
        <f aca="false">Таблица18[[#This Row],[Отход]]/Таблица18[[#This Row],[Вес нетто]]</f>
        <v>0.34500283286119</v>
      </c>
      <c r="V778" s="234" t="n">
        <f aca="false">MONTH(Таблица18[[#This Row],[Дата акта]])</f>
        <v>6</v>
      </c>
      <c r="W778" s="234" t="n">
        <v>25</v>
      </c>
      <c r="X778" s="248" t="n">
        <f aca="false">DATE(1900,Таблица18[[#This Row],[Месяц]],Таблица18[[#This Row],[Число]])</f>
        <v>177</v>
      </c>
      <c r="Y778" s="234"/>
      <c r="AF778" s="411"/>
      <c r="AG778" s="412"/>
    </row>
    <row r="779" s="410" customFormat="true" ht="15" hidden="true" customHeight="true" outlineLevel="0" collapsed="false">
      <c r="A779" s="198" t="s">
        <v>2401</v>
      </c>
      <c r="B779" s="199" t="s">
        <v>417</v>
      </c>
      <c r="C779" s="198" t="n">
        <v>421</v>
      </c>
      <c r="D779" s="198" t="n">
        <v>99</v>
      </c>
      <c r="E779" s="198" t="s">
        <v>2244</v>
      </c>
      <c r="F779" s="198" t="s">
        <v>1797</v>
      </c>
      <c r="G779" s="198" t="s">
        <v>385</v>
      </c>
      <c r="H779" s="198" t="s">
        <v>2400</v>
      </c>
      <c r="I779" s="199"/>
      <c r="J779" s="198" t="s">
        <v>2389</v>
      </c>
      <c r="K779" s="198" t="s">
        <v>1435</v>
      </c>
      <c r="L779" s="234" t="n">
        <v>27310</v>
      </c>
      <c r="M779" s="234" t="n">
        <v>14440</v>
      </c>
      <c r="N779" s="234" t="n">
        <v>36.5</v>
      </c>
      <c r="O779" s="407" t="n">
        <v>12870</v>
      </c>
      <c r="P779" s="407" t="n">
        <v>8172.4</v>
      </c>
      <c r="Q779" s="234" t="n">
        <v>2024</v>
      </c>
      <c r="R779" s="234"/>
      <c r="S779" s="248" t="n">
        <v>45469</v>
      </c>
      <c r="T779" s="407" t="n">
        <f aca="false">Таблица18[[#This Row],[Вес нетто]]-Таблица18[[#This Row],[Зачетный вес]]</f>
        <v>4697.6</v>
      </c>
      <c r="U779" s="409" t="n">
        <f aca="false">Таблица18[[#This Row],[Отход]]/Таблица18[[#This Row],[Вес нетто]]</f>
        <v>0.365003885003885</v>
      </c>
      <c r="V779" s="234" t="n">
        <f aca="false">MONTH(Таблица18[[#This Row],[Дата акта]])</f>
        <v>6</v>
      </c>
      <c r="W779" s="234" t="n">
        <v>26</v>
      </c>
      <c r="X779" s="248" t="n">
        <f aca="false">DATE(1900,Таблица18[[#This Row],[Месяц]],Таблица18[[#This Row],[Число]])</f>
        <v>178</v>
      </c>
      <c r="Y779" s="234"/>
      <c r="AF779" s="411"/>
      <c r="AG779" s="412"/>
    </row>
    <row r="780" s="410" customFormat="true" ht="15" hidden="true" customHeight="true" outlineLevel="0" collapsed="false">
      <c r="A780" s="198" t="s">
        <v>2402</v>
      </c>
      <c r="B780" s="199" t="s">
        <v>417</v>
      </c>
      <c r="C780" s="198" t="n">
        <v>422</v>
      </c>
      <c r="D780" s="198" t="n">
        <v>100</v>
      </c>
      <c r="E780" s="198" t="s">
        <v>2244</v>
      </c>
      <c r="F780" s="198" t="s">
        <v>382</v>
      </c>
      <c r="G780" s="198" t="s">
        <v>383</v>
      </c>
      <c r="H780" s="198" t="s">
        <v>2400</v>
      </c>
      <c r="I780" s="199"/>
      <c r="J780" s="198" t="s">
        <v>2389</v>
      </c>
      <c r="K780" s="198" t="s">
        <v>1435</v>
      </c>
      <c r="L780" s="234" t="n">
        <v>27850</v>
      </c>
      <c r="M780" s="234" t="n">
        <v>14910</v>
      </c>
      <c r="N780" s="234" t="n">
        <v>32</v>
      </c>
      <c r="O780" s="407" t="n">
        <v>12940</v>
      </c>
      <c r="P780" s="407" t="n">
        <v>8799.2</v>
      </c>
      <c r="Q780" s="234" t="n">
        <v>2024</v>
      </c>
      <c r="R780" s="234"/>
      <c r="S780" s="248" t="n">
        <v>45469</v>
      </c>
      <c r="T780" s="407" t="n">
        <f aca="false">Таблица18[[#This Row],[Вес нетто]]-Таблица18[[#This Row],[Зачетный вес]]</f>
        <v>4140.8</v>
      </c>
      <c r="U780" s="409" t="n">
        <f aca="false">Таблица18[[#This Row],[Отход]]/Таблица18[[#This Row],[Вес нетто]]</f>
        <v>0.32</v>
      </c>
      <c r="V780" s="234" t="n">
        <f aca="false">MONTH(Таблица18[[#This Row],[Дата акта]])</f>
        <v>6</v>
      </c>
      <c r="W780" s="234" t="n">
        <v>26</v>
      </c>
      <c r="X780" s="248" t="n">
        <f aca="false">DATE(1900,Таблица18[[#This Row],[Месяц]],Таблица18[[#This Row],[Число]])</f>
        <v>178</v>
      </c>
      <c r="Y780" s="234"/>
      <c r="AF780" s="411"/>
      <c r="AG780" s="412"/>
    </row>
    <row r="781" s="410" customFormat="true" ht="15" hidden="true" customHeight="true" outlineLevel="0" collapsed="false">
      <c r="A781" s="198" t="s">
        <v>2403</v>
      </c>
      <c r="B781" s="199" t="s">
        <v>417</v>
      </c>
      <c r="C781" s="198" t="n">
        <v>423</v>
      </c>
      <c r="D781" s="198" t="n">
        <v>101</v>
      </c>
      <c r="E781" s="198" t="s">
        <v>2244</v>
      </c>
      <c r="F781" s="198" t="s">
        <v>359</v>
      </c>
      <c r="G781" s="198" t="s">
        <v>426</v>
      </c>
      <c r="H781" s="198" t="s">
        <v>2400</v>
      </c>
      <c r="I781" s="199"/>
      <c r="J781" s="198" t="s">
        <v>2389</v>
      </c>
      <c r="K781" s="198" t="s">
        <v>1435</v>
      </c>
      <c r="L781" s="234" t="n">
        <v>28460</v>
      </c>
      <c r="M781" s="234" t="n">
        <v>14120</v>
      </c>
      <c r="N781" s="234" t="n">
        <v>36.5</v>
      </c>
      <c r="O781" s="407" t="n">
        <v>14340</v>
      </c>
      <c r="P781" s="407" t="n">
        <v>9105.9</v>
      </c>
      <c r="Q781" s="234" t="n">
        <v>2024</v>
      </c>
      <c r="R781" s="234"/>
      <c r="S781" s="248" t="n">
        <v>45469</v>
      </c>
      <c r="T781" s="407" t="n">
        <f aca="false">Таблица18[[#This Row],[Вес нетто]]-Таблица18[[#This Row],[Зачетный вес]]</f>
        <v>5234.1</v>
      </c>
      <c r="U781" s="409" t="n">
        <f aca="false">Таблица18[[#This Row],[Отход]]/Таблица18[[#This Row],[Вес нетто]]</f>
        <v>0.365</v>
      </c>
      <c r="V781" s="234" t="n">
        <f aca="false">MONTH(Таблица18[[#This Row],[Дата акта]])</f>
        <v>6</v>
      </c>
      <c r="W781" s="234" t="n">
        <v>26</v>
      </c>
      <c r="X781" s="248" t="n">
        <f aca="false">DATE(1900,Таблица18[[#This Row],[Месяц]],Таблица18[[#This Row],[Число]])</f>
        <v>178</v>
      </c>
      <c r="Y781" s="234"/>
      <c r="AF781" s="411"/>
      <c r="AG781" s="412"/>
    </row>
    <row r="782" s="410" customFormat="true" ht="15" hidden="true" customHeight="true" outlineLevel="0" collapsed="false">
      <c r="A782" s="198" t="s">
        <v>2404</v>
      </c>
      <c r="B782" s="199" t="s">
        <v>417</v>
      </c>
      <c r="C782" s="198" t="n">
        <v>425</v>
      </c>
      <c r="D782" s="198" t="n">
        <v>102</v>
      </c>
      <c r="E782" s="198" t="s">
        <v>2244</v>
      </c>
      <c r="F782" s="198" t="s">
        <v>2253</v>
      </c>
      <c r="G782" s="198" t="s">
        <v>2254</v>
      </c>
      <c r="H782" s="198" t="s">
        <v>2400</v>
      </c>
      <c r="I782" s="199"/>
      <c r="J782" s="198" t="s">
        <v>2389</v>
      </c>
      <c r="K782" s="198" t="s">
        <v>1435</v>
      </c>
      <c r="L782" s="234" t="n">
        <v>35620</v>
      </c>
      <c r="M782" s="234" t="n">
        <v>18550</v>
      </c>
      <c r="N782" s="234" t="n">
        <v>30.5</v>
      </c>
      <c r="O782" s="407" t="n">
        <v>17070</v>
      </c>
      <c r="P782" s="407" t="n">
        <v>11863.6</v>
      </c>
      <c r="Q782" s="234" t="n">
        <v>2024</v>
      </c>
      <c r="R782" s="234"/>
      <c r="S782" s="248" t="n">
        <v>45469</v>
      </c>
      <c r="T782" s="407" t="n">
        <f aca="false">Таблица18[[#This Row],[Вес нетто]]-Таблица18[[#This Row],[Зачетный вес]]</f>
        <v>5206.4</v>
      </c>
      <c r="U782" s="409" t="n">
        <f aca="false">Таблица18[[#This Row],[Отход]]/Таблица18[[#This Row],[Вес нетто]]</f>
        <v>0.305002929115407</v>
      </c>
      <c r="V782" s="234" t="n">
        <f aca="false">MONTH(Таблица18[[#This Row],[Дата акта]])</f>
        <v>6</v>
      </c>
      <c r="W782" s="234" t="n">
        <v>26</v>
      </c>
      <c r="X782" s="248" t="n">
        <f aca="false">DATE(1900,Таблица18[[#This Row],[Месяц]],Таблица18[[#This Row],[Число]])</f>
        <v>178</v>
      </c>
      <c r="Y782" s="234"/>
      <c r="AF782" s="411"/>
      <c r="AG782" s="412"/>
    </row>
    <row r="783" s="410" customFormat="true" ht="15" hidden="true" customHeight="true" outlineLevel="0" collapsed="false">
      <c r="A783" s="198" t="s">
        <v>2405</v>
      </c>
      <c r="B783" s="199" t="s">
        <v>417</v>
      </c>
      <c r="C783" s="198" t="n">
        <v>428</v>
      </c>
      <c r="D783" s="198" t="n">
        <v>103</v>
      </c>
      <c r="E783" s="198" t="s">
        <v>2244</v>
      </c>
      <c r="F783" s="198" t="s">
        <v>2078</v>
      </c>
      <c r="G783" s="198" t="s">
        <v>557</v>
      </c>
      <c r="H783" s="198" t="s">
        <v>2400</v>
      </c>
      <c r="I783" s="199"/>
      <c r="J783" s="198" t="s">
        <v>2389</v>
      </c>
      <c r="K783" s="198" t="s">
        <v>1435</v>
      </c>
      <c r="L783" s="234" t="n">
        <v>30030</v>
      </c>
      <c r="M783" s="234" t="n">
        <v>14890</v>
      </c>
      <c r="N783" s="234" t="n">
        <v>35.5</v>
      </c>
      <c r="O783" s="407" t="n">
        <v>15140</v>
      </c>
      <c r="P783" s="407" t="n">
        <v>9765.3</v>
      </c>
      <c r="Q783" s="234" t="n">
        <v>2024</v>
      </c>
      <c r="R783" s="234"/>
      <c r="S783" s="248" t="n">
        <v>45469</v>
      </c>
      <c r="T783" s="407" t="n">
        <f aca="false">Таблица18[[#This Row],[Вес нетто]]-Таблица18[[#This Row],[Зачетный вес]]</f>
        <v>5374.7</v>
      </c>
      <c r="U783" s="409" t="n">
        <f aca="false">Таблица18[[#This Row],[Отход]]/Таблица18[[#This Row],[Вес нетто]]</f>
        <v>0.355</v>
      </c>
      <c r="V783" s="234" t="n">
        <f aca="false">MONTH(Таблица18[[#This Row],[Дата акта]])</f>
        <v>6</v>
      </c>
      <c r="W783" s="234" t="n">
        <v>26</v>
      </c>
      <c r="X783" s="248" t="n">
        <f aca="false">DATE(1900,Таблица18[[#This Row],[Месяц]],Таблица18[[#This Row],[Число]])</f>
        <v>178</v>
      </c>
      <c r="Y783" s="234"/>
      <c r="AF783" s="411"/>
      <c r="AG783" s="412"/>
    </row>
    <row r="784" s="410" customFormat="true" ht="15" hidden="true" customHeight="true" outlineLevel="0" collapsed="false">
      <c r="A784" s="198" t="s">
        <v>2406</v>
      </c>
      <c r="B784" s="199" t="s">
        <v>417</v>
      </c>
      <c r="C784" s="198" t="n">
        <v>429</v>
      </c>
      <c r="D784" s="198" t="n">
        <v>104</v>
      </c>
      <c r="E784" s="198" t="s">
        <v>2244</v>
      </c>
      <c r="F784" s="198" t="s">
        <v>359</v>
      </c>
      <c r="G784" s="198" t="s">
        <v>426</v>
      </c>
      <c r="H784" s="198" t="s">
        <v>2400</v>
      </c>
      <c r="I784" s="199"/>
      <c r="J784" s="198" t="s">
        <v>2389</v>
      </c>
      <c r="K784" s="198" t="s">
        <v>1435</v>
      </c>
      <c r="L784" s="234" t="n">
        <v>29450</v>
      </c>
      <c r="M784" s="234" t="n">
        <v>13940</v>
      </c>
      <c r="N784" s="234" t="n">
        <v>32.5</v>
      </c>
      <c r="O784" s="407" t="n">
        <v>15510</v>
      </c>
      <c r="P784" s="407" t="n">
        <v>10469.2</v>
      </c>
      <c r="Q784" s="234" t="n">
        <v>2024</v>
      </c>
      <c r="R784" s="234"/>
      <c r="S784" s="248" t="n">
        <v>45469</v>
      </c>
      <c r="T784" s="407" t="n">
        <f aca="false">Таблица18[[#This Row],[Вес нетто]]-Таблица18[[#This Row],[Зачетный вес]]</f>
        <v>5040.8</v>
      </c>
      <c r="U784" s="409" t="n">
        <f aca="false">Таблица18[[#This Row],[Отход]]/Таблица18[[#This Row],[Вес нетто]]</f>
        <v>0.325003223726628</v>
      </c>
      <c r="V784" s="234" t="n">
        <f aca="false">MONTH(Таблица18[[#This Row],[Дата акта]])</f>
        <v>6</v>
      </c>
      <c r="W784" s="234" t="n">
        <v>26</v>
      </c>
      <c r="X784" s="248" t="n">
        <f aca="false">DATE(1900,Таблица18[[#This Row],[Месяц]],Таблица18[[#This Row],[Число]])</f>
        <v>178</v>
      </c>
      <c r="Y784" s="234"/>
      <c r="AF784" s="411"/>
      <c r="AG784" s="412"/>
    </row>
    <row r="785" s="410" customFormat="true" ht="15" hidden="true" customHeight="true" outlineLevel="0" collapsed="false">
      <c r="A785" s="198" t="s">
        <v>2407</v>
      </c>
      <c r="B785" s="199" t="s">
        <v>746</v>
      </c>
      <c r="C785" s="198" t="n">
        <v>430</v>
      </c>
      <c r="D785" s="198" t="n">
        <v>105</v>
      </c>
      <c r="E785" s="198" t="s">
        <v>2244</v>
      </c>
      <c r="F785" s="198" t="s">
        <v>1485</v>
      </c>
      <c r="G785" s="198" t="s">
        <v>431</v>
      </c>
      <c r="H785" s="198" t="s">
        <v>2384</v>
      </c>
      <c r="I785" s="199"/>
      <c r="J785" s="198" t="s">
        <v>2389</v>
      </c>
      <c r="K785" s="198" t="s">
        <v>1435</v>
      </c>
      <c r="L785" s="234" t="n">
        <v>38690</v>
      </c>
      <c r="M785" s="234" t="n">
        <v>20870</v>
      </c>
      <c r="N785" s="234" t="n">
        <v>26.5</v>
      </c>
      <c r="O785" s="407" t="n">
        <v>17820</v>
      </c>
      <c r="P785" s="407" t="n">
        <v>13097.7</v>
      </c>
      <c r="Q785" s="234" t="n">
        <v>2024</v>
      </c>
      <c r="R785" s="234"/>
      <c r="S785" s="248" t="n">
        <v>45469</v>
      </c>
      <c r="T785" s="407" t="n">
        <f aca="false">Таблица18[[#This Row],[Вес нетто]]-Таблица18[[#This Row],[Зачетный вес]]</f>
        <v>4722.3</v>
      </c>
      <c r="U785" s="409" t="n">
        <f aca="false">Таблица18[[#This Row],[Отход]]/Таблица18[[#This Row],[Вес нетто]]</f>
        <v>0.265</v>
      </c>
      <c r="V785" s="234" t="n">
        <f aca="false">MONTH(Таблица18[[#This Row],[Дата акта]])</f>
        <v>6</v>
      </c>
      <c r="W785" s="234" t="n">
        <v>26</v>
      </c>
      <c r="X785" s="248" t="n">
        <f aca="false">DATE(1900,Таблица18[[#This Row],[Месяц]],Таблица18[[#This Row],[Число]])</f>
        <v>178</v>
      </c>
      <c r="Y785" s="234"/>
      <c r="AF785" s="411"/>
      <c r="AG785" s="412"/>
    </row>
    <row r="786" s="410" customFormat="true" ht="15" hidden="true" customHeight="true" outlineLevel="0" collapsed="false">
      <c r="A786" s="198" t="s">
        <v>2408</v>
      </c>
      <c r="B786" s="199" t="s">
        <v>746</v>
      </c>
      <c r="C786" s="198" t="n">
        <v>431</v>
      </c>
      <c r="D786" s="198" t="n">
        <v>106</v>
      </c>
      <c r="E786" s="198" t="s">
        <v>2244</v>
      </c>
      <c r="F786" s="198" t="s">
        <v>382</v>
      </c>
      <c r="G786" s="198" t="s">
        <v>383</v>
      </c>
      <c r="H786" s="198" t="s">
        <v>2384</v>
      </c>
      <c r="I786" s="199"/>
      <c r="J786" s="198" t="s">
        <v>2389</v>
      </c>
      <c r="K786" s="198" t="s">
        <v>1435</v>
      </c>
      <c r="L786" s="234" t="n">
        <v>27780</v>
      </c>
      <c r="M786" s="234" t="n">
        <v>14880</v>
      </c>
      <c r="N786" s="234" t="n">
        <v>18.5</v>
      </c>
      <c r="O786" s="407" t="n">
        <v>12900</v>
      </c>
      <c r="P786" s="407" t="n">
        <v>10513.5</v>
      </c>
      <c r="Q786" s="234" t="n">
        <v>2024</v>
      </c>
      <c r="R786" s="234"/>
      <c r="S786" s="248" t="n">
        <v>45470</v>
      </c>
      <c r="T786" s="407" t="n">
        <f aca="false">Таблица18[[#This Row],[Вес нетто]]-Таблица18[[#This Row],[Зачетный вес]]</f>
        <v>2386.5</v>
      </c>
      <c r="U786" s="409" t="n">
        <f aca="false">Таблица18[[#This Row],[Отход]]/Таблица18[[#This Row],[Вес нетто]]</f>
        <v>0.185</v>
      </c>
      <c r="V786" s="234" t="n">
        <f aca="false">MONTH(Таблица18[[#This Row],[Дата акта]])</f>
        <v>6</v>
      </c>
      <c r="W786" s="234" t="n">
        <v>27</v>
      </c>
      <c r="X786" s="248" t="n">
        <f aca="false">DATE(1900,Таблица18[[#This Row],[Месяц]],Таблица18[[#This Row],[Число]])</f>
        <v>179</v>
      </c>
      <c r="Y786" s="234"/>
      <c r="AF786" s="411"/>
      <c r="AG786" s="412"/>
    </row>
    <row r="787" s="410" customFormat="true" ht="15" hidden="true" customHeight="true" outlineLevel="0" collapsed="false">
      <c r="A787" s="198" t="s">
        <v>2409</v>
      </c>
      <c r="B787" s="199" t="s">
        <v>746</v>
      </c>
      <c r="C787" s="198" t="n">
        <v>432</v>
      </c>
      <c r="D787" s="198" t="n">
        <v>107</v>
      </c>
      <c r="E787" s="198" t="s">
        <v>2244</v>
      </c>
      <c r="F787" s="198" t="s">
        <v>1797</v>
      </c>
      <c r="G787" s="198" t="s">
        <v>385</v>
      </c>
      <c r="H787" s="198" t="s">
        <v>2384</v>
      </c>
      <c r="I787" s="199"/>
      <c r="J787" s="198" t="s">
        <v>2389</v>
      </c>
      <c r="K787" s="198" t="s">
        <v>1435</v>
      </c>
      <c r="L787" s="234" t="n">
        <v>27640</v>
      </c>
      <c r="M787" s="234" t="n">
        <v>14420</v>
      </c>
      <c r="N787" s="234" t="n">
        <v>19.5</v>
      </c>
      <c r="O787" s="407" t="n">
        <v>13220</v>
      </c>
      <c r="P787" s="407" t="n">
        <v>10642.1</v>
      </c>
      <c r="Q787" s="234" t="n">
        <v>2024</v>
      </c>
      <c r="R787" s="234"/>
      <c r="S787" s="248" t="n">
        <v>45470</v>
      </c>
      <c r="T787" s="407" t="n">
        <f aca="false">Таблица18[[#This Row],[Вес нетто]]-Таблица18[[#This Row],[Зачетный вес]]</f>
        <v>2577.9</v>
      </c>
      <c r="U787" s="409" t="n">
        <f aca="false">Таблица18[[#This Row],[Отход]]/Таблица18[[#This Row],[Вес нетто]]</f>
        <v>0.195</v>
      </c>
      <c r="V787" s="234" t="n">
        <f aca="false">MONTH(Таблица18[[#This Row],[Дата акта]])</f>
        <v>6</v>
      </c>
      <c r="W787" s="234" t="n">
        <v>27</v>
      </c>
      <c r="X787" s="248" t="n">
        <f aca="false">DATE(1900,Таблица18[[#This Row],[Месяц]],Таблица18[[#This Row],[Число]])</f>
        <v>179</v>
      </c>
      <c r="Y787" s="234"/>
      <c r="AF787" s="411"/>
      <c r="AG787" s="412"/>
    </row>
    <row r="788" s="410" customFormat="true" ht="15" hidden="true" customHeight="true" outlineLevel="0" collapsed="false">
      <c r="A788" s="198" t="s">
        <v>2410</v>
      </c>
      <c r="B788" s="199" t="s">
        <v>417</v>
      </c>
      <c r="C788" s="198" t="n">
        <v>433</v>
      </c>
      <c r="D788" s="198" t="n">
        <v>108</v>
      </c>
      <c r="E788" s="198" t="s">
        <v>2244</v>
      </c>
      <c r="F788" s="198" t="s">
        <v>2253</v>
      </c>
      <c r="G788" s="198" t="s">
        <v>2254</v>
      </c>
      <c r="H788" s="198" t="s">
        <v>2384</v>
      </c>
      <c r="I788" s="199"/>
      <c r="J788" s="198" t="s">
        <v>2389</v>
      </c>
      <c r="K788" s="198" t="s">
        <v>1435</v>
      </c>
      <c r="L788" s="234" t="n">
        <v>35980</v>
      </c>
      <c r="M788" s="234" t="n">
        <v>18440</v>
      </c>
      <c r="N788" s="234" t="n">
        <v>19.5</v>
      </c>
      <c r="O788" s="407" t="n">
        <v>17540</v>
      </c>
      <c r="P788" s="407" t="n">
        <v>14119.7</v>
      </c>
      <c r="Q788" s="234" t="n">
        <v>2024</v>
      </c>
      <c r="R788" s="234"/>
      <c r="S788" s="248" t="n">
        <v>45470</v>
      </c>
      <c r="T788" s="407" t="n">
        <f aca="false">Таблица18[[#This Row],[Вес нетто]]-Таблица18[[#This Row],[Зачетный вес]]</f>
        <v>3420.3</v>
      </c>
      <c r="U788" s="409" t="n">
        <f aca="false">Таблица18[[#This Row],[Отход]]/Таблица18[[#This Row],[Вес нетто]]</f>
        <v>0.195</v>
      </c>
      <c r="V788" s="234" t="n">
        <f aca="false">MONTH(Таблица18[[#This Row],[Дата акта]])</f>
        <v>6</v>
      </c>
      <c r="W788" s="234" t="n">
        <v>27</v>
      </c>
      <c r="X788" s="248" t="n">
        <f aca="false">DATE(1900,Таблица18[[#This Row],[Месяц]],Таблица18[[#This Row],[Число]])</f>
        <v>179</v>
      </c>
      <c r="Y788" s="234"/>
      <c r="AF788" s="411"/>
      <c r="AG788" s="412"/>
    </row>
    <row r="789" s="410" customFormat="true" ht="15" hidden="true" customHeight="true" outlineLevel="0" collapsed="false">
      <c r="A789" s="198" t="s">
        <v>2411</v>
      </c>
      <c r="B789" s="199" t="s">
        <v>417</v>
      </c>
      <c r="C789" s="198" t="n">
        <v>434</v>
      </c>
      <c r="D789" s="198" t="n">
        <v>109</v>
      </c>
      <c r="E789" s="198" t="s">
        <v>2244</v>
      </c>
      <c r="F789" s="198" t="s">
        <v>2078</v>
      </c>
      <c r="G789" s="198" t="s">
        <v>557</v>
      </c>
      <c r="H789" s="198" t="s">
        <v>2384</v>
      </c>
      <c r="I789" s="199"/>
      <c r="J789" s="198" t="s">
        <v>2389</v>
      </c>
      <c r="K789" s="198" t="s">
        <v>1435</v>
      </c>
      <c r="L789" s="234" t="n">
        <v>30100</v>
      </c>
      <c r="M789" s="234" t="n">
        <v>14780</v>
      </c>
      <c r="N789" s="234" t="n">
        <v>18.5</v>
      </c>
      <c r="O789" s="407" t="n">
        <v>15320</v>
      </c>
      <c r="P789" s="407" t="n">
        <v>12485.8</v>
      </c>
      <c r="Q789" s="234" t="n">
        <v>2024</v>
      </c>
      <c r="R789" s="234"/>
      <c r="S789" s="248" t="n">
        <v>45470</v>
      </c>
      <c r="T789" s="407" t="n">
        <f aca="false">Таблица18[[#This Row],[Вес нетто]]-Таблица18[[#This Row],[Зачетный вес]]</f>
        <v>2834.2</v>
      </c>
      <c r="U789" s="409" t="n">
        <f aca="false">Таблица18[[#This Row],[Отход]]/Таблица18[[#This Row],[Вес нетто]]</f>
        <v>0.185</v>
      </c>
      <c r="V789" s="234" t="n">
        <f aca="false">MONTH(Таблица18[[#This Row],[Дата акта]])</f>
        <v>6</v>
      </c>
      <c r="W789" s="234" t="n">
        <v>27</v>
      </c>
      <c r="X789" s="248" t="n">
        <f aca="false">DATE(1900,Таблица18[[#This Row],[Месяц]],Таблица18[[#This Row],[Число]])</f>
        <v>179</v>
      </c>
      <c r="Y789" s="234"/>
      <c r="AF789" s="411"/>
      <c r="AG789" s="412"/>
    </row>
    <row r="790" s="410" customFormat="true" ht="15" hidden="true" customHeight="true" outlineLevel="0" collapsed="false">
      <c r="A790" s="198" t="s">
        <v>2412</v>
      </c>
      <c r="B790" s="199" t="s">
        <v>746</v>
      </c>
      <c r="C790" s="198" t="n">
        <v>439</v>
      </c>
      <c r="D790" s="198" t="n">
        <v>110</v>
      </c>
      <c r="E790" s="198" t="s">
        <v>2244</v>
      </c>
      <c r="F790" s="198" t="s">
        <v>2084</v>
      </c>
      <c r="G790" s="198" t="s">
        <v>2085</v>
      </c>
      <c r="H790" s="198" t="s">
        <v>2384</v>
      </c>
      <c r="I790" s="199"/>
      <c r="J790" s="198" t="s">
        <v>2389</v>
      </c>
      <c r="K790" s="198" t="s">
        <v>1435</v>
      </c>
      <c r="L790" s="234" t="n">
        <v>32340</v>
      </c>
      <c r="M790" s="234" t="n">
        <v>17320</v>
      </c>
      <c r="N790" s="234" t="n">
        <v>14.5</v>
      </c>
      <c r="O790" s="407" t="n">
        <v>15020</v>
      </c>
      <c r="P790" s="407" t="n">
        <v>12842.1</v>
      </c>
      <c r="Q790" s="234" t="n">
        <v>2024</v>
      </c>
      <c r="R790" s="234"/>
      <c r="S790" s="248" t="n">
        <v>45470</v>
      </c>
      <c r="T790" s="407" t="n">
        <f aca="false">Таблица18[[#This Row],[Вес нетто]]-Таблица18[[#This Row],[Зачетный вес]]</f>
        <v>2177.9</v>
      </c>
      <c r="U790" s="409" t="n">
        <f aca="false">Таблица18[[#This Row],[Отход]]/Таблица18[[#This Row],[Вес нетто]]</f>
        <v>0.145</v>
      </c>
      <c r="V790" s="234" t="n">
        <f aca="false">MONTH(Таблица18[[#This Row],[Дата акта]])</f>
        <v>6</v>
      </c>
      <c r="W790" s="234" t="n">
        <v>27</v>
      </c>
      <c r="X790" s="248" t="n">
        <f aca="false">DATE(1900,Таблица18[[#This Row],[Месяц]],Таблица18[[#This Row],[Число]])</f>
        <v>179</v>
      </c>
      <c r="Y790" s="234"/>
      <c r="AF790" s="411"/>
      <c r="AG790" s="412"/>
    </row>
    <row r="791" s="410" customFormat="true" ht="15" hidden="true" customHeight="true" outlineLevel="0" collapsed="false">
      <c r="A791" s="198" t="s">
        <v>2413</v>
      </c>
      <c r="B791" s="199" t="s">
        <v>746</v>
      </c>
      <c r="C791" s="198" t="n">
        <v>440</v>
      </c>
      <c r="D791" s="198" t="n">
        <v>111</v>
      </c>
      <c r="E791" s="198" t="s">
        <v>2244</v>
      </c>
      <c r="F791" s="198" t="s">
        <v>363</v>
      </c>
      <c r="G791" s="198" t="s">
        <v>364</v>
      </c>
      <c r="H791" s="198" t="s">
        <v>2384</v>
      </c>
      <c r="I791" s="199"/>
      <c r="J791" s="198" t="s">
        <v>2389</v>
      </c>
      <c r="K791" s="198" t="s">
        <v>1435</v>
      </c>
      <c r="L791" s="234" t="n">
        <v>30120</v>
      </c>
      <c r="M791" s="234" t="n">
        <v>14520</v>
      </c>
      <c r="N791" s="234" t="n">
        <v>16.5</v>
      </c>
      <c r="O791" s="407" t="n">
        <v>15600</v>
      </c>
      <c r="P791" s="407" t="n">
        <v>13026</v>
      </c>
      <c r="Q791" s="234" t="n">
        <v>2024</v>
      </c>
      <c r="R791" s="234"/>
      <c r="S791" s="248" t="n">
        <v>45470</v>
      </c>
      <c r="T791" s="407" t="n">
        <f aca="false">Таблица18[[#This Row],[Вес нетто]]-Таблица18[[#This Row],[Зачетный вес]]</f>
        <v>2574</v>
      </c>
      <c r="U791" s="409" t="n">
        <f aca="false">Таблица18[[#This Row],[Отход]]/Таблица18[[#This Row],[Вес нетто]]</f>
        <v>0.165</v>
      </c>
      <c r="V791" s="234" t="n">
        <f aca="false">MONTH(Таблица18[[#This Row],[Дата акта]])</f>
        <v>6</v>
      </c>
      <c r="W791" s="234" t="n">
        <v>27</v>
      </c>
      <c r="X791" s="248" t="n">
        <f aca="false">DATE(1900,Таблица18[[#This Row],[Месяц]],Таблица18[[#This Row],[Число]])</f>
        <v>179</v>
      </c>
      <c r="Y791" s="234"/>
      <c r="AF791" s="411"/>
      <c r="AG791" s="412"/>
    </row>
    <row r="792" s="410" customFormat="true" ht="15" hidden="true" customHeight="true" outlineLevel="0" collapsed="false">
      <c r="A792" s="198" t="s">
        <v>2414</v>
      </c>
      <c r="B792" s="199" t="s">
        <v>746</v>
      </c>
      <c r="C792" s="198" t="n">
        <v>441</v>
      </c>
      <c r="D792" s="198" t="n">
        <v>112</v>
      </c>
      <c r="E792" s="198" t="s">
        <v>2244</v>
      </c>
      <c r="F792" s="198" t="s">
        <v>1485</v>
      </c>
      <c r="G792" s="198" t="s">
        <v>431</v>
      </c>
      <c r="H792" s="198" t="s">
        <v>2384</v>
      </c>
      <c r="I792" s="199"/>
      <c r="J792" s="198" t="s">
        <v>2389</v>
      </c>
      <c r="K792" s="198" t="s">
        <v>1435</v>
      </c>
      <c r="L792" s="234" t="n">
        <v>38960</v>
      </c>
      <c r="M792" s="234" t="n">
        <v>21010</v>
      </c>
      <c r="N792" s="234" t="n">
        <v>13.5</v>
      </c>
      <c r="O792" s="407" t="n">
        <v>17950</v>
      </c>
      <c r="P792" s="407" t="n">
        <v>15526.7</v>
      </c>
      <c r="Q792" s="234" t="n">
        <v>2024</v>
      </c>
      <c r="R792" s="234"/>
      <c r="S792" s="248" t="n">
        <v>45470</v>
      </c>
      <c r="T792" s="407" t="n">
        <f aca="false">Таблица18[[#This Row],[Вес нетто]]-Таблица18[[#This Row],[Зачетный вес]]</f>
        <v>2423.3</v>
      </c>
      <c r="U792" s="409" t="n">
        <f aca="false">Таблица18[[#This Row],[Отход]]/Таблица18[[#This Row],[Вес нетто]]</f>
        <v>0.13500278551532</v>
      </c>
      <c r="V792" s="234" t="n">
        <f aca="false">MONTH(Таблица18[[#This Row],[Дата акта]])</f>
        <v>6</v>
      </c>
      <c r="W792" s="234" t="n">
        <v>27</v>
      </c>
      <c r="X792" s="248" t="n">
        <f aca="false">DATE(1900,Таблица18[[#This Row],[Месяц]],Таблица18[[#This Row],[Число]])</f>
        <v>179</v>
      </c>
      <c r="Y792" s="234"/>
      <c r="AF792" s="411"/>
      <c r="AG792" s="412"/>
    </row>
    <row r="793" s="410" customFormat="true" ht="15" hidden="true" customHeight="true" outlineLevel="0" collapsed="false">
      <c r="A793" s="198" t="s">
        <v>2415</v>
      </c>
      <c r="B793" s="199" t="s">
        <v>746</v>
      </c>
      <c r="C793" s="198" t="n">
        <v>442</v>
      </c>
      <c r="D793" s="198" t="n">
        <v>113</v>
      </c>
      <c r="E793" s="198" t="s">
        <v>2244</v>
      </c>
      <c r="F793" s="198" t="s">
        <v>2078</v>
      </c>
      <c r="G793" s="198" t="s">
        <v>557</v>
      </c>
      <c r="H793" s="198" t="s">
        <v>2384</v>
      </c>
      <c r="I793" s="199"/>
      <c r="J793" s="198" t="s">
        <v>2389</v>
      </c>
      <c r="K793" s="198" t="s">
        <v>1435</v>
      </c>
      <c r="L793" s="234" t="n">
        <v>30500</v>
      </c>
      <c r="M793" s="234" t="n">
        <v>14830</v>
      </c>
      <c r="N793" s="234" t="n">
        <v>15.5</v>
      </c>
      <c r="O793" s="407" t="n">
        <v>15670</v>
      </c>
      <c r="P793" s="407" t="n">
        <v>13241.1</v>
      </c>
      <c r="Q793" s="234" t="n">
        <v>2024</v>
      </c>
      <c r="R793" s="234"/>
      <c r="S793" s="248" t="n">
        <v>45470</v>
      </c>
      <c r="T793" s="407" t="n">
        <f aca="false">Таблица18[[#This Row],[Вес нетто]]-Таблица18[[#This Row],[Зачетный вес]]</f>
        <v>2428.9</v>
      </c>
      <c r="U793" s="409" t="n">
        <f aca="false">Таблица18[[#This Row],[Отход]]/Таблица18[[#This Row],[Вес нетто]]</f>
        <v>0.155003190810466</v>
      </c>
      <c r="V793" s="234" t="n">
        <f aca="false">MONTH(Таблица18[[#This Row],[Дата акта]])</f>
        <v>6</v>
      </c>
      <c r="W793" s="234" t="n">
        <v>27</v>
      </c>
      <c r="X793" s="248" t="n">
        <f aca="false">DATE(1900,Таблица18[[#This Row],[Месяц]],Таблица18[[#This Row],[Число]])</f>
        <v>179</v>
      </c>
      <c r="Y793" s="234"/>
      <c r="AF793" s="411"/>
      <c r="AG793" s="412"/>
    </row>
    <row r="794" s="410" customFormat="true" ht="15" hidden="true" customHeight="true" outlineLevel="0" collapsed="false">
      <c r="A794" s="198" t="s">
        <v>2416</v>
      </c>
      <c r="B794" s="199" t="s">
        <v>746</v>
      </c>
      <c r="C794" s="198" t="n">
        <v>443</v>
      </c>
      <c r="D794" s="198" t="n">
        <v>114</v>
      </c>
      <c r="E794" s="198" t="s">
        <v>2244</v>
      </c>
      <c r="F794" s="198" t="s">
        <v>2253</v>
      </c>
      <c r="G794" s="198" t="s">
        <v>2254</v>
      </c>
      <c r="H794" s="198" t="s">
        <v>2384</v>
      </c>
      <c r="I794" s="199"/>
      <c r="J794" s="198" t="s">
        <v>2389</v>
      </c>
      <c r="K794" s="198" t="s">
        <v>1435</v>
      </c>
      <c r="L794" s="234" t="n">
        <v>36880</v>
      </c>
      <c r="M794" s="234" t="n">
        <v>18690</v>
      </c>
      <c r="N794" s="234" t="n">
        <v>24.5</v>
      </c>
      <c r="O794" s="407" t="n">
        <v>18190</v>
      </c>
      <c r="P794" s="407" t="n">
        <v>13733.4</v>
      </c>
      <c r="Q794" s="234" t="n">
        <v>2024</v>
      </c>
      <c r="R794" s="234"/>
      <c r="S794" s="248" t="n">
        <v>45470</v>
      </c>
      <c r="T794" s="407" t="n">
        <f aca="false">Таблица18[[#This Row],[Вес нетто]]-Таблица18[[#This Row],[Зачетный вес]]</f>
        <v>4456.6</v>
      </c>
      <c r="U794" s="409" t="n">
        <f aca="false">Таблица18[[#This Row],[Отход]]/Таблица18[[#This Row],[Вес нетто]]</f>
        <v>0.245002748763057</v>
      </c>
      <c r="V794" s="234" t="n">
        <f aca="false">MONTH(Таблица18[[#This Row],[Дата акта]])</f>
        <v>6</v>
      </c>
      <c r="W794" s="234" t="n">
        <v>27</v>
      </c>
      <c r="X794" s="248" t="n">
        <f aca="false">DATE(1900,Таблица18[[#This Row],[Месяц]],Таблица18[[#This Row],[Число]])</f>
        <v>179</v>
      </c>
      <c r="Y794" s="234"/>
      <c r="AF794" s="411"/>
      <c r="AG794" s="412"/>
    </row>
    <row r="795" s="410" customFormat="true" ht="15" hidden="true" customHeight="true" outlineLevel="0" collapsed="false">
      <c r="A795" s="198" t="s">
        <v>2417</v>
      </c>
      <c r="B795" s="199" t="s">
        <v>746</v>
      </c>
      <c r="C795" s="198" t="n">
        <v>444</v>
      </c>
      <c r="D795" s="198" t="n">
        <v>115</v>
      </c>
      <c r="E795" s="198" t="s">
        <v>2244</v>
      </c>
      <c r="F795" s="198" t="s">
        <v>359</v>
      </c>
      <c r="G795" s="198" t="s">
        <v>426</v>
      </c>
      <c r="H795" s="198" t="s">
        <v>2384</v>
      </c>
      <c r="I795" s="199"/>
      <c r="J795" s="198" t="s">
        <v>2389</v>
      </c>
      <c r="K795" s="198" t="s">
        <v>1435</v>
      </c>
      <c r="L795" s="234" t="n">
        <v>31910</v>
      </c>
      <c r="M795" s="234" t="n">
        <v>14030</v>
      </c>
      <c r="N795" s="234" t="n">
        <v>17.5</v>
      </c>
      <c r="O795" s="407" t="n">
        <v>17880</v>
      </c>
      <c r="P795" s="407" t="n">
        <v>14751</v>
      </c>
      <c r="Q795" s="234" t="n">
        <v>2024</v>
      </c>
      <c r="R795" s="234"/>
      <c r="S795" s="248" t="n">
        <v>45471</v>
      </c>
      <c r="T795" s="407" t="n">
        <f aca="false">Таблица18[[#This Row],[Вес нетто]]-Таблица18[[#This Row],[Зачетный вес]]</f>
        <v>3129</v>
      </c>
      <c r="U795" s="409" t="n">
        <f aca="false">Таблица18[[#This Row],[Отход]]/Таблица18[[#This Row],[Вес нетто]]</f>
        <v>0.175</v>
      </c>
      <c r="V795" s="234" t="n">
        <f aca="false">MONTH(Таблица18[[#This Row],[Дата акта]])</f>
        <v>6</v>
      </c>
      <c r="W795" s="234" t="n">
        <v>28</v>
      </c>
      <c r="X795" s="248" t="n">
        <f aca="false">DATE(1900,Таблица18[[#This Row],[Месяц]],Таблица18[[#This Row],[Число]])</f>
        <v>180</v>
      </c>
      <c r="Y795" s="234"/>
      <c r="AF795" s="411"/>
      <c r="AG795" s="412"/>
    </row>
    <row r="796" s="410" customFormat="true" ht="15" hidden="true" customHeight="true" outlineLevel="0" collapsed="false">
      <c r="A796" s="198" t="s">
        <v>2418</v>
      </c>
      <c r="B796" s="199" t="s">
        <v>746</v>
      </c>
      <c r="C796" s="198" t="n">
        <v>445</v>
      </c>
      <c r="D796" s="198" t="n">
        <v>116</v>
      </c>
      <c r="E796" s="198" t="s">
        <v>2244</v>
      </c>
      <c r="F796" s="198" t="s">
        <v>2084</v>
      </c>
      <c r="G796" s="198" t="s">
        <v>2085</v>
      </c>
      <c r="H796" s="198" t="s">
        <v>2384</v>
      </c>
      <c r="I796" s="199"/>
      <c r="J796" s="198" t="s">
        <v>2389</v>
      </c>
      <c r="K796" s="198" t="s">
        <v>1435</v>
      </c>
      <c r="L796" s="234" t="n">
        <v>35030</v>
      </c>
      <c r="M796" s="234" t="n">
        <v>17220</v>
      </c>
      <c r="N796" s="234" t="n">
        <v>17.5</v>
      </c>
      <c r="O796" s="407" t="n">
        <v>17810</v>
      </c>
      <c r="P796" s="407" t="n">
        <v>14693.2</v>
      </c>
      <c r="Q796" s="234" t="n">
        <v>2024</v>
      </c>
      <c r="R796" s="234"/>
      <c r="S796" s="248" t="n">
        <v>45471</v>
      </c>
      <c r="T796" s="407" t="n">
        <f aca="false">Таблица18[[#This Row],[Вес нетто]]-Таблица18[[#This Row],[Зачетный вес]]</f>
        <v>3116.8</v>
      </c>
      <c r="U796" s="409" t="n">
        <f aca="false">Таблица18[[#This Row],[Отход]]/Таблица18[[#This Row],[Вес нетто]]</f>
        <v>0.175002807411566</v>
      </c>
      <c r="V796" s="234" t="n">
        <f aca="false">MONTH(Таблица18[[#This Row],[Дата акта]])</f>
        <v>6</v>
      </c>
      <c r="W796" s="234" t="n">
        <v>28</v>
      </c>
      <c r="X796" s="248" t="n">
        <f aca="false">DATE(1900,Таблица18[[#This Row],[Месяц]],Таблица18[[#This Row],[Число]])</f>
        <v>180</v>
      </c>
      <c r="Y796" s="234"/>
      <c r="AF796" s="411"/>
      <c r="AG796" s="412"/>
    </row>
    <row r="797" s="410" customFormat="true" ht="15" hidden="true" customHeight="true" outlineLevel="0" collapsed="false">
      <c r="A797" s="198" t="s">
        <v>2419</v>
      </c>
      <c r="B797" s="199" t="s">
        <v>746</v>
      </c>
      <c r="C797" s="198" t="n">
        <v>447</v>
      </c>
      <c r="D797" s="198" t="n">
        <v>117</v>
      </c>
      <c r="E797" s="198" t="s">
        <v>2244</v>
      </c>
      <c r="F797" s="198" t="s">
        <v>1797</v>
      </c>
      <c r="G797" s="198" t="s">
        <v>385</v>
      </c>
      <c r="H797" s="198" t="s">
        <v>2384</v>
      </c>
      <c r="I797" s="199"/>
      <c r="J797" s="198" t="s">
        <v>2389</v>
      </c>
      <c r="K797" s="198" t="s">
        <v>1435</v>
      </c>
      <c r="L797" s="234" t="n">
        <v>30080</v>
      </c>
      <c r="M797" s="234" t="n">
        <v>14410</v>
      </c>
      <c r="N797" s="234" t="n">
        <v>15.5</v>
      </c>
      <c r="O797" s="407" t="n">
        <v>15670</v>
      </c>
      <c r="P797" s="407" t="n">
        <v>13241.1</v>
      </c>
      <c r="Q797" s="234" t="n">
        <v>2024</v>
      </c>
      <c r="R797" s="234"/>
      <c r="S797" s="248" t="n">
        <v>45471</v>
      </c>
      <c r="T797" s="407" t="n">
        <f aca="false">Таблица18[[#This Row],[Вес нетто]]-Таблица18[[#This Row],[Зачетный вес]]</f>
        <v>2428.9</v>
      </c>
      <c r="U797" s="409" t="n">
        <f aca="false">Таблица18[[#This Row],[Отход]]/Таблица18[[#This Row],[Вес нетто]]</f>
        <v>0.155003190810466</v>
      </c>
      <c r="V797" s="234" t="n">
        <f aca="false">MONTH(Таблица18[[#This Row],[Дата акта]])</f>
        <v>6</v>
      </c>
      <c r="W797" s="234" t="n">
        <v>28</v>
      </c>
      <c r="X797" s="248" t="n">
        <f aca="false">DATE(1900,Таблица18[[#This Row],[Месяц]],Таблица18[[#This Row],[Число]])</f>
        <v>180</v>
      </c>
      <c r="Y797" s="234"/>
      <c r="AF797" s="411"/>
      <c r="AG797" s="412"/>
    </row>
    <row r="798" s="410" customFormat="true" ht="15" hidden="true" customHeight="true" outlineLevel="0" collapsed="false">
      <c r="A798" s="198" t="s">
        <v>2420</v>
      </c>
      <c r="B798" s="199" t="s">
        <v>746</v>
      </c>
      <c r="C798" s="198" t="n">
        <v>449</v>
      </c>
      <c r="D798" s="198" t="n">
        <v>118</v>
      </c>
      <c r="E798" s="198" t="s">
        <v>2244</v>
      </c>
      <c r="F798" s="198" t="s">
        <v>1086</v>
      </c>
      <c r="G798" s="198" t="s">
        <v>1087</v>
      </c>
      <c r="H798" s="198" t="s">
        <v>2384</v>
      </c>
      <c r="I798" s="199"/>
      <c r="J798" s="198" t="s">
        <v>2389</v>
      </c>
      <c r="K798" s="198" t="s">
        <v>1435</v>
      </c>
      <c r="L798" s="234" t="n">
        <v>33700</v>
      </c>
      <c r="M798" s="234" t="n">
        <v>14830</v>
      </c>
      <c r="N798" s="234" t="n">
        <v>12.5</v>
      </c>
      <c r="O798" s="407" t="n">
        <v>18870</v>
      </c>
      <c r="P798" s="407" t="n">
        <v>16511.2</v>
      </c>
      <c r="Q798" s="234" t="n">
        <v>2024</v>
      </c>
      <c r="R798" s="234"/>
      <c r="S798" s="248" t="n">
        <v>45471</v>
      </c>
      <c r="T798" s="407" t="n">
        <f aca="false">Таблица18[[#This Row],[Вес нетто]]-Таблица18[[#This Row],[Зачетный вес]]</f>
        <v>2358.8</v>
      </c>
      <c r="U798" s="409" t="n">
        <f aca="false">Таблица18[[#This Row],[Отход]]/Таблица18[[#This Row],[Вес нетто]]</f>
        <v>0.125002649708532</v>
      </c>
      <c r="V798" s="234" t="n">
        <f aca="false">MONTH(Таблица18[[#This Row],[Дата акта]])</f>
        <v>6</v>
      </c>
      <c r="W798" s="234" t="n">
        <v>28</v>
      </c>
      <c r="X798" s="248" t="n">
        <f aca="false">DATE(1900,Таблица18[[#This Row],[Месяц]],Таблица18[[#This Row],[Число]])</f>
        <v>180</v>
      </c>
      <c r="Y798" s="234"/>
      <c r="AF798" s="411"/>
      <c r="AG798" s="412"/>
    </row>
    <row r="799" s="410" customFormat="true" ht="15" hidden="true" customHeight="true" outlineLevel="0" collapsed="false">
      <c r="A799" s="198" t="s">
        <v>2421</v>
      </c>
      <c r="B799" s="199" t="s">
        <v>746</v>
      </c>
      <c r="C799" s="198" t="n">
        <v>450</v>
      </c>
      <c r="D799" s="198" t="n">
        <v>119</v>
      </c>
      <c r="E799" s="198" t="s">
        <v>2244</v>
      </c>
      <c r="F799" s="198" t="s">
        <v>2078</v>
      </c>
      <c r="G799" s="198" t="s">
        <v>557</v>
      </c>
      <c r="H799" s="198" t="s">
        <v>2388</v>
      </c>
      <c r="I799" s="199"/>
      <c r="J799" s="198" t="s">
        <v>2389</v>
      </c>
      <c r="K799" s="198" t="s">
        <v>1435</v>
      </c>
      <c r="L799" s="234" t="n">
        <v>25480</v>
      </c>
      <c r="M799" s="234" t="n">
        <v>20760</v>
      </c>
      <c r="N799" s="234" t="n">
        <v>57.5</v>
      </c>
      <c r="O799" s="407" t="n">
        <v>4720</v>
      </c>
      <c r="P799" s="407" t="n">
        <v>2006</v>
      </c>
      <c r="Q799" s="234" t="n">
        <v>2024</v>
      </c>
      <c r="R799" s="234"/>
      <c r="S799" s="248" t="n">
        <v>45471</v>
      </c>
      <c r="T799" s="407" t="n">
        <f aca="false">Таблица18[[#This Row],[Вес нетто]]-Таблица18[[#This Row],[Зачетный вес]]</f>
        <v>2714</v>
      </c>
      <c r="U799" s="409" t="n">
        <f aca="false">Таблица18[[#This Row],[Отход]]/Таблица18[[#This Row],[Вес нетто]]</f>
        <v>0.575</v>
      </c>
      <c r="V799" s="234" t="n">
        <f aca="false">MONTH(Таблица18[[#This Row],[Дата акта]])</f>
        <v>6</v>
      </c>
      <c r="W799" s="234" t="n">
        <v>28</v>
      </c>
      <c r="X799" s="248" t="n">
        <f aca="false">DATE(1900,Таблица18[[#This Row],[Месяц]],Таблица18[[#This Row],[Число]])</f>
        <v>180</v>
      </c>
      <c r="Y799" s="234"/>
      <c r="AF799" s="411"/>
      <c r="AG799" s="412"/>
    </row>
    <row r="800" s="410" customFormat="true" ht="15" hidden="true" customHeight="true" outlineLevel="0" collapsed="false">
      <c r="A800" s="198" t="s">
        <v>2422</v>
      </c>
      <c r="B800" s="199" t="s">
        <v>746</v>
      </c>
      <c r="C800" s="198" t="n">
        <v>451</v>
      </c>
      <c r="D800" s="198" t="n">
        <v>119</v>
      </c>
      <c r="E800" s="198" t="s">
        <v>2244</v>
      </c>
      <c r="F800" s="198" t="s">
        <v>2078</v>
      </c>
      <c r="G800" s="198" t="s">
        <v>557</v>
      </c>
      <c r="H800" s="198" t="s">
        <v>2384</v>
      </c>
      <c r="I800" s="199"/>
      <c r="J800" s="198" t="s">
        <v>2389</v>
      </c>
      <c r="K800" s="198" t="s">
        <v>1435</v>
      </c>
      <c r="L800" s="234" t="n">
        <v>20760</v>
      </c>
      <c r="M800" s="234" t="n">
        <v>14950</v>
      </c>
      <c r="N800" s="234" t="n">
        <v>11.5</v>
      </c>
      <c r="O800" s="407" t="n">
        <v>5810</v>
      </c>
      <c r="P800" s="407" t="n">
        <v>5141.8</v>
      </c>
      <c r="Q800" s="234" t="n">
        <v>2024</v>
      </c>
      <c r="R800" s="234"/>
      <c r="S800" s="248" t="n">
        <v>45471</v>
      </c>
      <c r="T800" s="407" t="n">
        <f aca="false">Таблица18[[#This Row],[Вес нетто]]-Таблица18[[#This Row],[Зачетный вес]]</f>
        <v>668.2</v>
      </c>
      <c r="U800" s="409" t="n">
        <f aca="false">Таблица18[[#This Row],[Отход]]/Таблица18[[#This Row],[Вес нетто]]</f>
        <v>0.115008605851979</v>
      </c>
      <c r="V800" s="234" t="n">
        <f aca="false">MONTH(Таблица18[[#This Row],[Дата акта]])</f>
        <v>6</v>
      </c>
      <c r="W800" s="234" t="n">
        <v>28</v>
      </c>
      <c r="X800" s="248" t="n">
        <f aca="false">DATE(1900,Таблица18[[#This Row],[Месяц]],Таблица18[[#This Row],[Число]])</f>
        <v>180</v>
      </c>
      <c r="Y800" s="234"/>
      <c r="AF800" s="411"/>
      <c r="AG800" s="412"/>
    </row>
    <row r="801" s="410" customFormat="true" ht="15" hidden="true" customHeight="true" outlineLevel="0" collapsed="false">
      <c r="A801" s="198" t="s">
        <v>2423</v>
      </c>
      <c r="B801" s="199" t="s">
        <v>746</v>
      </c>
      <c r="C801" s="198" t="n">
        <v>452</v>
      </c>
      <c r="D801" s="198" t="n">
        <v>120</v>
      </c>
      <c r="E801" s="198" t="s">
        <v>2244</v>
      </c>
      <c r="F801" s="198" t="s">
        <v>363</v>
      </c>
      <c r="G801" s="198" t="s">
        <v>364</v>
      </c>
      <c r="H801" s="198" t="s">
        <v>2388</v>
      </c>
      <c r="I801" s="199"/>
      <c r="J801" s="198" t="s">
        <v>2389</v>
      </c>
      <c r="K801" s="198" t="s">
        <v>1435</v>
      </c>
      <c r="L801" s="234" t="n">
        <v>19550</v>
      </c>
      <c r="M801" s="234" t="n">
        <v>14530</v>
      </c>
      <c r="N801" s="234" t="n">
        <v>51.5</v>
      </c>
      <c r="O801" s="407" t="n">
        <v>5020</v>
      </c>
      <c r="P801" s="407" t="n">
        <v>2434.7</v>
      </c>
      <c r="Q801" s="234" t="n">
        <v>2024</v>
      </c>
      <c r="R801" s="234"/>
      <c r="S801" s="248" t="n">
        <v>45471</v>
      </c>
      <c r="T801" s="407" t="n">
        <f aca="false">Таблица18[[#This Row],[Вес нетто]]-Таблица18[[#This Row],[Зачетный вес]]</f>
        <v>2585.3</v>
      </c>
      <c r="U801" s="409" t="n">
        <f aca="false">Таблица18[[#This Row],[Отход]]/Таблица18[[#This Row],[Вес нетто]]</f>
        <v>0.515</v>
      </c>
      <c r="V801" s="234" t="n">
        <f aca="false">MONTH(Таблица18[[#This Row],[Дата акта]])</f>
        <v>6</v>
      </c>
      <c r="W801" s="234" t="n">
        <v>28</v>
      </c>
      <c r="X801" s="248" t="n">
        <f aca="false">DATE(1900,Таблица18[[#This Row],[Месяц]],Таблица18[[#This Row],[Число]])</f>
        <v>180</v>
      </c>
      <c r="Y801" s="234"/>
      <c r="AF801" s="411"/>
      <c r="AG801" s="412"/>
    </row>
    <row r="802" s="410" customFormat="true" ht="15" hidden="true" customHeight="true" outlineLevel="0" collapsed="false">
      <c r="A802" s="198" t="s">
        <v>2424</v>
      </c>
      <c r="B802" s="199" t="s">
        <v>417</v>
      </c>
      <c r="C802" s="198" t="n">
        <v>102</v>
      </c>
      <c r="D802" s="198" t="n">
        <v>65889</v>
      </c>
      <c r="E802" s="198" t="s">
        <v>409</v>
      </c>
      <c r="F802" s="198" t="s">
        <v>411</v>
      </c>
      <c r="G802" s="198" t="s">
        <v>381</v>
      </c>
      <c r="H802" s="198" t="s">
        <v>410</v>
      </c>
      <c r="I802" s="199" t="s">
        <v>410</v>
      </c>
      <c r="J802" s="198" t="s">
        <v>252</v>
      </c>
      <c r="K802" s="198" t="s">
        <v>1435</v>
      </c>
      <c r="L802" s="234" t="n">
        <v>27380</v>
      </c>
      <c r="M802" s="234" t="n">
        <v>13950</v>
      </c>
      <c r="N802" s="234" t="n">
        <v>27</v>
      </c>
      <c r="O802" s="407" t="n">
        <v>13430</v>
      </c>
      <c r="P802" s="407" t="n">
        <v>9803.9</v>
      </c>
      <c r="Q802" s="234" t="n">
        <v>2025</v>
      </c>
      <c r="R802" s="234"/>
      <c r="S802" s="248" t="n">
        <v>45804</v>
      </c>
      <c r="T802" s="407" t="n">
        <f aca="false">Таблица18[[#This Row],[Вес нетто]]-Таблица18[[#This Row],[Зачетный вес]]</f>
        <v>3626.1</v>
      </c>
      <c r="U802" s="409" t="n">
        <f aca="false">Таблица18[[#This Row],[Отход]]/Таблица18[[#This Row],[Вес нетто]]</f>
        <v>0.27</v>
      </c>
      <c r="V802" s="234" t="n">
        <f aca="false">MONTH(Таблица18[[#This Row],[Дата акта]])</f>
        <v>5</v>
      </c>
      <c r="W802" s="234" t="n">
        <v>27</v>
      </c>
      <c r="X802" s="248" t="n">
        <f aca="false">DATE(1900,Таблица18[[#This Row],[Месяц]],Таблица18[[#This Row],[Число]])</f>
        <v>148</v>
      </c>
      <c r="Y802" s="234"/>
      <c r="AF802" s="411"/>
      <c r="AG802" s="412"/>
    </row>
    <row r="803" s="410" customFormat="true" ht="15" hidden="true" customHeight="true" outlineLevel="0" collapsed="false">
      <c r="A803" s="198" t="s">
        <v>2425</v>
      </c>
      <c r="B803" s="199" t="s">
        <v>417</v>
      </c>
      <c r="C803" s="198" t="n">
        <v>103</v>
      </c>
      <c r="D803" s="198" t="n">
        <v>65901</v>
      </c>
      <c r="E803" s="198" t="s">
        <v>409</v>
      </c>
      <c r="F803" s="198" t="s">
        <v>376</v>
      </c>
      <c r="G803" s="198" t="s">
        <v>377</v>
      </c>
      <c r="H803" s="198" t="s">
        <v>410</v>
      </c>
      <c r="I803" s="199" t="s">
        <v>410</v>
      </c>
      <c r="J803" s="198" t="s">
        <v>252</v>
      </c>
      <c r="K803" s="198" t="s">
        <v>1435</v>
      </c>
      <c r="L803" s="234" t="n">
        <v>28260</v>
      </c>
      <c r="M803" s="234" t="n">
        <v>14290</v>
      </c>
      <c r="N803" s="234" t="n">
        <v>26</v>
      </c>
      <c r="O803" s="407" t="n">
        <v>13970</v>
      </c>
      <c r="P803" s="407" t="n">
        <v>10337.8</v>
      </c>
      <c r="Q803" s="234" t="n">
        <v>2025</v>
      </c>
      <c r="R803" s="234"/>
      <c r="S803" s="248" t="n">
        <v>45804</v>
      </c>
      <c r="T803" s="407" t="n">
        <f aca="false">Таблица18[[#This Row],[Вес нетто]]-Таблица18[[#This Row],[Зачетный вес]]</f>
        <v>3632.2</v>
      </c>
      <c r="U803" s="409" t="n">
        <f aca="false">Таблица18[[#This Row],[Отход]]/Таблица18[[#This Row],[Вес нетто]]</f>
        <v>0.26</v>
      </c>
      <c r="V803" s="234" t="n">
        <f aca="false">MONTH(Таблица18[[#This Row],[Дата акта]])</f>
        <v>5</v>
      </c>
      <c r="W803" s="234" t="n">
        <v>27</v>
      </c>
      <c r="X803" s="248" t="n">
        <f aca="false">DATE(1900,Таблица18[[#This Row],[Месяц]],Таблица18[[#This Row],[Число]])</f>
        <v>148</v>
      </c>
      <c r="Y803" s="234"/>
      <c r="AF803" s="411"/>
      <c r="AG803" s="412"/>
    </row>
    <row r="804" s="410" customFormat="true" ht="15" hidden="true" customHeight="true" outlineLevel="0" collapsed="false">
      <c r="A804" s="198" t="s">
        <v>2426</v>
      </c>
      <c r="B804" s="199" t="s">
        <v>417</v>
      </c>
      <c r="C804" s="198" t="n">
        <v>104</v>
      </c>
      <c r="D804" s="198" t="n">
        <v>1</v>
      </c>
      <c r="E804" s="198" t="s">
        <v>422</v>
      </c>
      <c r="F804" s="198" t="s">
        <v>411</v>
      </c>
      <c r="G804" s="198" t="s">
        <v>381</v>
      </c>
      <c r="H804" s="198" t="s">
        <v>133</v>
      </c>
      <c r="I804" s="199" t="s">
        <v>133</v>
      </c>
      <c r="J804" s="198" t="s">
        <v>423</v>
      </c>
      <c r="K804" s="198" t="s">
        <v>1435</v>
      </c>
      <c r="L804" s="234" t="n">
        <v>11320</v>
      </c>
      <c r="M804" s="234" t="n">
        <v>9270</v>
      </c>
      <c r="N804" s="234" t="n">
        <v>22</v>
      </c>
      <c r="O804" s="407" t="n">
        <v>2050</v>
      </c>
      <c r="P804" s="407" t="n">
        <v>1599</v>
      </c>
      <c r="Q804" s="234" t="n">
        <v>2025</v>
      </c>
      <c r="R804" s="234"/>
      <c r="S804" s="248" t="n">
        <v>45804</v>
      </c>
      <c r="T804" s="407" t="n">
        <f aca="false">Таблица18[[#This Row],[Вес нетто]]-Таблица18[[#This Row],[Зачетный вес]]</f>
        <v>451</v>
      </c>
      <c r="U804" s="409" t="n">
        <f aca="false">Таблица18[[#This Row],[Отход]]/Таблица18[[#This Row],[Вес нетто]]</f>
        <v>0.22</v>
      </c>
      <c r="V804" s="234" t="n">
        <f aca="false">MONTH(Таблица18[[#This Row],[Дата акта]])</f>
        <v>5</v>
      </c>
      <c r="W804" s="234" t="n">
        <v>27</v>
      </c>
      <c r="X804" s="248" t="n">
        <f aca="false">DATE(1900,Таблица18[[#This Row],[Месяц]],Таблица18[[#This Row],[Число]])</f>
        <v>148</v>
      </c>
      <c r="Y804" s="234"/>
      <c r="AF804" s="411"/>
      <c r="AG804" s="412"/>
    </row>
    <row r="805" s="410" customFormat="true" ht="15" hidden="true" customHeight="true" outlineLevel="0" collapsed="false">
      <c r="A805" s="198" t="s">
        <v>2427</v>
      </c>
      <c r="B805" s="199" t="s">
        <v>417</v>
      </c>
      <c r="C805" s="198" t="n">
        <v>105</v>
      </c>
      <c r="D805" s="198" t="n">
        <v>65902</v>
      </c>
      <c r="E805" s="198" t="s">
        <v>409</v>
      </c>
      <c r="F805" s="198" t="s">
        <v>359</v>
      </c>
      <c r="G805" s="198" t="s">
        <v>426</v>
      </c>
      <c r="H805" s="198" t="s">
        <v>410</v>
      </c>
      <c r="I805" s="199" t="s">
        <v>410</v>
      </c>
      <c r="J805" s="198" t="s">
        <v>252</v>
      </c>
      <c r="K805" s="198" t="s">
        <v>1435</v>
      </c>
      <c r="L805" s="234" t="n">
        <v>27680</v>
      </c>
      <c r="M805" s="234" t="n">
        <v>13880</v>
      </c>
      <c r="N805" s="234" t="n">
        <v>20</v>
      </c>
      <c r="O805" s="407" t="n">
        <v>13800</v>
      </c>
      <c r="P805" s="407" t="n">
        <v>11040</v>
      </c>
      <c r="Q805" s="234" t="n">
        <v>2025</v>
      </c>
      <c r="R805" s="234"/>
      <c r="S805" s="248" t="n">
        <v>45805</v>
      </c>
      <c r="T805" s="407" t="n">
        <f aca="false">Таблица18[[#This Row],[Вес нетто]]-Таблица18[[#This Row],[Зачетный вес]]</f>
        <v>2760</v>
      </c>
      <c r="U805" s="409" t="n">
        <f aca="false">Таблица18[[#This Row],[Отход]]/Таблица18[[#This Row],[Вес нетто]]</f>
        <v>0.2</v>
      </c>
      <c r="V805" s="234" t="n">
        <f aca="false">MONTH(Таблица18[[#This Row],[Дата акта]])</f>
        <v>5</v>
      </c>
      <c r="W805" s="234" t="n">
        <v>28</v>
      </c>
      <c r="X805" s="248" t="n">
        <f aca="false">DATE(1900,Таблица18[[#This Row],[Месяц]],Таблица18[[#This Row],[Число]])</f>
        <v>149</v>
      </c>
      <c r="Y805" s="234"/>
      <c r="AF805" s="411"/>
      <c r="AG805" s="412"/>
    </row>
    <row r="806" s="410" customFormat="true" ht="15" hidden="true" customHeight="true" outlineLevel="0" collapsed="false">
      <c r="A806" s="198" t="s">
        <v>2428</v>
      </c>
      <c r="B806" s="199" t="s">
        <v>417</v>
      </c>
      <c r="C806" s="198" t="n">
        <v>108</v>
      </c>
      <c r="D806" s="198" t="n">
        <v>65903</v>
      </c>
      <c r="E806" s="198" t="s">
        <v>409</v>
      </c>
      <c r="F806" s="198" t="s">
        <v>427</v>
      </c>
      <c r="G806" s="198" t="s">
        <v>431</v>
      </c>
      <c r="H806" s="198" t="s">
        <v>410</v>
      </c>
      <c r="I806" s="199" t="s">
        <v>410</v>
      </c>
      <c r="J806" s="198" t="s">
        <v>252</v>
      </c>
      <c r="K806" s="198" t="s">
        <v>1435</v>
      </c>
      <c r="L806" s="234" t="n">
        <v>34970</v>
      </c>
      <c r="M806" s="234" t="n">
        <v>20920</v>
      </c>
      <c r="N806" s="234" t="n">
        <v>21</v>
      </c>
      <c r="O806" s="407" t="n">
        <v>14050</v>
      </c>
      <c r="P806" s="407" t="n">
        <v>11099.5</v>
      </c>
      <c r="Q806" s="234" t="n">
        <v>2025</v>
      </c>
      <c r="R806" s="234"/>
      <c r="S806" s="248" t="n">
        <v>45805</v>
      </c>
      <c r="T806" s="407" t="n">
        <f aca="false">Таблица18[[#This Row],[Вес нетто]]-Таблица18[[#This Row],[Зачетный вес]]</f>
        <v>2950.5</v>
      </c>
      <c r="U806" s="409" t="n">
        <f aca="false">Таблица18[[#This Row],[Отход]]/Таблица18[[#This Row],[Вес нетто]]</f>
        <v>0.21</v>
      </c>
      <c r="V806" s="234" t="n">
        <f aca="false">MONTH(Таблица18[[#This Row],[Дата акта]])</f>
        <v>5</v>
      </c>
      <c r="W806" s="234" t="n">
        <v>28</v>
      </c>
      <c r="X806" s="248" t="n">
        <f aca="false">DATE(1900,Таблица18[[#This Row],[Месяц]],Таблица18[[#This Row],[Число]])</f>
        <v>149</v>
      </c>
      <c r="Y806" s="234"/>
      <c r="AF806" s="411"/>
      <c r="AG806" s="412"/>
    </row>
    <row r="807" s="410" customFormat="true" ht="15" hidden="true" customHeight="true" outlineLevel="0" collapsed="false">
      <c r="A807" s="198" t="s">
        <v>2429</v>
      </c>
      <c r="B807" s="199" t="s">
        <v>417</v>
      </c>
      <c r="C807" s="198" t="n">
        <v>110</v>
      </c>
      <c r="D807" s="198" t="n">
        <v>65904</v>
      </c>
      <c r="E807" s="198" t="s">
        <v>409</v>
      </c>
      <c r="F807" s="198" t="s">
        <v>433</v>
      </c>
      <c r="G807" s="198" t="s">
        <v>437</v>
      </c>
      <c r="H807" s="198" t="s">
        <v>410</v>
      </c>
      <c r="I807" s="199" t="s">
        <v>410</v>
      </c>
      <c r="J807" s="198" t="s">
        <v>252</v>
      </c>
      <c r="K807" s="198" t="s">
        <v>1435</v>
      </c>
      <c r="L807" s="234" t="n">
        <v>28940</v>
      </c>
      <c r="M807" s="234" t="n">
        <v>14890</v>
      </c>
      <c r="N807" s="234" t="n">
        <v>31.5</v>
      </c>
      <c r="O807" s="407" t="n">
        <v>14050</v>
      </c>
      <c r="P807" s="407" t="n">
        <v>9624.2</v>
      </c>
      <c r="Q807" s="234" t="n">
        <v>2025</v>
      </c>
      <c r="R807" s="234"/>
      <c r="S807" s="248" t="n">
        <v>45805</v>
      </c>
      <c r="T807" s="407" t="n">
        <f aca="false">Таблица18[[#This Row],[Вес нетто]]-Таблица18[[#This Row],[Зачетный вес]]</f>
        <v>4425.8</v>
      </c>
      <c r="U807" s="409" t="n">
        <f aca="false">Таблица18[[#This Row],[Отход]]/Таблица18[[#This Row],[Вес нетто]]</f>
        <v>0.315003558718861</v>
      </c>
      <c r="V807" s="234" t="n">
        <f aca="false">MONTH(Таблица18[[#This Row],[Дата акта]])</f>
        <v>5</v>
      </c>
      <c r="W807" s="234" t="n">
        <v>28</v>
      </c>
      <c r="X807" s="248" t="n">
        <f aca="false">DATE(1900,Таблица18[[#This Row],[Месяц]],Таблица18[[#This Row],[Число]])</f>
        <v>149</v>
      </c>
      <c r="Y807" s="234"/>
      <c r="AF807" s="411"/>
      <c r="AG807" s="412"/>
    </row>
    <row r="808" s="410" customFormat="true" ht="15" hidden="true" customHeight="true" outlineLevel="0" collapsed="false">
      <c r="A808" s="198" t="s">
        <v>2430</v>
      </c>
      <c r="B808" s="199" t="s">
        <v>417</v>
      </c>
      <c r="C808" s="198" t="n">
        <v>111</v>
      </c>
      <c r="D808" s="198" t="n">
        <v>65905</v>
      </c>
      <c r="E808" s="198" t="s">
        <v>409</v>
      </c>
      <c r="F808" s="198" t="s">
        <v>439</v>
      </c>
      <c r="G808" s="198" t="s">
        <v>443</v>
      </c>
      <c r="H808" s="198" t="s">
        <v>410</v>
      </c>
      <c r="I808" s="199" t="s">
        <v>410</v>
      </c>
      <c r="J808" s="198" t="s">
        <v>252</v>
      </c>
      <c r="K808" s="198" t="s">
        <v>1435</v>
      </c>
      <c r="L808" s="234" t="n">
        <v>38160</v>
      </c>
      <c r="M808" s="234" t="n">
        <v>24140</v>
      </c>
      <c r="N808" s="234" t="n">
        <v>31.5</v>
      </c>
      <c r="O808" s="407" t="n">
        <v>14180</v>
      </c>
      <c r="P808" s="407" t="n">
        <v>9713.3</v>
      </c>
      <c r="Q808" s="234" t="n">
        <v>2025</v>
      </c>
      <c r="R808" s="234"/>
      <c r="S808" s="248" t="n">
        <v>45805</v>
      </c>
      <c r="T808" s="407" t="n">
        <f aca="false">Таблица18[[#This Row],[Вес нетто]]-Таблица18[[#This Row],[Зачетный вес]]</f>
        <v>4466.7</v>
      </c>
      <c r="U808" s="409" t="n">
        <f aca="false">Таблица18[[#This Row],[Отход]]/Таблица18[[#This Row],[Вес нетто]]</f>
        <v>0.315</v>
      </c>
      <c r="V808" s="234" t="n">
        <f aca="false">MONTH(Таблица18[[#This Row],[Дата акта]])</f>
        <v>5</v>
      </c>
      <c r="W808" s="234" t="n">
        <v>28</v>
      </c>
      <c r="X808" s="248" t="n">
        <f aca="false">DATE(1900,Таблица18[[#This Row],[Месяц]],Таблица18[[#This Row],[Число]])</f>
        <v>149</v>
      </c>
      <c r="Y808" s="234"/>
      <c r="AF808" s="411"/>
      <c r="AG808" s="412"/>
    </row>
    <row r="809" s="410" customFormat="true" ht="15" hidden="true" customHeight="true" outlineLevel="0" collapsed="false">
      <c r="A809" s="198" t="s">
        <v>2431</v>
      </c>
      <c r="B809" s="199" t="s">
        <v>417</v>
      </c>
      <c r="C809" s="198" t="n">
        <v>112</v>
      </c>
      <c r="D809" s="198" t="n">
        <v>65907</v>
      </c>
      <c r="E809" s="198" t="s">
        <v>409</v>
      </c>
      <c r="F809" s="198" t="s">
        <v>445</v>
      </c>
      <c r="G809" s="198" t="s">
        <v>449</v>
      </c>
      <c r="H809" s="198" t="s">
        <v>410</v>
      </c>
      <c r="I809" s="199" t="s">
        <v>410</v>
      </c>
      <c r="J809" s="198" t="s">
        <v>252</v>
      </c>
      <c r="K809" s="198" t="s">
        <v>1435</v>
      </c>
      <c r="L809" s="234" t="n">
        <v>29800</v>
      </c>
      <c r="M809" s="234" t="n">
        <v>15690</v>
      </c>
      <c r="N809" s="234" t="n">
        <v>30.5</v>
      </c>
      <c r="O809" s="407" t="n">
        <v>14110</v>
      </c>
      <c r="P809" s="407" t="n">
        <v>9806.4</v>
      </c>
      <c r="Q809" s="234" t="n">
        <v>2025</v>
      </c>
      <c r="R809" s="234"/>
      <c r="S809" s="248" t="n">
        <v>45805</v>
      </c>
      <c r="T809" s="407" t="n">
        <f aca="false">Таблица18[[#This Row],[Вес нетто]]-Таблица18[[#This Row],[Зачетный вес]]</f>
        <v>4303.6</v>
      </c>
      <c r="U809" s="409" t="n">
        <f aca="false">Таблица18[[#This Row],[Отход]]/Таблица18[[#This Row],[Вес нетто]]</f>
        <v>0.305003543586109</v>
      </c>
      <c r="V809" s="234" t="n">
        <f aca="false">MONTH(Таблица18[[#This Row],[Дата акта]])</f>
        <v>5</v>
      </c>
      <c r="W809" s="234" t="n">
        <v>28</v>
      </c>
      <c r="X809" s="248" t="n">
        <f aca="false">DATE(1900,Таблица18[[#This Row],[Месяц]],Таблица18[[#This Row],[Число]])</f>
        <v>149</v>
      </c>
      <c r="Y809" s="234"/>
      <c r="AF809" s="411"/>
      <c r="AG809" s="412"/>
    </row>
    <row r="810" s="410" customFormat="true" ht="15" hidden="true" customHeight="true" outlineLevel="0" collapsed="false">
      <c r="A810" s="198" t="s">
        <v>2432</v>
      </c>
      <c r="B810" s="199" t="s">
        <v>417</v>
      </c>
      <c r="C810" s="198" t="n">
        <v>113</v>
      </c>
      <c r="D810" s="198" t="n">
        <v>65906</v>
      </c>
      <c r="E810" s="198" t="s">
        <v>409</v>
      </c>
      <c r="F810" s="198" t="s">
        <v>451</v>
      </c>
      <c r="G810" s="198" t="s">
        <v>455</v>
      </c>
      <c r="H810" s="198" t="s">
        <v>410</v>
      </c>
      <c r="I810" s="199" t="s">
        <v>410</v>
      </c>
      <c r="J810" s="198" t="s">
        <v>252</v>
      </c>
      <c r="K810" s="198" t="s">
        <v>1435</v>
      </c>
      <c r="L810" s="234" t="n">
        <v>29560</v>
      </c>
      <c r="M810" s="234" t="n">
        <v>15050</v>
      </c>
      <c r="N810" s="234" t="n">
        <v>27.5</v>
      </c>
      <c r="O810" s="407" t="n">
        <v>14510</v>
      </c>
      <c r="P810" s="407" t="n">
        <v>10519.7</v>
      </c>
      <c r="Q810" s="234" t="n">
        <v>2025</v>
      </c>
      <c r="R810" s="234"/>
      <c r="S810" s="248" t="n">
        <v>45805</v>
      </c>
      <c r="T810" s="407" t="n">
        <f aca="false">Таблица18[[#This Row],[Вес нетто]]-Таблица18[[#This Row],[Зачетный вес]]</f>
        <v>3990.3</v>
      </c>
      <c r="U810" s="409" t="n">
        <f aca="false">Таблица18[[#This Row],[Отход]]/Таблица18[[#This Row],[Вес нетто]]</f>
        <v>0.27500344589938</v>
      </c>
      <c r="V810" s="234" t="n">
        <f aca="false">MONTH(Таблица18[[#This Row],[Дата акта]])</f>
        <v>5</v>
      </c>
      <c r="W810" s="234" t="n">
        <v>28</v>
      </c>
      <c r="X810" s="248" t="n">
        <f aca="false">DATE(1900,Таблица18[[#This Row],[Месяц]],Таблица18[[#This Row],[Число]])</f>
        <v>149</v>
      </c>
      <c r="Y810" s="234"/>
      <c r="AF810" s="411"/>
      <c r="AG810" s="412"/>
    </row>
    <row r="811" s="410" customFormat="true" ht="15" hidden="true" customHeight="true" outlineLevel="0" collapsed="false">
      <c r="A811" s="198" t="s">
        <v>2433</v>
      </c>
      <c r="B811" s="199" t="s">
        <v>417</v>
      </c>
      <c r="C811" s="198" t="n">
        <v>114</v>
      </c>
      <c r="D811" s="198" t="n">
        <v>65908</v>
      </c>
      <c r="E811" s="198" t="s">
        <v>409</v>
      </c>
      <c r="F811" s="198" t="s">
        <v>457</v>
      </c>
      <c r="G811" s="198" t="s">
        <v>366</v>
      </c>
      <c r="H811" s="198" t="s">
        <v>410</v>
      </c>
      <c r="I811" s="199" t="s">
        <v>410</v>
      </c>
      <c r="J811" s="198" t="s">
        <v>252</v>
      </c>
      <c r="K811" s="198" t="s">
        <v>1435</v>
      </c>
      <c r="L811" s="234" t="n">
        <v>28960</v>
      </c>
      <c r="M811" s="234" t="n">
        <v>14870</v>
      </c>
      <c r="N811" s="234" t="n">
        <v>30.5</v>
      </c>
      <c r="O811" s="407" t="n">
        <v>14090</v>
      </c>
      <c r="P811" s="407" t="n">
        <v>9792.5</v>
      </c>
      <c r="Q811" s="234" t="n">
        <v>2025</v>
      </c>
      <c r="R811" s="234"/>
      <c r="S811" s="248" t="n">
        <v>45805</v>
      </c>
      <c r="T811" s="407" t="n">
        <f aca="false">Таблица18[[#This Row],[Вес нетто]]-Таблица18[[#This Row],[Зачетный вес]]</f>
        <v>4297.5</v>
      </c>
      <c r="U811" s="409" t="n">
        <f aca="false">Таблица18[[#This Row],[Отход]]/Таблица18[[#This Row],[Вес нетто]]</f>
        <v>0.30500354861604</v>
      </c>
      <c r="V811" s="234" t="n">
        <f aca="false">MONTH(Таблица18[[#This Row],[Дата акта]])</f>
        <v>5</v>
      </c>
      <c r="W811" s="234" t="n">
        <v>28</v>
      </c>
      <c r="X811" s="248" t="n">
        <f aca="false">DATE(1900,Таблица18[[#This Row],[Месяц]],Таблица18[[#This Row],[Число]])</f>
        <v>149</v>
      </c>
      <c r="Y811" s="234"/>
      <c r="AF811" s="411"/>
      <c r="AG811" s="412"/>
    </row>
    <row r="812" s="410" customFormat="true" ht="15" hidden="true" customHeight="true" outlineLevel="0" collapsed="false">
      <c r="A812" s="198" t="s">
        <v>2434</v>
      </c>
      <c r="B812" s="199" t="s">
        <v>417</v>
      </c>
      <c r="C812" s="198" t="n">
        <v>115</v>
      </c>
      <c r="D812" s="198" t="n">
        <v>65909</v>
      </c>
      <c r="E812" s="198" t="s">
        <v>409</v>
      </c>
      <c r="F812" s="198" t="s">
        <v>55</v>
      </c>
      <c r="G812" s="198" t="s">
        <v>56</v>
      </c>
      <c r="H812" s="198" t="s">
        <v>410</v>
      </c>
      <c r="I812" s="199" t="s">
        <v>410</v>
      </c>
      <c r="J812" s="198" t="s">
        <v>252</v>
      </c>
      <c r="K812" s="198" t="s">
        <v>1435</v>
      </c>
      <c r="L812" s="234" t="n">
        <v>28680</v>
      </c>
      <c r="M812" s="234" t="n">
        <v>14580</v>
      </c>
      <c r="N812" s="234" t="n">
        <v>32</v>
      </c>
      <c r="O812" s="407" t="n">
        <v>14100</v>
      </c>
      <c r="P812" s="407" t="n">
        <v>9588</v>
      </c>
      <c r="Q812" s="234" t="n">
        <v>2025</v>
      </c>
      <c r="R812" s="234"/>
      <c r="S812" s="248" t="n">
        <v>45806</v>
      </c>
      <c r="T812" s="407" t="n">
        <f aca="false">Таблица18[[#This Row],[Вес нетто]]-Таблица18[[#This Row],[Зачетный вес]]</f>
        <v>4512</v>
      </c>
      <c r="U812" s="409" t="n">
        <f aca="false">Таблица18[[#This Row],[Отход]]/Таблица18[[#This Row],[Вес нетто]]</f>
        <v>0.32</v>
      </c>
      <c r="V812" s="234" t="n">
        <f aca="false">MONTH(Таблица18[[#This Row],[Дата акта]])</f>
        <v>5</v>
      </c>
      <c r="W812" s="234" t="n">
        <v>29</v>
      </c>
      <c r="X812" s="248" t="n">
        <f aca="false">DATE(1900,Таблица18[[#This Row],[Месяц]],Таблица18[[#This Row],[Число]])</f>
        <v>150</v>
      </c>
      <c r="Y812" s="234"/>
      <c r="AF812" s="411"/>
      <c r="AG812" s="412"/>
    </row>
    <row r="813" s="410" customFormat="true" ht="15" hidden="true" customHeight="true" outlineLevel="0" collapsed="false">
      <c r="A813" s="198" t="s">
        <v>2435</v>
      </c>
      <c r="B813" s="199" t="s">
        <v>417</v>
      </c>
      <c r="C813" s="198" t="n">
        <v>117</v>
      </c>
      <c r="D813" s="198" t="n">
        <v>65910</v>
      </c>
      <c r="E813" s="198" t="s">
        <v>409</v>
      </c>
      <c r="F813" s="198" t="s">
        <v>466</v>
      </c>
      <c r="G813" s="198" t="s">
        <v>470</v>
      </c>
      <c r="H813" s="198" t="s">
        <v>410</v>
      </c>
      <c r="I813" s="199" t="s">
        <v>410</v>
      </c>
      <c r="J813" s="198" t="s">
        <v>252</v>
      </c>
      <c r="K813" s="198" t="s">
        <v>1435</v>
      </c>
      <c r="L813" s="234" t="n">
        <v>28830</v>
      </c>
      <c r="M813" s="234" t="n">
        <v>14830</v>
      </c>
      <c r="N813" s="234" t="n">
        <v>27.5</v>
      </c>
      <c r="O813" s="407" t="n">
        <v>14000</v>
      </c>
      <c r="P813" s="407" t="n">
        <v>10150</v>
      </c>
      <c r="Q813" s="234" t="n">
        <v>2025</v>
      </c>
      <c r="R813" s="234"/>
      <c r="S813" s="248" t="n">
        <v>45806</v>
      </c>
      <c r="T813" s="407" t="n">
        <f aca="false">Таблица18[[#This Row],[Вес нетто]]-Таблица18[[#This Row],[Зачетный вес]]</f>
        <v>3850</v>
      </c>
      <c r="U813" s="409" t="n">
        <f aca="false">Таблица18[[#This Row],[Отход]]/Таблица18[[#This Row],[Вес нетто]]</f>
        <v>0.275</v>
      </c>
      <c r="V813" s="234" t="n">
        <f aca="false">MONTH(Таблица18[[#This Row],[Дата акта]])</f>
        <v>5</v>
      </c>
      <c r="W813" s="234" t="n">
        <v>29</v>
      </c>
      <c r="X813" s="248" t="n">
        <f aca="false">DATE(1900,Таблица18[[#This Row],[Месяц]],Таблица18[[#This Row],[Число]])</f>
        <v>150</v>
      </c>
      <c r="Y813" s="234"/>
      <c r="AF813" s="411"/>
      <c r="AG813" s="412"/>
    </row>
    <row r="814" s="410" customFormat="true" ht="15" hidden="true" customHeight="true" outlineLevel="0" collapsed="false">
      <c r="A814" s="198" t="s">
        <v>2436</v>
      </c>
      <c r="B814" s="199" t="s">
        <v>417</v>
      </c>
      <c r="C814" s="198" t="n">
        <v>118</v>
      </c>
      <c r="D814" s="198" t="n">
        <v>65911</v>
      </c>
      <c r="E814" s="198" t="s">
        <v>409</v>
      </c>
      <c r="F814" s="198" t="s">
        <v>472</v>
      </c>
      <c r="G814" s="198" t="s">
        <v>476</v>
      </c>
      <c r="H814" s="198" t="s">
        <v>410</v>
      </c>
      <c r="I814" s="199" t="s">
        <v>410</v>
      </c>
      <c r="J814" s="198" t="s">
        <v>252</v>
      </c>
      <c r="K814" s="198" t="s">
        <v>1435</v>
      </c>
      <c r="L814" s="234" t="n">
        <v>29110</v>
      </c>
      <c r="M814" s="234" t="n">
        <v>15320</v>
      </c>
      <c r="N814" s="234" t="n">
        <v>30</v>
      </c>
      <c r="O814" s="407" t="n">
        <v>13790</v>
      </c>
      <c r="P814" s="407" t="n">
        <v>9653</v>
      </c>
      <c r="Q814" s="234" t="n">
        <v>2025</v>
      </c>
      <c r="R814" s="234"/>
      <c r="S814" s="248" t="n">
        <v>45806</v>
      </c>
      <c r="T814" s="407" t="n">
        <f aca="false">Таблица18[[#This Row],[Вес нетто]]-Таблица18[[#This Row],[Зачетный вес]]</f>
        <v>4137</v>
      </c>
      <c r="U814" s="409" t="n">
        <f aca="false">Таблица18[[#This Row],[Отход]]/Таблица18[[#This Row],[Вес нетто]]</f>
        <v>0.3</v>
      </c>
      <c r="V814" s="234" t="n">
        <f aca="false">MONTH(Таблица18[[#This Row],[Дата акта]])</f>
        <v>5</v>
      </c>
      <c r="W814" s="234" t="n">
        <v>29</v>
      </c>
      <c r="X814" s="248" t="n">
        <f aca="false">DATE(1900,Таблица18[[#This Row],[Месяц]],Таблица18[[#This Row],[Число]])</f>
        <v>150</v>
      </c>
      <c r="Y814" s="234"/>
      <c r="AF814" s="411"/>
      <c r="AG814" s="412"/>
    </row>
    <row r="815" s="410" customFormat="true" ht="15" hidden="true" customHeight="true" outlineLevel="0" collapsed="false">
      <c r="A815" s="198" t="s">
        <v>2437</v>
      </c>
      <c r="B815" s="199" t="s">
        <v>417</v>
      </c>
      <c r="C815" s="198" t="n">
        <v>122</v>
      </c>
      <c r="D815" s="198" t="n">
        <v>2</v>
      </c>
      <c r="E815" s="198" t="s">
        <v>422</v>
      </c>
      <c r="F815" s="198" t="s">
        <v>472</v>
      </c>
      <c r="G815" s="198" t="s">
        <v>476</v>
      </c>
      <c r="H815" s="198" t="s">
        <v>133</v>
      </c>
      <c r="I815" s="199" t="s">
        <v>133</v>
      </c>
      <c r="J815" s="198" t="s">
        <v>423</v>
      </c>
      <c r="K815" s="198" t="s">
        <v>1435</v>
      </c>
      <c r="L815" s="234" t="n">
        <v>13930</v>
      </c>
      <c r="M815" s="234" t="n">
        <v>9710</v>
      </c>
      <c r="N815" s="234" t="n">
        <v>27</v>
      </c>
      <c r="O815" s="407" t="n">
        <v>4220</v>
      </c>
      <c r="P815" s="407" t="n">
        <v>3080.6</v>
      </c>
      <c r="Q815" s="234" t="n">
        <v>2025</v>
      </c>
      <c r="R815" s="234"/>
      <c r="S815" s="248" t="n">
        <v>45806</v>
      </c>
      <c r="T815" s="407" t="n">
        <f aca="false">Таблица18[[#This Row],[Вес нетто]]-Таблица18[[#This Row],[Зачетный вес]]</f>
        <v>1139.4</v>
      </c>
      <c r="U815" s="409" t="n">
        <f aca="false">Таблица18[[#This Row],[Отход]]/Таблица18[[#This Row],[Вес нетто]]</f>
        <v>0.27</v>
      </c>
      <c r="V815" s="234" t="n">
        <f aca="false">MONTH(Таблица18[[#This Row],[Дата акта]])</f>
        <v>5</v>
      </c>
      <c r="W815" s="234" t="n">
        <v>29</v>
      </c>
      <c r="X815" s="248" t="n">
        <f aca="false">DATE(1900,Таблица18[[#This Row],[Месяц]],Таблица18[[#This Row],[Число]])</f>
        <v>150</v>
      </c>
      <c r="Y815" s="234"/>
      <c r="AF815" s="411"/>
      <c r="AG815" s="412"/>
    </row>
    <row r="816" s="410" customFormat="true" ht="15" hidden="true" customHeight="true" outlineLevel="0" collapsed="false">
      <c r="A816" s="198" t="s">
        <v>2438</v>
      </c>
      <c r="B816" s="199" t="s">
        <v>417</v>
      </c>
      <c r="C816" s="198" t="n">
        <v>123</v>
      </c>
      <c r="D816" s="198" t="n">
        <v>3</v>
      </c>
      <c r="E816" s="198" t="s">
        <v>422</v>
      </c>
      <c r="F816" s="198" t="s">
        <v>472</v>
      </c>
      <c r="G816" s="198" t="s">
        <v>476</v>
      </c>
      <c r="H816" s="198" t="s">
        <v>133</v>
      </c>
      <c r="I816" s="199" t="s">
        <v>133</v>
      </c>
      <c r="J816" s="198" t="s">
        <v>423</v>
      </c>
      <c r="K816" s="198" t="s">
        <v>1435</v>
      </c>
      <c r="L816" s="234" t="n">
        <v>21910</v>
      </c>
      <c r="M816" s="234" t="n">
        <v>15390</v>
      </c>
      <c r="N816" s="234" t="n">
        <v>23</v>
      </c>
      <c r="O816" s="407" t="n">
        <v>6520</v>
      </c>
      <c r="P816" s="407" t="n">
        <v>5020.4</v>
      </c>
      <c r="Q816" s="234" t="n">
        <v>2025</v>
      </c>
      <c r="R816" s="234"/>
      <c r="S816" s="248" t="n">
        <v>45806</v>
      </c>
      <c r="T816" s="407" t="n">
        <f aca="false">Таблица18[[#This Row],[Вес нетто]]-Таблица18[[#This Row],[Зачетный вес]]</f>
        <v>1499.6</v>
      </c>
      <c r="U816" s="409" t="n">
        <f aca="false">Таблица18[[#This Row],[Отход]]/Таблица18[[#This Row],[Вес нетто]]</f>
        <v>0.23</v>
      </c>
      <c r="V816" s="234" t="n">
        <f aca="false">MONTH(Таблица18[[#This Row],[Дата акта]])</f>
        <v>5</v>
      </c>
      <c r="W816" s="234" t="n">
        <v>29</v>
      </c>
      <c r="X816" s="248" t="n">
        <f aca="false">DATE(1900,Таблица18[[#This Row],[Месяц]],Таблица18[[#This Row],[Число]])</f>
        <v>150</v>
      </c>
      <c r="Y816" s="234"/>
      <c r="AF816" s="411"/>
      <c r="AG816" s="412"/>
    </row>
    <row r="817" s="410" customFormat="true" ht="15" hidden="true" customHeight="true" outlineLevel="0" collapsed="false">
      <c r="A817" s="198" t="s">
        <v>2439</v>
      </c>
      <c r="B817" s="199" t="s">
        <v>417</v>
      </c>
      <c r="C817" s="198" t="n">
        <v>126</v>
      </c>
      <c r="D817" s="198" t="n">
        <v>4</v>
      </c>
      <c r="E817" s="198" t="s">
        <v>422</v>
      </c>
      <c r="F817" s="198" t="s">
        <v>376</v>
      </c>
      <c r="G817" s="198" t="s">
        <v>377</v>
      </c>
      <c r="H817" s="198" t="s">
        <v>133</v>
      </c>
      <c r="I817" s="199" t="s">
        <v>133</v>
      </c>
      <c r="J817" s="198" t="s">
        <v>423</v>
      </c>
      <c r="K817" s="198" t="s">
        <v>1435</v>
      </c>
      <c r="L817" s="234" t="n">
        <v>14120</v>
      </c>
      <c r="M817" s="234" t="n">
        <v>9740</v>
      </c>
      <c r="N817" s="234" t="n">
        <v>24.5</v>
      </c>
      <c r="O817" s="407" t="n">
        <v>4380</v>
      </c>
      <c r="P817" s="407" t="n">
        <v>3306.9</v>
      </c>
      <c r="Q817" s="234" t="n">
        <v>2025</v>
      </c>
      <c r="R817" s="234"/>
      <c r="S817" s="248" t="n">
        <v>45808</v>
      </c>
      <c r="T817" s="407" t="n">
        <f aca="false">Таблица18[[#This Row],[Вес нетто]]-Таблица18[[#This Row],[Зачетный вес]]</f>
        <v>1073.1</v>
      </c>
      <c r="U817" s="409" t="n">
        <f aca="false">Таблица18[[#This Row],[Отход]]/Таблица18[[#This Row],[Вес нетто]]</f>
        <v>0.245</v>
      </c>
      <c r="V817" s="234" t="n">
        <f aca="false">MONTH(Таблица18[[#This Row],[Дата акта]])</f>
        <v>5</v>
      </c>
      <c r="W817" s="234" t="n">
        <v>31</v>
      </c>
      <c r="X817" s="248" t="n">
        <f aca="false">DATE(1900,Таблица18[[#This Row],[Месяц]],Таблица18[[#This Row],[Число]])</f>
        <v>152</v>
      </c>
      <c r="Y817" s="234"/>
      <c r="AF817" s="411"/>
      <c r="AG817" s="412"/>
    </row>
    <row r="818" s="410" customFormat="true" ht="15" hidden="true" customHeight="true" outlineLevel="0" collapsed="false">
      <c r="A818" s="198" t="s">
        <v>2440</v>
      </c>
      <c r="B818" s="199" t="s">
        <v>417</v>
      </c>
      <c r="C818" s="198" t="n">
        <v>127</v>
      </c>
      <c r="D818" s="198" t="n">
        <v>5</v>
      </c>
      <c r="E818" s="198" t="s">
        <v>422</v>
      </c>
      <c r="F818" s="198" t="s">
        <v>376</v>
      </c>
      <c r="G818" s="198" t="s">
        <v>377</v>
      </c>
      <c r="H818" s="198" t="s">
        <v>133</v>
      </c>
      <c r="I818" s="199" t="s">
        <v>133</v>
      </c>
      <c r="J818" s="198" t="s">
        <v>423</v>
      </c>
      <c r="K818" s="198" t="s">
        <v>1435</v>
      </c>
      <c r="L818" s="234" t="n">
        <v>14320</v>
      </c>
      <c r="M818" s="234" t="n">
        <v>9730</v>
      </c>
      <c r="N818" s="234" t="n">
        <v>22.5</v>
      </c>
      <c r="O818" s="407" t="n">
        <v>4590</v>
      </c>
      <c r="P818" s="407" t="n">
        <v>3557.2</v>
      </c>
      <c r="Q818" s="234" t="n">
        <v>2025</v>
      </c>
      <c r="R818" s="234"/>
      <c r="S818" s="248" t="n">
        <v>45808</v>
      </c>
      <c r="T818" s="407" t="n">
        <f aca="false">Таблица18[[#This Row],[Вес нетто]]-Таблица18[[#This Row],[Зачетный вес]]</f>
        <v>1032.8</v>
      </c>
      <c r="U818" s="409" t="n">
        <f aca="false">Таблица18[[#This Row],[Отход]]/Таблица18[[#This Row],[Вес нетто]]</f>
        <v>0.225010893246187</v>
      </c>
      <c r="V818" s="234" t="n">
        <f aca="false">MONTH(Таблица18[[#This Row],[Дата акта]])</f>
        <v>5</v>
      </c>
      <c r="W818" s="234" t="n">
        <v>31</v>
      </c>
      <c r="X818" s="248" t="n">
        <f aca="false">DATE(1900,Таблица18[[#This Row],[Месяц]],Таблица18[[#This Row],[Число]])</f>
        <v>152</v>
      </c>
      <c r="Y818" s="234"/>
      <c r="AF818" s="411"/>
      <c r="AG818" s="412"/>
    </row>
    <row r="819" s="410" customFormat="true" ht="15" hidden="true" customHeight="true" outlineLevel="0" collapsed="false">
      <c r="A819" s="198" t="s">
        <v>2441</v>
      </c>
      <c r="B819" s="199" t="s">
        <v>417</v>
      </c>
      <c r="C819" s="198" t="n">
        <v>128</v>
      </c>
      <c r="D819" s="198" t="n">
        <v>6</v>
      </c>
      <c r="E819" s="198" t="s">
        <v>422</v>
      </c>
      <c r="F819" s="198" t="s">
        <v>376</v>
      </c>
      <c r="G819" s="198" t="s">
        <v>377</v>
      </c>
      <c r="H819" s="198" t="s">
        <v>133</v>
      </c>
      <c r="I819" s="199" t="s">
        <v>133</v>
      </c>
      <c r="J819" s="198" t="s">
        <v>423</v>
      </c>
      <c r="K819" s="198" t="s">
        <v>1435</v>
      </c>
      <c r="L819" s="234" t="n">
        <v>23120</v>
      </c>
      <c r="M819" s="234" t="n">
        <v>14360</v>
      </c>
      <c r="N819" s="234" t="n">
        <v>28.5</v>
      </c>
      <c r="O819" s="407" t="n">
        <v>8760</v>
      </c>
      <c r="P819" s="407" t="n">
        <v>6263.4</v>
      </c>
      <c r="Q819" s="234" t="n">
        <v>2025</v>
      </c>
      <c r="R819" s="234"/>
      <c r="S819" s="248" t="n">
        <v>45808</v>
      </c>
      <c r="T819" s="407" t="n">
        <f aca="false">Таблица18[[#This Row],[Вес нетто]]-Таблица18[[#This Row],[Зачетный вес]]</f>
        <v>2496.6</v>
      </c>
      <c r="U819" s="409" t="n">
        <f aca="false">Таблица18[[#This Row],[Отход]]/Таблица18[[#This Row],[Вес нетто]]</f>
        <v>0.285</v>
      </c>
      <c r="V819" s="234" t="n">
        <f aca="false">MONTH(Таблица18[[#This Row],[Дата акта]])</f>
        <v>5</v>
      </c>
      <c r="W819" s="234" t="n">
        <v>31</v>
      </c>
      <c r="X819" s="248" t="n">
        <f aca="false">DATE(1900,Таблица18[[#This Row],[Месяц]],Таблица18[[#This Row],[Число]])</f>
        <v>152</v>
      </c>
      <c r="Y819" s="234"/>
      <c r="AF819" s="411"/>
      <c r="AG819" s="412"/>
    </row>
    <row r="820" s="410" customFormat="true" ht="15" hidden="true" customHeight="true" outlineLevel="0" collapsed="false">
      <c r="A820" s="198" t="s">
        <v>2442</v>
      </c>
      <c r="B820" s="199" t="s">
        <v>417</v>
      </c>
      <c r="C820" s="198" t="n">
        <v>129</v>
      </c>
      <c r="D820" s="198" t="n">
        <v>7</v>
      </c>
      <c r="E820" s="198" t="s">
        <v>422</v>
      </c>
      <c r="F820" s="198" t="s">
        <v>376</v>
      </c>
      <c r="G820" s="198" t="s">
        <v>377</v>
      </c>
      <c r="H820" s="198" t="s">
        <v>133</v>
      </c>
      <c r="I820" s="199" t="s">
        <v>133</v>
      </c>
      <c r="J820" s="198" t="s">
        <v>423</v>
      </c>
      <c r="K820" s="198" t="s">
        <v>1435</v>
      </c>
      <c r="L820" s="234" t="n">
        <v>14470</v>
      </c>
      <c r="M820" s="234" t="n">
        <v>9700</v>
      </c>
      <c r="N820" s="234" t="n">
        <v>31</v>
      </c>
      <c r="O820" s="407" t="n">
        <v>4770</v>
      </c>
      <c r="P820" s="407" t="n">
        <v>3291.3</v>
      </c>
      <c r="Q820" s="234" t="n">
        <v>2025</v>
      </c>
      <c r="R820" s="234"/>
      <c r="S820" s="248" t="n">
        <v>45808</v>
      </c>
      <c r="T820" s="407" t="n">
        <f aca="false">Таблица18[[#This Row],[Вес нетто]]-Таблица18[[#This Row],[Зачетный вес]]</f>
        <v>1478.7</v>
      </c>
      <c r="U820" s="409" t="n">
        <f aca="false">Таблица18[[#This Row],[Отход]]/Таблица18[[#This Row],[Вес нетто]]</f>
        <v>0.31</v>
      </c>
      <c r="V820" s="234" t="n">
        <f aca="false">MONTH(Таблица18[[#This Row],[Дата акта]])</f>
        <v>5</v>
      </c>
      <c r="W820" s="234" t="n">
        <v>31</v>
      </c>
      <c r="X820" s="248" t="n">
        <f aca="false">DATE(1900,Таблица18[[#This Row],[Месяц]],Таблица18[[#This Row],[Число]])</f>
        <v>152</v>
      </c>
      <c r="Y820" s="234"/>
      <c r="AF820" s="411"/>
      <c r="AG820" s="412"/>
    </row>
    <row r="821" s="410" customFormat="true" ht="15" hidden="true" customHeight="true" outlineLevel="0" collapsed="false">
      <c r="A821" s="198" t="s">
        <v>2443</v>
      </c>
      <c r="B821" s="199" t="s">
        <v>417</v>
      </c>
      <c r="C821" s="198" t="n">
        <v>130</v>
      </c>
      <c r="D821" s="198" t="n">
        <v>8</v>
      </c>
      <c r="E821" s="198" t="s">
        <v>422</v>
      </c>
      <c r="F821" s="198" t="s">
        <v>376</v>
      </c>
      <c r="G821" s="198" t="s">
        <v>377</v>
      </c>
      <c r="H821" s="198" t="s">
        <v>133</v>
      </c>
      <c r="I821" s="199" t="s">
        <v>133</v>
      </c>
      <c r="J821" s="198" t="s">
        <v>423</v>
      </c>
      <c r="K821" s="198" t="s">
        <v>1435</v>
      </c>
      <c r="L821" s="234" t="n">
        <v>14140</v>
      </c>
      <c r="M821" s="234" t="n">
        <v>9690</v>
      </c>
      <c r="N821" s="234" t="n">
        <v>33</v>
      </c>
      <c r="O821" s="407" t="n">
        <v>4450</v>
      </c>
      <c r="P821" s="407" t="n">
        <v>2981.5</v>
      </c>
      <c r="Q821" s="234" t="n">
        <v>2025</v>
      </c>
      <c r="R821" s="234"/>
      <c r="S821" s="248" t="n">
        <v>45808</v>
      </c>
      <c r="T821" s="407" t="n">
        <f aca="false">Таблица18[[#This Row],[Вес нетто]]-Таблица18[[#This Row],[Зачетный вес]]</f>
        <v>1468.5</v>
      </c>
      <c r="U821" s="409" t="n">
        <f aca="false">Таблица18[[#This Row],[Отход]]/Таблица18[[#This Row],[Вес нетто]]</f>
        <v>0.33</v>
      </c>
      <c r="V821" s="234" t="n">
        <f aca="false">MONTH(Таблица18[[#This Row],[Дата акта]])</f>
        <v>5</v>
      </c>
      <c r="W821" s="234" t="n">
        <v>31</v>
      </c>
      <c r="X821" s="248" t="n">
        <f aca="false">DATE(1900,Таблица18[[#This Row],[Месяц]],Таблица18[[#This Row],[Число]])</f>
        <v>152</v>
      </c>
      <c r="Y821" s="234"/>
      <c r="AF821" s="411"/>
      <c r="AG821" s="412"/>
    </row>
    <row r="822" s="410" customFormat="true" ht="15" hidden="true" customHeight="true" outlineLevel="0" collapsed="false">
      <c r="A822" s="198" t="s">
        <v>2444</v>
      </c>
      <c r="B822" s="199" t="s">
        <v>417</v>
      </c>
      <c r="C822" s="198" t="n">
        <v>131</v>
      </c>
      <c r="D822" s="198" t="n">
        <v>9</v>
      </c>
      <c r="E822" s="198" t="s">
        <v>422</v>
      </c>
      <c r="F822" s="198" t="s">
        <v>376</v>
      </c>
      <c r="G822" s="198" t="s">
        <v>377</v>
      </c>
      <c r="H822" s="198" t="s">
        <v>133</v>
      </c>
      <c r="I822" s="199" t="s">
        <v>133</v>
      </c>
      <c r="J822" s="198" t="s">
        <v>423</v>
      </c>
      <c r="K822" s="198" t="s">
        <v>1435</v>
      </c>
      <c r="L822" s="234" t="n">
        <v>24430</v>
      </c>
      <c r="M822" s="234" t="n">
        <v>14330</v>
      </c>
      <c r="N822" s="234" t="n">
        <v>29</v>
      </c>
      <c r="O822" s="407" t="n">
        <v>10100</v>
      </c>
      <c r="P822" s="407" t="n">
        <v>7171</v>
      </c>
      <c r="Q822" s="234" t="n">
        <v>2025</v>
      </c>
      <c r="R822" s="234"/>
      <c r="S822" s="248" t="n">
        <v>45808</v>
      </c>
      <c r="T822" s="407" t="n">
        <f aca="false">Таблица18[[#This Row],[Вес нетто]]-Таблица18[[#This Row],[Зачетный вес]]</f>
        <v>2929</v>
      </c>
      <c r="U822" s="409" t="n">
        <f aca="false">Таблица18[[#This Row],[Отход]]/Таблица18[[#This Row],[Вес нетто]]</f>
        <v>0.29</v>
      </c>
      <c r="V822" s="234" t="n">
        <f aca="false">MONTH(Таблица18[[#This Row],[Дата акта]])</f>
        <v>5</v>
      </c>
      <c r="W822" s="234" t="n">
        <v>31</v>
      </c>
      <c r="X822" s="248" t="n">
        <f aca="false">DATE(1900,Таблица18[[#This Row],[Месяц]],Таблица18[[#This Row],[Число]])</f>
        <v>152</v>
      </c>
      <c r="Y822" s="234"/>
      <c r="AF822" s="411"/>
      <c r="AG822" s="412"/>
    </row>
    <row r="823" s="410" customFormat="true" ht="15" hidden="true" customHeight="true" outlineLevel="0" collapsed="false">
      <c r="A823" s="198" t="s">
        <v>2445</v>
      </c>
      <c r="B823" s="199" t="s">
        <v>417</v>
      </c>
      <c r="C823" s="198" t="n">
        <v>132</v>
      </c>
      <c r="D823" s="198" t="n">
        <v>10</v>
      </c>
      <c r="E823" s="198" t="s">
        <v>422</v>
      </c>
      <c r="F823" s="198" t="s">
        <v>376</v>
      </c>
      <c r="G823" s="198" t="s">
        <v>377</v>
      </c>
      <c r="H823" s="198" t="s">
        <v>133</v>
      </c>
      <c r="I823" s="199" t="s">
        <v>133</v>
      </c>
      <c r="J823" s="198" t="s">
        <v>423</v>
      </c>
      <c r="K823" s="198" t="s">
        <v>1435</v>
      </c>
      <c r="L823" s="234" t="n">
        <v>23580</v>
      </c>
      <c r="M823" s="234" t="n">
        <v>14320</v>
      </c>
      <c r="N823" s="234" t="n">
        <v>23</v>
      </c>
      <c r="O823" s="407" t="n">
        <v>9260</v>
      </c>
      <c r="P823" s="407" t="n">
        <v>7130.2</v>
      </c>
      <c r="Q823" s="234" t="n">
        <v>2025</v>
      </c>
      <c r="R823" s="234"/>
      <c r="S823" s="248" t="n">
        <v>45808</v>
      </c>
      <c r="T823" s="407" t="n">
        <f aca="false">Таблица18[[#This Row],[Вес нетто]]-Таблица18[[#This Row],[Зачетный вес]]</f>
        <v>2129.8</v>
      </c>
      <c r="U823" s="409" t="n">
        <f aca="false">Таблица18[[#This Row],[Отход]]/Таблица18[[#This Row],[Вес нетто]]</f>
        <v>0.23</v>
      </c>
      <c r="V823" s="234" t="n">
        <f aca="false">MONTH(Таблица18[[#This Row],[Дата акта]])</f>
        <v>5</v>
      </c>
      <c r="W823" s="234" t="n">
        <v>31</v>
      </c>
      <c r="X823" s="248" t="n">
        <f aca="false">DATE(1900,Таблица18[[#This Row],[Месяц]],Таблица18[[#This Row],[Число]])</f>
        <v>152</v>
      </c>
      <c r="Y823" s="234"/>
      <c r="AF823" s="411"/>
      <c r="AG823" s="412"/>
    </row>
    <row r="824" s="410" customFormat="true" ht="15" hidden="true" customHeight="true" outlineLevel="0" collapsed="false">
      <c r="A824" s="198" t="s">
        <v>2446</v>
      </c>
      <c r="B824" s="199" t="s">
        <v>417</v>
      </c>
      <c r="C824" s="198" t="n">
        <v>133</v>
      </c>
      <c r="D824" s="198" t="n">
        <v>11</v>
      </c>
      <c r="E824" s="198" t="s">
        <v>422</v>
      </c>
      <c r="F824" s="198" t="s">
        <v>376</v>
      </c>
      <c r="G824" s="198" t="s">
        <v>377</v>
      </c>
      <c r="H824" s="198" t="s">
        <v>133</v>
      </c>
      <c r="I824" s="199" t="s">
        <v>133</v>
      </c>
      <c r="J824" s="198" t="s">
        <v>423</v>
      </c>
      <c r="K824" s="198" t="s">
        <v>1435</v>
      </c>
      <c r="L824" s="234" t="n">
        <v>23620</v>
      </c>
      <c r="M824" s="234" t="n">
        <v>14320</v>
      </c>
      <c r="N824" s="234" t="n">
        <v>27</v>
      </c>
      <c r="O824" s="407" t="n">
        <v>9300</v>
      </c>
      <c r="P824" s="407" t="n">
        <v>6789</v>
      </c>
      <c r="Q824" s="234" t="n">
        <v>2025</v>
      </c>
      <c r="R824" s="234"/>
      <c r="S824" s="248" t="n">
        <v>45809</v>
      </c>
      <c r="T824" s="407" t="n">
        <f aca="false">Таблица18[[#This Row],[Вес нетто]]-Таблица18[[#This Row],[Зачетный вес]]</f>
        <v>2511</v>
      </c>
      <c r="U824" s="409" t="n">
        <f aca="false">Таблица18[[#This Row],[Отход]]/Таблица18[[#This Row],[Вес нетто]]</f>
        <v>0.27</v>
      </c>
      <c r="V824" s="234" t="n">
        <f aca="false">MONTH(Таблица18[[#This Row],[Дата акта]])</f>
        <v>6</v>
      </c>
      <c r="W824" s="234" t="n">
        <v>1</v>
      </c>
      <c r="X824" s="248" t="n">
        <f aca="false">DATE(1900,Таблица18[[#This Row],[Месяц]],Таблица18[[#This Row],[Число]])</f>
        <v>153</v>
      </c>
      <c r="Y824" s="234"/>
      <c r="AF824" s="411"/>
      <c r="AG824" s="412"/>
    </row>
    <row r="825" s="410" customFormat="true" ht="15" hidden="true" customHeight="true" outlineLevel="0" collapsed="false">
      <c r="A825" s="198" t="s">
        <v>2447</v>
      </c>
      <c r="B825" s="199" t="s">
        <v>417</v>
      </c>
      <c r="C825" s="198" t="n">
        <v>134</v>
      </c>
      <c r="D825" s="198" t="n">
        <v>12</v>
      </c>
      <c r="E825" s="198" t="s">
        <v>422</v>
      </c>
      <c r="F825" s="198" t="s">
        <v>376</v>
      </c>
      <c r="G825" s="198" t="s">
        <v>377</v>
      </c>
      <c r="H825" s="198" t="s">
        <v>133</v>
      </c>
      <c r="I825" s="199" t="s">
        <v>133</v>
      </c>
      <c r="J825" s="198" t="s">
        <v>423</v>
      </c>
      <c r="K825" s="198" t="s">
        <v>1435</v>
      </c>
      <c r="L825" s="234" t="n">
        <v>23600</v>
      </c>
      <c r="M825" s="234" t="n">
        <v>14310</v>
      </c>
      <c r="N825" s="234" t="n">
        <v>28</v>
      </c>
      <c r="O825" s="407" t="n">
        <v>9290</v>
      </c>
      <c r="P825" s="407" t="n">
        <v>6688.8</v>
      </c>
      <c r="Q825" s="234" t="n">
        <v>2025</v>
      </c>
      <c r="R825" s="234"/>
      <c r="S825" s="248" t="n">
        <v>45809</v>
      </c>
      <c r="T825" s="407" t="n">
        <f aca="false">Таблица18[[#This Row],[Вес нетто]]-Таблица18[[#This Row],[Зачетный вес]]</f>
        <v>2601.2</v>
      </c>
      <c r="U825" s="409" t="n">
        <f aca="false">Таблица18[[#This Row],[Отход]]/Таблица18[[#This Row],[Вес нетто]]</f>
        <v>0.28</v>
      </c>
      <c r="V825" s="234" t="n">
        <f aca="false">MONTH(Таблица18[[#This Row],[Дата акта]])</f>
        <v>6</v>
      </c>
      <c r="W825" s="234" t="n">
        <v>1</v>
      </c>
      <c r="X825" s="248" t="n">
        <f aca="false">DATE(1900,Таблица18[[#This Row],[Месяц]],Таблица18[[#This Row],[Число]])</f>
        <v>153</v>
      </c>
      <c r="Y825" s="234"/>
      <c r="AF825" s="411"/>
      <c r="AG825" s="412"/>
    </row>
    <row r="826" s="410" customFormat="true" ht="15" hidden="true" customHeight="true" outlineLevel="0" collapsed="false">
      <c r="A826" s="198" t="s">
        <v>2448</v>
      </c>
      <c r="B826" s="199" t="s">
        <v>417</v>
      </c>
      <c r="C826" s="198" t="n">
        <v>135</v>
      </c>
      <c r="D826" s="198" t="n">
        <v>13</v>
      </c>
      <c r="E826" s="198" t="s">
        <v>422</v>
      </c>
      <c r="F826" s="198" t="s">
        <v>376</v>
      </c>
      <c r="G826" s="198" t="s">
        <v>377</v>
      </c>
      <c r="H826" s="198" t="s">
        <v>133</v>
      </c>
      <c r="I826" s="199" t="s">
        <v>133</v>
      </c>
      <c r="J826" s="198" t="s">
        <v>423</v>
      </c>
      <c r="K826" s="198" t="s">
        <v>1435</v>
      </c>
      <c r="L826" s="234" t="n">
        <v>23430</v>
      </c>
      <c r="M826" s="234" t="n">
        <v>14300</v>
      </c>
      <c r="N826" s="234" t="n">
        <v>21</v>
      </c>
      <c r="O826" s="407" t="n">
        <v>9130</v>
      </c>
      <c r="P826" s="407" t="n">
        <v>7212.7</v>
      </c>
      <c r="Q826" s="234" t="n">
        <v>2025</v>
      </c>
      <c r="R826" s="234"/>
      <c r="S826" s="248" t="n">
        <v>45809</v>
      </c>
      <c r="T826" s="407" t="n">
        <f aca="false">Таблица18[[#This Row],[Вес нетто]]-Таблица18[[#This Row],[Зачетный вес]]</f>
        <v>1917.3</v>
      </c>
      <c r="U826" s="409" t="n">
        <f aca="false">Таблица18[[#This Row],[Отход]]/Таблица18[[#This Row],[Вес нетто]]</f>
        <v>0.21</v>
      </c>
      <c r="V826" s="234" t="n">
        <f aca="false">MONTH(Таблица18[[#This Row],[Дата акта]])</f>
        <v>6</v>
      </c>
      <c r="W826" s="234" t="n">
        <v>1</v>
      </c>
      <c r="X826" s="248" t="n">
        <f aca="false">DATE(1900,Таблица18[[#This Row],[Месяц]],Таблица18[[#This Row],[Число]])</f>
        <v>153</v>
      </c>
      <c r="Y826" s="234"/>
      <c r="AF826" s="411"/>
      <c r="AG826" s="412"/>
    </row>
    <row r="827" s="410" customFormat="true" ht="15" hidden="true" customHeight="true" outlineLevel="0" collapsed="false">
      <c r="A827" s="198" t="s">
        <v>2449</v>
      </c>
      <c r="B827" s="199" t="s">
        <v>417</v>
      </c>
      <c r="C827" s="198" t="n">
        <v>137</v>
      </c>
      <c r="D827" s="198" t="n">
        <v>14</v>
      </c>
      <c r="E827" s="198" t="s">
        <v>422</v>
      </c>
      <c r="F827" s="198" t="s">
        <v>359</v>
      </c>
      <c r="G827" s="198" t="s">
        <v>426</v>
      </c>
      <c r="H827" s="198" t="s">
        <v>133</v>
      </c>
      <c r="I827" s="199" t="s">
        <v>133</v>
      </c>
      <c r="J827" s="198" t="s">
        <v>423</v>
      </c>
      <c r="K827" s="198" t="s">
        <v>1435</v>
      </c>
      <c r="L827" s="234" t="n">
        <v>18150</v>
      </c>
      <c r="M827" s="234" t="n">
        <v>13850</v>
      </c>
      <c r="N827" s="234" t="n">
        <v>26</v>
      </c>
      <c r="O827" s="407" t="n">
        <v>4300</v>
      </c>
      <c r="P827" s="407" t="n">
        <v>3182</v>
      </c>
      <c r="Q827" s="234" t="n">
        <v>2025</v>
      </c>
      <c r="R827" s="234"/>
      <c r="S827" s="248" t="n">
        <v>45809</v>
      </c>
      <c r="T827" s="407" t="n">
        <f aca="false">Таблица18[[#This Row],[Вес нетто]]-Таблица18[[#This Row],[Зачетный вес]]</f>
        <v>1118</v>
      </c>
      <c r="U827" s="409" t="n">
        <f aca="false">Таблица18[[#This Row],[Отход]]/Таблица18[[#This Row],[Вес нетто]]</f>
        <v>0.26</v>
      </c>
      <c r="V827" s="234" t="n">
        <f aca="false">MONTH(Таблица18[[#This Row],[Дата акта]])</f>
        <v>6</v>
      </c>
      <c r="W827" s="234" t="n">
        <v>1</v>
      </c>
      <c r="X827" s="248" t="n">
        <f aca="false">DATE(1900,Таблица18[[#This Row],[Месяц]],Таблица18[[#This Row],[Число]])</f>
        <v>153</v>
      </c>
      <c r="Y827" s="234"/>
      <c r="AF827" s="411"/>
      <c r="AG827" s="412"/>
    </row>
    <row r="828" s="410" customFormat="true" ht="15" hidden="true" customHeight="true" outlineLevel="0" collapsed="false">
      <c r="A828" s="198" t="s">
        <v>2450</v>
      </c>
      <c r="B828" s="199" t="s">
        <v>417</v>
      </c>
      <c r="C828" s="198" t="n">
        <v>138</v>
      </c>
      <c r="D828" s="198" t="n">
        <v>15</v>
      </c>
      <c r="E828" s="198" t="s">
        <v>422</v>
      </c>
      <c r="F828" s="198" t="s">
        <v>359</v>
      </c>
      <c r="G828" s="198" t="s">
        <v>426</v>
      </c>
      <c r="H828" s="198" t="s">
        <v>133</v>
      </c>
      <c r="I828" s="199" t="s">
        <v>133</v>
      </c>
      <c r="J828" s="198" t="s">
        <v>423</v>
      </c>
      <c r="K828" s="198" t="s">
        <v>1435</v>
      </c>
      <c r="L828" s="234" t="n">
        <v>23060</v>
      </c>
      <c r="M828" s="234" t="n">
        <v>13840</v>
      </c>
      <c r="N828" s="234" t="n">
        <v>31</v>
      </c>
      <c r="O828" s="407" t="n">
        <v>9220</v>
      </c>
      <c r="P828" s="407" t="n">
        <v>6361.8</v>
      </c>
      <c r="Q828" s="234" t="n">
        <v>2025</v>
      </c>
      <c r="R828" s="234"/>
      <c r="S828" s="248" t="n">
        <v>45809</v>
      </c>
      <c r="T828" s="407" t="n">
        <f aca="false">Таблица18[[#This Row],[Вес нетто]]-Таблица18[[#This Row],[Зачетный вес]]</f>
        <v>2858.2</v>
      </c>
      <c r="U828" s="409" t="n">
        <f aca="false">Таблица18[[#This Row],[Отход]]/Таблица18[[#This Row],[Вес нетто]]</f>
        <v>0.31</v>
      </c>
      <c r="V828" s="234" t="n">
        <f aca="false">MONTH(Таблица18[[#This Row],[Дата акта]])</f>
        <v>6</v>
      </c>
      <c r="W828" s="234" t="n">
        <v>1</v>
      </c>
      <c r="X828" s="248" t="n">
        <f aca="false">DATE(1900,Таблица18[[#This Row],[Месяц]],Таблица18[[#This Row],[Число]])</f>
        <v>153</v>
      </c>
      <c r="Y828" s="234"/>
      <c r="AF828" s="411"/>
      <c r="AG828" s="412"/>
    </row>
    <row r="829" s="410" customFormat="true" ht="15" hidden="true" customHeight="true" outlineLevel="0" collapsed="false">
      <c r="A829" s="198" t="s">
        <v>2451</v>
      </c>
      <c r="B829" s="199" t="s">
        <v>417</v>
      </c>
      <c r="C829" s="198" t="n">
        <v>139</v>
      </c>
      <c r="D829" s="198" t="n">
        <v>65912</v>
      </c>
      <c r="E829" s="198" t="s">
        <v>409</v>
      </c>
      <c r="F829" s="198" t="s">
        <v>511</v>
      </c>
      <c r="G829" s="198" t="s">
        <v>515</v>
      </c>
      <c r="H829" s="198" t="s">
        <v>410</v>
      </c>
      <c r="I829" s="199" t="s">
        <v>410</v>
      </c>
      <c r="J829" s="198" t="s">
        <v>252</v>
      </c>
      <c r="K829" s="198" t="s">
        <v>1435</v>
      </c>
      <c r="L829" s="234" t="n">
        <v>28520</v>
      </c>
      <c r="M829" s="234" t="n">
        <v>14800</v>
      </c>
      <c r="N829" s="234" t="n">
        <v>17.5</v>
      </c>
      <c r="O829" s="407" t="n">
        <v>13720</v>
      </c>
      <c r="P829" s="407" t="n">
        <v>11319</v>
      </c>
      <c r="Q829" s="234" t="n">
        <v>2025</v>
      </c>
      <c r="R829" s="234"/>
      <c r="S829" s="248" t="n">
        <v>45809</v>
      </c>
      <c r="T829" s="407" t="n">
        <f aca="false">Таблица18[[#This Row],[Вес нетто]]-Таблица18[[#This Row],[Зачетный вес]]</f>
        <v>2401</v>
      </c>
      <c r="U829" s="409" t="n">
        <f aca="false">Таблица18[[#This Row],[Отход]]/Таблица18[[#This Row],[Вес нетто]]</f>
        <v>0.175</v>
      </c>
      <c r="V829" s="234" t="n">
        <f aca="false">MONTH(Таблица18[[#This Row],[Дата акта]])</f>
        <v>6</v>
      </c>
      <c r="W829" s="234" t="n">
        <v>1</v>
      </c>
      <c r="X829" s="248" t="n">
        <f aca="false">DATE(1900,Таблица18[[#This Row],[Месяц]],Таблица18[[#This Row],[Число]])</f>
        <v>153</v>
      </c>
      <c r="Y829" s="234"/>
      <c r="AF829" s="411"/>
      <c r="AG829" s="412"/>
    </row>
    <row r="830" s="410" customFormat="true" ht="15" hidden="true" customHeight="true" outlineLevel="0" collapsed="false">
      <c r="A830" s="198" t="s">
        <v>2452</v>
      </c>
      <c r="B830" s="199" t="s">
        <v>417</v>
      </c>
      <c r="C830" s="198" t="n">
        <v>140</v>
      </c>
      <c r="D830" s="198" t="n">
        <v>16</v>
      </c>
      <c r="E830" s="198" t="s">
        <v>422</v>
      </c>
      <c r="F830" s="198" t="s">
        <v>359</v>
      </c>
      <c r="G830" s="198" t="s">
        <v>426</v>
      </c>
      <c r="H830" s="198" t="s">
        <v>133</v>
      </c>
      <c r="I830" s="199" t="s">
        <v>133</v>
      </c>
      <c r="J830" s="198" t="s">
        <v>423</v>
      </c>
      <c r="K830" s="198" t="s">
        <v>1435</v>
      </c>
      <c r="L830" s="234" t="n">
        <v>27950</v>
      </c>
      <c r="M830" s="234" t="n">
        <v>13830</v>
      </c>
      <c r="N830" s="234" t="n">
        <v>28</v>
      </c>
      <c r="O830" s="407" t="n">
        <v>14120</v>
      </c>
      <c r="P830" s="407" t="n">
        <v>10166.4</v>
      </c>
      <c r="Q830" s="234" t="n">
        <v>2025</v>
      </c>
      <c r="R830" s="234"/>
      <c r="S830" s="248" t="n">
        <v>45809</v>
      </c>
      <c r="T830" s="407" t="n">
        <f aca="false">Таблица18[[#This Row],[Вес нетто]]-Таблица18[[#This Row],[Зачетный вес]]</f>
        <v>3953.6</v>
      </c>
      <c r="U830" s="409" t="n">
        <f aca="false">Таблица18[[#This Row],[Отход]]/Таблица18[[#This Row],[Вес нетто]]</f>
        <v>0.28</v>
      </c>
      <c r="V830" s="234" t="n">
        <f aca="false">MONTH(Таблица18[[#This Row],[Дата акта]])</f>
        <v>6</v>
      </c>
      <c r="W830" s="234" t="n">
        <v>1</v>
      </c>
      <c r="X830" s="248" t="n">
        <f aca="false">DATE(1900,Таблица18[[#This Row],[Месяц]],Таблица18[[#This Row],[Число]])</f>
        <v>153</v>
      </c>
      <c r="Y830" s="234"/>
      <c r="AF830" s="411"/>
      <c r="AG830" s="412"/>
    </row>
    <row r="831" s="410" customFormat="true" ht="15" hidden="true" customHeight="true" outlineLevel="0" collapsed="false">
      <c r="A831" s="198" t="s">
        <v>2453</v>
      </c>
      <c r="B831" s="199" t="s">
        <v>417</v>
      </c>
      <c r="C831" s="198" t="n">
        <v>141</v>
      </c>
      <c r="D831" s="198" t="n">
        <v>65914</v>
      </c>
      <c r="E831" s="198" t="s">
        <v>409</v>
      </c>
      <c r="F831" s="198" t="s">
        <v>411</v>
      </c>
      <c r="G831" s="198" t="s">
        <v>381</v>
      </c>
      <c r="H831" s="198" t="s">
        <v>410</v>
      </c>
      <c r="I831" s="199" t="s">
        <v>410</v>
      </c>
      <c r="J831" s="198" t="s">
        <v>252</v>
      </c>
      <c r="K831" s="198" t="s">
        <v>1435</v>
      </c>
      <c r="L831" s="234" t="n">
        <v>27720</v>
      </c>
      <c r="M831" s="234" t="n">
        <v>14090</v>
      </c>
      <c r="N831" s="234" t="n">
        <v>22</v>
      </c>
      <c r="O831" s="407" t="n">
        <v>13630</v>
      </c>
      <c r="P831" s="407" t="n">
        <v>10631.4</v>
      </c>
      <c r="Q831" s="234" t="n">
        <v>2025</v>
      </c>
      <c r="R831" s="234"/>
      <c r="S831" s="248" t="n">
        <v>45809</v>
      </c>
      <c r="T831" s="407" t="n">
        <f aca="false">Таблица18[[#This Row],[Вес нетто]]-Таблица18[[#This Row],[Зачетный вес]]</f>
        <v>2998.6</v>
      </c>
      <c r="U831" s="409" t="n">
        <f aca="false">Таблица18[[#This Row],[Отход]]/Таблица18[[#This Row],[Вес нетто]]</f>
        <v>0.22</v>
      </c>
      <c r="V831" s="234" t="n">
        <f aca="false">MONTH(Таблица18[[#This Row],[Дата акта]])</f>
        <v>6</v>
      </c>
      <c r="W831" s="234" t="n">
        <v>1</v>
      </c>
      <c r="X831" s="248" t="n">
        <f aca="false">DATE(1900,Таблица18[[#This Row],[Месяц]],Таблица18[[#This Row],[Число]])</f>
        <v>153</v>
      </c>
      <c r="Y831" s="234"/>
      <c r="AF831" s="411"/>
      <c r="AG831" s="412"/>
    </row>
    <row r="832" s="410" customFormat="true" ht="15" hidden="true" customHeight="true" outlineLevel="0" collapsed="false">
      <c r="A832" s="198" t="s">
        <v>2454</v>
      </c>
      <c r="B832" s="199" t="s">
        <v>417</v>
      </c>
      <c r="C832" s="198" t="n">
        <v>142</v>
      </c>
      <c r="D832" s="198" t="n">
        <v>65915</v>
      </c>
      <c r="E832" s="198" t="s">
        <v>409</v>
      </c>
      <c r="F832" s="198" t="s">
        <v>519</v>
      </c>
      <c r="G832" s="198" t="s">
        <v>523</v>
      </c>
      <c r="H832" s="198" t="s">
        <v>410</v>
      </c>
      <c r="I832" s="199" t="s">
        <v>410</v>
      </c>
      <c r="J832" s="198" t="s">
        <v>252</v>
      </c>
      <c r="K832" s="198" t="s">
        <v>1435</v>
      </c>
      <c r="L832" s="234" t="n">
        <v>29140</v>
      </c>
      <c r="M832" s="234" t="n">
        <v>15640</v>
      </c>
      <c r="N832" s="234" t="n">
        <v>21</v>
      </c>
      <c r="O832" s="407" t="n">
        <v>13500</v>
      </c>
      <c r="P832" s="407" t="n">
        <v>10665</v>
      </c>
      <c r="Q832" s="234" t="n">
        <v>2025</v>
      </c>
      <c r="R832" s="234"/>
      <c r="S832" s="248" t="n">
        <v>45809</v>
      </c>
      <c r="T832" s="407" t="n">
        <f aca="false">Таблица18[[#This Row],[Вес нетто]]-Таблица18[[#This Row],[Зачетный вес]]</f>
        <v>2835</v>
      </c>
      <c r="U832" s="409" t="n">
        <f aca="false">Таблица18[[#This Row],[Отход]]/Таблица18[[#This Row],[Вес нетто]]</f>
        <v>0.21</v>
      </c>
      <c r="V832" s="234" t="n">
        <f aca="false">MONTH(Таблица18[[#This Row],[Дата акта]])</f>
        <v>6</v>
      </c>
      <c r="W832" s="234" t="n">
        <v>1</v>
      </c>
      <c r="X832" s="248" t="n">
        <f aca="false">DATE(1900,Таблица18[[#This Row],[Месяц]],Таблица18[[#This Row],[Число]])</f>
        <v>153</v>
      </c>
      <c r="Y832" s="234"/>
      <c r="AF832" s="411"/>
      <c r="AG832" s="412"/>
    </row>
    <row r="833" s="410" customFormat="true" ht="15" hidden="true" customHeight="true" outlineLevel="0" collapsed="false">
      <c r="A833" s="198" t="s">
        <v>2455</v>
      </c>
      <c r="B833" s="199" t="s">
        <v>417</v>
      </c>
      <c r="C833" s="198" t="n">
        <v>143</v>
      </c>
      <c r="D833" s="198" t="n">
        <v>65916</v>
      </c>
      <c r="E833" s="198" t="s">
        <v>409</v>
      </c>
      <c r="F833" s="198" t="s">
        <v>363</v>
      </c>
      <c r="G833" s="198" t="s">
        <v>364</v>
      </c>
      <c r="H833" s="198" t="s">
        <v>410</v>
      </c>
      <c r="I833" s="199" t="s">
        <v>410</v>
      </c>
      <c r="J833" s="198" t="s">
        <v>252</v>
      </c>
      <c r="K833" s="198" t="s">
        <v>1435</v>
      </c>
      <c r="L833" s="234" t="n">
        <v>28320</v>
      </c>
      <c r="M833" s="234" t="n">
        <v>14490</v>
      </c>
      <c r="N833" s="234" t="n">
        <v>17</v>
      </c>
      <c r="O833" s="407" t="n">
        <v>13830</v>
      </c>
      <c r="P833" s="407" t="n">
        <v>11478.9</v>
      </c>
      <c r="Q833" s="234" t="n">
        <v>2025</v>
      </c>
      <c r="R833" s="234"/>
      <c r="S833" s="248" t="n">
        <v>45809</v>
      </c>
      <c r="T833" s="407" t="n">
        <f aca="false">Таблица18[[#This Row],[Вес нетто]]-Таблица18[[#This Row],[Зачетный вес]]</f>
        <v>2351.1</v>
      </c>
      <c r="U833" s="409" t="n">
        <f aca="false">Таблица18[[#This Row],[Отход]]/Таблица18[[#This Row],[Вес нетто]]</f>
        <v>0.17</v>
      </c>
      <c r="V833" s="234" t="n">
        <f aca="false">MONTH(Таблица18[[#This Row],[Дата акта]])</f>
        <v>6</v>
      </c>
      <c r="W833" s="234" t="n">
        <v>1</v>
      </c>
      <c r="X833" s="248" t="n">
        <f aca="false">DATE(1900,Таблица18[[#This Row],[Месяц]],Таблица18[[#This Row],[Число]])</f>
        <v>153</v>
      </c>
      <c r="Y833" s="234"/>
      <c r="AF833" s="411"/>
      <c r="AG833" s="412"/>
    </row>
    <row r="834" s="410" customFormat="true" ht="15" hidden="true" customHeight="true" outlineLevel="0" collapsed="false">
      <c r="A834" s="198" t="s">
        <v>2456</v>
      </c>
      <c r="B834" s="199" t="s">
        <v>417</v>
      </c>
      <c r="C834" s="198" t="n">
        <v>144</v>
      </c>
      <c r="D834" s="198" t="n">
        <v>65917</v>
      </c>
      <c r="E834" s="198" t="s">
        <v>409</v>
      </c>
      <c r="F834" s="198" t="s">
        <v>386</v>
      </c>
      <c r="G834" s="198" t="s">
        <v>387</v>
      </c>
      <c r="H834" s="198" t="s">
        <v>410</v>
      </c>
      <c r="I834" s="199" t="s">
        <v>410</v>
      </c>
      <c r="J834" s="198" t="s">
        <v>252</v>
      </c>
      <c r="K834" s="198" t="s">
        <v>1435</v>
      </c>
      <c r="L834" s="234" t="n">
        <v>29030</v>
      </c>
      <c r="M834" s="234" t="n">
        <v>15150</v>
      </c>
      <c r="N834" s="234" t="n">
        <v>22</v>
      </c>
      <c r="O834" s="407" t="n">
        <v>13880</v>
      </c>
      <c r="P834" s="407" t="n">
        <v>10826.4</v>
      </c>
      <c r="Q834" s="234" t="n">
        <v>2025</v>
      </c>
      <c r="R834" s="234"/>
      <c r="S834" s="248" t="n">
        <v>45809</v>
      </c>
      <c r="T834" s="407" t="n">
        <f aca="false">Таблица18[[#This Row],[Вес нетто]]-Таблица18[[#This Row],[Зачетный вес]]</f>
        <v>3053.6</v>
      </c>
      <c r="U834" s="409" t="n">
        <f aca="false">Таблица18[[#This Row],[Отход]]/Таблица18[[#This Row],[Вес нетто]]</f>
        <v>0.22</v>
      </c>
      <c r="V834" s="234" t="n">
        <f aca="false">MONTH(Таблица18[[#This Row],[Дата акта]])</f>
        <v>6</v>
      </c>
      <c r="W834" s="234" t="n">
        <v>1</v>
      </c>
      <c r="X834" s="248" t="n">
        <f aca="false">DATE(1900,Таблица18[[#This Row],[Месяц]],Таблица18[[#This Row],[Число]])</f>
        <v>153</v>
      </c>
      <c r="Y834" s="234"/>
      <c r="AF834" s="411"/>
      <c r="AG834" s="412"/>
    </row>
    <row r="835" s="410" customFormat="true" ht="15" hidden="true" customHeight="true" outlineLevel="0" collapsed="false">
      <c r="A835" s="198" t="s">
        <v>2457</v>
      </c>
      <c r="B835" s="199" t="s">
        <v>417</v>
      </c>
      <c r="C835" s="198" t="n">
        <v>146</v>
      </c>
      <c r="D835" s="198" t="n">
        <v>65918</v>
      </c>
      <c r="E835" s="198" t="s">
        <v>409</v>
      </c>
      <c r="F835" s="198" t="s">
        <v>57</v>
      </c>
      <c r="G835" s="198" t="s">
        <v>58</v>
      </c>
      <c r="H835" s="198" t="s">
        <v>410</v>
      </c>
      <c r="I835" s="199" t="s">
        <v>410</v>
      </c>
      <c r="J835" s="198" t="s">
        <v>252</v>
      </c>
      <c r="K835" s="198" t="s">
        <v>1435</v>
      </c>
      <c r="L835" s="234" t="n">
        <v>29310</v>
      </c>
      <c r="M835" s="234" t="n">
        <v>15540</v>
      </c>
      <c r="N835" s="234" t="n">
        <v>27</v>
      </c>
      <c r="O835" s="407" t="n">
        <v>13770</v>
      </c>
      <c r="P835" s="407" t="n">
        <v>10052.1</v>
      </c>
      <c r="Q835" s="234" t="n">
        <v>2025</v>
      </c>
      <c r="R835" s="234"/>
      <c r="S835" s="248" t="n">
        <v>45809</v>
      </c>
      <c r="T835" s="407" t="n">
        <f aca="false">Таблица18[[#This Row],[Вес нетто]]-Таблица18[[#This Row],[Зачетный вес]]</f>
        <v>3717.9</v>
      </c>
      <c r="U835" s="409" t="n">
        <f aca="false">Таблица18[[#This Row],[Отход]]/Таблица18[[#This Row],[Вес нетто]]</f>
        <v>0.27</v>
      </c>
      <c r="V835" s="234" t="n">
        <f aca="false">MONTH(Таблица18[[#This Row],[Дата акта]])</f>
        <v>6</v>
      </c>
      <c r="W835" s="234" t="n">
        <v>1</v>
      </c>
      <c r="X835" s="248" t="n">
        <f aca="false">DATE(1900,Таблица18[[#This Row],[Месяц]],Таблица18[[#This Row],[Число]])</f>
        <v>153</v>
      </c>
      <c r="Y835" s="234"/>
      <c r="AF835" s="411"/>
      <c r="AG835" s="412"/>
    </row>
    <row r="836" s="410" customFormat="true" ht="15" hidden="true" customHeight="true" outlineLevel="0" collapsed="false">
      <c r="A836" s="198" t="s">
        <v>2458</v>
      </c>
      <c r="B836" s="199" t="s">
        <v>417</v>
      </c>
      <c r="C836" s="198" t="n">
        <v>145</v>
      </c>
      <c r="D836" s="198" t="n">
        <v>17</v>
      </c>
      <c r="E836" s="198" t="s">
        <v>422</v>
      </c>
      <c r="F836" s="198" t="s">
        <v>411</v>
      </c>
      <c r="G836" s="198" t="s">
        <v>381</v>
      </c>
      <c r="H836" s="198" t="s">
        <v>133</v>
      </c>
      <c r="I836" s="199" t="s">
        <v>133</v>
      </c>
      <c r="J836" s="198" t="s">
        <v>423</v>
      </c>
      <c r="K836" s="198" t="s">
        <v>1435</v>
      </c>
      <c r="L836" s="234" t="n">
        <v>26540</v>
      </c>
      <c r="M836" s="234" t="n">
        <v>14200</v>
      </c>
      <c r="N836" s="234" t="n">
        <v>31</v>
      </c>
      <c r="O836" s="407" t="n">
        <v>12340</v>
      </c>
      <c r="P836" s="407" t="n">
        <v>8514.6</v>
      </c>
      <c r="Q836" s="234" t="n">
        <v>2025</v>
      </c>
      <c r="R836" s="234"/>
      <c r="S836" s="248" t="n">
        <v>45809</v>
      </c>
      <c r="T836" s="407" t="n">
        <f aca="false">Таблица18[[#This Row],[Вес нетто]]-Таблица18[[#This Row],[Зачетный вес]]</f>
        <v>3825.4</v>
      </c>
      <c r="U836" s="409" t="n">
        <f aca="false">Таблица18[[#This Row],[Отход]]/Таблица18[[#This Row],[Вес нетто]]</f>
        <v>0.31</v>
      </c>
      <c r="V836" s="234" t="n">
        <f aca="false">MONTH(Таблица18[[#This Row],[Дата акта]])</f>
        <v>6</v>
      </c>
      <c r="W836" s="234" t="n">
        <v>1</v>
      </c>
      <c r="X836" s="248" t="n">
        <f aca="false">DATE(1900,Таблица18[[#This Row],[Месяц]],Таблица18[[#This Row],[Число]])</f>
        <v>153</v>
      </c>
      <c r="Y836" s="234"/>
      <c r="AF836" s="411"/>
      <c r="AG836" s="412"/>
    </row>
    <row r="837" s="410" customFormat="true" ht="15" hidden="true" customHeight="true" outlineLevel="0" collapsed="false">
      <c r="A837" s="198" t="s">
        <v>2459</v>
      </c>
      <c r="B837" s="199" t="s">
        <v>417</v>
      </c>
      <c r="C837" s="198" t="n">
        <v>147</v>
      </c>
      <c r="D837" s="198" t="n">
        <v>65919</v>
      </c>
      <c r="E837" s="198" t="s">
        <v>409</v>
      </c>
      <c r="F837" s="198" t="s">
        <v>537</v>
      </c>
      <c r="G837" s="198" t="s">
        <v>541</v>
      </c>
      <c r="H837" s="198" t="s">
        <v>410</v>
      </c>
      <c r="I837" s="199" t="s">
        <v>410</v>
      </c>
      <c r="J837" s="198" t="s">
        <v>252</v>
      </c>
      <c r="K837" s="198" t="s">
        <v>1435</v>
      </c>
      <c r="L837" s="234" t="n">
        <v>28810</v>
      </c>
      <c r="M837" s="234" t="n">
        <v>15140</v>
      </c>
      <c r="N837" s="234" t="n">
        <v>25</v>
      </c>
      <c r="O837" s="407" t="n">
        <v>13670</v>
      </c>
      <c r="P837" s="407" t="n">
        <v>10252.5</v>
      </c>
      <c r="Q837" s="234" t="n">
        <v>2025</v>
      </c>
      <c r="R837" s="234"/>
      <c r="S837" s="248" t="n">
        <v>45809</v>
      </c>
      <c r="T837" s="407" t="n">
        <f aca="false">Таблица18[[#This Row],[Вес нетто]]-Таблица18[[#This Row],[Зачетный вес]]</f>
        <v>3417.5</v>
      </c>
      <c r="U837" s="409" t="n">
        <f aca="false">Таблица18[[#This Row],[Отход]]/Таблица18[[#This Row],[Вес нетто]]</f>
        <v>0.25</v>
      </c>
      <c r="V837" s="234" t="n">
        <f aca="false">MONTH(Таблица18[[#This Row],[Дата акта]])</f>
        <v>6</v>
      </c>
      <c r="W837" s="234" t="n">
        <v>1</v>
      </c>
      <c r="X837" s="248" t="n">
        <f aca="false">DATE(1900,Таблица18[[#This Row],[Месяц]],Таблица18[[#This Row],[Число]])</f>
        <v>153</v>
      </c>
      <c r="Y837" s="234"/>
      <c r="AF837" s="411"/>
      <c r="AG837" s="412"/>
    </row>
    <row r="838" s="410" customFormat="true" ht="15" hidden="true" customHeight="true" outlineLevel="0" collapsed="false">
      <c r="A838" s="198" t="s">
        <v>2460</v>
      </c>
      <c r="B838" s="199" t="s">
        <v>417</v>
      </c>
      <c r="C838" s="198" t="n">
        <v>150</v>
      </c>
      <c r="D838" s="198" t="n">
        <v>65920</v>
      </c>
      <c r="E838" s="198" t="s">
        <v>409</v>
      </c>
      <c r="F838" s="198" t="s">
        <v>542</v>
      </c>
      <c r="G838" s="198" t="s">
        <v>546</v>
      </c>
      <c r="H838" s="198" t="s">
        <v>410</v>
      </c>
      <c r="I838" s="199" t="s">
        <v>410</v>
      </c>
      <c r="J838" s="198" t="s">
        <v>252</v>
      </c>
      <c r="K838" s="198" t="s">
        <v>1435</v>
      </c>
      <c r="L838" s="234" t="n">
        <v>28330</v>
      </c>
      <c r="M838" s="234" t="n">
        <v>14550</v>
      </c>
      <c r="N838" s="234" t="n">
        <v>24</v>
      </c>
      <c r="O838" s="407" t="n">
        <v>13780</v>
      </c>
      <c r="P838" s="407" t="n">
        <v>10472.8</v>
      </c>
      <c r="Q838" s="234" t="n">
        <v>2025</v>
      </c>
      <c r="R838" s="234"/>
      <c r="S838" s="248" t="n">
        <v>45810</v>
      </c>
      <c r="T838" s="407" t="n">
        <f aca="false">Таблица18[[#This Row],[Вес нетто]]-Таблица18[[#This Row],[Зачетный вес]]</f>
        <v>3307.2</v>
      </c>
      <c r="U838" s="409" t="n">
        <f aca="false">Таблица18[[#This Row],[Отход]]/Таблица18[[#This Row],[Вес нетто]]</f>
        <v>0.24</v>
      </c>
      <c r="V838" s="234" t="n">
        <f aca="false">MONTH(Таблица18[[#This Row],[Дата акта]])</f>
        <v>6</v>
      </c>
      <c r="W838" s="234" t="n">
        <v>2</v>
      </c>
      <c r="X838" s="248" t="n">
        <f aca="false">DATE(1900,Таблица18[[#This Row],[Месяц]],Таблица18[[#This Row],[Число]])</f>
        <v>154</v>
      </c>
      <c r="Y838" s="234"/>
      <c r="AF838" s="411"/>
      <c r="AG838" s="412"/>
    </row>
    <row r="839" s="410" customFormat="true" ht="15" hidden="true" customHeight="true" outlineLevel="0" collapsed="false">
      <c r="A839" s="198" t="s">
        <v>2461</v>
      </c>
      <c r="B839" s="199" t="s">
        <v>417</v>
      </c>
      <c r="C839" s="198" t="n">
        <v>151</v>
      </c>
      <c r="D839" s="198" t="n">
        <v>65921</v>
      </c>
      <c r="E839" s="198" t="s">
        <v>409</v>
      </c>
      <c r="F839" s="198" t="s">
        <v>547</v>
      </c>
      <c r="G839" s="198" t="s">
        <v>551</v>
      </c>
      <c r="H839" s="198" t="s">
        <v>410</v>
      </c>
      <c r="I839" s="199" t="s">
        <v>410</v>
      </c>
      <c r="J839" s="198" t="s">
        <v>252</v>
      </c>
      <c r="K839" s="198" t="s">
        <v>1435</v>
      </c>
      <c r="L839" s="234" t="n">
        <v>28370</v>
      </c>
      <c r="M839" s="234" t="n">
        <v>14790</v>
      </c>
      <c r="N839" s="234" t="n">
        <v>21</v>
      </c>
      <c r="O839" s="407" t="n">
        <v>13580</v>
      </c>
      <c r="P839" s="407" t="n">
        <v>10728.2</v>
      </c>
      <c r="Q839" s="234" t="n">
        <v>2025</v>
      </c>
      <c r="R839" s="234"/>
      <c r="S839" s="248" t="n">
        <v>45810</v>
      </c>
      <c r="T839" s="407" t="n">
        <f aca="false">Таблица18[[#This Row],[Вес нетто]]-Таблица18[[#This Row],[Зачетный вес]]</f>
        <v>2851.8</v>
      </c>
      <c r="U839" s="409" t="n">
        <f aca="false">Таблица18[[#This Row],[Отход]]/Таблица18[[#This Row],[Вес нетто]]</f>
        <v>0.21</v>
      </c>
      <c r="V839" s="234" t="n">
        <f aca="false">MONTH(Таблица18[[#This Row],[Дата акта]])</f>
        <v>6</v>
      </c>
      <c r="W839" s="234" t="n">
        <v>2</v>
      </c>
      <c r="X839" s="248" t="n">
        <f aca="false">DATE(1900,Таблица18[[#This Row],[Месяц]],Таблица18[[#This Row],[Число]])</f>
        <v>154</v>
      </c>
      <c r="Y839" s="234"/>
      <c r="AF839" s="411"/>
      <c r="AG839" s="412"/>
    </row>
    <row r="840" s="410" customFormat="true" ht="15" hidden="true" customHeight="true" outlineLevel="0" collapsed="false">
      <c r="A840" s="198" t="s">
        <v>2462</v>
      </c>
      <c r="B840" s="199" t="s">
        <v>417</v>
      </c>
      <c r="C840" s="198" t="n">
        <v>152</v>
      </c>
      <c r="D840" s="198" t="n">
        <v>65922</v>
      </c>
      <c r="E840" s="198" t="s">
        <v>409</v>
      </c>
      <c r="F840" s="198" t="s">
        <v>553</v>
      </c>
      <c r="G840" s="198" t="s">
        <v>557</v>
      </c>
      <c r="H840" s="198" t="s">
        <v>410</v>
      </c>
      <c r="I840" s="199" t="s">
        <v>410</v>
      </c>
      <c r="J840" s="198" t="s">
        <v>252</v>
      </c>
      <c r="K840" s="198" t="s">
        <v>1435</v>
      </c>
      <c r="L840" s="234" t="n">
        <v>28660</v>
      </c>
      <c r="M840" s="234" t="n">
        <v>14970</v>
      </c>
      <c r="N840" s="234" t="n">
        <v>24</v>
      </c>
      <c r="O840" s="407" t="n">
        <v>13690</v>
      </c>
      <c r="P840" s="407" t="n">
        <v>10404.4</v>
      </c>
      <c r="Q840" s="234" t="n">
        <v>2025</v>
      </c>
      <c r="R840" s="234"/>
      <c r="S840" s="248" t="n">
        <v>45810</v>
      </c>
      <c r="T840" s="407" t="n">
        <f aca="false">Таблица18[[#This Row],[Вес нетто]]-Таблица18[[#This Row],[Зачетный вес]]</f>
        <v>3285.6</v>
      </c>
      <c r="U840" s="409" t="n">
        <f aca="false">Таблица18[[#This Row],[Отход]]/Таблица18[[#This Row],[Вес нетто]]</f>
        <v>0.24</v>
      </c>
      <c r="V840" s="234" t="n">
        <f aca="false">MONTH(Таблица18[[#This Row],[Дата акта]])</f>
        <v>6</v>
      </c>
      <c r="W840" s="234" t="n">
        <v>2</v>
      </c>
      <c r="X840" s="248" t="n">
        <f aca="false">DATE(1900,Таблица18[[#This Row],[Месяц]],Таблица18[[#This Row],[Число]])</f>
        <v>154</v>
      </c>
      <c r="Y840" s="234"/>
      <c r="AF840" s="411"/>
      <c r="AG840" s="412"/>
    </row>
    <row r="841" s="410" customFormat="true" ht="15" hidden="true" customHeight="true" outlineLevel="0" collapsed="false">
      <c r="A841" s="198" t="s">
        <v>2463</v>
      </c>
      <c r="B841" s="199" t="s">
        <v>417</v>
      </c>
      <c r="C841" s="198" t="n">
        <v>149</v>
      </c>
      <c r="D841" s="198" t="n">
        <v>18</v>
      </c>
      <c r="E841" s="198" t="s">
        <v>422</v>
      </c>
      <c r="F841" s="198" t="s">
        <v>359</v>
      </c>
      <c r="G841" s="198" t="s">
        <v>426</v>
      </c>
      <c r="H841" s="198" t="s">
        <v>133</v>
      </c>
      <c r="I841" s="199" t="s">
        <v>133</v>
      </c>
      <c r="J841" s="198" t="s">
        <v>423</v>
      </c>
      <c r="K841" s="198" t="s">
        <v>1435</v>
      </c>
      <c r="L841" s="234" t="n">
        <v>24560</v>
      </c>
      <c r="M841" s="234" t="n">
        <v>13820</v>
      </c>
      <c r="N841" s="234" t="n">
        <v>29</v>
      </c>
      <c r="O841" s="407" t="n">
        <v>10740</v>
      </c>
      <c r="P841" s="407" t="n">
        <v>7625.4</v>
      </c>
      <c r="Q841" s="234" t="n">
        <v>2025</v>
      </c>
      <c r="R841" s="234"/>
      <c r="S841" s="248" t="n">
        <v>45810</v>
      </c>
      <c r="T841" s="407" t="n">
        <f aca="false">Таблица18[[#This Row],[Вес нетто]]-Таблица18[[#This Row],[Зачетный вес]]</f>
        <v>3114.6</v>
      </c>
      <c r="U841" s="409" t="n">
        <f aca="false">Таблица18[[#This Row],[Отход]]/Таблица18[[#This Row],[Вес нетто]]</f>
        <v>0.29</v>
      </c>
      <c r="V841" s="234" t="n">
        <f aca="false">MONTH(Таблица18[[#This Row],[Дата акта]])</f>
        <v>6</v>
      </c>
      <c r="W841" s="234" t="n">
        <v>2</v>
      </c>
      <c r="X841" s="248" t="n">
        <f aca="false">DATE(1900,Таблица18[[#This Row],[Месяц]],Таблица18[[#This Row],[Число]])</f>
        <v>154</v>
      </c>
      <c r="Y841" s="234"/>
      <c r="AF841" s="411"/>
      <c r="AG841" s="412"/>
    </row>
    <row r="842" s="410" customFormat="true" ht="15" hidden="true" customHeight="true" outlineLevel="0" collapsed="false">
      <c r="A842" s="198" t="s">
        <v>2464</v>
      </c>
      <c r="B842" s="199" t="s">
        <v>417</v>
      </c>
      <c r="C842" s="198" t="n">
        <v>153</v>
      </c>
      <c r="D842" s="198" t="n">
        <v>65923</v>
      </c>
      <c r="E842" s="198" t="s">
        <v>409</v>
      </c>
      <c r="F842" s="198" t="s">
        <v>395</v>
      </c>
      <c r="G842" s="198" t="s">
        <v>566</v>
      </c>
      <c r="H842" s="198" t="s">
        <v>410</v>
      </c>
      <c r="I842" s="199" t="s">
        <v>410</v>
      </c>
      <c r="J842" s="198" t="s">
        <v>252</v>
      </c>
      <c r="K842" s="198" t="s">
        <v>1435</v>
      </c>
      <c r="L842" s="234" t="n">
        <v>28060</v>
      </c>
      <c r="M842" s="234" t="n">
        <v>14390</v>
      </c>
      <c r="N842" s="234" t="n">
        <v>25</v>
      </c>
      <c r="O842" s="407" t="n">
        <v>13670</v>
      </c>
      <c r="P842" s="407" t="n">
        <v>10252.5</v>
      </c>
      <c r="Q842" s="234" t="n">
        <v>2025</v>
      </c>
      <c r="R842" s="234"/>
      <c r="S842" s="248" t="n">
        <v>45810</v>
      </c>
      <c r="T842" s="407" t="n">
        <f aca="false">Таблица18[[#This Row],[Вес нетто]]-Таблица18[[#This Row],[Зачетный вес]]</f>
        <v>3417.5</v>
      </c>
      <c r="U842" s="409" t="n">
        <f aca="false">Таблица18[[#This Row],[Отход]]/Таблица18[[#This Row],[Вес нетто]]</f>
        <v>0.25</v>
      </c>
      <c r="V842" s="234" t="n">
        <f aca="false">MONTH(Таблица18[[#This Row],[Дата акта]])</f>
        <v>6</v>
      </c>
      <c r="W842" s="234" t="n">
        <v>2</v>
      </c>
      <c r="X842" s="248" t="n">
        <f aca="false">DATE(1900,Таблица18[[#This Row],[Месяц]],Таблица18[[#This Row],[Число]])</f>
        <v>154</v>
      </c>
      <c r="Y842" s="234"/>
      <c r="AF842" s="411"/>
      <c r="AG842" s="412"/>
    </row>
    <row r="843" s="410" customFormat="true" ht="15" hidden="true" customHeight="true" outlineLevel="0" collapsed="false">
      <c r="A843" s="198" t="s">
        <v>2465</v>
      </c>
      <c r="B843" s="199" t="s">
        <v>417</v>
      </c>
      <c r="C843" s="198" t="n">
        <v>154</v>
      </c>
      <c r="D843" s="198" t="n">
        <v>65924</v>
      </c>
      <c r="E843" s="198" t="s">
        <v>409</v>
      </c>
      <c r="F843" s="198" t="s">
        <v>48</v>
      </c>
      <c r="G843" s="198" t="s">
        <v>49</v>
      </c>
      <c r="H843" s="198" t="s">
        <v>410</v>
      </c>
      <c r="I843" s="199" t="s">
        <v>410</v>
      </c>
      <c r="J843" s="198" t="s">
        <v>252</v>
      </c>
      <c r="K843" s="198" t="s">
        <v>1435</v>
      </c>
      <c r="L843" s="234" t="n">
        <v>28740</v>
      </c>
      <c r="M843" s="234" t="n">
        <v>14950</v>
      </c>
      <c r="N843" s="234" t="n">
        <v>25.5</v>
      </c>
      <c r="O843" s="407" t="n">
        <v>13790</v>
      </c>
      <c r="P843" s="407" t="n">
        <v>10273.5</v>
      </c>
      <c r="Q843" s="234" t="n">
        <v>2025</v>
      </c>
      <c r="R843" s="234"/>
      <c r="S843" s="248" t="n">
        <v>45810</v>
      </c>
      <c r="T843" s="407" t="n">
        <f aca="false">Таблица18[[#This Row],[Вес нетто]]-Таблица18[[#This Row],[Зачетный вес]]</f>
        <v>3516.5</v>
      </c>
      <c r="U843" s="409" t="n">
        <f aca="false">Таблица18[[#This Row],[Отход]]/Таблица18[[#This Row],[Вес нетто]]</f>
        <v>0.255003625815809</v>
      </c>
      <c r="V843" s="234" t="n">
        <f aca="false">MONTH(Таблица18[[#This Row],[Дата акта]])</f>
        <v>6</v>
      </c>
      <c r="W843" s="234" t="n">
        <v>2</v>
      </c>
      <c r="X843" s="248" t="n">
        <f aca="false">DATE(1900,Таблица18[[#This Row],[Месяц]],Таблица18[[#This Row],[Число]])</f>
        <v>154</v>
      </c>
      <c r="Y843" s="234"/>
      <c r="AF843" s="411"/>
      <c r="AG843" s="412"/>
    </row>
    <row r="844" s="410" customFormat="true" ht="15" hidden="true" customHeight="true" outlineLevel="0" collapsed="false">
      <c r="A844" s="198" t="s">
        <v>2466</v>
      </c>
      <c r="B844" s="199" t="s">
        <v>417</v>
      </c>
      <c r="C844" s="198" t="n">
        <v>155</v>
      </c>
      <c r="D844" s="198" t="n">
        <v>19</v>
      </c>
      <c r="E844" s="198" t="s">
        <v>422</v>
      </c>
      <c r="F844" s="198" t="s">
        <v>411</v>
      </c>
      <c r="G844" s="198" t="s">
        <v>381</v>
      </c>
      <c r="H844" s="198" t="s">
        <v>133</v>
      </c>
      <c r="I844" s="199" t="s">
        <v>133</v>
      </c>
      <c r="J844" s="198" t="s">
        <v>423</v>
      </c>
      <c r="K844" s="198" t="s">
        <v>1435</v>
      </c>
      <c r="L844" s="234" t="n">
        <v>26590</v>
      </c>
      <c r="M844" s="234" t="n">
        <v>14190</v>
      </c>
      <c r="N844" s="234" t="n">
        <v>21</v>
      </c>
      <c r="O844" s="407" t="n">
        <v>12400</v>
      </c>
      <c r="P844" s="407" t="n">
        <v>9796</v>
      </c>
      <c r="Q844" s="234" t="n">
        <v>2025</v>
      </c>
      <c r="R844" s="234"/>
      <c r="S844" s="248" t="n">
        <v>45810</v>
      </c>
      <c r="T844" s="407" t="n">
        <f aca="false">Таблица18[[#This Row],[Вес нетто]]-Таблица18[[#This Row],[Зачетный вес]]</f>
        <v>2604</v>
      </c>
      <c r="U844" s="409" t="n">
        <f aca="false">Таблица18[[#This Row],[Отход]]/Таблица18[[#This Row],[Вес нетто]]</f>
        <v>0.21</v>
      </c>
      <c r="V844" s="234" t="n">
        <f aca="false">MONTH(Таблица18[[#This Row],[Дата акта]])</f>
        <v>6</v>
      </c>
      <c r="W844" s="234" t="n">
        <v>2</v>
      </c>
      <c r="X844" s="248" t="n">
        <f aca="false">DATE(1900,Таблица18[[#This Row],[Месяц]],Таблица18[[#This Row],[Число]])</f>
        <v>154</v>
      </c>
      <c r="Y844" s="234"/>
      <c r="AF844" s="411"/>
      <c r="AG844" s="412"/>
    </row>
    <row r="845" s="410" customFormat="true" ht="15" hidden="true" customHeight="true" outlineLevel="0" collapsed="false">
      <c r="A845" s="198" t="s">
        <v>2467</v>
      </c>
      <c r="B845" s="199" t="s">
        <v>417</v>
      </c>
      <c r="C845" s="198" t="n">
        <v>156</v>
      </c>
      <c r="D845" s="198" t="n">
        <v>65927</v>
      </c>
      <c r="E845" s="198" t="s">
        <v>409</v>
      </c>
      <c r="F845" s="198" t="s">
        <v>384</v>
      </c>
      <c r="G845" s="198" t="s">
        <v>385</v>
      </c>
      <c r="H845" s="198" t="s">
        <v>410</v>
      </c>
      <c r="I845" s="199" t="s">
        <v>410</v>
      </c>
      <c r="J845" s="198" t="s">
        <v>252</v>
      </c>
      <c r="K845" s="198" t="s">
        <v>1435</v>
      </c>
      <c r="L845" s="234" t="n">
        <v>28190</v>
      </c>
      <c r="M845" s="234" t="n">
        <v>14380</v>
      </c>
      <c r="N845" s="234" t="n">
        <v>23.5</v>
      </c>
      <c r="O845" s="407" t="n">
        <v>13810</v>
      </c>
      <c r="P845" s="407" t="n">
        <v>10564.6</v>
      </c>
      <c r="Q845" s="234" t="n">
        <v>2025</v>
      </c>
      <c r="R845" s="234"/>
      <c r="S845" s="248" t="n">
        <v>45810</v>
      </c>
      <c r="T845" s="407" t="n">
        <f aca="false">Таблица18[[#This Row],[Вес нетто]]-Таблица18[[#This Row],[Зачетный вес]]</f>
        <v>3245.4</v>
      </c>
      <c r="U845" s="409" t="n">
        <f aca="false">Таблица18[[#This Row],[Отход]]/Таблица18[[#This Row],[Вес нетто]]</f>
        <v>0.235003620564808</v>
      </c>
      <c r="V845" s="234" t="n">
        <f aca="false">MONTH(Таблица18[[#This Row],[Дата акта]])</f>
        <v>6</v>
      </c>
      <c r="W845" s="234" t="n">
        <v>2</v>
      </c>
      <c r="X845" s="248" t="n">
        <f aca="false">DATE(1900,Таблица18[[#This Row],[Месяц]],Таблица18[[#This Row],[Число]])</f>
        <v>154</v>
      </c>
      <c r="Y845" s="234"/>
      <c r="AF845" s="411"/>
      <c r="AG845" s="412"/>
    </row>
    <row r="846" s="410" customFormat="true" ht="15" hidden="true" customHeight="true" outlineLevel="0" collapsed="false">
      <c r="A846" s="198" t="s">
        <v>2468</v>
      </c>
      <c r="B846" s="199" t="s">
        <v>417</v>
      </c>
      <c r="C846" s="198" t="n">
        <v>158</v>
      </c>
      <c r="D846" s="198" t="n">
        <v>65928</v>
      </c>
      <c r="E846" s="198" t="s">
        <v>409</v>
      </c>
      <c r="F846" s="198" t="s">
        <v>361</v>
      </c>
      <c r="G846" s="198" t="s">
        <v>362</v>
      </c>
      <c r="H846" s="198" t="s">
        <v>410</v>
      </c>
      <c r="I846" s="199" t="s">
        <v>410</v>
      </c>
      <c r="J846" s="198" t="s">
        <v>252</v>
      </c>
      <c r="K846" s="198" t="s">
        <v>1435</v>
      </c>
      <c r="L846" s="234" t="n">
        <v>28300</v>
      </c>
      <c r="M846" s="234" t="n">
        <v>14800</v>
      </c>
      <c r="N846" s="234" t="n">
        <v>22.5</v>
      </c>
      <c r="O846" s="407" t="n">
        <v>13500</v>
      </c>
      <c r="P846" s="407" t="n">
        <v>10462.5</v>
      </c>
      <c r="Q846" s="234" t="n">
        <v>2025</v>
      </c>
      <c r="R846" s="234"/>
      <c r="S846" s="248" t="n">
        <v>45810</v>
      </c>
      <c r="T846" s="407" t="n">
        <f aca="false">Таблица18[[#This Row],[Вес нетто]]-Таблица18[[#This Row],[Зачетный вес]]</f>
        <v>3037.5</v>
      </c>
      <c r="U846" s="409" t="n">
        <f aca="false">Таблица18[[#This Row],[Отход]]/Таблица18[[#This Row],[Вес нетто]]</f>
        <v>0.225</v>
      </c>
      <c r="V846" s="234" t="n">
        <f aca="false">MONTH(Таблица18[[#This Row],[Дата акта]])</f>
        <v>6</v>
      </c>
      <c r="W846" s="234" t="n">
        <v>2</v>
      </c>
      <c r="X846" s="248" t="n">
        <f aca="false">DATE(1900,Таблица18[[#This Row],[Месяц]],Таблица18[[#This Row],[Число]])</f>
        <v>154</v>
      </c>
      <c r="Y846" s="234"/>
      <c r="AF846" s="411"/>
      <c r="AG846" s="412"/>
    </row>
    <row r="847" s="410" customFormat="true" ht="15" hidden="true" customHeight="true" outlineLevel="0" collapsed="false">
      <c r="A847" s="198" t="s">
        <v>2469</v>
      </c>
      <c r="B847" s="199" t="s">
        <v>417</v>
      </c>
      <c r="C847" s="198" t="n">
        <v>164</v>
      </c>
      <c r="D847" s="198" t="n">
        <v>65929</v>
      </c>
      <c r="E847" s="198" t="s">
        <v>409</v>
      </c>
      <c r="F847" s="198" t="s">
        <v>371</v>
      </c>
      <c r="G847" s="198" t="s">
        <v>372</v>
      </c>
      <c r="H847" s="198" t="s">
        <v>410</v>
      </c>
      <c r="I847" s="199" t="s">
        <v>410</v>
      </c>
      <c r="J847" s="198" t="s">
        <v>584</v>
      </c>
      <c r="K847" s="198" t="s">
        <v>1435</v>
      </c>
      <c r="L847" s="234" t="n">
        <v>28400</v>
      </c>
      <c r="M847" s="234" t="n">
        <v>14970</v>
      </c>
      <c r="N847" s="234" t="n">
        <v>21.5</v>
      </c>
      <c r="O847" s="407" t="n">
        <v>13430</v>
      </c>
      <c r="P847" s="407" t="n">
        <v>10542.5</v>
      </c>
      <c r="Q847" s="234" t="n">
        <v>2025</v>
      </c>
      <c r="R847" s="234"/>
      <c r="S847" s="248" t="n">
        <v>45810</v>
      </c>
      <c r="T847" s="407" t="n">
        <f aca="false">Таблица18[[#This Row],[Вес нетто]]-Таблица18[[#This Row],[Зачетный вес]]</f>
        <v>2887.5</v>
      </c>
      <c r="U847" s="409" t="n">
        <f aca="false">Таблица18[[#This Row],[Отход]]/Таблица18[[#This Row],[Вес нетто]]</f>
        <v>0.215003723008191</v>
      </c>
      <c r="V847" s="234" t="n">
        <f aca="false">MONTH(Таблица18[[#This Row],[Дата акта]])</f>
        <v>6</v>
      </c>
      <c r="W847" s="234" t="n">
        <v>2</v>
      </c>
      <c r="X847" s="248" t="n">
        <f aca="false">DATE(1900,Таблица18[[#This Row],[Месяц]],Таблица18[[#This Row],[Число]])</f>
        <v>154</v>
      </c>
      <c r="Y847" s="234"/>
      <c r="AF847" s="411"/>
      <c r="AG847" s="412"/>
    </row>
    <row r="848" s="410" customFormat="true" ht="15" hidden="true" customHeight="true" outlineLevel="0" collapsed="false">
      <c r="A848" s="198" t="s">
        <v>2470</v>
      </c>
      <c r="B848" s="199" t="s">
        <v>417</v>
      </c>
      <c r="C848" s="198" t="n">
        <v>165</v>
      </c>
      <c r="D848" s="198" t="n">
        <v>65940</v>
      </c>
      <c r="E848" s="198" t="s">
        <v>409</v>
      </c>
      <c r="F848" s="198" t="s">
        <v>365</v>
      </c>
      <c r="G848" s="198" t="s">
        <v>373</v>
      </c>
      <c r="H848" s="198" t="s">
        <v>410</v>
      </c>
      <c r="I848" s="199" t="s">
        <v>410</v>
      </c>
      <c r="J848" s="198" t="s">
        <v>584</v>
      </c>
      <c r="K848" s="198" t="s">
        <v>1435</v>
      </c>
      <c r="L848" s="234" t="n">
        <v>32140</v>
      </c>
      <c r="M848" s="234" t="n">
        <v>18690</v>
      </c>
      <c r="N848" s="234" t="n">
        <v>21</v>
      </c>
      <c r="O848" s="407" t="n">
        <v>13450</v>
      </c>
      <c r="P848" s="407" t="n">
        <v>10625.5</v>
      </c>
      <c r="Q848" s="234" t="n">
        <v>2025</v>
      </c>
      <c r="R848" s="234"/>
      <c r="S848" s="248" t="n">
        <v>45810</v>
      </c>
      <c r="T848" s="407" t="n">
        <f aca="false">Таблица18[[#This Row],[Вес нетто]]-Таблица18[[#This Row],[Зачетный вес]]</f>
        <v>2824.5</v>
      </c>
      <c r="U848" s="409" t="n">
        <f aca="false">Таблица18[[#This Row],[Отход]]/Таблица18[[#This Row],[Вес нетто]]</f>
        <v>0.21</v>
      </c>
      <c r="V848" s="234" t="n">
        <f aca="false">MONTH(Таблица18[[#This Row],[Дата акта]])</f>
        <v>6</v>
      </c>
      <c r="W848" s="234" t="n">
        <v>2</v>
      </c>
      <c r="X848" s="248" t="n">
        <f aca="false">DATE(1900,Таблица18[[#This Row],[Месяц]],Таблица18[[#This Row],[Число]])</f>
        <v>154</v>
      </c>
      <c r="Y848" s="234"/>
      <c r="AF848" s="411"/>
      <c r="AG848" s="412"/>
    </row>
    <row r="849" s="410" customFormat="true" ht="15" hidden="true" customHeight="true" outlineLevel="0" collapsed="false">
      <c r="A849" s="198" t="s">
        <v>2471</v>
      </c>
      <c r="B849" s="199" t="s">
        <v>417</v>
      </c>
      <c r="C849" s="198" t="n">
        <v>166</v>
      </c>
      <c r="D849" s="198" t="n">
        <v>65925</v>
      </c>
      <c r="E849" s="198" t="s">
        <v>409</v>
      </c>
      <c r="F849" s="198" t="s">
        <v>445</v>
      </c>
      <c r="G849" s="198" t="s">
        <v>449</v>
      </c>
      <c r="H849" s="198" t="s">
        <v>410</v>
      </c>
      <c r="I849" s="199" t="s">
        <v>410</v>
      </c>
      <c r="J849" s="198" t="s">
        <v>584</v>
      </c>
      <c r="K849" s="198" t="s">
        <v>1435</v>
      </c>
      <c r="L849" s="234" t="n">
        <v>28920</v>
      </c>
      <c r="M849" s="234" t="n">
        <v>15610</v>
      </c>
      <c r="N849" s="234" t="n">
        <v>15.5</v>
      </c>
      <c r="O849" s="407" t="n">
        <v>13310</v>
      </c>
      <c r="P849" s="407" t="n">
        <v>11246.9</v>
      </c>
      <c r="Q849" s="234" t="n">
        <v>2025</v>
      </c>
      <c r="R849" s="234"/>
      <c r="S849" s="248" t="n">
        <v>45810</v>
      </c>
      <c r="T849" s="407" t="n">
        <f aca="false">Таблица18[[#This Row],[Вес нетто]]-Таблица18[[#This Row],[Зачетный вес]]</f>
        <v>2063.1</v>
      </c>
      <c r="U849" s="409" t="n">
        <f aca="false">Таблица18[[#This Row],[Отход]]/Таблица18[[#This Row],[Вес нетто]]</f>
        <v>0.155003756574005</v>
      </c>
      <c r="V849" s="234" t="n">
        <f aca="false">MONTH(Таблица18[[#This Row],[Дата акта]])</f>
        <v>6</v>
      </c>
      <c r="W849" s="234" t="n">
        <v>2</v>
      </c>
      <c r="X849" s="248" t="n">
        <f aca="false">DATE(1900,Таблица18[[#This Row],[Месяц]],Таблица18[[#This Row],[Число]])</f>
        <v>154</v>
      </c>
      <c r="Y849" s="234"/>
      <c r="AF849" s="411"/>
      <c r="AG849" s="412"/>
    </row>
    <row r="850" s="410" customFormat="true" ht="15" hidden="true" customHeight="true" outlineLevel="0" collapsed="false">
      <c r="A850" s="198" t="s">
        <v>2472</v>
      </c>
      <c r="B850" s="199" t="s">
        <v>417</v>
      </c>
      <c r="C850" s="198" t="n">
        <v>167</v>
      </c>
      <c r="D850" s="198" t="n">
        <v>23</v>
      </c>
      <c r="E850" s="198" t="s">
        <v>422</v>
      </c>
      <c r="F850" s="198" t="s">
        <v>376</v>
      </c>
      <c r="G850" s="198" t="s">
        <v>377</v>
      </c>
      <c r="H850" s="198" t="s">
        <v>133</v>
      </c>
      <c r="I850" s="199" t="s">
        <v>133</v>
      </c>
      <c r="J850" s="198" t="s">
        <v>423</v>
      </c>
      <c r="K850" s="198" t="s">
        <v>1435</v>
      </c>
      <c r="L850" s="234" t="n">
        <v>23520</v>
      </c>
      <c r="M850" s="234" t="n">
        <v>14390</v>
      </c>
      <c r="N850" s="234" t="n">
        <v>15.5</v>
      </c>
      <c r="O850" s="407" t="n">
        <v>9130</v>
      </c>
      <c r="P850" s="407" t="n">
        <v>7714.8</v>
      </c>
      <c r="Q850" s="234" t="n">
        <v>2025</v>
      </c>
      <c r="R850" s="234"/>
      <c r="S850" s="248" t="n">
        <v>45810</v>
      </c>
      <c r="T850" s="407" t="n">
        <f aca="false">Таблица18[[#This Row],[Вес нетто]]-Таблица18[[#This Row],[Зачетный вес]]</f>
        <v>1415.2</v>
      </c>
      <c r="U850" s="409" t="n">
        <f aca="false">Таблица18[[#This Row],[Отход]]/Таблица18[[#This Row],[Вес нетто]]</f>
        <v>0.15500547645126</v>
      </c>
      <c r="V850" s="234" t="n">
        <f aca="false">MONTH(Таблица18[[#This Row],[Дата акта]])</f>
        <v>6</v>
      </c>
      <c r="W850" s="234" t="n">
        <v>2</v>
      </c>
      <c r="X850" s="248" t="n">
        <f aca="false">DATE(1900,Таблица18[[#This Row],[Месяц]],Таблица18[[#This Row],[Число]])</f>
        <v>154</v>
      </c>
      <c r="Y850" s="234"/>
      <c r="AF850" s="411"/>
      <c r="AG850" s="412"/>
    </row>
    <row r="851" s="410" customFormat="true" ht="15" hidden="true" customHeight="true" outlineLevel="0" collapsed="false">
      <c r="A851" s="198" t="s">
        <v>2473</v>
      </c>
      <c r="B851" s="199" t="s">
        <v>417</v>
      </c>
      <c r="C851" s="198" t="n">
        <v>168</v>
      </c>
      <c r="D851" s="198" t="n">
        <v>65926</v>
      </c>
      <c r="E851" s="198" t="s">
        <v>409</v>
      </c>
      <c r="F851" s="198" t="s">
        <v>451</v>
      </c>
      <c r="G851" s="198" t="s">
        <v>455</v>
      </c>
      <c r="H851" s="198" t="s">
        <v>410</v>
      </c>
      <c r="I851" s="199" t="s">
        <v>410</v>
      </c>
      <c r="J851" s="198" t="s">
        <v>584</v>
      </c>
      <c r="K851" s="198" t="s">
        <v>1435</v>
      </c>
      <c r="L851" s="234" t="n">
        <v>28350</v>
      </c>
      <c r="M851" s="234" t="n">
        <v>15010</v>
      </c>
      <c r="N851" s="234" t="n">
        <v>18.5</v>
      </c>
      <c r="O851" s="407" t="n">
        <v>13340</v>
      </c>
      <c r="P851" s="407" t="n">
        <v>10872.1</v>
      </c>
      <c r="Q851" s="234" t="n">
        <v>2025</v>
      </c>
      <c r="R851" s="234"/>
      <c r="S851" s="248" t="n">
        <v>45810</v>
      </c>
      <c r="T851" s="407" t="n">
        <f aca="false">Таблица18[[#This Row],[Вес нетто]]-Таблица18[[#This Row],[Зачетный вес]]</f>
        <v>2467.9</v>
      </c>
      <c r="U851" s="409" t="n">
        <f aca="false">Таблица18[[#This Row],[Отход]]/Таблица18[[#This Row],[Вес нетто]]</f>
        <v>0.185</v>
      </c>
      <c r="V851" s="234" t="n">
        <f aca="false">MONTH(Таблица18[[#This Row],[Дата акта]])</f>
        <v>6</v>
      </c>
      <c r="W851" s="234" t="n">
        <v>2</v>
      </c>
      <c r="X851" s="248" t="n">
        <f aca="false">DATE(1900,Таблица18[[#This Row],[Месяц]],Таблица18[[#This Row],[Число]])</f>
        <v>154</v>
      </c>
      <c r="Y851" s="234"/>
      <c r="AF851" s="411"/>
      <c r="AG851" s="412"/>
    </row>
    <row r="852" s="410" customFormat="true" ht="15" hidden="true" customHeight="true" outlineLevel="0" collapsed="false">
      <c r="A852" s="198" t="s">
        <v>2474</v>
      </c>
      <c r="B852" s="199" t="s">
        <v>417</v>
      </c>
      <c r="C852" s="198" t="n">
        <v>170</v>
      </c>
      <c r="D852" s="198" t="n">
        <v>24</v>
      </c>
      <c r="E852" s="198" t="s">
        <v>422</v>
      </c>
      <c r="F852" s="198" t="s">
        <v>361</v>
      </c>
      <c r="G852" s="198" t="s">
        <v>362</v>
      </c>
      <c r="H852" s="198" t="s">
        <v>133</v>
      </c>
      <c r="I852" s="199" t="s">
        <v>133</v>
      </c>
      <c r="J852" s="198" t="s">
        <v>423</v>
      </c>
      <c r="K852" s="198" t="s">
        <v>1435</v>
      </c>
      <c r="L852" s="234" t="n">
        <v>23950</v>
      </c>
      <c r="M852" s="234" t="n">
        <v>14790</v>
      </c>
      <c r="N852" s="234" t="n">
        <v>20.5</v>
      </c>
      <c r="O852" s="407" t="n">
        <v>9160</v>
      </c>
      <c r="P852" s="407" t="n">
        <v>7282.2</v>
      </c>
      <c r="Q852" s="234" t="n">
        <v>2025</v>
      </c>
      <c r="R852" s="234"/>
      <c r="S852" s="248" t="n">
        <v>45811</v>
      </c>
      <c r="T852" s="407" t="n">
        <f aca="false">Таблица18[[#This Row],[Вес нетто]]-Таблица18[[#This Row],[Зачетный вес]]</f>
        <v>1877.8</v>
      </c>
      <c r="U852" s="409" t="n">
        <f aca="false">Таблица18[[#This Row],[Отход]]/Таблица18[[#This Row],[Вес нетто]]</f>
        <v>0.205</v>
      </c>
      <c r="V852" s="234" t="n">
        <f aca="false">MONTH(Таблица18[[#This Row],[Дата акта]])</f>
        <v>6</v>
      </c>
      <c r="W852" s="234" t="n">
        <v>3</v>
      </c>
      <c r="X852" s="248" t="n">
        <f aca="false">DATE(1900,Таблица18[[#This Row],[Месяц]],Таблица18[[#This Row],[Число]])</f>
        <v>155</v>
      </c>
      <c r="Y852" s="234"/>
      <c r="AF852" s="411"/>
      <c r="AG852" s="412"/>
    </row>
    <row r="853" s="410" customFormat="true" ht="15" hidden="true" customHeight="true" outlineLevel="0" collapsed="false">
      <c r="A853" s="198" t="s">
        <v>2475</v>
      </c>
      <c r="B853" s="199" t="s">
        <v>417</v>
      </c>
      <c r="C853" s="198" t="n">
        <v>172</v>
      </c>
      <c r="D853" s="198" t="n">
        <v>26</v>
      </c>
      <c r="E853" s="198" t="s">
        <v>422</v>
      </c>
      <c r="F853" s="198" t="s">
        <v>376</v>
      </c>
      <c r="G853" s="198" t="s">
        <v>377</v>
      </c>
      <c r="H853" s="198" t="s">
        <v>133</v>
      </c>
      <c r="I853" s="199" t="s">
        <v>133</v>
      </c>
      <c r="J853" s="198" t="s">
        <v>423</v>
      </c>
      <c r="K853" s="198" t="s">
        <v>1435</v>
      </c>
      <c r="L853" s="234" t="n">
        <v>23580</v>
      </c>
      <c r="M853" s="234" t="n">
        <v>14380</v>
      </c>
      <c r="N853" s="234" t="n">
        <v>17.5</v>
      </c>
      <c r="O853" s="407" t="n">
        <v>9200</v>
      </c>
      <c r="P853" s="407" t="n">
        <v>7590</v>
      </c>
      <c r="Q853" s="234" t="n">
        <v>2025</v>
      </c>
      <c r="R853" s="234"/>
      <c r="S853" s="248" t="n">
        <v>45811</v>
      </c>
      <c r="T853" s="407" t="n">
        <f aca="false">Таблица18[[#This Row],[Вес нетто]]-Таблица18[[#This Row],[Зачетный вес]]</f>
        <v>1610</v>
      </c>
      <c r="U853" s="409" t="n">
        <f aca="false">Таблица18[[#This Row],[Отход]]/Таблица18[[#This Row],[Вес нетто]]</f>
        <v>0.175</v>
      </c>
      <c r="V853" s="234" t="n">
        <f aca="false">MONTH(Таблица18[[#This Row],[Дата акта]])</f>
        <v>6</v>
      </c>
      <c r="W853" s="234" t="n">
        <v>3</v>
      </c>
      <c r="X853" s="248" t="n">
        <f aca="false">DATE(1900,Таблица18[[#This Row],[Месяц]],Таблица18[[#This Row],[Число]])</f>
        <v>155</v>
      </c>
      <c r="Y853" s="234"/>
      <c r="AF853" s="411"/>
      <c r="AG853" s="412"/>
    </row>
    <row r="854" s="410" customFormat="true" ht="15" hidden="true" customHeight="true" outlineLevel="0" collapsed="false">
      <c r="A854" s="198" t="s">
        <v>2476</v>
      </c>
      <c r="B854" s="199" t="s">
        <v>417</v>
      </c>
      <c r="C854" s="198" t="n">
        <v>160</v>
      </c>
      <c r="D854" s="198" t="s">
        <v>609</v>
      </c>
      <c r="E854" s="198" t="s">
        <v>422</v>
      </c>
      <c r="F854" s="198" t="s">
        <v>602</v>
      </c>
      <c r="G854" s="198" t="s">
        <v>606</v>
      </c>
      <c r="H854" s="198" t="s">
        <v>133</v>
      </c>
      <c r="I854" s="199" t="s">
        <v>133</v>
      </c>
      <c r="J854" s="198" t="s">
        <v>423</v>
      </c>
      <c r="K854" s="198" t="s">
        <v>1435</v>
      </c>
      <c r="L854" s="234" t="n">
        <v>17590</v>
      </c>
      <c r="M854" s="234" t="n">
        <v>10530</v>
      </c>
      <c r="N854" s="234" t="n">
        <v>13.4</v>
      </c>
      <c r="O854" s="407" t="n">
        <v>7060</v>
      </c>
      <c r="P854" s="407" t="n">
        <v>6114.4</v>
      </c>
      <c r="Q854" s="234" t="n">
        <v>2025</v>
      </c>
      <c r="R854" s="234"/>
      <c r="S854" s="248" t="n">
        <v>45810</v>
      </c>
      <c r="T854" s="407" t="n">
        <f aca="false">Таблица18[[#This Row],[Вес нетто]]-Таблица18[[#This Row],[Зачетный вес]]</f>
        <v>945.6</v>
      </c>
      <c r="U854" s="409" t="n">
        <f aca="false">Таблица18[[#This Row],[Отход]]/Таблица18[[#This Row],[Вес нетто]]</f>
        <v>0.133937677053824</v>
      </c>
      <c r="V854" s="234" t="n">
        <f aca="false">MONTH(Таблица18[[#This Row],[Дата акта]])</f>
        <v>6</v>
      </c>
      <c r="W854" s="234" t="n">
        <v>2</v>
      </c>
      <c r="X854" s="248" t="n">
        <f aca="false">DATE(1900,Таблица18[[#This Row],[Месяц]],Таблица18[[#This Row],[Число]])</f>
        <v>154</v>
      </c>
      <c r="Y854" s="234"/>
      <c r="AF854" s="411"/>
      <c r="AG854" s="412"/>
    </row>
    <row r="855" s="410" customFormat="true" ht="15" hidden="true" customHeight="true" outlineLevel="0" collapsed="false">
      <c r="A855" s="198" t="s">
        <v>2477</v>
      </c>
      <c r="B855" s="199" t="s">
        <v>417</v>
      </c>
      <c r="C855" s="198" t="n">
        <v>162</v>
      </c>
      <c r="D855" s="198" t="s">
        <v>616</v>
      </c>
      <c r="E855" s="198" t="s">
        <v>422</v>
      </c>
      <c r="F855" s="198" t="s">
        <v>610</v>
      </c>
      <c r="G855" s="198" t="s">
        <v>614</v>
      </c>
      <c r="H855" s="198" t="s">
        <v>133</v>
      </c>
      <c r="I855" s="199" t="s">
        <v>133</v>
      </c>
      <c r="J855" s="198" t="s">
        <v>423</v>
      </c>
      <c r="K855" s="198" t="s">
        <v>1435</v>
      </c>
      <c r="L855" s="234" t="n">
        <v>27260</v>
      </c>
      <c r="M855" s="234" t="n">
        <v>17080</v>
      </c>
      <c r="N855" s="234" t="n">
        <v>13.7</v>
      </c>
      <c r="O855" s="407" t="n">
        <v>10180</v>
      </c>
      <c r="P855" s="407" t="n">
        <v>8787</v>
      </c>
      <c r="Q855" s="234" t="n">
        <v>2025</v>
      </c>
      <c r="R855" s="234"/>
      <c r="S855" s="248" t="n">
        <v>45810</v>
      </c>
      <c r="T855" s="407" t="n">
        <f aca="false">Таблица18[[#This Row],[Вес нетто]]-Таблица18[[#This Row],[Зачетный вес]]</f>
        <v>1393</v>
      </c>
      <c r="U855" s="409" t="n">
        <f aca="false">Таблица18[[#This Row],[Отход]]/Таблица18[[#This Row],[Вес нетто]]</f>
        <v>0.136836935166994</v>
      </c>
      <c r="V855" s="234" t="n">
        <f aca="false">MONTH(Таблица18[[#This Row],[Дата акта]])</f>
        <v>6</v>
      </c>
      <c r="W855" s="234" t="n">
        <v>2</v>
      </c>
      <c r="X855" s="248" t="n">
        <f aca="false">DATE(1900,Таблица18[[#This Row],[Месяц]],Таблица18[[#This Row],[Число]])</f>
        <v>154</v>
      </c>
      <c r="Y855" s="234"/>
      <c r="AF855" s="411"/>
      <c r="AG855" s="412"/>
    </row>
    <row r="856" s="410" customFormat="true" ht="15" hidden="true" customHeight="true" outlineLevel="0" collapsed="false">
      <c r="A856" s="198" t="s">
        <v>2478</v>
      </c>
      <c r="B856" s="199" t="s">
        <v>417</v>
      </c>
      <c r="C856" s="198" t="n">
        <v>163</v>
      </c>
      <c r="D856" s="198" t="s">
        <v>623</v>
      </c>
      <c r="E856" s="198" t="s">
        <v>422</v>
      </c>
      <c r="F856" s="198" t="s">
        <v>617</v>
      </c>
      <c r="G856" s="198" t="s">
        <v>621</v>
      </c>
      <c r="H856" s="198" t="s">
        <v>133</v>
      </c>
      <c r="I856" s="199" t="s">
        <v>133</v>
      </c>
      <c r="J856" s="198" t="s">
        <v>423</v>
      </c>
      <c r="K856" s="198" t="s">
        <v>1435</v>
      </c>
      <c r="L856" s="234" t="n">
        <v>32700</v>
      </c>
      <c r="M856" s="234" t="n">
        <v>17790</v>
      </c>
      <c r="N856" s="234" t="n">
        <v>13.4</v>
      </c>
      <c r="O856" s="407" t="n">
        <v>14910</v>
      </c>
      <c r="P856" s="407" t="n">
        <v>12905.6</v>
      </c>
      <c r="Q856" s="234" t="n">
        <v>2025</v>
      </c>
      <c r="R856" s="234"/>
      <c r="S856" s="248" t="n">
        <v>45810</v>
      </c>
      <c r="T856" s="407" t="n">
        <f aca="false">Таблица18[[#This Row],[Вес нетто]]-Таблица18[[#This Row],[Зачетный вес]]</f>
        <v>2004.4</v>
      </c>
      <c r="U856" s="409" t="n">
        <f aca="false">Таблица18[[#This Row],[Отход]]/Таблица18[[#This Row],[Вес нетто]]</f>
        <v>0.134433266264252</v>
      </c>
      <c r="V856" s="234" t="n">
        <f aca="false">MONTH(Таблица18[[#This Row],[Дата акта]])</f>
        <v>6</v>
      </c>
      <c r="W856" s="234" t="n">
        <v>2</v>
      </c>
      <c r="X856" s="248" t="n">
        <f aca="false">DATE(1900,Таблица18[[#This Row],[Месяц]],Таблица18[[#This Row],[Число]])</f>
        <v>154</v>
      </c>
      <c r="Y856" s="234"/>
      <c r="AF856" s="411"/>
      <c r="AG856" s="412"/>
    </row>
    <row r="857" s="410" customFormat="true" ht="15" hidden="true" customHeight="true" outlineLevel="0" collapsed="false">
      <c r="A857" s="198" t="s">
        <v>2479</v>
      </c>
      <c r="B857" s="199" t="s">
        <v>417</v>
      </c>
      <c r="C857" s="198" t="n">
        <v>163</v>
      </c>
      <c r="D857" s="198" t="s">
        <v>627</v>
      </c>
      <c r="E857" s="198" t="s">
        <v>409</v>
      </c>
      <c r="F857" s="198" t="s">
        <v>624</v>
      </c>
      <c r="G857" s="198" t="s">
        <v>625</v>
      </c>
      <c r="H857" s="198" t="s">
        <v>410</v>
      </c>
      <c r="I857" s="199" t="s">
        <v>410</v>
      </c>
      <c r="J857" s="198" t="s">
        <v>584</v>
      </c>
      <c r="K857" s="198" t="s">
        <v>1435</v>
      </c>
      <c r="L857" s="234" t="n">
        <v>34160</v>
      </c>
      <c r="M857" s="234" t="n">
        <v>16200</v>
      </c>
      <c r="N857" s="234" t="n">
        <v>7.5</v>
      </c>
      <c r="O857" s="407" t="n">
        <v>17960</v>
      </c>
      <c r="P857" s="407" t="n">
        <v>16610</v>
      </c>
      <c r="Q857" s="234" t="n">
        <v>2025</v>
      </c>
      <c r="R857" s="234"/>
      <c r="S857" s="248" t="n">
        <v>45810</v>
      </c>
      <c r="T857" s="407" t="n">
        <f aca="false">Таблица18[[#This Row],[Вес нетто]]-Таблица18[[#This Row],[Зачетный вес]]</f>
        <v>1350</v>
      </c>
      <c r="U857" s="409" t="n">
        <f aca="false">Таблица18[[#This Row],[Отход]]/Таблица18[[#This Row],[Вес нетто]]</f>
        <v>0.0751670378619154</v>
      </c>
      <c r="V857" s="234" t="n">
        <f aca="false">MONTH(Таблица18[[#This Row],[Дата акта]])</f>
        <v>6</v>
      </c>
      <c r="W857" s="234" t="n">
        <v>2</v>
      </c>
      <c r="X857" s="248" t="n">
        <f aca="false">DATE(1900,Таблица18[[#This Row],[Месяц]],Таблица18[[#This Row],[Число]])</f>
        <v>154</v>
      </c>
      <c r="Y857" s="234"/>
      <c r="AF857" s="411"/>
      <c r="AG857" s="412"/>
    </row>
    <row r="858" s="410" customFormat="true" ht="15" hidden="true" customHeight="true" outlineLevel="0" collapsed="false">
      <c r="A858" s="198" t="s">
        <v>2480</v>
      </c>
      <c r="B858" s="199" t="s">
        <v>417</v>
      </c>
      <c r="C858" s="198" t="n">
        <v>179</v>
      </c>
      <c r="D858" s="198" t="n">
        <v>30</v>
      </c>
      <c r="E858" s="198" t="s">
        <v>422</v>
      </c>
      <c r="F858" s="198" t="s">
        <v>411</v>
      </c>
      <c r="G858" s="198" t="s">
        <v>381</v>
      </c>
      <c r="H858" s="198" t="s">
        <v>628</v>
      </c>
      <c r="I858" s="199" t="s">
        <v>628</v>
      </c>
      <c r="J858" s="198" t="s">
        <v>423</v>
      </c>
      <c r="K858" s="198" t="s">
        <v>1435</v>
      </c>
      <c r="L858" s="234" t="n">
        <v>29230</v>
      </c>
      <c r="M858" s="234" t="n">
        <v>22520</v>
      </c>
      <c r="N858" s="234" t="n">
        <v>29</v>
      </c>
      <c r="O858" s="407" t="n">
        <v>6710</v>
      </c>
      <c r="P858" s="407" t="n">
        <v>4764.1</v>
      </c>
      <c r="Q858" s="234" t="n">
        <v>2025</v>
      </c>
      <c r="R858" s="234"/>
      <c r="S858" s="248" t="n">
        <v>45811</v>
      </c>
      <c r="T858" s="407" t="n">
        <f aca="false">Таблица18[[#This Row],[Вес нетто]]-Таблица18[[#This Row],[Зачетный вес]]</f>
        <v>1945.9</v>
      </c>
      <c r="U858" s="409" t="n">
        <f aca="false">Таблица18[[#This Row],[Отход]]/Таблица18[[#This Row],[Вес нетто]]</f>
        <v>0.29</v>
      </c>
      <c r="V858" s="234" t="n">
        <f aca="false">MONTH(Таблица18[[#This Row],[Дата акта]])</f>
        <v>6</v>
      </c>
      <c r="W858" s="234" t="n">
        <v>3</v>
      </c>
      <c r="X858" s="248" t="n">
        <f aca="false">DATE(1900,Таблица18[[#This Row],[Месяц]],Таблица18[[#This Row],[Число]])</f>
        <v>155</v>
      </c>
      <c r="Y858" s="234"/>
      <c r="AF858" s="411"/>
      <c r="AG858" s="412"/>
    </row>
    <row r="859" s="410" customFormat="true" ht="15" hidden="true" customHeight="true" outlineLevel="0" collapsed="false">
      <c r="A859" s="198" t="s">
        <v>2481</v>
      </c>
      <c r="B859" s="199" t="s">
        <v>417</v>
      </c>
      <c r="C859" s="198" t="n">
        <v>180</v>
      </c>
      <c r="D859" s="198" t="n">
        <v>30</v>
      </c>
      <c r="E859" s="198" t="s">
        <v>422</v>
      </c>
      <c r="F859" s="198" t="s">
        <v>411</v>
      </c>
      <c r="G859" s="198" t="s">
        <v>381</v>
      </c>
      <c r="H859" s="198" t="s">
        <v>133</v>
      </c>
      <c r="I859" s="199" t="s">
        <v>133</v>
      </c>
      <c r="J859" s="198" t="s">
        <v>423</v>
      </c>
      <c r="K859" s="198" t="s">
        <v>1435</v>
      </c>
      <c r="L859" s="234" t="n">
        <v>22520</v>
      </c>
      <c r="M859" s="234" t="n">
        <v>14140</v>
      </c>
      <c r="N859" s="234" t="n">
        <v>24</v>
      </c>
      <c r="O859" s="407" t="n">
        <v>8380</v>
      </c>
      <c r="P859" s="407" t="n">
        <v>6368.8</v>
      </c>
      <c r="Q859" s="234" t="n">
        <v>2025</v>
      </c>
      <c r="R859" s="234"/>
      <c r="S859" s="248" t="n">
        <v>45811</v>
      </c>
      <c r="T859" s="407" t="n">
        <f aca="false">Таблица18[[#This Row],[Вес нетто]]-Таблица18[[#This Row],[Зачетный вес]]</f>
        <v>2011.2</v>
      </c>
      <c r="U859" s="409" t="n">
        <f aca="false">Таблица18[[#This Row],[Отход]]/Таблица18[[#This Row],[Вес нетто]]</f>
        <v>0.24</v>
      </c>
      <c r="V859" s="234" t="n">
        <f aca="false">MONTH(Таблица18[[#This Row],[Дата акта]])</f>
        <v>6</v>
      </c>
      <c r="W859" s="234" t="n">
        <v>3</v>
      </c>
      <c r="X859" s="248" t="n">
        <f aca="false">DATE(1900,Таблица18[[#This Row],[Месяц]],Таблица18[[#This Row],[Число]])</f>
        <v>155</v>
      </c>
      <c r="Y859" s="234"/>
      <c r="AF859" s="411"/>
      <c r="AG859" s="412"/>
    </row>
    <row r="860" s="410" customFormat="true" ht="15" hidden="true" customHeight="true" outlineLevel="0" collapsed="false">
      <c r="A860" s="198" t="s">
        <v>2482</v>
      </c>
      <c r="B860" s="199" t="s">
        <v>417</v>
      </c>
      <c r="C860" s="198" t="n">
        <v>182</v>
      </c>
      <c r="D860" s="198" t="n">
        <v>30</v>
      </c>
      <c r="E860" s="198" t="s">
        <v>422</v>
      </c>
      <c r="F860" s="198" t="s">
        <v>411</v>
      </c>
      <c r="G860" s="198" t="s">
        <v>381</v>
      </c>
      <c r="H860" s="198" t="s">
        <v>628</v>
      </c>
      <c r="I860" s="199" t="s">
        <v>628</v>
      </c>
      <c r="J860" s="198" t="s">
        <v>423</v>
      </c>
      <c r="K860" s="198" t="s">
        <v>1435</v>
      </c>
      <c r="L860" s="234" t="n">
        <v>14110</v>
      </c>
      <c r="M860" s="234" t="n">
        <v>9450</v>
      </c>
      <c r="N860" s="234" t="n">
        <v>31</v>
      </c>
      <c r="O860" s="407" t="n">
        <v>4660</v>
      </c>
      <c r="P860" s="407" t="n">
        <v>3215.4</v>
      </c>
      <c r="Q860" s="234" t="n">
        <v>2025</v>
      </c>
      <c r="R860" s="234"/>
      <c r="S860" s="248" t="n">
        <v>45811</v>
      </c>
      <c r="T860" s="407" t="n">
        <f aca="false">Таблица18[[#This Row],[Вес нетто]]-Таблица18[[#This Row],[Зачетный вес]]</f>
        <v>1444.6</v>
      </c>
      <c r="U860" s="409" t="n">
        <f aca="false">Таблица18[[#This Row],[Отход]]/Таблица18[[#This Row],[Вес нетто]]</f>
        <v>0.31</v>
      </c>
      <c r="V860" s="234" t="n">
        <f aca="false">MONTH(Таблица18[[#This Row],[Дата акта]])</f>
        <v>6</v>
      </c>
      <c r="W860" s="234" t="n">
        <v>3</v>
      </c>
      <c r="X860" s="248" t="n">
        <f aca="false">DATE(1900,Таблица18[[#This Row],[Месяц]],Таблица18[[#This Row],[Число]])</f>
        <v>155</v>
      </c>
      <c r="Y860" s="234"/>
      <c r="AF860" s="411"/>
      <c r="AG860" s="412"/>
    </row>
    <row r="861" s="410" customFormat="true" ht="15" hidden="true" customHeight="true" outlineLevel="0" collapsed="false">
      <c r="A861" s="198" t="s">
        <v>2483</v>
      </c>
      <c r="B861" s="199" t="s">
        <v>417</v>
      </c>
      <c r="C861" s="198" t="n">
        <v>181</v>
      </c>
      <c r="D861" s="198" t="n">
        <v>65933</v>
      </c>
      <c r="E861" s="198" t="s">
        <v>409</v>
      </c>
      <c r="F861" s="198" t="s">
        <v>427</v>
      </c>
      <c r="G861" s="198" t="s">
        <v>431</v>
      </c>
      <c r="H861" s="198" t="s">
        <v>410</v>
      </c>
      <c r="I861" s="199" t="s">
        <v>410</v>
      </c>
      <c r="J861" s="198" t="s">
        <v>252</v>
      </c>
      <c r="K861" s="198" t="s">
        <v>1435</v>
      </c>
      <c r="L861" s="234" t="n">
        <v>34390</v>
      </c>
      <c r="M861" s="234" t="n">
        <v>20870</v>
      </c>
      <c r="N861" s="234" t="n">
        <v>18.5</v>
      </c>
      <c r="O861" s="407" t="n">
        <v>13520</v>
      </c>
      <c r="P861" s="407" t="n">
        <v>11018.8</v>
      </c>
      <c r="Q861" s="234" t="n">
        <v>2025</v>
      </c>
      <c r="R861" s="234"/>
      <c r="S861" s="248" t="n">
        <v>45811</v>
      </c>
      <c r="T861" s="407" t="n">
        <f aca="false">Таблица18[[#This Row],[Вес нетто]]-Таблица18[[#This Row],[Зачетный вес]]</f>
        <v>2501.2</v>
      </c>
      <c r="U861" s="409" t="n">
        <f aca="false">Таблица18[[#This Row],[Отход]]/Таблица18[[#This Row],[Вес нетто]]</f>
        <v>0.185</v>
      </c>
      <c r="V861" s="234" t="n">
        <f aca="false">MONTH(Таблица18[[#This Row],[Дата акта]])</f>
        <v>6</v>
      </c>
      <c r="W861" s="234" t="n">
        <v>3</v>
      </c>
      <c r="X861" s="248" t="n">
        <f aca="false">DATE(1900,Таблица18[[#This Row],[Месяц]],Таблица18[[#This Row],[Число]])</f>
        <v>155</v>
      </c>
      <c r="Y861" s="234"/>
      <c r="AF861" s="411"/>
      <c r="AG861" s="412"/>
    </row>
    <row r="862" s="410" customFormat="true" ht="15" hidden="true" customHeight="true" outlineLevel="0" collapsed="false">
      <c r="A862" s="198" t="s">
        <v>2484</v>
      </c>
      <c r="B862" s="199" t="s">
        <v>417</v>
      </c>
      <c r="C862" s="198" t="n">
        <v>186</v>
      </c>
      <c r="D862" s="198" t="n">
        <v>65935</v>
      </c>
      <c r="E862" s="198" t="s">
        <v>409</v>
      </c>
      <c r="F862" s="198" t="s">
        <v>433</v>
      </c>
      <c r="G862" s="198" t="s">
        <v>437</v>
      </c>
      <c r="H862" s="198" t="s">
        <v>410</v>
      </c>
      <c r="I862" s="199" t="s">
        <v>410</v>
      </c>
      <c r="J862" s="198" t="s">
        <v>252</v>
      </c>
      <c r="K862" s="198" t="s">
        <v>1435</v>
      </c>
      <c r="L862" s="234" t="n">
        <v>28460</v>
      </c>
      <c r="M862" s="234" t="n">
        <v>14860</v>
      </c>
      <c r="N862" s="234" t="n">
        <v>16.5</v>
      </c>
      <c r="O862" s="407" t="n">
        <v>13600</v>
      </c>
      <c r="P862" s="407" t="n">
        <v>11356</v>
      </c>
      <c r="Q862" s="234" t="n">
        <v>2025</v>
      </c>
      <c r="R862" s="234"/>
      <c r="S862" s="248" t="n">
        <v>45811</v>
      </c>
      <c r="T862" s="407" t="n">
        <f aca="false">Таблица18[[#This Row],[Вес нетто]]-Таблица18[[#This Row],[Зачетный вес]]</f>
        <v>2244</v>
      </c>
      <c r="U862" s="409" t="n">
        <f aca="false">Таблица18[[#This Row],[Отход]]/Таблица18[[#This Row],[Вес нетто]]</f>
        <v>0.165</v>
      </c>
      <c r="V862" s="234" t="n">
        <f aca="false">MONTH(Таблица18[[#This Row],[Дата акта]])</f>
        <v>6</v>
      </c>
      <c r="W862" s="234" t="n">
        <v>3</v>
      </c>
      <c r="X862" s="248" t="n">
        <f aca="false">DATE(1900,Таблица18[[#This Row],[Месяц]],Таблица18[[#This Row],[Число]])</f>
        <v>155</v>
      </c>
      <c r="Y862" s="234"/>
      <c r="AF862" s="411"/>
      <c r="AG862" s="412"/>
    </row>
    <row r="863" s="410" customFormat="true" ht="15" hidden="true" customHeight="true" outlineLevel="0" collapsed="false">
      <c r="A863" s="198" t="s">
        <v>2485</v>
      </c>
      <c r="B863" s="199" t="s">
        <v>417</v>
      </c>
      <c r="C863" s="198" t="n">
        <v>187</v>
      </c>
      <c r="D863" s="198" t="n">
        <v>65936</v>
      </c>
      <c r="E863" s="198" t="s">
        <v>409</v>
      </c>
      <c r="F863" s="198" t="s">
        <v>439</v>
      </c>
      <c r="G863" s="198" t="s">
        <v>443</v>
      </c>
      <c r="H863" s="198" t="s">
        <v>410</v>
      </c>
      <c r="I863" s="199" t="s">
        <v>410</v>
      </c>
      <c r="J863" s="198" t="s">
        <v>252</v>
      </c>
      <c r="K863" s="198" t="s">
        <v>1435</v>
      </c>
      <c r="L863" s="234" t="n">
        <v>37510</v>
      </c>
      <c r="M863" s="234" t="n">
        <v>24030</v>
      </c>
      <c r="N863" s="234" t="n">
        <v>13.5</v>
      </c>
      <c r="O863" s="407" t="n">
        <v>13480</v>
      </c>
      <c r="P863" s="407" t="n">
        <v>11660.2</v>
      </c>
      <c r="Q863" s="234" t="n">
        <v>2025</v>
      </c>
      <c r="R863" s="234"/>
      <c r="S863" s="248" t="n">
        <v>45811</v>
      </c>
      <c r="T863" s="407" t="n">
        <f aca="false">Таблица18[[#This Row],[Вес нетто]]-Таблица18[[#This Row],[Зачетный вес]]</f>
        <v>1819.8</v>
      </c>
      <c r="U863" s="409" t="n">
        <f aca="false">Таблица18[[#This Row],[Отход]]/Таблица18[[#This Row],[Вес нетто]]</f>
        <v>0.135</v>
      </c>
      <c r="V863" s="234" t="n">
        <f aca="false">MONTH(Таблица18[[#This Row],[Дата акта]])</f>
        <v>6</v>
      </c>
      <c r="W863" s="234" t="n">
        <v>3</v>
      </c>
      <c r="X863" s="248" t="n">
        <f aca="false">DATE(1900,Таблица18[[#This Row],[Месяц]],Таблица18[[#This Row],[Число]])</f>
        <v>155</v>
      </c>
      <c r="Y863" s="234"/>
      <c r="AF863" s="411"/>
      <c r="AG863" s="412"/>
    </row>
    <row r="864" s="410" customFormat="true" ht="15" hidden="true" customHeight="true" outlineLevel="0" collapsed="false">
      <c r="A864" s="198" t="s">
        <v>2486</v>
      </c>
      <c r="B864" s="199" t="s">
        <v>417</v>
      </c>
      <c r="C864" s="198" t="n">
        <v>188</v>
      </c>
      <c r="D864" s="198" t="n">
        <v>31</v>
      </c>
      <c r="E864" s="198" t="s">
        <v>422</v>
      </c>
      <c r="F864" s="198" t="s">
        <v>411</v>
      </c>
      <c r="G864" s="198" t="s">
        <v>381</v>
      </c>
      <c r="H864" s="198" t="s">
        <v>628</v>
      </c>
      <c r="I864" s="199" t="s">
        <v>628</v>
      </c>
      <c r="J864" s="198" t="s">
        <v>423</v>
      </c>
      <c r="K864" s="198" t="s">
        <v>1435</v>
      </c>
      <c r="L864" s="234" t="n">
        <v>13910</v>
      </c>
      <c r="M864" s="234" t="n">
        <v>9460</v>
      </c>
      <c r="N864" s="234" t="n">
        <v>19.5</v>
      </c>
      <c r="O864" s="407" t="n">
        <v>4450</v>
      </c>
      <c r="P864" s="407" t="n">
        <v>3582.2</v>
      </c>
      <c r="Q864" s="234" t="n">
        <v>2025</v>
      </c>
      <c r="R864" s="234"/>
      <c r="S864" s="248" t="n">
        <v>45811</v>
      </c>
      <c r="T864" s="407" t="n">
        <f aca="false">Таблица18[[#This Row],[Вес нетто]]-Таблица18[[#This Row],[Зачетный вес]]</f>
        <v>867.8</v>
      </c>
      <c r="U864" s="409" t="n">
        <f aca="false">Таблица18[[#This Row],[Отход]]/Таблица18[[#This Row],[Вес нетто]]</f>
        <v>0.195011235955056</v>
      </c>
      <c r="V864" s="234" t="n">
        <f aca="false">MONTH(Таблица18[[#This Row],[Дата акта]])</f>
        <v>6</v>
      </c>
      <c r="W864" s="234" t="n">
        <v>3</v>
      </c>
      <c r="X864" s="248" t="n">
        <f aca="false">DATE(1900,Таблица18[[#This Row],[Месяц]],Таблица18[[#This Row],[Число]])</f>
        <v>155</v>
      </c>
      <c r="Y864" s="234"/>
      <c r="AF864" s="411"/>
      <c r="AG864" s="412"/>
    </row>
    <row r="865" s="410" customFormat="true" ht="15" hidden="true" customHeight="true" outlineLevel="0" collapsed="false">
      <c r="A865" s="198" t="s">
        <v>2487</v>
      </c>
      <c r="B865" s="199" t="s">
        <v>417</v>
      </c>
      <c r="C865" s="198" t="n">
        <v>189</v>
      </c>
      <c r="D865" s="198" t="n">
        <v>65937</v>
      </c>
      <c r="E865" s="198" t="s">
        <v>409</v>
      </c>
      <c r="F865" s="198" t="s">
        <v>466</v>
      </c>
      <c r="G865" s="198" t="s">
        <v>470</v>
      </c>
      <c r="H865" s="198" t="s">
        <v>410</v>
      </c>
      <c r="I865" s="199" t="s">
        <v>410</v>
      </c>
      <c r="J865" s="198" t="s">
        <v>252</v>
      </c>
      <c r="K865" s="198" t="s">
        <v>1435</v>
      </c>
      <c r="L865" s="234" t="n">
        <v>28520</v>
      </c>
      <c r="M865" s="234" t="n">
        <v>14820</v>
      </c>
      <c r="N865" s="234" t="n">
        <v>16</v>
      </c>
      <c r="O865" s="407" t="n">
        <v>13700</v>
      </c>
      <c r="P865" s="407" t="n">
        <v>11508</v>
      </c>
      <c r="Q865" s="234" t="n">
        <v>2025</v>
      </c>
      <c r="R865" s="234"/>
      <c r="S865" s="248" t="n">
        <v>45811</v>
      </c>
      <c r="T865" s="407" t="n">
        <f aca="false">Таблица18[[#This Row],[Вес нетто]]-Таблица18[[#This Row],[Зачетный вес]]</f>
        <v>2192</v>
      </c>
      <c r="U865" s="409" t="n">
        <f aca="false">Таблица18[[#This Row],[Отход]]/Таблица18[[#This Row],[Вес нетто]]</f>
        <v>0.16</v>
      </c>
      <c r="V865" s="234" t="n">
        <f aca="false">MONTH(Таблица18[[#This Row],[Дата акта]])</f>
        <v>6</v>
      </c>
      <c r="W865" s="234" t="n">
        <v>3</v>
      </c>
      <c r="X865" s="248" t="n">
        <f aca="false">DATE(1900,Таблица18[[#This Row],[Месяц]],Таблица18[[#This Row],[Число]])</f>
        <v>155</v>
      </c>
      <c r="Y865" s="234"/>
      <c r="AF865" s="411"/>
      <c r="AG865" s="412"/>
    </row>
    <row r="866" s="410" customFormat="true" ht="15" hidden="true" customHeight="true" outlineLevel="0" collapsed="false">
      <c r="A866" s="198" t="s">
        <v>2488</v>
      </c>
      <c r="B866" s="199" t="s">
        <v>417</v>
      </c>
      <c r="C866" s="198" t="n">
        <v>190</v>
      </c>
      <c r="D866" s="198" t="n">
        <v>65938</v>
      </c>
      <c r="E866" s="198" t="s">
        <v>409</v>
      </c>
      <c r="F866" s="198" t="s">
        <v>386</v>
      </c>
      <c r="G866" s="198" t="s">
        <v>387</v>
      </c>
      <c r="H866" s="198" t="s">
        <v>410</v>
      </c>
      <c r="I866" s="199" t="s">
        <v>410</v>
      </c>
      <c r="J866" s="198" t="s">
        <v>252</v>
      </c>
      <c r="K866" s="198" t="s">
        <v>1435</v>
      </c>
      <c r="L866" s="234" t="n">
        <v>28750</v>
      </c>
      <c r="M866" s="234" t="n">
        <v>15120</v>
      </c>
      <c r="N866" s="234" t="n">
        <v>20</v>
      </c>
      <c r="O866" s="407" t="n">
        <v>13630</v>
      </c>
      <c r="P866" s="407" t="n">
        <v>10904</v>
      </c>
      <c r="Q866" s="234" t="n">
        <v>2025</v>
      </c>
      <c r="R866" s="234"/>
      <c r="S866" s="248" t="n">
        <v>45811</v>
      </c>
      <c r="T866" s="407" t="n">
        <f aca="false">Таблица18[[#This Row],[Вес нетто]]-Таблица18[[#This Row],[Зачетный вес]]</f>
        <v>2726</v>
      </c>
      <c r="U866" s="409" t="n">
        <f aca="false">Таблица18[[#This Row],[Отход]]/Таблица18[[#This Row],[Вес нетто]]</f>
        <v>0.2</v>
      </c>
      <c r="V866" s="234" t="n">
        <f aca="false">MONTH(Таблица18[[#This Row],[Дата акта]])</f>
        <v>6</v>
      </c>
      <c r="W866" s="234" t="n">
        <v>3</v>
      </c>
      <c r="X866" s="248" t="n">
        <f aca="false">DATE(1900,Таблица18[[#This Row],[Месяц]],Таблица18[[#This Row],[Число]])</f>
        <v>155</v>
      </c>
      <c r="Y866" s="234"/>
      <c r="AF866" s="411"/>
      <c r="AG866" s="412"/>
    </row>
    <row r="867" s="410" customFormat="true" ht="15" hidden="true" customHeight="true" outlineLevel="0" collapsed="false">
      <c r="A867" s="198" t="s">
        <v>2489</v>
      </c>
      <c r="B867" s="199" t="s">
        <v>417</v>
      </c>
      <c r="C867" s="198" t="n">
        <v>191</v>
      </c>
      <c r="D867" s="198" t="n">
        <v>65939</v>
      </c>
      <c r="E867" s="198" t="s">
        <v>409</v>
      </c>
      <c r="F867" s="198" t="s">
        <v>57</v>
      </c>
      <c r="G867" s="198" t="s">
        <v>58</v>
      </c>
      <c r="H867" s="198" t="s">
        <v>410</v>
      </c>
      <c r="I867" s="199" t="s">
        <v>410</v>
      </c>
      <c r="J867" s="198" t="s">
        <v>252</v>
      </c>
      <c r="K867" s="198" t="s">
        <v>1435</v>
      </c>
      <c r="L867" s="234" t="n">
        <v>28870</v>
      </c>
      <c r="M867" s="234" t="n">
        <v>15420</v>
      </c>
      <c r="N867" s="234" t="n">
        <v>18</v>
      </c>
      <c r="O867" s="407" t="n">
        <v>13450</v>
      </c>
      <c r="P867" s="407" t="n">
        <v>11029</v>
      </c>
      <c r="Q867" s="234" t="n">
        <v>2025</v>
      </c>
      <c r="R867" s="234"/>
      <c r="S867" s="248" t="n">
        <v>45811</v>
      </c>
      <c r="T867" s="407" t="n">
        <f aca="false">Таблица18[[#This Row],[Вес нетто]]-Таблица18[[#This Row],[Зачетный вес]]</f>
        <v>2421</v>
      </c>
      <c r="U867" s="409" t="n">
        <f aca="false">Таблица18[[#This Row],[Отход]]/Таблица18[[#This Row],[Вес нетто]]</f>
        <v>0.18</v>
      </c>
      <c r="V867" s="234" t="n">
        <f aca="false">MONTH(Таблица18[[#This Row],[Дата акта]])</f>
        <v>6</v>
      </c>
      <c r="W867" s="234" t="n">
        <v>3</v>
      </c>
      <c r="X867" s="248" t="n">
        <f aca="false">DATE(1900,Таблица18[[#This Row],[Месяц]],Таблица18[[#This Row],[Число]])</f>
        <v>155</v>
      </c>
      <c r="Y867" s="234"/>
      <c r="AF867" s="411"/>
      <c r="AG867" s="412"/>
    </row>
    <row r="868" s="410" customFormat="true" ht="15" hidden="true" customHeight="true" outlineLevel="0" collapsed="false">
      <c r="A868" s="198" t="s">
        <v>2490</v>
      </c>
      <c r="B868" s="199" t="s">
        <v>417</v>
      </c>
      <c r="C868" s="198" t="n">
        <v>192</v>
      </c>
      <c r="D868" s="198" t="n">
        <v>65941</v>
      </c>
      <c r="E868" s="198" t="s">
        <v>409</v>
      </c>
      <c r="F868" s="198" t="s">
        <v>457</v>
      </c>
      <c r="G868" s="198" t="s">
        <v>366</v>
      </c>
      <c r="H868" s="198" t="s">
        <v>410</v>
      </c>
      <c r="I868" s="199" t="s">
        <v>410</v>
      </c>
      <c r="J868" s="198" t="s">
        <v>252</v>
      </c>
      <c r="K868" s="198" t="s">
        <v>1435</v>
      </c>
      <c r="L868" s="234" t="n">
        <v>28210</v>
      </c>
      <c r="M868" s="234" t="n">
        <v>14770</v>
      </c>
      <c r="N868" s="234" t="n">
        <v>18.5</v>
      </c>
      <c r="O868" s="407" t="n">
        <v>13440</v>
      </c>
      <c r="P868" s="407" t="n">
        <v>10953.6</v>
      </c>
      <c r="Q868" s="234" t="n">
        <v>2025</v>
      </c>
      <c r="R868" s="234"/>
      <c r="S868" s="248" t="n">
        <v>45811</v>
      </c>
      <c r="T868" s="407" t="n">
        <f aca="false">Таблица18[[#This Row],[Вес нетто]]-Таблица18[[#This Row],[Зачетный вес]]</f>
        <v>2486.4</v>
      </c>
      <c r="U868" s="409" t="n">
        <f aca="false">Таблица18[[#This Row],[Отход]]/Таблица18[[#This Row],[Вес нетто]]</f>
        <v>0.185</v>
      </c>
      <c r="V868" s="234" t="n">
        <f aca="false">MONTH(Таблица18[[#This Row],[Дата акта]])</f>
        <v>6</v>
      </c>
      <c r="W868" s="234" t="n">
        <v>3</v>
      </c>
      <c r="X868" s="248" t="n">
        <f aca="false">DATE(1900,Таблица18[[#This Row],[Месяц]],Таблица18[[#This Row],[Число]])</f>
        <v>155</v>
      </c>
      <c r="Y868" s="234"/>
      <c r="AF868" s="411"/>
      <c r="AG868" s="412"/>
    </row>
    <row r="869" s="410" customFormat="true" ht="15" hidden="true" customHeight="true" outlineLevel="0" collapsed="false">
      <c r="A869" s="198" t="s">
        <v>2491</v>
      </c>
      <c r="B869" s="199" t="s">
        <v>417</v>
      </c>
      <c r="C869" s="198" t="n">
        <v>194</v>
      </c>
      <c r="D869" s="198" t="n">
        <v>65930</v>
      </c>
      <c r="E869" s="198" t="s">
        <v>409</v>
      </c>
      <c r="F869" s="198" t="s">
        <v>519</v>
      </c>
      <c r="G869" s="198" t="s">
        <v>523</v>
      </c>
      <c r="H869" s="198" t="s">
        <v>410</v>
      </c>
      <c r="I869" s="199" t="s">
        <v>410</v>
      </c>
      <c r="J869" s="198" t="s">
        <v>252</v>
      </c>
      <c r="K869" s="198" t="s">
        <v>1435</v>
      </c>
      <c r="L869" s="234" t="n">
        <v>29090</v>
      </c>
      <c r="M869" s="234" t="n">
        <v>15650</v>
      </c>
      <c r="N869" s="234" t="n">
        <v>22</v>
      </c>
      <c r="O869" s="407" t="n">
        <v>13440</v>
      </c>
      <c r="P869" s="407" t="n">
        <v>10483.2</v>
      </c>
      <c r="Q869" s="234" t="n">
        <v>2025</v>
      </c>
      <c r="R869" s="234"/>
      <c r="S869" s="248" t="n">
        <v>45812</v>
      </c>
      <c r="T869" s="407" t="n">
        <f aca="false">Таблица18[[#This Row],[Вес нетто]]-Таблица18[[#This Row],[Зачетный вес]]</f>
        <v>2956.8</v>
      </c>
      <c r="U869" s="409" t="n">
        <f aca="false">Таблица18[[#This Row],[Отход]]/Таблица18[[#This Row],[Вес нетто]]</f>
        <v>0.22</v>
      </c>
      <c r="V869" s="234" t="n">
        <f aca="false">MONTH(Таблица18[[#This Row],[Дата акта]])</f>
        <v>6</v>
      </c>
      <c r="W869" s="234" t="n">
        <v>4</v>
      </c>
      <c r="X869" s="248" t="n">
        <f aca="false">DATE(1900,Таблица18[[#This Row],[Месяц]],Таблица18[[#This Row],[Число]])</f>
        <v>156</v>
      </c>
      <c r="Y869" s="234"/>
      <c r="AF869" s="411"/>
      <c r="AG869" s="412"/>
    </row>
    <row r="870" s="410" customFormat="true" ht="15" hidden="true" customHeight="true" outlineLevel="0" collapsed="false">
      <c r="A870" s="198" t="s">
        <v>2492</v>
      </c>
      <c r="B870" s="199" t="s">
        <v>417</v>
      </c>
      <c r="C870" s="198" t="n">
        <v>195</v>
      </c>
      <c r="D870" s="198" t="n">
        <v>65942</v>
      </c>
      <c r="E870" s="198" t="s">
        <v>409</v>
      </c>
      <c r="F870" s="198" t="s">
        <v>55</v>
      </c>
      <c r="G870" s="198" t="s">
        <v>56</v>
      </c>
      <c r="H870" s="198" t="s">
        <v>410</v>
      </c>
      <c r="I870" s="199" t="s">
        <v>410</v>
      </c>
      <c r="J870" s="198" t="s">
        <v>252</v>
      </c>
      <c r="K870" s="198" t="s">
        <v>1435</v>
      </c>
      <c r="L870" s="234" t="n">
        <v>28130</v>
      </c>
      <c r="M870" s="234" t="n">
        <v>14690</v>
      </c>
      <c r="N870" s="234" t="n">
        <v>15.5</v>
      </c>
      <c r="O870" s="407" t="n">
        <v>13440</v>
      </c>
      <c r="P870" s="407" t="n">
        <v>11356.8</v>
      </c>
      <c r="Q870" s="234" t="n">
        <v>2025</v>
      </c>
      <c r="R870" s="234"/>
      <c r="S870" s="248" t="n">
        <v>45812</v>
      </c>
      <c r="T870" s="407" t="n">
        <f aca="false">Таблица18[[#This Row],[Вес нетто]]-Таблица18[[#This Row],[Зачетный вес]]</f>
        <v>2083.2</v>
      </c>
      <c r="U870" s="409" t="n">
        <f aca="false">Таблица18[[#This Row],[Отход]]/Таблица18[[#This Row],[Вес нетто]]</f>
        <v>0.155</v>
      </c>
      <c r="V870" s="234" t="n">
        <f aca="false">MONTH(Таблица18[[#This Row],[Дата акта]])</f>
        <v>6</v>
      </c>
      <c r="W870" s="234" t="n">
        <v>4</v>
      </c>
      <c r="X870" s="248" t="n">
        <f aca="false">DATE(1900,Таблица18[[#This Row],[Месяц]],Таблица18[[#This Row],[Число]])</f>
        <v>156</v>
      </c>
      <c r="Y870" s="234"/>
      <c r="AF870" s="411"/>
      <c r="AG870" s="412"/>
    </row>
    <row r="871" s="410" customFormat="true" ht="15" hidden="true" customHeight="true" outlineLevel="0" collapsed="false">
      <c r="A871" s="198" t="s">
        <v>2493</v>
      </c>
      <c r="B871" s="199" t="s">
        <v>417</v>
      </c>
      <c r="C871" s="198" t="n">
        <v>196</v>
      </c>
      <c r="D871" s="198" t="n">
        <v>65943</v>
      </c>
      <c r="E871" s="198" t="s">
        <v>409</v>
      </c>
      <c r="F871" s="198" t="s">
        <v>547</v>
      </c>
      <c r="G871" s="198" t="s">
        <v>551</v>
      </c>
      <c r="H871" s="198" t="s">
        <v>410</v>
      </c>
      <c r="I871" s="199" t="s">
        <v>410</v>
      </c>
      <c r="J871" s="198" t="s">
        <v>252</v>
      </c>
      <c r="K871" s="198" t="s">
        <v>1435</v>
      </c>
      <c r="L871" s="234" t="n">
        <v>28070</v>
      </c>
      <c r="M871" s="234" t="n">
        <v>14680</v>
      </c>
      <c r="N871" s="234" t="n">
        <v>20.5</v>
      </c>
      <c r="O871" s="407" t="n">
        <v>13390</v>
      </c>
      <c r="P871" s="407" t="n">
        <v>10645</v>
      </c>
      <c r="Q871" s="234" t="n">
        <v>2025</v>
      </c>
      <c r="R871" s="234"/>
      <c r="S871" s="248" t="n">
        <v>45812</v>
      </c>
      <c r="T871" s="407" t="n">
        <f aca="false">Таблица18[[#This Row],[Вес нетто]]-Таблица18[[#This Row],[Зачетный вес]]</f>
        <v>2745</v>
      </c>
      <c r="U871" s="409" t="n">
        <f aca="false">Таблица18[[#This Row],[Отход]]/Таблица18[[#This Row],[Вес нетто]]</f>
        <v>0.205003734129948</v>
      </c>
      <c r="V871" s="234" t="n">
        <f aca="false">MONTH(Таблица18[[#This Row],[Дата акта]])</f>
        <v>6</v>
      </c>
      <c r="W871" s="234" t="n">
        <v>4</v>
      </c>
      <c r="X871" s="248" t="n">
        <f aca="false">DATE(1900,Таблица18[[#This Row],[Месяц]],Таблица18[[#This Row],[Число]])</f>
        <v>156</v>
      </c>
      <c r="Y871" s="234"/>
      <c r="AF871" s="411"/>
      <c r="AG871" s="412"/>
    </row>
    <row r="872" s="410" customFormat="true" ht="15" hidden="true" customHeight="true" outlineLevel="0" collapsed="false">
      <c r="A872" s="198" t="s">
        <v>2494</v>
      </c>
      <c r="B872" s="199" t="s">
        <v>417</v>
      </c>
      <c r="C872" s="198" t="n">
        <v>197</v>
      </c>
      <c r="D872" s="198" t="n">
        <v>34</v>
      </c>
      <c r="E872" s="198" t="s">
        <v>422</v>
      </c>
      <c r="F872" s="198" t="s">
        <v>411</v>
      </c>
      <c r="G872" s="198" t="s">
        <v>381</v>
      </c>
      <c r="H872" s="198" t="s">
        <v>628</v>
      </c>
      <c r="I872" s="199" t="s">
        <v>628</v>
      </c>
      <c r="J872" s="198" t="s">
        <v>423</v>
      </c>
      <c r="K872" s="198" t="s">
        <v>1435</v>
      </c>
      <c r="L872" s="234" t="n">
        <v>16470</v>
      </c>
      <c r="M872" s="234" t="n">
        <v>9450</v>
      </c>
      <c r="N872" s="234" t="n">
        <v>21</v>
      </c>
      <c r="O872" s="407" t="n">
        <v>7020</v>
      </c>
      <c r="P872" s="407" t="n">
        <v>5545.8</v>
      </c>
      <c r="Q872" s="234" t="n">
        <v>2025</v>
      </c>
      <c r="R872" s="234"/>
      <c r="S872" s="248" t="n">
        <v>45812</v>
      </c>
      <c r="T872" s="407" t="n">
        <f aca="false">Таблица18[[#This Row],[Вес нетто]]-Таблица18[[#This Row],[Зачетный вес]]</f>
        <v>1474.2</v>
      </c>
      <c r="U872" s="409" t="n">
        <f aca="false">Таблица18[[#This Row],[Отход]]/Таблица18[[#This Row],[Вес нетто]]</f>
        <v>0.21</v>
      </c>
      <c r="V872" s="234" t="n">
        <f aca="false">MONTH(Таблица18[[#This Row],[Дата акта]])</f>
        <v>6</v>
      </c>
      <c r="W872" s="234" t="n">
        <v>4</v>
      </c>
      <c r="X872" s="248" t="n">
        <f aca="false">DATE(1900,Таблица18[[#This Row],[Месяц]],Таблица18[[#This Row],[Число]])</f>
        <v>156</v>
      </c>
      <c r="Y872" s="234"/>
      <c r="AF872" s="411"/>
      <c r="AG872" s="412"/>
    </row>
    <row r="873" s="410" customFormat="true" ht="15" hidden="true" customHeight="true" outlineLevel="0" collapsed="false">
      <c r="A873" s="198" t="s">
        <v>2495</v>
      </c>
      <c r="B873" s="199" t="s">
        <v>417</v>
      </c>
      <c r="C873" s="198" t="n">
        <v>198</v>
      </c>
      <c r="D873" s="198" t="n">
        <v>65947</v>
      </c>
      <c r="E873" s="198" t="s">
        <v>409</v>
      </c>
      <c r="F873" s="198" t="s">
        <v>553</v>
      </c>
      <c r="G873" s="198" t="s">
        <v>557</v>
      </c>
      <c r="H873" s="198" t="s">
        <v>410</v>
      </c>
      <c r="I873" s="199" t="s">
        <v>410</v>
      </c>
      <c r="J873" s="198" t="s">
        <v>252</v>
      </c>
      <c r="K873" s="198" t="s">
        <v>1435</v>
      </c>
      <c r="L873" s="234" t="n">
        <v>28240</v>
      </c>
      <c r="M873" s="234" t="n">
        <v>14870</v>
      </c>
      <c r="N873" s="234" t="n">
        <v>17.5</v>
      </c>
      <c r="O873" s="407" t="n">
        <v>13370</v>
      </c>
      <c r="P873" s="407" t="n">
        <v>11030.2</v>
      </c>
      <c r="Q873" s="234" t="n">
        <v>2025</v>
      </c>
      <c r="R873" s="234"/>
      <c r="S873" s="248" t="n">
        <v>45812</v>
      </c>
      <c r="T873" s="407" t="n">
        <f aca="false">Таблица18[[#This Row],[Вес нетто]]-Таблица18[[#This Row],[Зачетный вес]]</f>
        <v>2339.8</v>
      </c>
      <c r="U873" s="409" t="n">
        <f aca="false">Таблица18[[#This Row],[Отход]]/Таблица18[[#This Row],[Вес нетто]]</f>
        <v>0.175003739715782</v>
      </c>
      <c r="V873" s="234" t="n">
        <f aca="false">MONTH(Таблица18[[#This Row],[Дата акта]])</f>
        <v>6</v>
      </c>
      <c r="W873" s="234" t="n">
        <v>4</v>
      </c>
      <c r="X873" s="248" t="n">
        <f aca="false">DATE(1900,Таблица18[[#This Row],[Месяц]],Таблица18[[#This Row],[Число]])</f>
        <v>156</v>
      </c>
      <c r="Y873" s="234"/>
      <c r="AF873" s="411"/>
      <c r="AG873" s="412"/>
    </row>
    <row r="874" s="410" customFormat="true" ht="15" hidden="true" customHeight="true" outlineLevel="0" collapsed="false">
      <c r="A874" s="198" t="s">
        <v>2496</v>
      </c>
      <c r="B874" s="199" t="s">
        <v>417</v>
      </c>
      <c r="C874" s="198" t="n">
        <v>171</v>
      </c>
      <c r="D874" s="198" t="s">
        <v>684</v>
      </c>
      <c r="E874" s="198" t="s">
        <v>422</v>
      </c>
      <c r="F874" s="198" t="s">
        <v>677</v>
      </c>
      <c r="G874" s="198" t="s">
        <v>681</v>
      </c>
      <c r="H874" s="198" t="s">
        <v>133</v>
      </c>
      <c r="I874" s="199" t="s">
        <v>133</v>
      </c>
      <c r="J874" s="198" t="s">
        <v>423</v>
      </c>
      <c r="K874" s="198" t="s">
        <v>1435</v>
      </c>
      <c r="L874" s="234" t="n">
        <v>28790</v>
      </c>
      <c r="M874" s="234" t="n">
        <v>16660</v>
      </c>
      <c r="N874" s="234" t="n">
        <v>15.5</v>
      </c>
      <c r="O874" s="407" t="n">
        <v>12130</v>
      </c>
      <c r="P874" s="407" t="n">
        <v>10251</v>
      </c>
      <c r="Q874" s="234" t="n">
        <v>2025</v>
      </c>
      <c r="R874" s="234"/>
      <c r="S874" s="248" t="n">
        <v>45811</v>
      </c>
      <c r="T874" s="407" t="n">
        <f aca="false">Таблица18[[#This Row],[Вес нетто]]-Таблица18[[#This Row],[Зачетный вес]]</f>
        <v>1879</v>
      </c>
      <c r="U874" s="409" t="n">
        <f aca="false">Таблица18[[#This Row],[Отход]]/Таблица18[[#This Row],[Вес нетто]]</f>
        <v>0.154905193734542</v>
      </c>
      <c r="V874" s="234" t="n">
        <f aca="false">MONTH(Таблица18[[#This Row],[Дата акта]])</f>
        <v>6</v>
      </c>
      <c r="W874" s="234" t="n">
        <v>3</v>
      </c>
      <c r="X874" s="248" t="n">
        <f aca="false">DATE(1900,Таблица18[[#This Row],[Месяц]],Таблица18[[#This Row],[Число]])</f>
        <v>155</v>
      </c>
      <c r="Y874" s="234"/>
      <c r="AF874" s="411"/>
      <c r="AG874" s="412"/>
    </row>
    <row r="875" s="410" customFormat="true" ht="15" hidden="true" customHeight="true" outlineLevel="0" collapsed="false">
      <c r="A875" s="198" t="s">
        <v>2497</v>
      </c>
      <c r="B875" s="199" t="s">
        <v>417</v>
      </c>
      <c r="C875" s="198" t="n">
        <v>174</v>
      </c>
      <c r="D875" s="198" t="s">
        <v>691</v>
      </c>
      <c r="E875" s="198" t="s">
        <v>422</v>
      </c>
      <c r="F875" s="198" t="s">
        <v>685</v>
      </c>
      <c r="G875" s="198" t="s">
        <v>689</v>
      </c>
      <c r="H875" s="198" t="s">
        <v>628</v>
      </c>
      <c r="I875" s="199" t="s">
        <v>628</v>
      </c>
      <c r="J875" s="198" t="s">
        <v>423</v>
      </c>
      <c r="K875" s="198" t="s">
        <v>1435</v>
      </c>
      <c r="L875" s="234" t="n">
        <v>32620</v>
      </c>
      <c r="M875" s="234" t="n">
        <v>18780</v>
      </c>
      <c r="N875" s="234" t="n">
        <v>15.4</v>
      </c>
      <c r="O875" s="407" t="n">
        <v>13840</v>
      </c>
      <c r="P875" s="407" t="n">
        <v>11709.8</v>
      </c>
      <c r="Q875" s="234" t="n">
        <v>2025</v>
      </c>
      <c r="R875" s="234"/>
      <c r="S875" s="248" t="n">
        <v>45811</v>
      </c>
      <c r="T875" s="407" t="n">
        <f aca="false">Таблица18[[#This Row],[Вес нетто]]-Таблица18[[#This Row],[Зачетный вес]]</f>
        <v>2130.2</v>
      </c>
      <c r="U875" s="409" t="n">
        <f aca="false">Таблица18[[#This Row],[Отход]]/Таблица18[[#This Row],[Вес нетто]]</f>
        <v>0.153916184971098</v>
      </c>
      <c r="V875" s="234" t="n">
        <f aca="false">MONTH(Таблица18[[#This Row],[Дата акта]])</f>
        <v>6</v>
      </c>
      <c r="W875" s="234" t="n">
        <v>3</v>
      </c>
      <c r="X875" s="248" t="n">
        <f aca="false">DATE(1900,Таблица18[[#This Row],[Месяц]],Таблица18[[#This Row],[Число]])</f>
        <v>155</v>
      </c>
      <c r="Y875" s="234"/>
      <c r="AF875" s="411"/>
      <c r="AG875" s="412"/>
    </row>
    <row r="876" s="410" customFormat="true" ht="15" hidden="true" customHeight="true" outlineLevel="0" collapsed="false">
      <c r="A876" s="198" t="s">
        <v>2498</v>
      </c>
      <c r="B876" s="199" t="s">
        <v>417</v>
      </c>
      <c r="C876" s="198" t="n">
        <v>173</v>
      </c>
      <c r="D876" s="198" t="s">
        <v>695</v>
      </c>
      <c r="E876" s="198" t="s">
        <v>422</v>
      </c>
      <c r="F876" s="198" t="s">
        <v>602</v>
      </c>
      <c r="G876" s="198" t="s">
        <v>606</v>
      </c>
      <c r="H876" s="198" t="s">
        <v>628</v>
      </c>
      <c r="I876" s="199" t="s">
        <v>628</v>
      </c>
      <c r="J876" s="198" t="s">
        <v>423</v>
      </c>
      <c r="K876" s="198" t="s">
        <v>1435</v>
      </c>
      <c r="L876" s="234" t="n">
        <v>31130</v>
      </c>
      <c r="M876" s="234" t="n">
        <v>17880</v>
      </c>
      <c r="N876" s="234" t="n">
        <v>11.6</v>
      </c>
      <c r="O876" s="407" t="n">
        <v>13250</v>
      </c>
      <c r="P876" s="407" t="n">
        <v>11713</v>
      </c>
      <c r="Q876" s="234" t="n">
        <v>2025</v>
      </c>
      <c r="R876" s="234"/>
      <c r="S876" s="248" t="n">
        <v>45811</v>
      </c>
      <c r="T876" s="407" t="n">
        <f aca="false">Таблица18[[#This Row],[Вес нетто]]-Таблица18[[#This Row],[Зачетный вес]]</f>
        <v>1537</v>
      </c>
      <c r="U876" s="409" t="n">
        <f aca="false">Таблица18[[#This Row],[Отход]]/Таблица18[[#This Row],[Вес нетто]]</f>
        <v>0.116</v>
      </c>
      <c r="V876" s="234" t="n">
        <f aca="false">MONTH(Таблица18[[#This Row],[Дата акта]])</f>
        <v>6</v>
      </c>
      <c r="W876" s="234" t="n">
        <v>3</v>
      </c>
      <c r="X876" s="248" t="n">
        <f aca="false">DATE(1900,Таблица18[[#This Row],[Месяц]],Таблица18[[#This Row],[Число]])</f>
        <v>155</v>
      </c>
      <c r="Y876" s="234"/>
      <c r="AF876" s="411"/>
      <c r="AG876" s="412"/>
    </row>
    <row r="877" s="410" customFormat="true" ht="15" hidden="true" customHeight="true" outlineLevel="0" collapsed="false">
      <c r="A877" s="198" t="s">
        <v>2499</v>
      </c>
      <c r="B877" s="199" t="s">
        <v>417</v>
      </c>
      <c r="C877" s="198" t="n">
        <v>175</v>
      </c>
      <c r="D877" s="198" t="s">
        <v>700</v>
      </c>
      <c r="E877" s="198" t="s">
        <v>422</v>
      </c>
      <c r="F877" s="198" t="s">
        <v>610</v>
      </c>
      <c r="G877" s="198" t="s">
        <v>614</v>
      </c>
      <c r="H877" s="198" t="s">
        <v>628</v>
      </c>
      <c r="I877" s="199" t="s">
        <v>628</v>
      </c>
      <c r="J877" s="198" t="s">
        <v>423</v>
      </c>
      <c r="K877" s="198" t="s">
        <v>1435</v>
      </c>
      <c r="L877" s="234" t="n">
        <v>30790</v>
      </c>
      <c r="M877" s="234" t="n">
        <v>16990</v>
      </c>
      <c r="N877" s="234" t="n">
        <v>26.7</v>
      </c>
      <c r="O877" s="407" t="n">
        <v>13800</v>
      </c>
      <c r="P877" s="407" t="n">
        <v>10115.4</v>
      </c>
      <c r="Q877" s="234" t="n">
        <v>2025</v>
      </c>
      <c r="R877" s="234"/>
      <c r="S877" s="248" t="n">
        <v>45811</v>
      </c>
      <c r="T877" s="407" t="n">
        <f aca="false">Таблица18[[#This Row],[Вес нетто]]-Таблица18[[#This Row],[Зачетный вес]]</f>
        <v>3684.6</v>
      </c>
      <c r="U877" s="409" t="n">
        <f aca="false">Таблица18[[#This Row],[Отход]]/Таблица18[[#This Row],[Вес нетто]]</f>
        <v>0.267</v>
      </c>
      <c r="V877" s="234" t="n">
        <f aca="false">MONTH(Таблица18[[#This Row],[Дата акта]])</f>
        <v>6</v>
      </c>
      <c r="W877" s="234" t="n">
        <v>3</v>
      </c>
      <c r="X877" s="248" t="n">
        <f aca="false">DATE(1900,Таблица18[[#This Row],[Месяц]],Таблица18[[#This Row],[Число]])</f>
        <v>155</v>
      </c>
      <c r="Y877" s="234"/>
      <c r="AF877" s="411"/>
      <c r="AG877" s="412"/>
    </row>
    <row r="878" s="410" customFormat="true" ht="15" hidden="true" customHeight="true" outlineLevel="0" collapsed="false">
      <c r="A878" s="198" t="s">
        <v>2500</v>
      </c>
      <c r="B878" s="199" t="s">
        <v>417</v>
      </c>
      <c r="C878" s="198" t="n">
        <v>201</v>
      </c>
      <c r="D878" s="198" t="n">
        <v>65950</v>
      </c>
      <c r="E878" s="198" t="s">
        <v>409</v>
      </c>
      <c r="F878" s="198" t="s">
        <v>542</v>
      </c>
      <c r="G878" s="198" t="s">
        <v>704</v>
      </c>
      <c r="H878" s="198" t="s">
        <v>410</v>
      </c>
      <c r="I878" s="199" t="s">
        <v>410</v>
      </c>
      <c r="J878" s="198" t="s">
        <v>252</v>
      </c>
      <c r="K878" s="198" t="s">
        <v>1435</v>
      </c>
      <c r="L878" s="234" t="n">
        <v>27790</v>
      </c>
      <c r="M878" s="234" t="n">
        <v>14630</v>
      </c>
      <c r="N878" s="234" t="n">
        <v>12.5</v>
      </c>
      <c r="O878" s="407" t="n">
        <v>13160</v>
      </c>
      <c r="P878" s="407" t="n">
        <v>11515</v>
      </c>
      <c r="Q878" s="234" t="n">
        <v>2025</v>
      </c>
      <c r="R878" s="234"/>
      <c r="S878" s="248" t="n">
        <v>45812</v>
      </c>
      <c r="T878" s="407" t="n">
        <f aca="false">Таблица18[[#This Row],[Вес нетто]]-Таблица18[[#This Row],[Зачетный вес]]</f>
        <v>1645</v>
      </c>
      <c r="U878" s="409" t="n">
        <f aca="false">Таблица18[[#This Row],[Отход]]/Таблица18[[#This Row],[Вес нетто]]</f>
        <v>0.125</v>
      </c>
      <c r="V878" s="234" t="n">
        <f aca="false">MONTH(Таблица18[[#This Row],[Дата акта]])</f>
        <v>6</v>
      </c>
      <c r="W878" s="234" t="n">
        <v>4</v>
      </c>
      <c r="X878" s="248" t="n">
        <f aca="false">DATE(1900,Таблица18[[#This Row],[Месяц]],Таблица18[[#This Row],[Число]])</f>
        <v>156</v>
      </c>
      <c r="Y878" s="234"/>
      <c r="AF878" s="411"/>
      <c r="AG878" s="412"/>
    </row>
    <row r="879" s="410" customFormat="true" ht="15" hidden="true" customHeight="true" outlineLevel="0" collapsed="false">
      <c r="A879" s="198" t="s">
        <v>2501</v>
      </c>
      <c r="B879" s="199" t="s">
        <v>417</v>
      </c>
      <c r="C879" s="198" t="n">
        <v>199</v>
      </c>
      <c r="D879" s="198" t="n">
        <v>65948</v>
      </c>
      <c r="E879" s="198" t="s">
        <v>409</v>
      </c>
      <c r="F879" s="198" t="s">
        <v>363</v>
      </c>
      <c r="G879" s="198" t="s">
        <v>364</v>
      </c>
      <c r="H879" s="198" t="s">
        <v>410</v>
      </c>
      <c r="I879" s="199" t="s">
        <v>410</v>
      </c>
      <c r="J879" s="198" t="s">
        <v>252</v>
      </c>
      <c r="K879" s="198" t="s">
        <v>1435</v>
      </c>
      <c r="L879" s="234" t="n">
        <v>27800</v>
      </c>
      <c r="M879" s="234" t="n">
        <v>14550</v>
      </c>
      <c r="N879" s="234" t="n">
        <v>12.5</v>
      </c>
      <c r="O879" s="407" t="n">
        <v>13250</v>
      </c>
      <c r="P879" s="407" t="n">
        <v>11593.7</v>
      </c>
      <c r="Q879" s="234" t="n">
        <v>2025</v>
      </c>
      <c r="R879" s="234"/>
      <c r="S879" s="248" t="n">
        <v>45812</v>
      </c>
      <c r="T879" s="407" t="n">
        <f aca="false">Таблица18[[#This Row],[Вес нетто]]-Таблица18[[#This Row],[Зачетный вес]]</f>
        <v>1656.3</v>
      </c>
      <c r="U879" s="409" t="n">
        <f aca="false">Таблица18[[#This Row],[Отход]]/Таблица18[[#This Row],[Вес нетто]]</f>
        <v>0.125003773584906</v>
      </c>
      <c r="V879" s="234" t="n">
        <f aca="false">MONTH(Таблица18[[#This Row],[Дата акта]])</f>
        <v>6</v>
      </c>
      <c r="W879" s="234" t="n">
        <v>4</v>
      </c>
      <c r="X879" s="248" t="n">
        <f aca="false">DATE(1900,Таблица18[[#This Row],[Месяц]],Таблица18[[#This Row],[Число]])</f>
        <v>156</v>
      </c>
      <c r="Y879" s="234"/>
      <c r="AF879" s="411"/>
      <c r="AG879" s="412"/>
    </row>
    <row r="880" s="410" customFormat="true" ht="15" hidden="true" customHeight="true" outlineLevel="0" collapsed="false">
      <c r="A880" s="198" t="s">
        <v>2502</v>
      </c>
      <c r="B880" s="199" t="s">
        <v>417</v>
      </c>
      <c r="C880" s="198" t="n">
        <v>202</v>
      </c>
      <c r="D880" s="198" t="n">
        <v>130776</v>
      </c>
      <c r="E880" s="198" t="s">
        <v>409</v>
      </c>
      <c r="F880" s="198" t="s">
        <v>537</v>
      </c>
      <c r="G880" s="198" t="s">
        <v>541</v>
      </c>
      <c r="H880" s="198" t="s">
        <v>410</v>
      </c>
      <c r="I880" s="199" t="s">
        <v>410</v>
      </c>
      <c r="J880" s="198" t="s">
        <v>252</v>
      </c>
      <c r="K880" s="198" t="s">
        <v>1435</v>
      </c>
      <c r="L880" s="234" t="n">
        <v>28330</v>
      </c>
      <c r="M880" s="234" t="n">
        <v>15030</v>
      </c>
      <c r="N880" s="234" t="n">
        <v>11.2</v>
      </c>
      <c r="O880" s="407" t="n">
        <v>13300</v>
      </c>
      <c r="P880" s="407" t="n">
        <v>11810.4</v>
      </c>
      <c r="Q880" s="234" t="n">
        <v>2025</v>
      </c>
      <c r="R880" s="234"/>
      <c r="S880" s="248" t="n">
        <v>45812</v>
      </c>
      <c r="T880" s="407" t="n">
        <f aca="false">Таблица18[[#This Row],[Вес нетто]]-Таблица18[[#This Row],[Зачетный вес]]</f>
        <v>1489.6</v>
      </c>
      <c r="U880" s="409" t="n">
        <f aca="false">Таблица18[[#This Row],[Отход]]/Таблица18[[#This Row],[Вес нетто]]</f>
        <v>0.112</v>
      </c>
      <c r="V880" s="234" t="n">
        <f aca="false">MONTH(Таблица18[[#This Row],[Дата акта]])</f>
        <v>6</v>
      </c>
      <c r="W880" s="234" t="n">
        <v>4</v>
      </c>
      <c r="X880" s="248" t="n">
        <f aca="false">DATE(1900,Таблица18[[#This Row],[Месяц]],Таблица18[[#This Row],[Число]])</f>
        <v>156</v>
      </c>
      <c r="Y880" s="234"/>
      <c r="AF880" s="411"/>
      <c r="AG880" s="412"/>
    </row>
    <row r="881" s="410" customFormat="true" ht="15" hidden="true" customHeight="true" outlineLevel="0" collapsed="false">
      <c r="A881" s="198" t="s">
        <v>2503</v>
      </c>
      <c r="B881" s="199" t="s">
        <v>417</v>
      </c>
      <c r="C881" s="198" t="n">
        <v>206</v>
      </c>
      <c r="D881" s="198" t="n">
        <v>130777</v>
      </c>
      <c r="E881" s="198" t="s">
        <v>409</v>
      </c>
      <c r="F881" s="198" t="s">
        <v>445</v>
      </c>
      <c r="G881" s="198" t="s">
        <v>449</v>
      </c>
      <c r="H881" s="198" t="s">
        <v>410</v>
      </c>
      <c r="I881" s="199" t="s">
        <v>410</v>
      </c>
      <c r="J881" s="198" t="s">
        <v>252</v>
      </c>
      <c r="K881" s="198" t="s">
        <v>1435</v>
      </c>
      <c r="L881" s="234" t="n">
        <v>29200</v>
      </c>
      <c r="M881" s="234" t="n">
        <v>15700</v>
      </c>
      <c r="N881" s="234" t="n">
        <v>14.5</v>
      </c>
      <c r="O881" s="407" t="n">
        <v>13500</v>
      </c>
      <c r="P881" s="407" t="n">
        <v>11542.5</v>
      </c>
      <c r="Q881" s="234" t="n">
        <v>2025</v>
      </c>
      <c r="R881" s="234"/>
      <c r="S881" s="248" t="n">
        <v>45812</v>
      </c>
      <c r="T881" s="407" t="n">
        <f aca="false">Таблица18[[#This Row],[Вес нетто]]-Таблица18[[#This Row],[Зачетный вес]]</f>
        <v>1957.5</v>
      </c>
      <c r="U881" s="409" t="n">
        <f aca="false">Таблица18[[#This Row],[Отход]]/Таблица18[[#This Row],[Вес нетто]]</f>
        <v>0.145</v>
      </c>
      <c r="V881" s="234" t="n">
        <f aca="false">MONTH(Таблица18[[#This Row],[Дата акта]])</f>
        <v>6</v>
      </c>
      <c r="W881" s="234" t="n">
        <v>4</v>
      </c>
      <c r="X881" s="248" t="n">
        <f aca="false">DATE(1900,Таблица18[[#This Row],[Месяц]],Таблица18[[#This Row],[Число]])</f>
        <v>156</v>
      </c>
      <c r="Y881" s="234"/>
      <c r="AF881" s="411"/>
      <c r="AG881" s="412"/>
    </row>
    <row r="882" s="410" customFormat="true" ht="15" hidden="true" customHeight="true" outlineLevel="0" collapsed="false">
      <c r="A882" s="198" t="s">
        <v>2504</v>
      </c>
      <c r="B882" s="199" t="s">
        <v>417</v>
      </c>
      <c r="C882" s="198" t="n">
        <v>208</v>
      </c>
      <c r="D882" s="198" t="n">
        <v>130778</v>
      </c>
      <c r="E882" s="198" t="s">
        <v>409</v>
      </c>
      <c r="F882" s="198" t="s">
        <v>451</v>
      </c>
      <c r="G882" s="198" t="s">
        <v>455</v>
      </c>
      <c r="H882" s="198" t="s">
        <v>410</v>
      </c>
      <c r="I882" s="199" t="s">
        <v>410</v>
      </c>
      <c r="J882" s="198" t="s">
        <v>252</v>
      </c>
      <c r="K882" s="198" t="s">
        <v>1435</v>
      </c>
      <c r="L882" s="234" t="n">
        <v>28280</v>
      </c>
      <c r="M882" s="234" t="n">
        <v>15050</v>
      </c>
      <c r="N882" s="234" t="n">
        <v>12.5</v>
      </c>
      <c r="O882" s="407" t="n">
        <v>13230</v>
      </c>
      <c r="P882" s="407" t="n">
        <v>11576.2</v>
      </c>
      <c r="Q882" s="234" t="n">
        <v>2025</v>
      </c>
      <c r="R882" s="234"/>
      <c r="S882" s="248" t="n">
        <v>45812</v>
      </c>
      <c r="T882" s="407" t="n">
        <f aca="false">Таблица18[[#This Row],[Вес нетто]]-Таблица18[[#This Row],[Зачетный вес]]</f>
        <v>1653.8</v>
      </c>
      <c r="U882" s="409" t="n">
        <f aca="false">Таблица18[[#This Row],[Отход]]/Таблица18[[#This Row],[Вес нетто]]</f>
        <v>0.125003779289494</v>
      </c>
      <c r="V882" s="234" t="n">
        <f aca="false">MONTH(Таблица18[[#This Row],[Дата акта]])</f>
        <v>6</v>
      </c>
      <c r="W882" s="234" t="n">
        <v>4</v>
      </c>
      <c r="X882" s="248" t="n">
        <f aca="false">DATE(1900,Таблица18[[#This Row],[Месяц]],Таблица18[[#This Row],[Число]])</f>
        <v>156</v>
      </c>
      <c r="Y882" s="234"/>
      <c r="AF882" s="411"/>
      <c r="AG882" s="412"/>
    </row>
    <row r="883" s="410" customFormat="true" ht="15" hidden="true" customHeight="true" outlineLevel="0" collapsed="false">
      <c r="A883" s="198" t="s">
        <v>2505</v>
      </c>
      <c r="B883" s="199" t="s">
        <v>417</v>
      </c>
      <c r="C883" s="198" t="n">
        <v>209</v>
      </c>
      <c r="D883" s="198" t="n">
        <v>130781</v>
      </c>
      <c r="E883" s="198" t="s">
        <v>409</v>
      </c>
      <c r="F883" s="198" t="s">
        <v>371</v>
      </c>
      <c r="G883" s="198" t="s">
        <v>372</v>
      </c>
      <c r="H883" s="198" t="s">
        <v>410</v>
      </c>
      <c r="I883" s="199" t="s">
        <v>410</v>
      </c>
      <c r="J883" s="198" t="s">
        <v>584</v>
      </c>
      <c r="K883" s="198" t="s">
        <v>1435</v>
      </c>
      <c r="L883" s="234" t="n">
        <v>28130</v>
      </c>
      <c r="M883" s="234" t="n">
        <v>14940</v>
      </c>
      <c r="N883" s="234" t="n">
        <v>13.5</v>
      </c>
      <c r="O883" s="407" t="n">
        <v>13190</v>
      </c>
      <c r="P883" s="407" t="n">
        <v>11409.3</v>
      </c>
      <c r="Q883" s="234" t="n">
        <v>2025</v>
      </c>
      <c r="R883" s="234"/>
      <c r="S883" s="248" t="n">
        <v>45812</v>
      </c>
      <c r="T883" s="407" t="n">
        <f aca="false">Таблица18[[#This Row],[Вес нетто]]-Таблица18[[#This Row],[Зачетный вес]]</f>
        <v>1780.7</v>
      </c>
      <c r="U883" s="409" t="n">
        <f aca="false">Таблица18[[#This Row],[Отход]]/Таблица18[[#This Row],[Вес нетто]]</f>
        <v>0.135003790750569</v>
      </c>
      <c r="V883" s="234" t="n">
        <f aca="false">MONTH(Таблица18[[#This Row],[Дата акта]])</f>
        <v>6</v>
      </c>
      <c r="W883" s="234" t="n">
        <v>4</v>
      </c>
      <c r="X883" s="248" t="n">
        <f aca="false">DATE(1900,Таблица18[[#This Row],[Месяц]],Таблица18[[#This Row],[Число]])</f>
        <v>156</v>
      </c>
      <c r="Y883" s="234"/>
      <c r="AF883" s="411"/>
      <c r="AG883" s="412"/>
    </row>
    <row r="884" s="410" customFormat="true" ht="15" hidden="true" customHeight="true" outlineLevel="0" collapsed="false">
      <c r="A884" s="198" t="s">
        <v>2506</v>
      </c>
      <c r="B884" s="199" t="s">
        <v>417</v>
      </c>
      <c r="C884" s="198" t="n">
        <v>210</v>
      </c>
      <c r="D884" s="198" t="n">
        <v>130782</v>
      </c>
      <c r="E884" s="198" t="s">
        <v>409</v>
      </c>
      <c r="F884" s="198" t="s">
        <v>365</v>
      </c>
      <c r="G884" s="198" t="s">
        <v>373</v>
      </c>
      <c r="H884" s="198" t="s">
        <v>410</v>
      </c>
      <c r="I884" s="199" t="s">
        <v>410</v>
      </c>
      <c r="J884" s="198" t="s">
        <v>252</v>
      </c>
      <c r="K884" s="198" t="s">
        <v>1435</v>
      </c>
      <c r="L884" s="234" t="n">
        <v>34410</v>
      </c>
      <c r="M884" s="234" t="n">
        <v>18690</v>
      </c>
      <c r="N884" s="234" t="n">
        <v>12.5</v>
      </c>
      <c r="O884" s="407" t="n">
        <v>15720</v>
      </c>
      <c r="P884" s="407" t="n">
        <v>13755</v>
      </c>
      <c r="Q884" s="234" t="n">
        <v>2025</v>
      </c>
      <c r="R884" s="234"/>
      <c r="S884" s="248" t="n">
        <v>45812</v>
      </c>
      <c r="T884" s="407" t="n">
        <f aca="false">Таблица18[[#This Row],[Вес нетто]]-Таблица18[[#This Row],[Зачетный вес]]</f>
        <v>1965</v>
      </c>
      <c r="U884" s="409" t="n">
        <f aca="false">Таблица18[[#This Row],[Отход]]/Таблица18[[#This Row],[Вес нетто]]</f>
        <v>0.125</v>
      </c>
      <c r="V884" s="234" t="n">
        <f aca="false">MONTH(Таблица18[[#This Row],[Дата акта]])</f>
        <v>6</v>
      </c>
      <c r="W884" s="234" t="n">
        <v>4</v>
      </c>
      <c r="X884" s="248" t="n">
        <f aca="false">DATE(1900,Таблица18[[#This Row],[Месяц]],Таблица18[[#This Row],[Число]])</f>
        <v>156</v>
      </c>
      <c r="Y884" s="234"/>
      <c r="AF884" s="411"/>
      <c r="AG884" s="412"/>
    </row>
    <row r="885" s="410" customFormat="true" ht="15" hidden="true" customHeight="true" outlineLevel="0" collapsed="false">
      <c r="A885" s="198" t="s">
        <v>2507</v>
      </c>
      <c r="B885" s="199" t="s">
        <v>417</v>
      </c>
      <c r="C885" s="198" t="n">
        <v>211</v>
      </c>
      <c r="D885" s="198" t="n">
        <v>130783</v>
      </c>
      <c r="E885" s="198" t="s">
        <v>409</v>
      </c>
      <c r="F885" s="198" t="s">
        <v>384</v>
      </c>
      <c r="G885" s="198" t="s">
        <v>385</v>
      </c>
      <c r="H885" s="198" t="s">
        <v>410</v>
      </c>
      <c r="I885" s="199" t="s">
        <v>410</v>
      </c>
      <c r="J885" s="198" t="s">
        <v>252</v>
      </c>
      <c r="K885" s="198" t="s">
        <v>1435</v>
      </c>
      <c r="L885" s="234" t="n">
        <v>27680</v>
      </c>
      <c r="M885" s="234" t="n">
        <v>14390</v>
      </c>
      <c r="N885" s="234" t="n">
        <v>13.5</v>
      </c>
      <c r="O885" s="407" t="n">
        <v>13290</v>
      </c>
      <c r="P885" s="407" t="n">
        <v>11495.8</v>
      </c>
      <c r="Q885" s="234" t="n">
        <v>2025</v>
      </c>
      <c r="R885" s="234"/>
      <c r="S885" s="248" t="n">
        <v>45812</v>
      </c>
      <c r="T885" s="407" t="n">
        <f aca="false">Таблица18[[#This Row],[Вес нетто]]-Таблица18[[#This Row],[Зачетный вес]]</f>
        <v>1794.2</v>
      </c>
      <c r="U885" s="409" t="n">
        <f aca="false">Таблица18[[#This Row],[Отход]]/Таблица18[[#This Row],[Вес нетто]]</f>
        <v>0.135003762227239</v>
      </c>
      <c r="V885" s="234" t="n">
        <f aca="false">MONTH(Таблица18[[#This Row],[Дата акта]])</f>
        <v>6</v>
      </c>
      <c r="W885" s="234" t="n">
        <v>4</v>
      </c>
      <c r="X885" s="248" t="n">
        <f aca="false">DATE(1900,Таблица18[[#This Row],[Месяц]],Таблица18[[#This Row],[Число]])</f>
        <v>156</v>
      </c>
      <c r="Y885" s="234"/>
      <c r="AF885" s="411"/>
      <c r="AG885" s="412"/>
    </row>
    <row r="886" s="410" customFormat="true" ht="15" hidden="true" customHeight="true" outlineLevel="0" collapsed="false">
      <c r="A886" s="198" t="s">
        <v>2508</v>
      </c>
      <c r="B886" s="199" t="s">
        <v>417</v>
      </c>
      <c r="C886" s="198" t="n">
        <v>213</v>
      </c>
      <c r="D886" s="198" t="n">
        <v>37</v>
      </c>
      <c r="E886" s="198" t="s">
        <v>422</v>
      </c>
      <c r="F886" s="198" t="s">
        <v>376</v>
      </c>
      <c r="G886" s="198" t="s">
        <v>377</v>
      </c>
      <c r="H886" s="198" t="s">
        <v>730</v>
      </c>
      <c r="I886" s="199" t="s">
        <v>730</v>
      </c>
      <c r="J886" s="198" t="s">
        <v>47</v>
      </c>
      <c r="K886" s="198" t="s">
        <v>1435</v>
      </c>
      <c r="L886" s="234" t="n">
        <v>11950</v>
      </c>
      <c r="M886" s="234" t="n">
        <v>9730</v>
      </c>
      <c r="N886" s="234" t="n">
        <v>15.5</v>
      </c>
      <c r="O886" s="407" t="n">
        <v>2220</v>
      </c>
      <c r="P886" s="407" t="n">
        <v>1875.9</v>
      </c>
      <c r="Q886" s="234" t="n">
        <v>2025</v>
      </c>
      <c r="R886" s="234"/>
      <c r="S886" s="248" t="n">
        <v>45812</v>
      </c>
      <c r="T886" s="407" t="n">
        <f aca="false">Таблица18[[#This Row],[Вес нетто]]-Таблица18[[#This Row],[Зачетный вес]]</f>
        <v>344.1</v>
      </c>
      <c r="U886" s="409" t="n">
        <f aca="false">Таблица18[[#This Row],[Отход]]/Таблица18[[#This Row],[Вес нетто]]</f>
        <v>0.155</v>
      </c>
      <c r="V886" s="234" t="n">
        <f aca="false">MONTH(Таблица18[[#This Row],[Дата акта]])</f>
        <v>6</v>
      </c>
      <c r="W886" s="234" t="n">
        <v>4</v>
      </c>
      <c r="X886" s="248" t="n">
        <f aca="false">DATE(1900,Таблица18[[#This Row],[Месяц]],Таблица18[[#This Row],[Число]])</f>
        <v>156</v>
      </c>
      <c r="Y886" s="234"/>
      <c r="AF886" s="411"/>
      <c r="AG886" s="412"/>
    </row>
    <row r="887" s="410" customFormat="true" ht="15" hidden="true" customHeight="true" outlineLevel="0" collapsed="false">
      <c r="A887" s="198" t="s">
        <v>2509</v>
      </c>
      <c r="B887" s="199" t="s">
        <v>417</v>
      </c>
      <c r="C887" s="198" t="n">
        <v>212</v>
      </c>
      <c r="D887" s="198" t="n">
        <v>130784</v>
      </c>
      <c r="E887" s="198" t="s">
        <v>409</v>
      </c>
      <c r="F887" s="198" t="s">
        <v>361</v>
      </c>
      <c r="G887" s="198" t="s">
        <v>362</v>
      </c>
      <c r="H887" s="198" t="s">
        <v>410</v>
      </c>
      <c r="I887" s="199" t="s">
        <v>410</v>
      </c>
      <c r="J887" s="198" t="s">
        <v>252</v>
      </c>
      <c r="K887" s="198" t="s">
        <v>1435</v>
      </c>
      <c r="L887" s="234" t="n">
        <v>28130</v>
      </c>
      <c r="M887" s="234" t="n">
        <v>14780</v>
      </c>
      <c r="N887" s="234" t="n">
        <v>10.5</v>
      </c>
      <c r="O887" s="407" t="n">
        <v>13350</v>
      </c>
      <c r="P887" s="407" t="n">
        <v>11948.2</v>
      </c>
      <c r="Q887" s="234" t="n">
        <v>2025</v>
      </c>
      <c r="R887" s="234"/>
      <c r="S887" s="248" t="n">
        <v>45812</v>
      </c>
      <c r="T887" s="407" t="n">
        <f aca="false">Таблица18[[#This Row],[Вес нетто]]-Таблица18[[#This Row],[Зачетный вес]]</f>
        <v>1401.8</v>
      </c>
      <c r="U887" s="409" t="n">
        <f aca="false">Таблица18[[#This Row],[Отход]]/Таблица18[[#This Row],[Вес нетто]]</f>
        <v>0.105003745318352</v>
      </c>
      <c r="V887" s="234" t="n">
        <f aca="false">MONTH(Таблица18[[#This Row],[Дата акта]])</f>
        <v>6</v>
      </c>
      <c r="W887" s="234" t="n">
        <v>4</v>
      </c>
      <c r="X887" s="248" t="n">
        <f aca="false">DATE(1900,Таблица18[[#This Row],[Месяц]],Таблица18[[#This Row],[Число]])</f>
        <v>156</v>
      </c>
      <c r="Y887" s="234"/>
      <c r="AF887" s="411"/>
      <c r="AG887" s="412"/>
    </row>
    <row r="888" s="410" customFormat="true" ht="15" hidden="true" customHeight="true" outlineLevel="0" collapsed="false">
      <c r="A888" s="198" t="s">
        <v>2510</v>
      </c>
      <c r="B888" s="199" t="s">
        <v>417</v>
      </c>
      <c r="C888" s="198" t="n">
        <v>216</v>
      </c>
      <c r="D888" s="198" t="n">
        <v>130786</v>
      </c>
      <c r="E888" s="198" t="s">
        <v>409</v>
      </c>
      <c r="F888" s="198" t="s">
        <v>427</v>
      </c>
      <c r="G888" s="198" t="s">
        <v>431</v>
      </c>
      <c r="H888" s="198" t="s">
        <v>410</v>
      </c>
      <c r="I888" s="199" t="s">
        <v>410</v>
      </c>
      <c r="J888" s="198" t="s">
        <v>252</v>
      </c>
      <c r="K888" s="198" t="s">
        <v>1435</v>
      </c>
      <c r="L888" s="234" t="n">
        <v>36430</v>
      </c>
      <c r="M888" s="234" t="n">
        <v>21070</v>
      </c>
      <c r="N888" s="234" t="n">
        <v>14</v>
      </c>
      <c r="O888" s="407" t="n">
        <v>15360</v>
      </c>
      <c r="P888" s="407" t="n">
        <v>13209.6</v>
      </c>
      <c r="Q888" s="234" t="n">
        <v>2025</v>
      </c>
      <c r="R888" s="234"/>
      <c r="S888" s="248" t="n">
        <v>45812</v>
      </c>
      <c r="T888" s="407" t="n">
        <f aca="false">Таблица18[[#This Row],[Вес нетто]]-Таблица18[[#This Row],[Зачетный вес]]</f>
        <v>2150.4</v>
      </c>
      <c r="U888" s="409" t="n">
        <f aca="false">Таблица18[[#This Row],[Отход]]/Таблица18[[#This Row],[Вес нетто]]</f>
        <v>0.14</v>
      </c>
      <c r="V888" s="234" t="n">
        <f aca="false">MONTH(Таблица18[[#This Row],[Дата акта]])</f>
        <v>6</v>
      </c>
      <c r="W888" s="234" t="n">
        <v>4</v>
      </c>
      <c r="X888" s="248" t="n">
        <f aca="false">DATE(1900,Таблица18[[#This Row],[Месяц]],Таблица18[[#This Row],[Число]])</f>
        <v>156</v>
      </c>
      <c r="Y888" s="234"/>
      <c r="AF888" s="411"/>
      <c r="AG888" s="412"/>
    </row>
    <row r="889" s="410" customFormat="true" ht="15" hidden="true" customHeight="true" outlineLevel="0" collapsed="false">
      <c r="A889" s="198" t="s">
        <v>2511</v>
      </c>
      <c r="B889" s="199" t="s">
        <v>417</v>
      </c>
      <c r="C889" s="198" t="n">
        <v>217</v>
      </c>
      <c r="D889" s="198" t="n">
        <v>130787</v>
      </c>
      <c r="E889" s="198" t="s">
        <v>409</v>
      </c>
      <c r="F889" s="198" t="s">
        <v>433</v>
      </c>
      <c r="G889" s="198" t="s">
        <v>437</v>
      </c>
      <c r="H889" s="198" t="s">
        <v>410</v>
      </c>
      <c r="I889" s="199" t="s">
        <v>410</v>
      </c>
      <c r="J889" s="198" t="s">
        <v>252</v>
      </c>
      <c r="K889" s="198" t="s">
        <v>1435</v>
      </c>
      <c r="L889" s="234" t="n">
        <v>28110</v>
      </c>
      <c r="M889" s="234" t="n">
        <v>14880</v>
      </c>
      <c r="N889" s="234" t="n">
        <v>8.5</v>
      </c>
      <c r="O889" s="407" t="n">
        <v>13230</v>
      </c>
      <c r="P889" s="407" t="n">
        <v>12105.4</v>
      </c>
      <c r="Q889" s="234" t="n">
        <v>2025</v>
      </c>
      <c r="R889" s="234"/>
      <c r="S889" s="248" t="n">
        <v>45812</v>
      </c>
      <c r="T889" s="407" t="n">
        <f aca="false">Таблица18[[#This Row],[Вес нетто]]-Таблица18[[#This Row],[Зачетный вес]]</f>
        <v>1124.6</v>
      </c>
      <c r="U889" s="409" t="n">
        <f aca="false">Таблица18[[#This Row],[Отход]]/Таблица18[[#This Row],[Вес нетто]]</f>
        <v>0.0850037792894936</v>
      </c>
      <c r="V889" s="234" t="n">
        <f aca="false">MONTH(Таблица18[[#This Row],[Дата акта]])</f>
        <v>6</v>
      </c>
      <c r="W889" s="234" t="n">
        <v>4</v>
      </c>
      <c r="X889" s="248" t="n">
        <f aca="false">DATE(1900,Таблица18[[#This Row],[Месяц]],Таблица18[[#This Row],[Число]])</f>
        <v>156</v>
      </c>
      <c r="Y889" s="234"/>
      <c r="AF889" s="411"/>
      <c r="AG889" s="412"/>
    </row>
    <row r="890" s="410" customFormat="true" ht="15" hidden="true" customHeight="true" outlineLevel="0" collapsed="false">
      <c r="A890" s="198" t="s">
        <v>2512</v>
      </c>
      <c r="B890" s="199" t="s">
        <v>417</v>
      </c>
      <c r="C890" s="198" t="n">
        <v>218</v>
      </c>
      <c r="D890" s="198" t="n">
        <v>39</v>
      </c>
      <c r="E890" s="198" t="s">
        <v>422</v>
      </c>
      <c r="F890" s="198" t="s">
        <v>376</v>
      </c>
      <c r="G890" s="198" t="s">
        <v>377</v>
      </c>
      <c r="H890" s="198" t="s">
        <v>628</v>
      </c>
      <c r="I890" s="199" t="s">
        <v>628</v>
      </c>
      <c r="J890" s="198" t="s">
        <v>423</v>
      </c>
      <c r="K890" s="198" t="s">
        <v>1435</v>
      </c>
      <c r="L890" s="234" t="n">
        <v>14600</v>
      </c>
      <c r="M890" s="234" t="n">
        <v>9720</v>
      </c>
      <c r="N890" s="234" t="n">
        <v>18</v>
      </c>
      <c r="O890" s="407" t="n">
        <v>4880</v>
      </c>
      <c r="P890" s="407" t="n">
        <v>4001.6</v>
      </c>
      <c r="Q890" s="234" t="n">
        <v>2025</v>
      </c>
      <c r="R890" s="234"/>
      <c r="S890" s="248" t="n">
        <v>45812</v>
      </c>
      <c r="T890" s="407" t="n">
        <f aca="false">Таблица18[[#This Row],[Вес нетто]]-Таблица18[[#This Row],[Зачетный вес]]</f>
        <v>878.4</v>
      </c>
      <c r="U890" s="409" t="n">
        <f aca="false">Таблица18[[#This Row],[Отход]]/Таблица18[[#This Row],[Вес нетто]]</f>
        <v>0.18</v>
      </c>
      <c r="V890" s="234" t="n">
        <f aca="false">MONTH(Таблица18[[#This Row],[Дата акта]])</f>
        <v>6</v>
      </c>
      <c r="W890" s="234" t="n">
        <v>4</v>
      </c>
      <c r="X890" s="248" t="n">
        <f aca="false">DATE(1900,Таблица18[[#This Row],[Месяц]],Таблица18[[#This Row],[Число]])</f>
        <v>156</v>
      </c>
      <c r="Y890" s="234"/>
      <c r="AF890" s="411"/>
      <c r="AG890" s="412"/>
    </row>
    <row r="891" s="410" customFormat="true" ht="15" hidden="true" customHeight="true" outlineLevel="0" collapsed="false">
      <c r="A891" s="198" t="s">
        <v>2513</v>
      </c>
      <c r="B891" s="199" t="s">
        <v>746</v>
      </c>
      <c r="C891" s="198" t="n">
        <v>220</v>
      </c>
      <c r="D891" s="198" t="n">
        <v>40</v>
      </c>
      <c r="E891" s="198" t="s">
        <v>422</v>
      </c>
      <c r="F891" s="198" t="s">
        <v>376</v>
      </c>
      <c r="G891" s="198" t="s">
        <v>377</v>
      </c>
      <c r="H891" s="198" t="s">
        <v>628</v>
      </c>
      <c r="I891" s="199" t="s">
        <v>628</v>
      </c>
      <c r="J891" s="198" t="s">
        <v>423</v>
      </c>
      <c r="K891" s="198" t="s">
        <v>1435</v>
      </c>
      <c r="L891" s="234" t="n">
        <v>14600</v>
      </c>
      <c r="M891" s="234" t="n">
        <v>9710</v>
      </c>
      <c r="N891" s="234" t="n">
        <v>17</v>
      </c>
      <c r="O891" s="407" t="n">
        <v>4890</v>
      </c>
      <c r="P891" s="407" t="n">
        <v>4058.7</v>
      </c>
      <c r="Q891" s="234" t="n">
        <v>2025</v>
      </c>
      <c r="R891" s="234"/>
      <c r="S891" s="248" t="n">
        <v>45813</v>
      </c>
      <c r="T891" s="407" t="n">
        <f aca="false">Таблица18[[#This Row],[Вес нетто]]-Таблица18[[#This Row],[Зачетный вес]]</f>
        <v>831.3</v>
      </c>
      <c r="U891" s="409" t="n">
        <f aca="false">Таблица18[[#This Row],[Отход]]/Таблица18[[#This Row],[Вес нетто]]</f>
        <v>0.17</v>
      </c>
      <c r="V891" s="234" t="n">
        <f aca="false">MONTH(Таблица18[[#This Row],[Дата акта]])</f>
        <v>6</v>
      </c>
      <c r="W891" s="234" t="n">
        <v>5</v>
      </c>
      <c r="X891" s="248" t="n">
        <f aca="false">DATE(1900,Таблица18[[#This Row],[Месяц]],Таблица18[[#This Row],[Число]])</f>
        <v>157</v>
      </c>
      <c r="Y891" s="234"/>
      <c r="AF891" s="411"/>
      <c r="AG891" s="412"/>
    </row>
    <row r="892" s="410" customFormat="true" ht="15" hidden="true" customHeight="true" outlineLevel="0" collapsed="false">
      <c r="A892" s="198" t="s">
        <v>2514</v>
      </c>
      <c r="B892" s="199" t="s">
        <v>417</v>
      </c>
      <c r="C892" s="198" t="n">
        <v>221</v>
      </c>
      <c r="D892" s="198" t="n">
        <v>130788</v>
      </c>
      <c r="E892" s="198" t="s">
        <v>409</v>
      </c>
      <c r="F892" s="198" t="s">
        <v>439</v>
      </c>
      <c r="G892" s="198" t="s">
        <v>443</v>
      </c>
      <c r="H892" s="198" t="s">
        <v>410</v>
      </c>
      <c r="I892" s="199" t="s">
        <v>410</v>
      </c>
      <c r="J892" s="198" t="s">
        <v>252</v>
      </c>
      <c r="K892" s="198" t="s">
        <v>1435</v>
      </c>
      <c r="L892" s="234" t="n">
        <v>37550</v>
      </c>
      <c r="M892" s="234" t="n">
        <v>24020</v>
      </c>
      <c r="N892" s="234" t="n">
        <v>8.5</v>
      </c>
      <c r="O892" s="407" t="n">
        <v>13530</v>
      </c>
      <c r="P892" s="407" t="n">
        <v>12379.9</v>
      </c>
      <c r="Q892" s="234" t="n">
        <v>2025</v>
      </c>
      <c r="R892" s="234"/>
      <c r="S892" s="248" t="n">
        <v>45813</v>
      </c>
      <c r="T892" s="407" t="n">
        <f aca="false">Таблица18[[#This Row],[Вес нетто]]-Таблица18[[#This Row],[Зачетный вес]]</f>
        <v>1150.1</v>
      </c>
      <c r="U892" s="409" t="n">
        <f aca="false">Таблица18[[#This Row],[Отход]]/Таблица18[[#This Row],[Вес нетто]]</f>
        <v>0.0850036954915004</v>
      </c>
      <c r="V892" s="234" t="n">
        <f aca="false">MONTH(Таблица18[[#This Row],[Дата акта]])</f>
        <v>6</v>
      </c>
      <c r="W892" s="234" t="n">
        <v>5</v>
      </c>
      <c r="X892" s="248" t="n">
        <f aca="false">DATE(1900,Таблица18[[#This Row],[Месяц]],Таблица18[[#This Row],[Число]])</f>
        <v>157</v>
      </c>
      <c r="Y892" s="234"/>
      <c r="AF892" s="411"/>
      <c r="AG892" s="412"/>
    </row>
    <row r="893" s="410" customFormat="true" ht="15" hidden="true" customHeight="true" outlineLevel="0" collapsed="false">
      <c r="A893" s="198" t="s">
        <v>2515</v>
      </c>
      <c r="B893" s="199" t="s">
        <v>746</v>
      </c>
      <c r="C893" s="198" t="n">
        <v>222</v>
      </c>
      <c r="D893" s="198" t="n">
        <v>41</v>
      </c>
      <c r="E893" s="198" t="s">
        <v>422</v>
      </c>
      <c r="F893" s="198" t="s">
        <v>376</v>
      </c>
      <c r="G893" s="198" t="s">
        <v>377</v>
      </c>
      <c r="H893" s="198" t="s">
        <v>628</v>
      </c>
      <c r="I893" s="199" t="s">
        <v>628</v>
      </c>
      <c r="J893" s="198" t="s">
        <v>423</v>
      </c>
      <c r="K893" s="198" t="s">
        <v>1435</v>
      </c>
      <c r="L893" s="234" t="n">
        <v>14640</v>
      </c>
      <c r="M893" s="234" t="n">
        <v>9700</v>
      </c>
      <c r="N893" s="234" t="n">
        <v>16</v>
      </c>
      <c r="O893" s="407" t="n">
        <v>4940</v>
      </c>
      <c r="P893" s="407" t="n">
        <v>4149.6</v>
      </c>
      <c r="Q893" s="234" t="n">
        <v>2025</v>
      </c>
      <c r="R893" s="234"/>
      <c r="S893" s="248" t="n">
        <v>45813</v>
      </c>
      <c r="T893" s="407" t="n">
        <f aca="false">Таблица18[[#This Row],[Вес нетто]]-Таблица18[[#This Row],[Зачетный вес]]</f>
        <v>790.4</v>
      </c>
      <c r="U893" s="409" t="n">
        <f aca="false">Таблица18[[#This Row],[Отход]]/Таблица18[[#This Row],[Вес нетто]]</f>
        <v>0.16</v>
      </c>
      <c r="V893" s="234" t="n">
        <f aca="false">MONTH(Таблица18[[#This Row],[Дата акта]])</f>
        <v>6</v>
      </c>
      <c r="W893" s="234" t="n">
        <v>5</v>
      </c>
      <c r="X893" s="248" t="n">
        <f aca="false">DATE(1900,Таблица18[[#This Row],[Месяц]],Таблица18[[#This Row],[Число]])</f>
        <v>157</v>
      </c>
      <c r="Y893" s="234"/>
      <c r="AF893" s="411"/>
      <c r="AG893" s="412"/>
    </row>
    <row r="894" s="410" customFormat="true" ht="15" hidden="true" customHeight="true" outlineLevel="0" collapsed="false">
      <c r="A894" s="198" t="s">
        <v>2516</v>
      </c>
      <c r="B894" s="199" t="s">
        <v>417</v>
      </c>
      <c r="C894" s="198" t="n">
        <v>225</v>
      </c>
      <c r="D894" s="198" t="n">
        <v>42</v>
      </c>
      <c r="E894" s="198" t="s">
        <v>422</v>
      </c>
      <c r="F894" s="198" t="s">
        <v>376</v>
      </c>
      <c r="G894" s="198" t="s">
        <v>377</v>
      </c>
      <c r="H894" s="198" t="s">
        <v>628</v>
      </c>
      <c r="I894" s="199" t="s">
        <v>628</v>
      </c>
      <c r="J894" s="198" t="s">
        <v>423</v>
      </c>
      <c r="K894" s="198" t="s">
        <v>1435</v>
      </c>
      <c r="L894" s="234" t="n">
        <v>14670</v>
      </c>
      <c r="M894" s="234" t="n">
        <v>9690</v>
      </c>
      <c r="N894" s="234" t="n">
        <v>14</v>
      </c>
      <c r="O894" s="407" t="n">
        <v>4980</v>
      </c>
      <c r="P894" s="407" t="n">
        <v>4282.8</v>
      </c>
      <c r="Q894" s="234" t="n">
        <v>2025</v>
      </c>
      <c r="R894" s="234"/>
      <c r="S894" s="248" t="n">
        <v>45813</v>
      </c>
      <c r="T894" s="407" t="n">
        <f aca="false">Таблица18[[#This Row],[Вес нетто]]-Таблица18[[#This Row],[Зачетный вес]]</f>
        <v>697.2</v>
      </c>
      <c r="U894" s="409" t="n">
        <f aca="false">Таблица18[[#This Row],[Отход]]/Таблица18[[#This Row],[Вес нетто]]</f>
        <v>0.14</v>
      </c>
      <c r="V894" s="234" t="n">
        <f aca="false">MONTH(Таблица18[[#This Row],[Дата акта]])</f>
        <v>6</v>
      </c>
      <c r="W894" s="234" t="n">
        <v>5</v>
      </c>
      <c r="X894" s="248" t="n">
        <f aca="false">DATE(1900,Таблица18[[#This Row],[Месяц]],Таблица18[[#This Row],[Число]])</f>
        <v>157</v>
      </c>
      <c r="Y894" s="234"/>
      <c r="AF894" s="411"/>
      <c r="AG894" s="412"/>
    </row>
    <row r="895" s="410" customFormat="true" ht="15" hidden="true" customHeight="true" outlineLevel="0" collapsed="false">
      <c r="A895" s="198" t="s">
        <v>2517</v>
      </c>
      <c r="B895" s="199" t="s">
        <v>417</v>
      </c>
      <c r="C895" s="198" t="n">
        <v>223</v>
      </c>
      <c r="D895" s="198" t="n">
        <v>130790</v>
      </c>
      <c r="E895" s="198" t="s">
        <v>409</v>
      </c>
      <c r="F895" s="198" t="s">
        <v>57</v>
      </c>
      <c r="G895" s="198" t="s">
        <v>58</v>
      </c>
      <c r="H895" s="198" t="s">
        <v>410</v>
      </c>
      <c r="I895" s="199" t="s">
        <v>410</v>
      </c>
      <c r="J895" s="198" t="s">
        <v>252</v>
      </c>
      <c r="K895" s="198" t="s">
        <v>1435</v>
      </c>
      <c r="L895" s="234" t="n">
        <v>28860</v>
      </c>
      <c r="M895" s="234" t="n">
        <v>15560</v>
      </c>
      <c r="N895" s="234" t="n">
        <v>11</v>
      </c>
      <c r="O895" s="407" t="n">
        <v>13300</v>
      </c>
      <c r="P895" s="407" t="n">
        <v>11837</v>
      </c>
      <c r="Q895" s="234" t="n">
        <v>2025</v>
      </c>
      <c r="R895" s="234"/>
      <c r="S895" s="248" t="n">
        <v>45813</v>
      </c>
      <c r="T895" s="407" t="n">
        <f aca="false">Таблица18[[#This Row],[Вес нетто]]-Таблица18[[#This Row],[Зачетный вес]]</f>
        <v>1463</v>
      </c>
      <c r="U895" s="409" t="n">
        <f aca="false">Таблица18[[#This Row],[Отход]]/Таблица18[[#This Row],[Вес нетто]]</f>
        <v>0.11</v>
      </c>
      <c r="V895" s="234" t="n">
        <f aca="false">MONTH(Таблица18[[#This Row],[Дата акта]])</f>
        <v>6</v>
      </c>
      <c r="W895" s="234" t="n">
        <v>5</v>
      </c>
      <c r="X895" s="248" t="n">
        <f aca="false">DATE(1900,Таблица18[[#This Row],[Месяц]],Таблица18[[#This Row],[Число]])</f>
        <v>157</v>
      </c>
      <c r="Y895" s="234"/>
      <c r="AF895" s="411"/>
      <c r="AG895" s="412"/>
    </row>
    <row r="896" s="410" customFormat="true" ht="15" hidden="true" customHeight="true" outlineLevel="0" collapsed="false">
      <c r="A896" s="198" t="s">
        <v>2518</v>
      </c>
      <c r="B896" s="199" t="s">
        <v>417</v>
      </c>
      <c r="C896" s="198" t="n">
        <v>204</v>
      </c>
      <c r="D896" s="198" t="s">
        <v>760</v>
      </c>
      <c r="E896" s="198" t="s">
        <v>422</v>
      </c>
      <c r="F896" s="198" t="s">
        <v>685</v>
      </c>
      <c r="G896" s="198" t="s">
        <v>689</v>
      </c>
      <c r="H896" s="198" t="s">
        <v>628</v>
      </c>
      <c r="I896" s="199" t="s">
        <v>628</v>
      </c>
      <c r="J896" s="198" t="s">
        <v>423</v>
      </c>
      <c r="K896" s="198" t="s">
        <v>1435</v>
      </c>
      <c r="L896" s="234" t="n">
        <v>33490</v>
      </c>
      <c r="M896" s="234" t="n">
        <v>18770</v>
      </c>
      <c r="N896" s="234" t="n">
        <v>16.9</v>
      </c>
      <c r="O896" s="407" t="n">
        <v>14720</v>
      </c>
      <c r="P896" s="407" t="n">
        <v>12230.4</v>
      </c>
      <c r="Q896" s="234" t="n">
        <v>2025</v>
      </c>
      <c r="R896" s="234"/>
      <c r="S896" s="248" t="n">
        <v>45812</v>
      </c>
      <c r="T896" s="407" t="n">
        <f aca="false">Таблица18[[#This Row],[Вес нетто]]-Таблица18[[#This Row],[Зачетный вес]]</f>
        <v>2489.6</v>
      </c>
      <c r="U896" s="409" t="n">
        <f aca="false">Таблица18[[#This Row],[Отход]]/Таблица18[[#This Row],[Вес нетто]]</f>
        <v>0.169130434782609</v>
      </c>
      <c r="V896" s="234" t="n">
        <f aca="false">MONTH(Таблица18[[#This Row],[Дата акта]])</f>
        <v>6</v>
      </c>
      <c r="W896" s="234" t="n">
        <v>4</v>
      </c>
      <c r="X896" s="248" t="n">
        <f aca="false">DATE(1900,Таблица18[[#This Row],[Месяц]],Таблица18[[#This Row],[Число]])</f>
        <v>156</v>
      </c>
      <c r="Y896" s="234"/>
      <c r="AF896" s="411"/>
      <c r="AG896" s="412"/>
    </row>
    <row r="897" s="410" customFormat="true" ht="15" hidden="true" customHeight="true" outlineLevel="0" collapsed="false">
      <c r="A897" s="198" t="s">
        <v>2519</v>
      </c>
      <c r="B897" s="199" t="s">
        <v>417</v>
      </c>
      <c r="C897" s="198" t="n">
        <v>200</v>
      </c>
      <c r="D897" s="198" t="s">
        <v>765</v>
      </c>
      <c r="E897" s="198" t="s">
        <v>761</v>
      </c>
      <c r="F897" s="198" t="s">
        <v>617</v>
      </c>
      <c r="G897" s="198" t="s">
        <v>621</v>
      </c>
      <c r="H897" s="198" t="s">
        <v>628</v>
      </c>
      <c r="I897" s="199" t="s">
        <v>628</v>
      </c>
      <c r="J897" s="198" t="s">
        <v>423</v>
      </c>
      <c r="K897" s="198" t="s">
        <v>1435</v>
      </c>
      <c r="L897" s="234" t="n">
        <v>32100</v>
      </c>
      <c r="M897" s="234" t="n">
        <v>17620</v>
      </c>
      <c r="N897" s="234" t="n">
        <v>23.7</v>
      </c>
      <c r="O897" s="407" t="n">
        <v>14480</v>
      </c>
      <c r="P897" s="407" t="n">
        <v>11044.8</v>
      </c>
      <c r="Q897" s="234" t="n">
        <v>2025</v>
      </c>
      <c r="R897" s="234"/>
      <c r="S897" s="248" t="n">
        <v>45812</v>
      </c>
      <c r="T897" s="407" t="n">
        <f aca="false">Таблица18[[#This Row],[Вес нетто]]-Таблица18[[#This Row],[Зачетный вес]]</f>
        <v>3435.2</v>
      </c>
      <c r="U897" s="409" t="n">
        <f aca="false">Таблица18[[#This Row],[Отход]]/Таблица18[[#This Row],[Вес нетто]]</f>
        <v>0.237237569060774</v>
      </c>
      <c r="V897" s="234" t="n">
        <f aca="false">MONTH(Таблица18[[#This Row],[Дата акта]])</f>
        <v>6</v>
      </c>
      <c r="W897" s="234" t="n">
        <v>4</v>
      </c>
      <c r="X897" s="248" t="n">
        <f aca="false">DATE(1900,Таблица18[[#This Row],[Месяц]],Таблица18[[#This Row],[Число]])</f>
        <v>156</v>
      </c>
      <c r="Y897" s="234"/>
      <c r="AF897" s="411"/>
      <c r="AG897" s="412"/>
    </row>
    <row r="898" s="410" customFormat="true" ht="15" hidden="true" customHeight="true" outlineLevel="0" collapsed="false">
      <c r="A898" s="198" t="s">
        <v>2520</v>
      </c>
      <c r="B898" s="199" t="s">
        <v>417</v>
      </c>
      <c r="C898" s="198" t="n">
        <v>193</v>
      </c>
      <c r="D898" s="198" t="s">
        <v>769</v>
      </c>
      <c r="E898" s="198" t="s">
        <v>422</v>
      </c>
      <c r="F898" s="198" t="s">
        <v>677</v>
      </c>
      <c r="G898" s="198" t="s">
        <v>681</v>
      </c>
      <c r="H898" s="198" t="s">
        <v>628</v>
      </c>
      <c r="I898" s="199" t="s">
        <v>628</v>
      </c>
      <c r="J898" s="198" t="s">
        <v>423</v>
      </c>
      <c r="K898" s="198" t="s">
        <v>1435</v>
      </c>
      <c r="L898" s="234" t="n">
        <v>30820</v>
      </c>
      <c r="M898" s="234" t="n">
        <v>16480</v>
      </c>
      <c r="N898" s="234" t="n">
        <v>31.8</v>
      </c>
      <c r="O898" s="407" t="n">
        <v>14340</v>
      </c>
      <c r="P898" s="407" t="n">
        <v>9785</v>
      </c>
      <c r="Q898" s="234" t="n">
        <v>2025</v>
      </c>
      <c r="R898" s="234"/>
      <c r="S898" s="248" t="n">
        <v>45812</v>
      </c>
      <c r="T898" s="407" t="n">
        <f aca="false">Таблица18[[#This Row],[Вес нетто]]-Таблица18[[#This Row],[Зачетный вес]]</f>
        <v>4555</v>
      </c>
      <c r="U898" s="409" t="n">
        <f aca="false">Таблица18[[#This Row],[Отход]]/Таблица18[[#This Row],[Вес нетто]]</f>
        <v>0.317642956764296</v>
      </c>
      <c r="V898" s="234" t="n">
        <f aca="false">MONTH(Таблица18[[#This Row],[Дата акта]])</f>
        <v>6</v>
      </c>
      <c r="W898" s="234" t="n">
        <v>4</v>
      </c>
      <c r="X898" s="248" t="n">
        <f aca="false">DATE(1900,Таблица18[[#This Row],[Месяц]],Таблица18[[#This Row],[Число]])</f>
        <v>156</v>
      </c>
      <c r="Y898" s="234"/>
      <c r="AF898" s="411"/>
      <c r="AG898" s="412"/>
    </row>
    <row r="899" s="410" customFormat="true" ht="15" hidden="true" customHeight="true" outlineLevel="0" collapsed="false">
      <c r="A899" s="198" t="s">
        <v>2521</v>
      </c>
      <c r="B899" s="199" t="s">
        <v>417</v>
      </c>
      <c r="C899" s="198" t="n">
        <v>214</v>
      </c>
      <c r="D899" s="198" t="s">
        <v>773</v>
      </c>
      <c r="E899" s="198" t="s">
        <v>761</v>
      </c>
      <c r="F899" s="198" t="s">
        <v>602</v>
      </c>
      <c r="G899" s="198" t="s">
        <v>606</v>
      </c>
      <c r="H899" s="198" t="s">
        <v>628</v>
      </c>
      <c r="I899" s="199" t="s">
        <v>628</v>
      </c>
      <c r="J899" s="198" t="s">
        <v>423</v>
      </c>
      <c r="K899" s="198" t="s">
        <v>1435</v>
      </c>
      <c r="L899" s="234" t="n">
        <v>32190</v>
      </c>
      <c r="M899" s="234" t="n">
        <v>17740</v>
      </c>
      <c r="N899" s="234" t="n">
        <v>12</v>
      </c>
      <c r="O899" s="407" t="n">
        <v>14450</v>
      </c>
      <c r="P899" s="407" t="n">
        <v>12716</v>
      </c>
      <c r="Q899" s="234" t="n">
        <v>2025</v>
      </c>
      <c r="R899" s="234"/>
      <c r="S899" s="248" t="n">
        <v>45812</v>
      </c>
      <c r="T899" s="407" t="n">
        <f aca="false">Таблица18[[#This Row],[Вес нетто]]-Таблица18[[#This Row],[Зачетный вес]]</f>
        <v>1734</v>
      </c>
      <c r="U899" s="409" t="n">
        <f aca="false">Таблица18[[#This Row],[Отход]]/Таблица18[[#This Row],[Вес нетто]]</f>
        <v>0.12</v>
      </c>
      <c r="V899" s="234" t="n">
        <f aca="false">MONTH(Таблица18[[#This Row],[Дата акта]])</f>
        <v>6</v>
      </c>
      <c r="W899" s="234" t="n">
        <v>4</v>
      </c>
      <c r="X899" s="248" t="n">
        <f aca="false">DATE(1900,Таблица18[[#This Row],[Месяц]],Таблица18[[#This Row],[Число]])</f>
        <v>156</v>
      </c>
      <c r="Y899" s="234"/>
      <c r="AF899" s="411"/>
      <c r="AG899" s="412"/>
    </row>
    <row r="900" s="410" customFormat="true" ht="15" hidden="true" customHeight="true" outlineLevel="0" collapsed="false">
      <c r="A900" s="198" t="s">
        <v>2522</v>
      </c>
      <c r="B900" s="199" t="s">
        <v>417</v>
      </c>
      <c r="C900" s="198" t="n">
        <v>224</v>
      </c>
      <c r="D900" s="198" t="n">
        <v>130791</v>
      </c>
      <c r="E900" s="198" t="s">
        <v>409</v>
      </c>
      <c r="F900" s="198" t="s">
        <v>547</v>
      </c>
      <c r="G900" s="198" t="s">
        <v>551</v>
      </c>
      <c r="H900" s="198" t="s">
        <v>410</v>
      </c>
      <c r="I900" s="199" t="s">
        <v>410</v>
      </c>
      <c r="J900" s="198" t="s">
        <v>252</v>
      </c>
      <c r="K900" s="198" t="s">
        <v>1435</v>
      </c>
      <c r="L900" s="234" t="n">
        <v>28060</v>
      </c>
      <c r="M900" s="234" t="n">
        <v>14730</v>
      </c>
      <c r="N900" s="234" t="n">
        <v>11.5</v>
      </c>
      <c r="O900" s="407" t="n">
        <v>13330</v>
      </c>
      <c r="P900" s="407" t="n">
        <v>11797</v>
      </c>
      <c r="Q900" s="234" t="n">
        <v>2025</v>
      </c>
      <c r="R900" s="234"/>
      <c r="S900" s="248" t="n">
        <v>45813</v>
      </c>
      <c r="T900" s="407" t="n">
        <f aca="false">Таблица18[[#This Row],[Вес нетто]]-Таблица18[[#This Row],[Зачетный вес]]</f>
        <v>1533</v>
      </c>
      <c r="U900" s="409" t="n">
        <f aca="false">Таблица18[[#This Row],[Отход]]/Таблица18[[#This Row],[Вес нетто]]</f>
        <v>0.115003750937734</v>
      </c>
      <c r="V900" s="234" t="n">
        <f aca="false">MONTH(Таблица18[[#This Row],[Дата акта]])</f>
        <v>6</v>
      </c>
      <c r="W900" s="234" t="n">
        <v>5</v>
      </c>
      <c r="X900" s="248" t="n">
        <f aca="false">DATE(1900,Таблица18[[#This Row],[Месяц]],Таблица18[[#This Row],[Число]])</f>
        <v>157</v>
      </c>
      <c r="Y900" s="234"/>
      <c r="AF900" s="411"/>
      <c r="AG900" s="412"/>
    </row>
    <row r="901" s="410" customFormat="true" ht="15" hidden="true" customHeight="true" outlineLevel="0" collapsed="false">
      <c r="A901" s="198" t="s">
        <v>2523</v>
      </c>
      <c r="B901" s="199" t="s">
        <v>417</v>
      </c>
      <c r="C901" s="198"/>
      <c r="D901" s="198" t="s">
        <v>780</v>
      </c>
      <c r="E901" s="198" t="s">
        <v>409</v>
      </c>
      <c r="F901" s="198" t="s">
        <v>777</v>
      </c>
      <c r="G901" s="198" t="s">
        <v>779</v>
      </c>
      <c r="H901" s="198" t="s">
        <v>410</v>
      </c>
      <c r="I901" s="199" t="s">
        <v>410</v>
      </c>
      <c r="J901" s="198" t="s">
        <v>252</v>
      </c>
      <c r="K901" s="198" t="s">
        <v>1435</v>
      </c>
      <c r="L901" s="234" t="n">
        <v>32800</v>
      </c>
      <c r="M901" s="234" t="n">
        <v>14500</v>
      </c>
      <c r="N901" s="234" t="n">
        <v>6.5</v>
      </c>
      <c r="O901" s="407" t="n">
        <v>18300</v>
      </c>
      <c r="P901" s="407" t="n">
        <v>17110</v>
      </c>
      <c r="Q901" s="234" t="n">
        <v>2025</v>
      </c>
      <c r="R901" s="234"/>
      <c r="S901" s="248" t="n">
        <v>45811</v>
      </c>
      <c r="T901" s="407" t="n">
        <f aca="false">Таблица18[[#This Row],[Вес нетто]]-Таблица18[[#This Row],[Зачетный вес]]</f>
        <v>1190</v>
      </c>
      <c r="U901" s="409" t="n">
        <f aca="false">Таблица18[[#This Row],[Отход]]/Таблица18[[#This Row],[Вес нетто]]</f>
        <v>0.0650273224043716</v>
      </c>
      <c r="V901" s="234" t="n">
        <f aca="false">MONTH(Таблица18[[#This Row],[Дата акта]])</f>
        <v>6</v>
      </c>
      <c r="W901" s="234" t="n">
        <v>3</v>
      </c>
      <c r="X901" s="248" t="n">
        <f aca="false">DATE(1900,Таблица18[[#This Row],[Месяц]],Таблица18[[#This Row],[Число]])</f>
        <v>155</v>
      </c>
      <c r="Y901" s="234"/>
      <c r="AF901" s="411"/>
      <c r="AG901" s="412"/>
    </row>
    <row r="902" s="410" customFormat="true" ht="15" hidden="true" customHeight="true" outlineLevel="0" collapsed="false">
      <c r="A902" s="198" t="s">
        <v>2524</v>
      </c>
      <c r="B902" s="199" t="s">
        <v>417</v>
      </c>
      <c r="C902" s="198" t="n">
        <v>226</v>
      </c>
      <c r="D902" s="198" t="n">
        <v>130792</v>
      </c>
      <c r="E902" s="198" t="s">
        <v>409</v>
      </c>
      <c r="F902" s="198" t="s">
        <v>553</v>
      </c>
      <c r="G902" s="198" t="s">
        <v>557</v>
      </c>
      <c r="H902" s="198" t="s">
        <v>781</v>
      </c>
      <c r="I902" s="199" t="s">
        <v>781</v>
      </c>
      <c r="J902" s="198" t="s">
        <v>252</v>
      </c>
      <c r="K902" s="198" t="s">
        <v>1435</v>
      </c>
      <c r="L902" s="234" t="n">
        <v>29030</v>
      </c>
      <c r="M902" s="234" t="n">
        <v>22250</v>
      </c>
      <c r="N902" s="234"/>
      <c r="O902" s="407" t="n">
        <v>14170</v>
      </c>
      <c r="P902" s="407" t="n">
        <v>12728.9</v>
      </c>
      <c r="Q902" s="234" t="n">
        <v>2025</v>
      </c>
      <c r="R902" s="234"/>
      <c r="S902" s="248" t="n">
        <v>45813</v>
      </c>
      <c r="T902" s="407" t="n">
        <f aca="false">Таблица18[[#This Row],[Вес нетто]]-Таблица18[[#This Row],[Зачетный вес]]</f>
        <v>1441.1</v>
      </c>
      <c r="U902" s="409" t="n">
        <f aca="false">Таблица18[[#This Row],[Отход]]/Таблица18[[#This Row],[Вес нетто]]</f>
        <v>0.101700776287932</v>
      </c>
      <c r="V902" s="234" t="n">
        <f aca="false">MONTH(Таблица18[[#This Row],[Дата акта]])</f>
        <v>6</v>
      </c>
      <c r="W902" s="234" t="n">
        <v>5</v>
      </c>
      <c r="X902" s="248" t="n">
        <f aca="false">DATE(1900,Таблица18[[#This Row],[Месяц]],Таблица18[[#This Row],[Число]])</f>
        <v>157</v>
      </c>
      <c r="Y902" s="234"/>
      <c r="AF902" s="411"/>
      <c r="AG902" s="412"/>
    </row>
    <row r="903" s="410" customFormat="true" ht="15" hidden="true" customHeight="true" outlineLevel="0" collapsed="false">
      <c r="A903" s="198" t="s">
        <v>2525</v>
      </c>
      <c r="B903" s="199" t="s">
        <v>417</v>
      </c>
      <c r="C903" s="198" t="n">
        <v>228</v>
      </c>
      <c r="D903" s="198" t="n">
        <v>130793</v>
      </c>
      <c r="E903" s="198" t="s">
        <v>409</v>
      </c>
      <c r="F903" s="198" t="s">
        <v>55</v>
      </c>
      <c r="G903" s="198" t="s">
        <v>56</v>
      </c>
      <c r="H903" s="198" t="s">
        <v>781</v>
      </c>
      <c r="I903" s="199" t="s">
        <v>781</v>
      </c>
      <c r="J903" s="198" t="s">
        <v>252</v>
      </c>
      <c r="K903" s="198" t="s">
        <v>1435</v>
      </c>
      <c r="L903" s="234" t="n">
        <v>28060</v>
      </c>
      <c r="M903" s="234" t="n">
        <v>14580</v>
      </c>
      <c r="N903" s="234" t="n">
        <v>20.5</v>
      </c>
      <c r="O903" s="407" t="n">
        <v>13480</v>
      </c>
      <c r="P903" s="407" t="n">
        <v>10716.6</v>
      </c>
      <c r="Q903" s="234" t="n">
        <v>2025</v>
      </c>
      <c r="R903" s="234"/>
      <c r="S903" s="248" t="n">
        <v>45813</v>
      </c>
      <c r="T903" s="407" t="n">
        <f aca="false">Таблица18[[#This Row],[Вес нетто]]-Таблица18[[#This Row],[Зачетный вес]]</f>
        <v>2763.4</v>
      </c>
      <c r="U903" s="409" t="n">
        <f aca="false">Таблица18[[#This Row],[Отход]]/Таблица18[[#This Row],[Вес нетто]]</f>
        <v>0.205</v>
      </c>
      <c r="V903" s="234" t="n">
        <f aca="false">MONTH(Таблица18[[#This Row],[Дата акта]])</f>
        <v>6</v>
      </c>
      <c r="W903" s="234" t="n">
        <v>5</v>
      </c>
      <c r="X903" s="248" t="n">
        <f aca="false">DATE(1900,Таблица18[[#This Row],[Месяц]],Таблица18[[#This Row],[Число]])</f>
        <v>157</v>
      </c>
      <c r="Y903" s="234"/>
      <c r="AF903" s="411"/>
      <c r="AG903" s="412"/>
    </row>
    <row r="904" s="410" customFormat="true" ht="15" hidden="true" customHeight="true" outlineLevel="0" collapsed="false">
      <c r="A904" s="198" t="s">
        <v>2526</v>
      </c>
      <c r="B904" s="199" t="s">
        <v>417</v>
      </c>
      <c r="C904" s="198" t="n">
        <v>230</v>
      </c>
      <c r="D904" s="198" t="n">
        <v>130794</v>
      </c>
      <c r="E904" s="198" t="s">
        <v>409</v>
      </c>
      <c r="F904" s="198" t="s">
        <v>457</v>
      </c>
      <c r="G904" s="198" t="s">
        <v>366</v>
      </c>
      <c r="H904" s="198" t="s">
        <v>781</v>
      </c>
      <c r="I904" s="199" t="s">
        <v>781</v>
      </c>
      <c r="J904" s="198" t="s">
        <v>252</v>
      </c>
      <c r="K904" s="198" t="s">
        <v>1435</v>
      </c>
      <c r="L904" s="234" t="n">
        <v>28080</v>
      </c>
      <c r="M904" s="234" t="n">
        <v>14850</v>
      </c>
      <c r="N904" s="234" t="n">
        <v>22.5</v>
      </c>
      <c r="O904" s="407" t="n">
        <v>13230</v>
      </c>
      <c r="P904" s="407" t="n">
        <v>10253.2</v>
      </c>
      <c r="Q904" s="234" t="n">
        <v>2025</v>
      </c>
      <c r="R904" s="234"/>
      <c r="S904" s="248" t="n">
        <v>45813</v>
      </c>
      <c r="T904" s="407" t="n">
        <f aca="false">Таблица18[[#This Row],[Вес нетто]]-Таблица18[[#This Row],[Зачетный вес]]</f>
        <v>2976.8</v>
      </c>
      <c r="U904" s="409" t="n">
        <f aca="false">Таблица18[[#This Row],[Отход]]/Таблица18[[#This Row],[Вес нетто]]</f>
        <v>0.225003779289494</v>
      </c>
      <c r="V904" s="234" t="n">
        <f aca="false">MONTH(Таблица18[[#This Row],[Дата акта]])</f>
        <v>6</v>
      </c>
      <c r="W904" s="234" t="n">
        <v>5</v>
      </c>
      <c r="X904" s="248" t="n">
        <f aca="false">DATE(1900,Таблица18[[#This Row],[Месяц]],Таблица18[[#This Row],[Число]])</f>
        <v>157</v>
      </c>
      <c r="Y904" s="234"/>
      <c r="AF904" s="411"/>
      <c r="AG904" s="412"/>
    </row>
    <row r="905" s="410" customFormat="true" ht="15" hidden="true" customHeight="true" outlineLevel="0" collapsed="false">
      <c r="A905" s="198" t="s">
        <v>2527</v>
      </c>
      <c r="B905" s="199" t="s">
        <v>417</v>
      </c>
      <c r="C905" s="198"/>
      <c r="D905" s="198" t="s">
        <v>794</v>
      </c>
      <c r="E905" s="198" t="s">
        <v>409</v>
      </c>
      <c r="F905" s="198" t="s">
        <v>792</v>
      </c>
      <c r="G905" s="198" t="s">
        <v>793</v>
      </c>
      <c r="H905" s="198" t="s">
        <v>410</v>
      </c>
      <c r="I905" s="199" t="s">
        <v>410</v>
      </c>
      <c r="J905" s="198" t="s">
        <v>252</v>
      </c>
      <c r="K905" s="198" t="s">
        <v>1435</v>
      </c>
      <c r="L905" s="234" t="n">
        <v>33040</v>
      </c>
      <c r="M905" s="234" t="n">
        <v>17140</v>
      </c>
      <c r="N905" s="234" t="n">
        <v>14.8</v>
      </c>
      <c r="O905" s="407" t="n">
        <v>15900</v>
      </c>
      <c r="P905" s="407" t="n">
        <v>13550.6</v>
      </c>
      <c r="Q905" s="234" t="n">
        <v>2025</v>
      </c>
      <c r="R905" s="234"/>
      <c r="S905" s="248" t="n">
        <v>45812</v>
      </c>
      <c r="T905" s="407" t="n">
        <f aca="false">Таблица18[[#This Row],[Вес нетто]]-Таблица18[[#This Row],[Зачетный вес]]</f>
        <v>2349.4</v>
      </c>
      <c r="U905" s="409" t="n">
        <f aca="false">Таблица18[[#This Row],[Отход]]/Таблица18[[#This Row],[Вес нетто]]</f>
        <v>0.147761006289308</v>
      </c>
      <c r="V905" s="234" t="n">
        <f aca="false">MONTH(Таблица18[[#This Row],[Дата акта]])</f>
        <v>6</v>
      </c>
      <c r="W905" s="234" t="n">
        <v>4</v>
      </c>
      <c r="X905" s="248" t="n">
        <f aca="false">DATE(1900,Таблица18[[#This Row],[Месяц]],Таблица18[[#This Row],[Число]])</f>
        <v>156</v>
      </c>
      <c r="Y905" s="234"/>
      <c r="AF905" s="411"/>
      <c r="AG905" s="412"/>
    </row>
    <row r="906" s="410" customFormat="true" ht="15" hidden="true" customHeight="true" outlineLevel="0" collapsed="false">
      <c r="A906" s="198" t="s">
        <v>2528</v>
      </c>
      <c r="B906" s="199" t="s">
        <v>417</v>
      </c>
      <c r="C906" s="198"/>
      <c r="D906" s="198" t="s">
        <v>797</v>
      </c>
      <c r="E906" s="198" t="s">
        <v>409</v>
      </c>
      <c r="F906" s="198" t="s">
        <v>795</v>
      </c>
      <c r="G906" s="198" t="s">
        <v>796</v>
      </c>
      <c r="H906" s="198" t="s">
        <v>410</v>
      </c>
      <c r="I906" s="199" t="s">
        <v>410</v>
      </c>
      <c r="J906" s="198" t="s">
        <v>252</v>
      </c>
      <c r="K906" s="198" t="s">
        <v>1435</v>
      </c>
      <c r="L906" s="234" t="n">
        <v>34180</v>
      </c>
      <c r="M906" s="234" t="n">
        <v>18360</v>
      </c>
      <c r="N906" s="234" t="n">
        <v>13.5</v>
      </c>
      <c r="O906" s="407" t="n">
        <v>15820</v>
      </c>
      <c r="P906" s="407" t="n">
        <v>13692.1</v>
      </c>
      <c r="Q906" s="234" t="n">
        <v>2025</v>
      </c>
      <c r="R906" s="234"/>
      <c r="S906" s="248" t="n">
        <v>45812</v>
      </c>
      <c r="T906" s="407" t="n">
        <f aca="false">Таблица18[[#This Row],[Вес нетто]]-Таблица18[[#This Row],[Зачетный вес]]</f>
        <v>2127.9</v>
      </c>
      <c r="U906" s="409" t="n">
        <f aca="false">Таблица18[[#This Row],[Отход]]/Таблица18[[#This Row],[Вес нетто]]</f>
        <v>0.134506953223767</v>
      </c>
      <c r="V906" s="234" t="n">
        <f aca="false">MONTH(Таблица18[[#This Row],[Дата акта]])</f>
        <v>6</v>
      </c>
      <c r="W906" s="234" t="n">
        <v>4</v>
      </c>
      <c r="X906" s="248" t="n">
        <f aca="false">DATE(1900,Таблица18[[#This Row],[Месяц]],Таблица18[[#This Row],[Число]])</f>
        <v>156</v>
      </c>
      <c r="Y906" s="234"/>
      <c r="AF906" s="411"/>
      <c r="AG906" s="412"/>
    </row>
    <row r="907" s="410" customFormat="true" ht="15" hidden="true" customHeight="true" outlineLevel="0" collapsed="false">
      <c r="A907" s="198" t="s">
        <v>2529</v>
      </c>
      <c r="B907" s="199" t="s">
        <v>417</v>
      </c>
      <c r="C907" s="198"/>
      <c r="D907" s="198" t="s">
        <v>798</v>
      </c>
      <c r="E907" s="198" t="s">
        <v>409</v>
      </c>
      <c r="F907" s="198" t="s">
        <v>792</v>
      </c>
      <c r="G907" s="198" t="s">
        <v>793</v>
      </c>
      <c r="H907" s="198" t="s">
        <v>410</v>
      </c>
      <c r="I907" s="199" t="s">
        <v>410</v>
      </c>
      <c r="J907" s="198" t="s">
        <v>252</v>
      </c>
      <c r="K907" s="198" t="s">
        <v>1435</v>
      </c>
      <c r="L907" s="234" t="n">
        <v>32580</v>
      </c>
      <c r="M907" s="234" t="n">
        <v>17040</v>
      </c>
      <c r="N907" s="234" t="n">
        <v>12.7</v>
      </c>
      <c r="O907" s="407" t="n">
        <v>15540</v>
      </c>
      <c r="P907" s="407" t="n">
        <v>13560.5</v>
      </c>
      <c r="Q907" s="234" t="n">
        <v>2025</v>
      </c>
      <c r="R907" s="234"/>
      <c r="S907" s="248" t="n">
        <v>45812</v>
      </c>
      <c r="T907" s="407" t="n">
        <f aca="false">Таблица18[[#This Row],[Вес нетто]]-Таблица18[[#This Row],[Зачетный вес]]</f>
        <v>1979.5</v>
      </c>
      <c r="U907" s="409" t="n">
        <f aca="false">Таблица18[[#This Row],[Отход]]/Таблица18[[#This Row],[Вес нетто]]</f>
        <v>0.127380952380952</v>
      </c>
      <c r="V907" s="234" t="n">
        <f aca="false">MONTH(Таблица18[[#This Row],[Дата акта]])</f>
        <v>6</v>
      </c>
      <c r="W907" s="234" t="n">
        <v>4</v>
      </c>
      <c r="X907" s="248" t="n">
        <f aca="false">DATE(1900,Таблица18[[#This Row],[Месяц]],Таблица18[[#This Row],[Число]])</f>
        <v>156</v>
      </c>
      <c r="Y907" s="234"/>
      <c r="AF907" s="411"/>
      <c r="AG907" s="412"/>
    </row>
    <row r="908" s="410" customFormat="true" ht="15" hidden="true" customHeight="true" outlineLevel="0" collapsed="false">
      <c r="A908" s="198" t="s">
        <v>2530</v>
      </c>
      <c r="B908" s="199" t="s">
        <v>417</v>
      </c>
      <c r="C908" s="198"/>
      <c r="D908" s="198" t="s">
        <v>801</v>
      </c>
      <c r="E908" s="198" t="s">
        <v>409</v>
      </c>
      <c r="F908" s="198" t="s">
        <v>799</v>
      </c>
      <c r="G908" s="198" t="s">
        <v>800</v>
      </c>
      <c r="H908" s="198" t="s">
        <v>410</v>
      </c>
      <c r="I908" s="199" t="s">
        <v>410</v>
      </c>
      <c r="J908" s="198" t="s">
        <v>252</v>
      </c>
      <c r="K908" s="198" t="s">
        <v>1435</v>
      </c>
      <c r="L908" s="234" t="n">
        <v>32040</v>
      </c>
      <c r="M908" s="234" t="n">
        <v>16120</v>
      </c>
      <c r="N908" s="234" t="n">
        <v>14.4</v>
      </c>
      <c r="O908" s="407" t="n">
        <v>15920</v>
      </c>
      <c r="P908" s="407" t="n">
        <v>13632.4</v>
      </c>
      <c r="Q908" s="234" t="n">
        <v>2025</v>
      </c>
      <c r="R908" s="234"/>
      <c r="S908" s="248" t="n">
        <v>45812</v>
      </c>
      <c r="T908" s="407" t="n">
        <f aca="false">Таблица18[[#This Row],[Вес нетто]]-Таблица18[[#This Row],[Зачетный вес]]</f>
        <v>2287.6</v>
      </c>
      <c r="U908" s="409" t="n">
        <f aca="false">Таблица18[[#This Row],[Отход]]/Таблица18[[#This Row],[Вес нетто]]</f>
        <v>0.143693467336683</v>
      </c>
      <c r="V908" s="234" t="n">
        <f aca="false">MONTH(Таблица18[[#This Row],[Дата акта]])</f>
        <v>6</v>
      </c>
      <c r="W908" s="234" t="n">
        <v>4</v>
      </c>
      <c r="X908" s="248" t="n">
        <f aca="false">DATE(1900,Таблица18[[#This Row],[Месяц]],Таблица18[[#This Row],[Число]])</f>
        <v>156</v>
      </c>
      <c r="Y908" s="234"/>
      <c r="AF908" s="411"/>
      <c r="AG908" s="412"/>
    </row>
    <row r="909" s="410" customFormat="true" ht="15" hidden="true" customHeight="true" outlineLevel="0" collapsed="false">
      <c r="A909" s="198" t="s">
        <v>2531</v>
      </c>
      <c r="B909" s="199" t="s">
        <v>417</v>
      </c>
      <c r="C909" s="198" t="n">
        <v>233</v>
      </c>
      <c r="D909" s="198" t="n">
        <v>45</v>
      </c>
      <c r="E909" s="198" t="s">
        <v>422</v>
      </c>
      <c r="F909" s="198" t="s">
        <v>411</v>
      </c>
      <c r="G909" s="198" t="s">
        <v>381</v>
      </c>
      <c r="H909" s="198" t="s">
        <v>730</v>
      </c>
      <c r="I909" s="199" t="s">
        <v>730</v>
      </c>
      <c r="J909" s="198" t="s">
        <v>47</v>
      </c>
      <c r="K909" s="198" t="s">
        <v>1435</v>
      </c>
      <c r="L909" s="234" t="n">
        <v>14400</v>
      </c>
      <c r="M909" s="234" t="n">
        <v>9480</v>
      </c>
      <c r="N909" s="234" t="n">
        <v>17.5</v>
      </c>
      <c r="O909" s="407" t="n">
        <v>4920</v>
      </c>
      <c r="P909" s="407" t="n">
        <v>4059</v>
      </c>
      <c r="Q909" s="234" t="n">
        <v>2025</v>
      </c>
      <c r="R909" s="234"/>
      <c r="S909" s="248" t="n">
        <v>45813</v>
      </c>
      <c r="T909" s="407" t="n">
        <f aca="false">Таблица18[[#This Row],[Вес нетто]]-Таблица18[[#This Row],[Зачетный вес]]</f>
        <v>861</v>
      </c>
      <c r="U909" s="409" t="n">
        <f aca="false">Таблица18[[#This Row],[Отход]]/Таблица18[[#This Row],[Вес нетто]]</f>
        <v>0.175</v>
      </c>
      <c r="V909" s="234" t="n">
        <f aca="false">MONTH(Таблица18[[#This Row],[Дата акта]])</f>
        <v>6</v>
      </c>
      <c r="W909" s="234" t="n">
        <v>5</v>
      </c>
      <c r="X909" s="248" t="n">
        <f aca="false">DATE(1900,Таблица18[[#This Row],[Месяц]],Таблица18[[#This Row],[Число]])</f>
        <v>157</v>
      </c>
      <c r="Y909" s="234"/>
      <c r="AF909" s="411"/>
      <c r="AG909" s="412"/>
    </row>
    <row r="910" s="410" customFormat="true" ht="15" hidden="true" customHeight="true" outlineLevel="0" collapsed="false">
      <c r="A910" s="198" t="s">
        <v>2532</v>
      </c>
      <c r="B910" s="199" t="s">
        <v>417</v>
      </c>
      <c r="C910" s="198" t="n">
        <v>234</v>
      </c>
      <c r="D910" s="198" t="n">
        <v>130796</v>
      </c>
      <c r="E910" s="198" t="s">
        <v>409</v>
      </c>
      <c r="F910" s="198" t="s">
        <v>363</v>
      </c>
      <c r="G910" s="198" t="s">
        <v>364</v>
      </c>
      <c r="H910" s="198" t="s">
        <v>781</v>
      </c>
      <c r="I910" s="199" t="s">
        <v>781</v>
      </c>
      <c r="J910" s="198" t="s">
        <v>252</v>
      </c>
      <c r="K910" s="198" t="s">
        <v>1435</v>
      </c>
      <c r="L910" s="234" t="n">
        <v>28060</v>
      </c>
      <c r="M910" s="234" t="n">
        <v>14540</v>
      </c>
      <c r="N910" s="234" t="n">
        <v>17.5</v>
      </c>
      <c r="O910" s="407" t="n">
        <v>13520</v>
      </c>
      <c r="P910" s="407" t="n">
        <v>11154</v>
      </c>
      <c r="Q910" s="234" t="n">
        <v>2025</v>
      </c>
      <c r="R910" s="234"/>
      <c r="S910" s="248" t="n">
        <v>45813</v>
      </c>
      <c r="T910" s="407" t="n">
        <f aca="false">Таблица18[[#This Row],[Вес нетто]]-Таблица18[[#This Row],[Зачетный вес]]</f>
        <v>2366</v>
      </c>
      <c r="U910" s="409" t="n">
        <f aca="false">Таблица18[[#This Row],[Отход]]/Таблица18[[#This Row],[Вес нетто]]</f>
        <v>0.175</v>
      </c>
      <c r="V910" s="234" t="n">
        <f aca="false">MONTH(Таблица18[[#This Row],[Дата акта]])</f>
        <v>6</v>
      </c>
      <c r="W910" s="234" t="n">
        <v>5</v>
      </c>
      <c r="X910" s="248" t="n">
        <f aca="false">DATE(1900,Таблица18[[#This Row],[Месяц]],Таблица18[[#This Row],[Число]])</f>
        <v>157</v>
      </c>
      <c r="Y910" s="234"/>
      <c r="AF910" s="411"/>
      <c r="AG910" s="412"/>
    </row>
    <row r="911" s="410" customFormat="true" ht="15" hidden="true" customHeight="true" outlineLevel="0" collapsed="false">
      <c r="A911" s="198" t="s">
        <v>2533</v>
      </c>
      <c r="B911" s="199"/>
      <c r="C911" s="198" t="n">
        <v>213</v>
      </c>
      <c r="D911" s="198" t="n">
        <v>37</v>
      </c>
      <c r="E911" s="198" t="s">
        <v>422</v>
      </c>
      <c r="F911" s="198" t="s">
        <v>376</v>
      </c>
      <c r="G911" s="198" t="s">
        <v>377</v>
      </c>
      <c r="H911" s="198" t="s">
        <v>730</v>
      </c>
      <c r="I911" s="199" t="s">
        <v>730</v>
      </c>
      <c r="J911" s="198" t="s">
        <v>47</v>
      </c>
      <c r="K911" s="198" t="s">
        <v>1435</v>
      </c>
      <c r="L911" s="234"/>
      <c r="M911" s="234"/>
      <c r="N911" s="234"/>
      <c r="O911" s="407"/>
      <c r="P911" s="407"/>
      <c r="Q911" s="234" t="n">
        <v>2025</v>
      </c>
      <c r="R911" s="234"/>
      <c r="S911" s="248" t="n">
        <v>45812</v>
      </c>
      <c r="T911" s="407" t="n">
        <f aca="false">Таблица18[[#This Row],[Вес нетто]]-Таблица18[[#This Row],[Зачетный вес]]</f>
        <v>0</v>
      </c>
      <c r="U911" s="409" t="e">
        <f aca="false">Таблица18[[#This Row],[Отход]]/Таблица18[[#This Row],[Вес нетто]]</f>
        <v>#DIV/0!</v>
      </c>
      <c r="V911" s="234" t="n">
        <f aca="false">MONTH(Таблица18[[#This Row],[Дата акта]])</f>
        <v>6</v>
      </c>
      <c r="W911" s="234" t="n">
        <v>4</v>
      </c>
      <c r="X911" s="248" t="n">
        <f aca="false">DATE(1900,Таблица18[[#This Row],[Месяц]],Таблица18[[#This Row],[Число]])</f>
        <v>156</v>
      </c>
      <c r="Y911" s="234"/>
      <c r="AF911" s="411"/>
      <c r="AG911" s="412"/>
    </row>
    <row r="912" s="410" customFormat="true" ht="15" hidden="true" customHeight="true" outlineLevel="0" collapsed="false">
      <c r="A912" s="198" t="s">
        <v>2534</v>
      </c>
      <c r="B912" s="199" t="s">
        <v>417</v>
      </c>
      <c r="C912" s="198" t="n">
        <v>235</v>
      </c>
      <c r="D912" s="198" t="n">
        <v>130797</v>
      </c>
      <c r="E912" s="198" t="s">
        <v>409</v>
      </c>
      <c r="F912" s="198" t="s">
        <v>537</v>
      </c>
      <c r="G912" s="198" t="s">
        <v>541</v>
      </c>
      <c r="H912" s="198" t="s">
        <v>781</v>
      </c>
      <c r="I912" s="199" t="s">
        <v>781</v>
      </c>
      <c r="J912" s="198" t="s">
        <v>252</v>
      </c>
      <c r="K912" s="198" t="s">
        <v>1435</v>
      </c>
      <c r="L912" s="234" t="n">
        <v>28680</v>
      </c>
      <c r="M912" s="234" t="n">
        <v>15170</v>
      </c>
      <c r="N912" s="234" t="n">
        <v>19.5</v>
      </c>
      <c r="O912" s="407" t="n">
        <v>13510</v>
      </c>
      <c r="P912" s="407" t="n">
        <v>10875.5</v>
      </c>
      <c r="Q912" s="234" t="n">
        <v>2025</v>
      </c>
      <c r="R912" s="234"/>
      <c r="S912" s="248" t="n">
        <v>45813</v>
      </c>
      <c r="T912" s="407" t="n">
        <f aca="false">Таблица18[[#This Row],[Вес нетто]]-Таблица18[[#This Row],[Зачетный вес]]</f>
        <v>2634.5</v>
      </c>
      <c r="U912" s="409" t="n">
        <f aca="false">Таблица18[[#This Row],[Отход]]/Таблица18[[#This Row],[Вес нетто]]</f>
        <v>0.19500370096225</v>
      </c>
      <c r="V912" s="234" t="n">
        <f aca="false">MONTH(Таблица18[[#This Row],[Дата акта]])</f>
        <v>6</v>
      </c>
      <c r="W912" s="234" t="n">
        <v>5</v>
      </c>
      <c r="X912" s="248" t="n">
        <f aca="false">DATE(1900,Таблица18[[#This Row],[Месяц]],Таблица18[[#This Row],[Число]])</f>
        <v>157</v>
      </c>
      <c r="Y912" s="234"/>
      <c r="AF912" s="411"/>
      <c r="AG912" s="412"/>
    </row>
    <row r="913" s="410" customFormat="true" ht="15" hidden="true" customHeight="true" outlineLevel="0" collapsed="false">
      <c r="A913" s="198" t="s">
        <v>2535</v>
      </c>
      <c r="B913" s="199" t="s">
        <v>417</v>
      </c>
      <c r="C913" s="198" t="n">
        <v>237</v>
      </c>
      <c r="D913" s="198" t="n">
        <v>130798</v>
      </c>
      <c r="E913" s="198" t="s">
        <v>409</v>
      </c>
      <c r="F913" s="198" t="s">
        <v>445</v>
      </c>
      <c r="G913" s="198" t="s">
        <v>449</v>
      </c>
      <c r="H913" s="198" t="s">
        <v>781</v>
      </c>
      <c r="I913" s="199" t="s">
        <v>781</v>
      </c>
      <c r="J913" s="198" t="s">
        <v>252</v>
      </c>
      <c r="K913" s="198" t="s">
        <v>1435</v>
      </c>
      <c r="L913" s="234" t="n">
        <v>29330</v>
      </c>
      <c r="M913" s="234" t="n">
        <v>15640</v>
      </c>
      <c r="N913" s="234" t="n">
        <v>16.5</v>
      </c>
      <c r="O913" s="407" t="n">
        <v>13690</v>
      </c>
      <c r="P913" s="407" t="n">
        <v>11431.1</v>
      </c>
      <c r="Q913" s="234" t="n">
        <v>2025</v>
      </c>
      <c r="R913" s="234"/>
      <c r="S913" s="248" t="n">
        <v>45813</v>
      </c>
      <c r="T913" s="407" t="n">
        <f aca="false">Таблица18[[#This Row],[Вес нетто]]-Таблица18[[#This Row],[Зачетный вес]]</f>
        <v>2258.9</v>
      </c>
      <c r="U913" s="409" t="n">
        <f aca="false">Таблица18[[#This Row],[Отход]]/Таблица18[[#This Row],[Вес нетто]]</f>
        <v>0.16500365230095</v>
      </c>
      <c r="V913" s="234" t="n">
        <f aca="false">MONTH(Таблица18[[#This Row],[Дата акта]])</f>
        <v>6</v>
      </c>
      <c r="W913" s="234" t="n">
        <v>5</v>
      </c>
      <c r="X913" s="248" t="n">
        <f aca="false">DATE(1900,Таблица18[[#This Row],[Месяц]],Таблица18[[#This Row],[Число]])</f>
        <v>157</v>
      </c>
      <c r="Y913" s="234"/>
      <c r="AF913" s="411"/>
      <c r="AG913" s="412"/>
    </row>
    <row r="914" s="410" customFormat="true" ht="15" hidden="true" customHeight="true" outlineLevel="0" collapsed="false">
      <c r="A914" s="198" t="s">
        <v>2536</v>
      </c>
      <c r="B914" s="199" t="s">
        <v>417</v>
      </c>
      <c r="C914" s="198" t="n">
        <v>238</v>
      </c>
      <c r="D914" s="198" t="n">
        <v>130799</v>
      </c>
      <c r="E914" s="198" t="s">
        <v>409</v>
      </c>
      <c r="F914" s="198" t="s">
        <v>451</v>
      </c>
      <c r="G914" s="198" t="s">
        <v>455</v>
      </c>
      <c r="H914" s="198" t="s">
        <v>781</v>
      </c>
      <c r="I914" s="199" t="s">
        <v>781</v>
      </c>
      <c r="J914" s="198" t="s">
        <v>252</v>
      </c>
      <c r="K914" s="198" t="s">
        <v>1435</v>
      </c>
      <c r="L914" s="234" t="n">
        <v>28640</v>
      </c>
      <c r="M914" s="234" t="n">
        <v>14910</v>
      </c>
      <c r="N914" s="234" t="n">
        <v>20.5</v>
      </c>
      <c r="O914" s="407" t="n">
        <v>13730</v>
      </c>
      <c r="P914" s="407" t="n">
        <v>10915.3</v>
      </c>
      <c r="Q914" s="234" t="n">
        <v>2025</v>
      </c>
      <c r="R914" s="234"/>
      <c r="S914" s="248" t="n">
        <v>45813</v>
      </c>
      <c r="T914" s="407" t="n">
        <f aca="false">Таблица18[[#This Row],[Вес нетто]]-Таблица18[[#This Row],[Зачетный вес]]</f>
        <v>2814.7</v>
      </c>
      <c r="U914" s="409" t="n">
        <f aca="false">Таблица18[[#This Row],[Отход]]/Таблица18[[#This Row],[Вес нетто]]</f>
        <v>0.205003641660597</v>
      </c>
      <c r="V914" s="234" t="n">
        <f aca="false">MONTH(Таблица18[[#This Row],[Дата акта]])</f>
        <v>6</v>
      </c>
      <c r="W914" s="234" t="n">
        <v>5</v>
      </c>
      <c r="X914" s="248" t="n">
        <f aca="false">DATE(1900,Таблица18[[#This Row],[Месяц]],Таблица18[[#This Row],[Число]])</f>
        <v>157</v>
      </c>
      <c r="Y914" s="234"/>
      <c r="AF914" s="411"/>
      <c r="AG914" s="412"/>
    </row>
    <row r="915" s="410" customFormat="true" ht="15" hidden="true" customHeight="true" outlineLevel="0" collapsed="false">
      <c r="A915" s="198" t="s">
        <v>2537</v>
      </c>
      <c r="B915" s="199" t="s">
        <v>417</v>
      </c>
      <c r="C915" s="198" t="n">
        <v>239</v>
      </c>
      <c r="D915" s="198" t="n">
        <v>130800</v>
      </c>
      <c r="E915" s="198" t="s">
        <v>409</v>
      </c>
      <c r="F915" s="198" t="s">
        <v>371</v>
      </c>
      <c r="G915" s="198" t="s">
        <v>372</v>
      </c>
      <c r="H915" s="198" t="s">
        <v>781</v>
      </c>
      <c r="I915" s="199" t="s">
        <v>781</v>
      </c>
      <c r="J915" s="198" t="s">
        <v>252</v>
      </c>
      <c r="K915" s="198" t="s">
        <v>1435</v>
      </c>
      <c r="L915" s="234" t="n">
        <v>28760</v>
      </c>
      <c r="M915" s="234" t="n">
        <v>14940</v>
      </c>
      <c r="N915" s="234" t="n">
        <v>18.5</v>
      </c>
      <c r="O915" s="407" t="n">
        <v>13820</v>
      </c>
      <c r="P915" s="407" t="n">
        <v>11263.3</v>
      </c>
      <c r="Q915" s="234" t="n">
        <v>2025</v>
      </c>
      <c r="R915" s="234"/>
      <c r="S915" s="248" t="n">
        <v>45813</v>
      </c>
      <c r="T915" s="407" t="n">
        <f aca="false">Таблица18[[#This Row],[Вес нетто]]-Таблица18[[#This Row],[Зачетный вес]]</f>
        <v>2556.7</v>
      </c>
      <c r="U915" s="409" t="n">
        <f aca="false">Таблица18[[#This Row],[Отход]]/Таблица18[[#This Row],[Вес нетто]]</f>
        <v>0.185</v>
      </c>
      <c r="V915" s="234" t="n">
        <f aca="false">MONTH(Таблица18[[#This Row],[Дата акта]])</f>
        <v>6</v>
      </c>
      <c r="W915" s="234" t="n">
        <v>5</v>
      </c>
      <c r="X915" s="248" t="n">
        <f aca="false">DATE(1900,Таблица18[[#This Row],[Месяц]],Таблица18[[#This Row],[Число]])</f>
        <v>157</v>
      </c>
      <c r="Y915" s="234"/>
      <c r="AF915" s="411"/>
      <c r="AG915" s="412"/>
    </row>
    <row r="916" s="410" customFormat="true" ht="15" hidden="true" customHeight="true" outlineLevel="0" collapsed="false">
      <c r="A916" s="198" t="s">
        <v>2538</v>
      </c>
      <c r="B916" s="199" t="s">
        <v>417</v>
      </c>
      <c r="C916" s="198" t="n">
        <v>240</v>
      </c>
      <c r="D916" s="198" t="n">
        <v>130751</v>
      </c>
      <c r="E916" s="198" t="s">
        <v>409</v>
      </c>
      <c r="F916" s="198" t="s">
        <v>365</v>
      </c>
      <c r="G916" s="198" t="s">
        <v>373</v>
      </c>
      <c r="H916" s="198" t="s">
        <v>781</v>
      </c>
      <c r="I916" s="199" t="s">
        <v>781</v>
      </c>
      <c r="J916" s="198" t="s">
        <v>252</v>
      </c>
      <c r="K916" s="198" t="s">
        <v>1435</v>
      </c>
      <c r="L916" s="234" t="n">
        <v>32460</v>
      </c>
      <c r="M916" s="234" t="n">
        <v>18700</v>
      </c>
      <c r="N916" s="234" t="n">
        <v>16.5</v>
      </c>
      <c r="O916" s="407" t="n">
        <v>13760</v>
      </c>
      <c r="P916" s="407" t="n">
        <v>11489.6</v>
      </c>
      <c r="Q916" s="234" t="n">
        <v>2025</v>
      </c>
      <c r="R916" s="234"/>
      <c r="S916" s="248" t="n">
        <v>45813</v>
      </c>
      <c r="T916" s="407" t="n">
        <f aca="false">Таблица18[[#This Row],[Вес нетто]]-Таблица18[[#This Row],[Зачетный вес]]</f>
        <v>2270.4</v>
      </c>
      <c r="U916" s="409" t="n">
        <f aca="false">Таблица18[[#This Row],[Отход]]/Таблица18[[#This Row],[Вес нетто]]</f>
        <v>0.165</v>
      </c>
      <c r="V916" s="234" t="n">
        <f aca="false">MONTH(Таблица18[[#This Row],[Дата акта]])</f>
        <v>6</v>
      </c>
      <c r="W916" s="234" t="n">
        <v>5</v>
      </c>
      <c r="X916" s="248" t="n">
        <f aca="false">DATE(1900,Таблица18[[#This Row],[Месяц]],Таблица18[[#This Row],[Число]])</f>
        <v>157</v>
      </c>
      <c r="Y916" s="234"/>
      <c r="AF916" s="411"/>
      <c r="AG916" s="412"/>
    </row>
    <row r="917" s="410" customFormat="true" ht="15" hidden="true" customHeight="true" outlineLevel="0" collapsed="false">
      <c r="A917" s="198" t="s">
        <v>2539</v>
      </c>
      <c r="B917" s="199" t="s">
        <v>417</v>
      </c>
      <c r="C917" s="198" t="n">
        <v>242</v>
      </c>
      <c r="D917" s="198" t="n">
        <v>130752</v>
      </c>
      <c r="E917" s="198" t="s">
        <v>409</v>
      </c>
      <c r="F917" s="198" t="s">
        <v>384</v>
      </c>
      <c r="G917" s="198" t="s">
        <v>385</v>
      </c>
      <c r="H917" s="198" t="s">
        <v>781</v>
      </c>
      <c r="I917" s="199" t="s">
        <v>781</v>
      </c>
      <c r="J917" s="198" t="s">
        <v>252</v>
      </c>
      <c r="K917" s="198" t="s">
        <v>1435</v>
      </c>
      <c r="L917" s="234" t="n">
        <v>28200</v>
      </c>
      <c r="M917" s="234" t="n">
        <v>14390</v>
      </c>
      <c r="N917" s="234" t="n">
        <v>17.5</v>
      </c>
      <c r="O917" s="407" t="n">
        <v>13810</v>
      </c>
      <c r="P917" s="407" t="n">
        <v>11393.2</v>
      </c>
      <c r="Q917" s="234" t="n">
        <v>2025</v>
      </c>
      <c r="R917" s="234"/>
      <c r="S917" s="248" t="n">
        <v>45813</v>
      </c>
      <c r="T917" s="407" t="n">
        <f aca="false">Таблица18[[#This Row],[Вес нетто]]-Таблица18[[#This Row],[Зачетный вес]]</f>
        <v>2416.8</v>
      </c>
      <c r="U917" s="409" t="n">
        <f aca="false">Таблица18[[#This Row],[Отход]]/Таблица18[[#This Row],[Вес нетто]]</f>
        <v>0.175003620564808</v>
      </c>
      <c r="V917" s="234" t="n">
        <f aca="false">MONTH(Таблица18[[#This Row],[Дата акта]])</f>
        <v>6</v>
      </c>
      <c r="W917" s="234" t="n">
        <v>5</v>
      </c>
      <c r="X917" s="248" t="n">
        <f aca="false">DATE(1900,Таблица18[[#This Row],[Месяц]],Таблица18[[#This Row],[Число]])</f>
        <v>157</v>
      </c>
      <c r="Y917" s="234"/>
      <c r="AF917" s="411"/>
      <c r="AG917" s="412"/>
    </row>
    <row r="918" s="410" customFormat="true" ht="15" hidden="true" customHeight="true" outlineLevel="0" collapsed="false">
      <c r="A918" s="198" t="s">
        <v>2540</v>
      </c>
      <c r="B918" s="199" t="s">
        <v>417</v>
      </c>
      <c r="C918" s="198" t="n">
        <v>241</v>
      </c>
      <c r="D918" s="198" t="n">
        <v>47</v>
      </c>
      <c r="E918" s="198" t="s">
        <v>422</v>
      </c>
      <c r="F918" s="198" t="s">
        <v>411</v>
      </c>
      <c r="G918" s="198" t="s">
        <v>381</v>
      </c>
      <c r="H918" s="198" t="s">
        <v>730</v>
      </c>
      <c r="I918" s="199" t="s">
        <v>730</v>
      </c>
      <c r="J918" s="198" t="s">
        <v>47</v>
      </c>
      <c r="K918" s="198" t="s">
        <v>1435</v>
      </c>
      <c r="L918" s="234" t="n">
        <v>16370</v>
      </c>
      <c r="M918" s="234" t="n">
        <v>9470</v>
      </c>
      <c r="N918" s="234" t="n">
        <v>22.5</v>
      </c>
      <c r="O918" s="407" t="n">
        <v>6900</v>
      </c>
      <c r="P918" s="407" t="n">
        <v>5347.5</v>
      </c>
      <c r="Q918" s="234" t="n">
        <v>2025</v>
      </c>
      <c r="R918" s="234"/>
      <c r="S918" s="248" t="n">
        <v>45813</v>
      </c>
      <c r="T918" s="407" t="n">
        <f aca="false">Таблица18[[#This Row],[Вес нетто]]-Таблица18[[#This Row],[Зачетный вес]]</f>
        <v>1552.5</v>
      </c>
      <c r="U918" s="409" t="n">
        <f aca="false">Таблица18[[#This Row],[Отход]]/Таблица18[[#This Row],[Вес нетто]]</f>
        <v>0.225</v>
      </c>
      <c r="V918" s="234" t="n">
        <f aca="false">MONTH(Таблица18[[#This Row],[Дата акта]])</f>
        <v>6</v>
      </c>
      <c r="W918" s="234" t="n">
        <v>5</v>
      </c>
      <c r="X918" s="248" t="n">
        <f aca="false">DATE(1900,Таблица18[[#This Row],[Месяц]],Таблица18[[#This Row],[Число]])</f>
        <v>157</v>
      </c>
      <c r="Y918" s="234"/>
      <c r="AF918" s="411"/>
      <c r="AG918" s="412"/>
    </row>
    <row r="919" s="410" customFormat="true" ht="15" hidden="true" customHeight="true" outlineLevel="0" collapsed="false">
      <c r="A919" s="198" t="s">
        <v>2541</v>
      </c>
      <c r="B919" s="199" t="s">
        <v>417</v>
      </c>
      <c r="C919" s="198" t="n">
        <v>244</v>
      </c>
      <c r="D919" s="198" t="n">
        <v>130753</v>
      </c>
      <c r="E919" s="198" t="s">
        <v>409</v>
      </c>
      <c r="F919" s="198" t="s">
        <v>361</v>
      </c>
      <c r="G919" s="198" t="s">
        <v>362</v>
      </c>
      <c r="H919" s="198" t="s">
        <v>781</v>
      </c>
      <c r="I919" s="199" t="s">
        <v>781</v>
      </c>
      <c r="J919" s="198" t="s">
        <v>252</v>
      </c>
      <c r="K919" s="198" t="s">
        <v>1435</v>
      </c>
      <c r="L919" s="234" t="n">
        <v>28130</v>
      </c>
      <c r="M919" s="234" t="n">
        <v>14680</v>
      </c>
      <c r="N919" s="234" t="n">
        <v>15.5</v>
      </c>
      <c r="O919" s="407" t="n">
        <v>13450</v>
      </c>
      <c r="P919" s="407" t="n">
        <v>11365.2</v>
      </c>
      <c r="Q919" s="234" t="n">
        <v>2025</v>
      </c>
      <c r="R919" s="234"/>
      <c r="S919" s="248" t="n">
        <v>45813</v>
      </c>
      <c r="T919" s="407" t="n">
        <f aca="false">Таблица18[[#This Row],[Вес нетто]]-Таблица18[[#This Row],[Зачетный вес]]</f>
        <v>2084.8</v>
      </c>
      <c r="U919" s="409" t="n">
        <f aca="false">Таблица18[[#This Row],[Отход]]/Таблица18[[#This Row],[Вес нетто]]</f>
        <v>0.155003717472119</v>
      </c>
      <c r="V919" s="234" t="n">
        <f aca="false">MONTH(Таблица18[[#This Row],[Дата акта]])</f>
        <v>6</v>
      </c>
      <c r="W919" s="234" t="n">
        <v>5</v>
      </c>
      <c r="X919" s="248" t="n">
        <f aca="false">DATE(1900,Таблица18[[#This Row],[Месяц]],Таблица18[[#This Row],[Число]])</f>
        <v>157</v>
      </c>
      <c r="Y919" s="234"/>
      <c r="AF919" s="411"/>
      <c r="AG919" s="412"/>
    </row>
    <row r="920" s="410" customFormat="true" ht="15" hidden="true" customHeight="true" outlineLevel="0" collapsed="false">
      <c r="A920" s="198" t="s">
        <v>2542</v>
      </c>
      <c r="B920" s="199" t="s">
        <v>417</v>
      </c>
      <c r="C920" s="198" t="n">
        <v>245</v>
      </c>
      <c r="D920" s="198" t="n">
        <v>130756</v>
      </c>
      <c r="E920" s="198" t="s">
        <v>409</v>
      </c>
      <c r="F920" s="198" t="s">
        <v>427</v>
      </c>
      <c r="G920" s="198" t="s">
        <v>431</v>
      </c>
      <c r="H920" s="198" t="s">
        <v>781</v>
      </c>
      <c r="I920" s="199" t="s">
        <v>781</v>
      </c>
      <c r="J920" s="198" t="s">
        <v>252</v>
      </c>
      <c r="K920" s="198" t="s">
        <v>1435</v>
      </c>
      <c r="L920" s="234" t="n">
        <v>34520</v>
      </c>
      <c r="M920" s="234" t="n">
        <v>20910</v>
      </c>
      <c r="N920" s="234" t="n">
        <v>18.5</v>
      </c>
      <c r="O920" s="407" t="n">
        <v>13610</v>
      </c>
      <c r="P920" s="407" t="n">
        <v>11092.1</v>
      </c>
      <c r="Q920" s="234" t="n">
        <v>2025</v>
      </c>
      <c r="R920" s="234"/>
      <c r="S920" s="248" t="n">
        <v>45813</v>
      </c>
      <c r="T920" s="407" t="n">
        <f aca="false">Таблица18[[#This Row],[Вес нетто]]-Таблица18[[#This Row],[Зачетный вес]]</f>
        <v>2517.9</v>
      </c>
      <c r="U920" s="409" t="n">
        <f aca="false">Таблица18[[#This Row],[Отход]]/Таблица18[[#This Row],[Вес нетто]]</f>
        <v>0.185003673769287</v>
      </c>
      <c r="V920" s="234" t="n">
        <f aca="false">MONTH(Таблица18[[#This Row],[Дата акта]])</f>
        <v>6</v>
      </c>
      <c r="W920" s="234" t="n">
        <v>5</v>
      </c>
      <c r="X920" s="248" t="n">
        <f aca="false">DATE(1900,Таблица18[[#This Row],[Месяц]],Таблица18[[#This Row],[Число]])</f>
        <v>157</v>
      </c>
      <c r="Y920" s="234"/>
      <c r="AF920" s="411"/>
      <c r="AG920" s="412"/>
    </row>
    <row r="921" s="410" customFormat="true" ht="15" hidden="true" customHeight="true" outlineLevel="0" collapsed="false">
      <c r="A921" s="198" t="s">
        <v>2543</v>
      </c>
      <c r="B921" s="199" t="s">
        <v>417</v>
      </c>
      <c r="C921" s="198" t="n">
        <v>246</v>
      </c>
      <c r="D921" s="198" t="n">
        <v>130755</v>
      </c>
      <c r="E921" s="198" t="s">
        <v>409</v>
      </c>
      <c r="F921" s="198" t="s">
        <v>433</v>
      </c>
      <c r="G921" s="198" t="s">
        <v>437</v>
      </c>
      <c r="H921" s="198" t="s">
        <v>781</v>
      </c>
      <c r="I921" s="199" t="s">
        <v>781</v>
      </c>
      <c r="J921" s="198" t="s">
        <v>252</v>
      </c>
      <c r="K921" s="198" t="s">
        <v>1435</v>
      </c>
      <c r="L921" s="234" t="n">
        <v>28420</v>
      </c>
      <c r="M921" s="234" t="n">
        <v>14860</v>
      </c>
      <c r="N921" s="234" t="n">
        <v>15.5</v>
      </c>
      <c r="O921" s="407" t="n">
        <v>13560</v>
      </c>
      <c r="P921" s="407" t="n">
        <v>11458.2</v>
      </c>
      <c r="Q921" s="234" t="n">
        <v>2025</v>
      </c>
      <c r="R921" s="234"/>
      <c r="S921" s="248" t="n">
        <v>45813</v>
      </c>
      <c r="T921" s="407" t="n">
        <f aca="false">Таблица18[[#This Row],[Вес нетто]]-Таблица18[[#This Row],[Зачетный вес]]</f>
        <v>2101.8</v>
      </c>
      <c r="U921" s="409" t="n">
        <f aca="false">Таблица18[[#This Row],[Отход]]/Таблица18[[#This Row],[Вес нетто]]</f>
        <v>0.155</v>
      </c>
      <c r="V921" s="234" t="n">
        <f aca="false">MONTH(Таблица18[[#This Row],[Дата акта]])</f>
        <v>6</v>
      </c>
      <c r="W921" s="234" t="n">
        <v>5</v>
      </c>
      <c r="X921" s="248" t="n">
        <f aca="false">DATE(1900,Таблица18[[#This Row],[Месяц]],Таблица18[[#This Row],[Число]])</f>
        <v>157</v>
      </c>
      <c r="Y921" s="234"/>
      <c r="AF921" s="411"/>
      <c r="AG921" s="412"/>
    </row>
    <row r="922" s="410" customFormat="true" ht="15" hidden="true" customHeight="true" outlineLevel="0" collapsed="false">
      <c r="A922" s="198" t="s">
        <v>2544</v>
      </c>
      <c r="B922" s="199" t="s">
        <v>417</v>
      </c>
      <c r="C922" s="198" t="n">
        <v>248</v>
      </c>
      <c r="D922" s="198" t="n">
        <v>130754</v>
      </c>
      <c r="E922" s="198" t="s">
        <v>409</v>
      </c>
      <c r="F922" s="198" t="s">
        <v>439</v>
      </c>
      <c r="G922" s="198" t="s">
        <v>443</v>
      </c>
      <c r="H922" s="198" t="s">
        <v>781</v>
      </c>
      <c r="I922" s="199" t="s">
        <v>781</v>
      </c>
      <c r="J922" s="198" t="s">
        <v>252</v>
      </c>
      <c r="K922" s="198" t="s">
        <v>1435</v>
      </c>
      <c r="L922" s="234" t="n">
        <v>37580</v>
      </c>
      <c r="M922" s="234" t="n">
        <v>24010</v>
      </c>
      <c r="N922" s="234" t="n">
        <v>13.5</v>
      </c>
      <c r="O922" s="407" t="n">
        <v>13570</v>
      </c>
      <c r="P922" s="407" t="n">
        <v>11738</v>
      </c>
      <c r="Q922" s="234" t="n">
        <v>2025</v>
      </c>
      <c r="R922" s="234"/>
      <c r="S922" s="248" t="n">
        <v>45813</v>
      </c>
      <c r="T922" s="407" t="n">
        <f aca="false">Таблица18[[#This Row],[Вес нетто]]-Таблица18[[#This Row],[Зачетный вес]]</f>
        <v>1832</v>
      </c>
      <c r="U922" s="409" t="n">
        <f aca="false">Таблица18[[#This Row],[Отход]]/Таблица18[[#This Row],[Вес нетто]]</f>
        <v>0.135003684598379</v>
      </c>
      <c r="V922" s="234" t="n">
        <f aca="false">MONTH(Таблица18[[#This Row],[Дата акта]])</f>
        <v>6</v>
      </c>
      <c r="W922" s="234" t="n">
        <v>5</v>
      </c>
      <c r="X922" s="248" t="n">
        <f aca="false">DATE(1900,Таблица18[[#This Row],[Месяц]],Таблица18[[#This Row],[Число]])</f>
        <v>157</v>
      </c>
      <c r="Y922" s="234"/>
      <c r="AF922" s="411"/>
      <c r="AG922" s="412"/>
    </row>
    <row r="923" s="410" customFormat="true" ht="15" hidden="true" customHeight="true" outlineLevel="0" collapsed="false">
      <c r="A923" s="198" t="s">
        <v>2545</v>
      </c>
      <c r="B923" s="199" t="s">
        <v>417</v>
      </c>
      <c r="C923" s="198" t="n">
        <v>250</v>
      </c>
      <c r="D923" s="198" t="n">
        <v>130757</v>
      </c>
      <c r="E923" s="198" t="s">
        <v>409</v>
      </c>
      <c r="F923" s="198" t="s">
        <v>359</v>
      </c>
      <c r="G923" s="198" t="s">
        <v>426</v>
      </c>
      <c r="H923" s="198" t="s">
        <v>841</v>
      </c>
      <c r="I923" s="199" t="s">
        <v>841</v>
      </c>
      <c r="J923" s="198" t="s">
        <v>252</v>
      </c>
      <c r="K923" s="198" t="s">
        <v>1435</v>
      </c>
      <c r="L923" s="234" t="n">
        <v>27270</v>
      </c>
      <c r="M923" s="234" t="n">
        <v>13760</v>
      </c>
      <c r="N923" s="234" t="n">
        <v>13.5</v>
      </c>
      <c r="O923" s="407" t="n">
        <v>13510</v>
      </c>
      <c r="P923" s="407" t="n">
        <v>11686.1</v>
      </c>
      <c r="Q923" s="234" t="n">
        <v>2025</v>
      </c>
      <c r="R923" s="234"/>
      <c r="S923" s="248" t="n">
        <v>45814</v>
      </c>
      <c r="T923" s="407" t="n">
        <f aca="false">Таблица18[[#This Row],[Вес нетто]]-Таблица18[[#This Row],[Зачетный вес]]</f>
        <v>1823.9</v>
      </c>
      <c r="U923" s="409" t="n">
        <f aca="false">Таблица18[[#This Row],[Отход]]/Таблица18[[#This Row],[Вес нетто]]</f>
        <v>0.13500370096225</v>
      </c>
      <c r="V923" s="234" t="n">
        <f aca="false">MONTH(Таблица18[[#This Row],[Дата акта]])</f>
        <v>6</v>
      </c>
      <c r="W923" s="234" t="n">
        <v>6</v>
      </c>
      <c r="X923" s="248" t="n">
        <f aca="false">DATE(1900,Таблица18[[#This Row],[Месяц]],Таблица18[[#This Row],[Число]])</f>
        <v>158</v>
      </c>
      <c r="Y923" s="234"/>
      <c r="AF923" s="411"/>
      <c r="AG923" s="412"/>
    </row>
    <row r="924" s="410" customFormat="true" ht="15" hidden="true" customHeight="true" outlineLevel="0" collapsed="false">
      <c r="A924" s="198" t="s">
        <v>2546</v>
      </c>
      <c r="B924" s="199" t="s">
        <v>417</v>
      </c>
      <c r="C924" s="198" t="n">
        <v>219</v>
      </c>
      <c r="D924" s="198" t="s">
        <v>848</v>
      </c>
      <c r="E924" s="198" t="s">
        <v>761</v>
      </c>
      <c r="F924" s="198" t="s">
        <v>610</v>
      </c>
      <c r="G924" s="198" t="s">
        <v>614</v>
      </c>
      <c r="H924" s="198" t="s">
        <v>628</v>
      </c>
      <c r="I924" s="199" t="s">
        <v>628</v>
      </c>
      <c r="J924" s="198" t="s">
        <v>423</v>
      </c>
      <c r="K924" s="198" t="s">
        <v>1435</v>
      </c>
      <c r="L924" s="234" t="n">
        <v>31040</v>
      </c>
      <c r="M924" s="234" t="n">
        <v>17100</v>
      </c>
      <c r="N924" s="234" t="n">
        <v>25.3</v>
      </c>
      <c r="O924" s="407" t="n">
        <v>13940</v>
      </c>
      <c r="P924" s="407" t="n">
        <v>10413.2</v>
      </c>
      <c r="Q924" s="234" t="n">
        <v>2025</v>
      </c>
      <c r="R924" s="234"/>
      <c r="S924" s="248" t="n">
        <v>45813</v>
      </c>
      <c r="T924" s="407" t="n">
        <f aca="false">Таблица18[[#This Row],[Вес нетто]]-Таблица18[[#This Row],[Зачетный вес]]</f>
        <v>3526.8</v>
      </c>
      <c r="U924" s="409" t="n">
        <f aca="false">Таблица18[[#This Row],[Отход]]/Таблица18[[#This Row],[Вес нетто]]</f>
        <v>0.25299856527977</v>
      </c>
      <c r="V924" s="234" t="n">
        <f aca="false">MONTH(Таблица18[[#This Row],[Дата акта]])</f>
        <v>6</v>
      </c>
      <c r="W924" s="234" t="n">
        <v>5</v>
      </c>
      <c r="X924" s="248" t="n">
        <f aca="false">DATE(1900,Таблица18[[#This Row],[Месяц]],Таблица18[[#This Row],[Число]])</f>
        <v>157</v>
      </c>
      <c r="Y924" s="234"/>
      <c r="AF924" s="411"/>
      <c r="AG924" s="412"/>
    </row>
    <row r="925" s="410" customFormat="true" ht="15" hidden="true" customHeight="true" outlineLevel="0" collapsed="false">
      <c r="A925" s="198" t="s">
        <v>2547</v>
      </c>
      <c r="B925" s="199" t="s">
        <v>417</v>
      </c>
      <c r="C925" s="198" t="n">
        <v>215</v>
      </c>
      <c r="D925" s="198" t="s">
        <v>852</v>
      </c>
      <c r="E925" s="198" t="s">
        <v>422</v>
      </c>
      <c r="F925" s="198" t="s">
        <v>677</v>
      </c>
      <c r="G925" s="198" t="s">
        <v>681</v>
      </c>
      <c r="H925" s="198" t="s">
        <v>730</v>
      </c>
      <c r="I925" s="199" t="s">
        <v>730</v>
      </c>
      <c r="J925" s="198" t="s">
        <v>47</v>
      </c>
      <c r="K925" s="198" t="s">
        <v>1435</v>
      </c>
      <c r="L925" s="234" t="n">
        <v>26090</v>
      </c>
      <c r="M925" s="234" t="n">
        <v>16540</v>
      </c>
      <c r="N925" s="234" t="n">
        <v>17</v>
      </c>
      <c r="O925" s="407" t="n">
        <v>9550</v>
      </c>
      <c r="P925" s="407" t="n">
        <v>7928.2</v>
      </c>
      <c r="Q925" s="234" t="n">
        <v>2025</v>
      </c>
      <c r="R925" s="234"/>
      <c r="S925" s="248" t="n">
        <v>45813</v>
      </c>
      <c r="T925" s="407" t="n">
        <f aca="false">Таблица18[[#This Row],[Вес нетто]]-Таблица18[[#This Row],[Зачетный вес]]</f>
        <v>1621.8</v>
      </c>
      <c r="U925" s="409" t="n">
        <f aca="false">Таблица18[[#This Row],[Отход]]/Таблица18[[#This Row],[Вес нетто]]</f>
        <v>0.169821989528796</v>
      </c>
      <c r="V925" s="234" t="n">
        <f aca="false">MONTH(Таблица18[[#This Row],[Дата акта]])</f>
        <v>6</v>
      </c>
      <c r="W925" s="234" t="n">
        <v>5</v>
      </c>
      <c r="X925" s="248" t="n">
        <f aca="false">DATE(1900,Таблица18[[#This Row],[Месяц]],Таблица18[[#This Row],[Число]])</f>
        <v>157</v>
      </c>
      <c r="Y925" s="234"/>
      <c r="AF925" s="411"/>
      <c r="AG925" s="412"/>
    </row>
    <row r="926" s="410" customFormat="true" ht="15" hidden="true" customHeight="true" outlineLevel="0" collapsed="false">
      <c r="A926" s="198" t="s">
        <v>2548</v>
      </c>
      <c r="B926" s="199" t="s">
        <v>417</v>
      </c>
      <c r="C926" s="198" t="n">
        <v>232</v>
      </c>
      <c r="D926" s="198" t="s">
        <v>856</v>
      </c>
      <c r="E926" s="198" t="s">
        <v>422</v>
      </c>
      <c r="F926" s="198" t="s">
        <v>685</v>
      </c>
      <c r="G926" s="198" t="s">
        <v>689</v>
      </c>
      <c r="H926" s="198" t="s">
        <v>730</v>
      </c>
      <c r="I926" s="199" t="s">
        <v>730</v>
      </c>
      <c r="J926" s="198" t="s">
        <v>423</v>
      </c>
      <c r="K926" s="198" t="s">
        <v>1435</v>
      </c>
      <c r="L926" s="234" t="n">
        <v>33080</v>
      </c>
      <c r="M926" s="234" t="n">
        <v>18790</v>
      </c>
      <c r="N926" s="234" t="n">
        <v>10.9</v>
      </c>
      <c r="O926" s="407" t="n">
        <v>14290</v>
      </c>
      <c r="P926" s="407" t="n">
        <v>12725.4</v>
      </c>
      <c r="Q926" s="234" t="n">
        <v>2025</v>
      </c>
      <c r="R926" s="234"/>
      <c r="S926" s="248" t="n">
        <v>45813</v>
      </c>
      <c r="T926" s="407" t="n">
        <f aca="false">Таблица18[[#This Row],[Вес нетто]]-Таблица18[[#This Row],[Зачетный вес]]</f>
        <v>1564.6</v>
      </c>
      <c r="U926" s="409" t="n">
        <f aca="false">Таблица18[[#This Row],[Отход]]/Таблица18[[#This Row],[Вес нетто]]</f>
        <v>0.109489153254024</v>
      </c>
      <c r="V926" s="234" t="n">
        <f aca="false">MONTH(Таблица18[[#This Row],[Дата акта]])</f>
        <v>6</v>
      </c>
      <c r="W926" s="234" t="n">
        <v>5</v>
      </c>
      <c r="X926" s="248" t="n">
        <f aca="false">DATE(1900,Таблица18[[#This Row],[Месяц]],Таблица18[[#This Row],[Число]])</f>
        <v>157</v>
      </c>
      <c r="Y926" s="234"/>
      <c r="AF926" s="411"/>
      <c r="AG926" s="412"/>
    </row>
    <row r="927" s="410" customFormat="true" ht="15" hidden="true" customHeight="true" outlineLevel="0" collapsed="false">
      <c r="A927" s="198" t="s">
        <v>2549</v>
      </c>
      <c r="B927" s="199" t="s">
        <v>417</v>
      </c>
      <c r="C927" s="198" t="n">
        <v>227</v>
      </c>
      <c r="D927" s="198" t="s">
        <v>860</v>
      </c>
      <c r="E927" s="198" t="s">
        <v>761</v>
      </c>
      <c r="F927" s="198" t="s">
        <v>617</v>
      </c>
      <c r="G927" s="198" t="s">
        <v>621</v>
      </c>
      <c r="H927" s="198" t="s">
        <v>730</v>
      </c>
      <c r="I927" s="199" t="s">
        <v>730</v>
      </c>
      <c r="J927" s="198" t="s">
        <v>47</v>
      </c>
      <c r="K927" s="198" t="s">
        <v>1435</v>
      </c>
      <c r="L927" s="234" t="n">
        <v>31650</v>
      </c>
      <c r="M927" s="234" t="n">
        <v>17790</v>
      </c>
      <c r="N927" s="234" t="n">
        <v>17.4</v>
      </c>
      <c r="O927" s="407" t="n">
        <v>13860</v>
      </c>
      <c r="P927" s="407" t="n">
        <v>11448.4</v>
      </c>
      <c r="Q927" s="234" t="n">
        <v>2025</v>
      </c>
      <c r="R927" s="234"/>
      <c r="S927" s="248" t="n">
        <v>45813</v>
      </c>
      <c r="T927" s="407" t="n">
        <f aca="false">Таблица18[[#This Row],[Вес нетто]]-Таблица18[[#This Row],[Зачетный вес]]</f>
        <v>2411.6</v>
      </c>
      <c r="U927" s="409" t="n">
        <f aca="false">Таблица18[[#This Row],[Отход]]/Таблица18[[#This Row],[Вес нетто]]</f>
        <v>0.173997113997114</v>
      </c>
      <c r="V927" s="234" t="n">
        <f aca="false">MONTH(Таблица18[[#This Row],[Дата акта]])</f>
        <v>6</v>
      </c>
      <c r="W927" s="234" t="n">
        <v>5</v>
      </c>
      <c r="X927" s="248" t="n">
        <f aca="false">DATE(1900,Таблица18[[#This Row],[Месяц]],Таблица18[[#This Row],[Число]])</f>
        <v>157</v>
      </c>
      <c r="Y927" s="234"/>
      <c r="AF927" s="411"/>
      <c r="AG927" s="412"/>
    </row>
    <row r="928" s="410" customFormat="true" ht="15" hidden="true" customHeight="true" outlineLevel="0" collapsed="false">
      <c r="A928" s="198" t="s">
        <v>2550</v>
      </c>
      <c r="B928" s="199" t="s">
        <v>417</v>
      </c>
      <c r="C928" s="198" t="n">
        <v>251</v>
      </c>
      <c r="D928" s="198" t="n">
        <v>130758</v>
      </c>
      <c r="E928" s="198" t="s">
        <v>409</v>
      </c>
      <c r="F928" s="198" t="s">
        <v>542</v>
      </c>
      <c r="G928" s="198" t="s">
        <v>704</v>
      </c>
      <c r="H928" s="198" t="s">
        <v>841</v>
      </c>
      <c r="I928" s="199" t="s">
        <v>841</v>
      </c>
      <c r="J928" s="198" t="s">
        <v>252</v>
      </c>
      <c r="K928" s="198" t="s">
        <v>1435</v>
      </c>
      <c r="L928" s="234" t="n">
        <v>28040</v>
      </c>
      <c r="M928" s="234" t="n">
        <v>14590</v>
      </c>
      <c r="N928" s="234" t="n">
        <v>12.5</v>
      </c>
      <c r="O928" s="407" t="n">
        <v>13450</v>
      </c>
      <c r="P928" s="407" t="n">
        <v>11768.7</v>
      </c>
      <c r="Q928" s="234" t="n">
        <v>2025</v>
      </c>
      <c r="R928" s="234"/>
      <c r="S928" s="248" t="n">
        <v>45814</v>
      </c>
      <c r="T928" s="407" t="n">
        <f aca="false">Таблица18[[#This Row],[Вес нетто]]-Таблица18[[#This Row],[Зачетный вес]]</f>
        <v>1681.3</v>
      </c>
      <c r="U928" s="409" t="n">
        <f aca="false">Таблица18[[#This Row],[Отход]]/Таблица18[[#This Row],[Вес нетто]]</f>
        <v>0.125003717472119</v>
      </c>
      <c r="V928" s="234" t="n">
        <f aca="false">MONTH(Таблица18[[#This Row],[Дата акта]])</f>
        <v>6</v>
      </c>
      <c r="W928" s="234" t="n">
        <v>6</v>
      </c>
      <c r="X928" s="248" t="n">
        <f aca="false">DATE(1900,Таблица18[[#This Row],[Месяц]],Таблица18[[#This Row],[Число]])</f>
        <v>158</v>
      </c>
      <c r="Y928" s="234"/>
      <c r="AF928" s="411"/>
      <c r="AG928" s="412"/>
    </row>
    <row r="929" s="410" customFormat="true" ht="15" hidden="true" customHeight="true" outlineLevel="0" collapsed="false">
      <c r="A929" s="198" t="s">
        <v>2551</v>
      </c>
      <c r="B929" s="199" t="s">
        <v>417</v>
      </c>
      <c r="C929" s="198" t="n">
        <v>252</v>
      </c>
      <c r="D929" s="198" t="n">
        <v>130759</v>
      </c>
      <c r="E929" s="198" t="s">
        <v>409</v>
      </c>
      <c r="F929" s="198" t="s">
        <v>547</v>
      </c>
      <c r="G929" s="198" t="s">
        <v>551</v>
      </c>
      <c r="H929" s="198" t="s">
        <v>841</v>
      </c>
      <c r="I929" s="199" t="s">
        <v>841</v>
      </c>
      <c r="J929" s="198" t="s">
        <v>252</v>
      </c>
      <c r="K929" s="198" t="s">
        <v>1435</v>
      </c>
      <c r="L929" s="234" t="n">
        <v>28180</v>
      </c>
      <c r="M929" s="234" t="n">
        <v>14740</v>
      </c>
      <c r="N929" s="234" t="n">
        <v>15.5</v>
      </c>
      <c r="O929" s="407" t="n">
        <v>13440</v>
      </c>
      <c r="P929" s="407" t="n">
        <v>11356.8</v>
      </c>
      <c r="Q929" s="234" t="n">
        <v>2025</v>
      </c>
      <c r="R929" s="234"/>
      <c r="S929" s="248" t="n">
        <v>45814</v>
      </c>
      <c r="T929" s="407" t="n">
        <f aca="false">Таблица18[[#This Row],[Вес нетто]]-Таблица18[[#This Row],[Зачетный вес]]</f>
        <v>2083.2</v>
      </c>
      <c r="U929" s="409" t="n">
        <f aca="false">Таблица18[[#This Row],[Отход]]/Таблица18[[#This Row],[Вес нетто]]</f>
        <v>0.155</v>
      </c>
      <c r="V929" s="234" t="n">
        <f aca="false">MONTH(Таблица18[[#This Row],[Дата акта]])</f>
        <v>6</v>
      </c>
      <c r="W929" s="234" t="n">
        <v>6</v>
      </c>
      <c r="X929" s="248" t="n">
        <f aca="false">DATE(1900,Таблица18[[#This Row],[Месяц]],Таблица18[[#This Row],[Число]])</f>
        <v>158</v>
      </c>
      <c r="Y929" s="234"/>
      <c r="AF929" s="411"/>
      <c r="AG929" s="412"/>
    </row>
    <row r="930" s="410" customFormat="true" ht="15" hidden="true" customHeight="true" outlineLevel="0" collapsed="false">
      <c r="A930" s="198" t="s">
        <v>2552</v>
      </c>
      <c r="B930" s="199" t="s">
        <v>417</v>
      </c>
      <c r="C930" s="198" t="n">
        <v>253</v>
      </c>
      <c r="D930" s="198" t="n">
        <v>130760</v>
      </c>
      <c r="E930" s="198" t="s">
        <v>409</v>
      </c>
      <c r="F930" s="198" t="s">
        <v>553</v>
      </c>
      <c r="G930" s="198" t="s">
        <v>557</v>
      </c>
      <c r="H930" s="198" t="s">
        <v>841</v>
      </c>
      <c r="I930" s="199" t="s">
        <v>841</v>
      </c>
      <c r="J930" s="198" t="s">
        <v>252</v>
      </c>
      <c r="K930" s="198" t="s">
        <v>1435</v>
      </c>
      <c r="L930" s="234" t="n">
        <v>28240</v>
      </c>
      <c r="M930" s="234" t="n">
        <v>14820</v>
      </c>
      <c r="N930" s="234" t="n">
        <v>14.5</v>
      </c>
      <c r="O930" s="407" t="n">
        <v>13420</v>
      </c>
      <c r="P930" s="407" t="n">
        <v>11474.1</v>
      </c>
      <c r="Q930" s="234" t="n">
        <v>2025</v>
      </c>
      <c r="R930" s="234"/>
      <c r="S930" s="248" t="n">
        <v>45814</v>
      </c>
      <c r="T930" s="407" t="n">
        <f aca="false">Таблица18[[#This Row],[Вес нетто]]-Таблица18[[#This Row],[Зачетный вес]]</f>
        <v>1945.9</v>
      </c>
      <c r="U930" s="409" t="n">
        <f aca="false">Таблица18[[#This Row],[Отход]]/Таблица18[[#This Row],[Вес нетто]]</f>
        <v>0.145</v>
      </c>
      <c r="V930" s="234" t="n">
        <f aca="false">MONTH(Таблица18[[#This Row],[Дата акта]])</f>
        <v>6</v>
      </c>
      <c r="W930" s="234" t="n">
        <v>6</v>
      </c>
      <c r="X930" s="248" t="n">
        <f aca="false">DATE(1900,Таблица18[[#This Row],[Месяц]],Таблица18[[#This Row],[Число]])</f>
        <v>158</v>
      </c>
      <c r="Y930" s="234"/>
      <c r="AF930" s="411"/>
      <c r="AG930" s="412"/>
    </row>
    <row r="931" s="410" customFormat="true" ht="15" hidden="true" customHeight="true" outlineLevel="0" collapsed="false">
      <c r="A931" s="198" t="s">
        <v>2553</v>
      </c>
      <c r="B931" s="199" t="s">
        <v>417</v>
      </c>
      <c r="C931" s="198" t="n">
        <v>258</v>
      </c>
      <c r="D931" s="198" t="n">
        <v>51</v>
      </c>
      <c r="E931" s="198" t="s">
        <v>422</v>
      </c>
      <c r="F931" s="198" t="s">
        <v>374</v>
      </c>
      <c r="G931" s="198" t="s">
        <v>375</v>
      </c>
      <c r="H931" s="198" t="s">
        <v>730</v>
      </c>
      <c r="I931" s="199" t="s">
        <v>730</v>
      </c>
      <c r="J931" s="198" t="s">
        <v>47</v>
      </c>
      <c r="K931" s="198" t="s">
        <v>1435</v>
      </c>
      <c r="L931" s="234" t="n">
        <v>9090</v>
      </c>
      <c r="M931" s="234" t="n">
        <v>4600</v>
      </c>
      <c r="N931" s="234" t="n">
        <v>13</v>
      </c>
      <c r="O931" s="407" t="n">
        <v>4490</v>
      </c>
      <c r="P931" s="407" t="n">
        <v>3906.3</v>
      </c>
      <c r="Q931" s="234" t="n">
        <v>2025</v>
      </c>
      <c r="R931" s="234"/>
      <c r="S931" s="248" t="n">
        <v>45814</v>
      </c>
      <c r="T931" s="407" t="n">
        <f aca="false">Таблица18[[#This Row],[Вес нетто]]-Таблица18[[#This Row],[Зачетный вес]]</f>
        <v>583.7</v>
      </c>
      <c r="U931" s="409" t="n">
        <f aca="false">Таблица18[[#This Row],[Отход]]/Таблица18[[#This Row],[Вес нетто]]</f>
        <v>0.13</v>
      </c>
      <c r="V931" s="234" t="n">
        <f aca="false">MONTH(Таблица18[[#This Row],[Дата акта]])</f>
        <v>6</v>
      </c>
      <c r="W931" s="234" t="n">
        <v>6</v>
      </c>
      <c r="X931" s="248" t="n">
        <f aca="false">DATE(1900,Таблица18[[#This Row],[Месяц]],Таблица18[[#This Row],[Число]])</f>
        <v>158</v>
      </c>
      <c r="Y931" s="234"/>
      <c r="AF931" s="411"/>
      <c r="AG931" s="412"/>
    </row>
    <row r="932" s="410" customFormat="true" ht="15" hidden="true" customHeight="true" outlineLevel="0" collapsed="false">
      <c r="A932" s="198" t="s">
        <v>2554</v>
      </c>
      <c r="B932" s="199" t="s">
        <v>417</v>
      </c>
      <c r="C932" s="198" t="n">
        <v>254</v>
      </c>
      <c r="D932" s="198" t="n">
        <v>130761</v>
      </c>
      <c r="E932" s="198" t="s">
        <v>409</v>
      </c>
      <c r="F932" s="198" t="s">
        <v>57</v>
      </c>
      <c r="G932" s="198" t="s">
        <v>58</v>
      </c>
      <c r="H932" s="198" t="s">
        <v>841</v>
      </c>
      <c r="I932" s="199" t="s">
        <v>841</v>
      </c>
      <c r="J932" s="198" t="s">
        <v>252</v>
      </c>
      <c r="K932" s="198" t="s">
        <v>1435</v>
      </c>
      <c r="L932" s="234" t="n">
        <v>28880</v>
      </c>
      <c r="M932" s="234" t="n">
        <v>15440</v>
      </c>
      <c r="N932" s="234" t="n">
        <v>18.5</v>
      </c>
      <c r="O932" s="407" t="n">
        <v>13440</v>
      </c>
      <c r="P932" s="407" t="n">
        <v>10953.6</v>
      </c>
      <c r="Q932" s="234" t="n">
        <v>2025</v>
      </c>
      <c r="R932" s="234"/>
      <c r="S932" s="248" t="n">
        <v>45814</v>
      </c>
      <c r="T932" s="407" t="n">
        <f aca="false">Таблица18[[#This Row],[Вес нетто]]-Таблица18[[#This Row],[Зачетный вес]]</f>
        <v>2486.4</v>
      </c>
      <c r="U932" s="409" t="n">
        <f aca="false">Таблица18[[#This Row],[Отход]]/Таблица18[[#This Row],[Вес нетто]]</f>
        <v>0.185</v>
      </c>
      <c r="V932" s="234" t="n">
        <f aca="false">MONTH(Таблица18[[#This Row],[Дата акта]])</f>
        <v>6</v>
      </c>
      <c r="W932" s="234" t="n">
        <v>6</v>
      </c>
      <c r="X932" s="248" t="n">
        <f aca="false">DATE(1900,Таблица18[[#This Row],[Месяц]],Таблица18[[#This Row],[Число]])</f>
        <v>158</v>
      </c>
      <c r="Y932" s="234"/>
      <c r="AF932" s="411"/>
      <c r="AG932" s="412"/>
    </row>
    <row r="933" s="410" customFormat="true" ht="15" hidden="true" customHeight="true" outlineLevel="0" collapsed="false">
      <c r="A933" s="198" t="s">
        <v>2555</v>
      </c>
      <c r="B933" s="199" t="s">
        <v>417</v>
      </c>
      <c r="C933" s="198" t="n">
        <v>255</v>
      </c>
      <c r="D933" s="198" t="n">
        <v>130762</v>
      </c>
      <c r="E933" s="198" t="s">
        <v>409</v>
      </c>
      <c r="F933" s="198" t="s">
        <v>457</v>
      </c>
      <c r="G933" s="198" t="s">
        <v>366</v>
      </c>
      <c r="H933" s="198" t="s">
        <v>841</v>
      </c>
      <c r="I933" s="199" t="s">
        <v>841</v>
      </c>
      <c r="J933" s="198" t="s">
        <v>252</v>
      </c>
      <c r="K933" s="198" t="s">
        <v>1435</v>
      </c>
      <c r="L933" s="234" t="n">
        <v>28090</v>
      </c>
      <c r="M933" s="234" t="n">
        <v>14790</v>
      </c>
      <c r="N933" s="234" t="n">
        <v>17.5</v>
      </c>
      <c r="O933" s="407" t="n">
        <v>13300</v>
      </c>
      <c r="P933" s="407" t="n">
        <v>10972.5</v>
      </c>
      <c r="Q933" s="234" t="n">
        <v>2025</v>
      </c>
      <c r="R933" s="234"/>
      <c r="S933" s="248" t="n">
        <v>45814</v>
      </c>
      <c r="T933" s="407" t="n">
        <f aca="false">Таблица18[[#This Row],[Вес нетто]]-Таблица18[[#This Row],[Зачетный вес]]</f>
        <v>2327.5</v>
      </c>
      <c r="U933" s="409" t="n">
        <f aca="false">Таблица18[[#This Row],[Отход]]/Таблица18[[#This Row],[Вес нетто]]</f>
        <v>0.175</v>
      </c>
      <c r="V933" s="234" t="n">
        <f aca="false">MONTH(Таблица18[[#This Row],[Дата акта]])</f>
        <v>6</v>
      </c>
      <c r="W933" s="234" t="n">
        <v>6</v>
      </c>
      <c r="X933" s="248" t="n">
        <f aca="false">DATE(1900,Таблица18[[#This Row],[Месяц]],Таблица18[[#This Row],[Число]])</f>
        <v>158</v>
      </c>
      <c r="Y933" s="234"/>
      <c r="AF933" s="411"/>
      <c r="AG933" s="412"/>
    </row>
    <row r="934" s="410" customFormat="true" ht="15" hidden="true" customHeight="true" outlineLevel="0" collapsed="false">
      <c r="A934" s="198" t="s">
        <v>2556</v>
      </c>
      <c r="B934" s="199" t="s">
        <v>417</v>
      </c>
      <c r="C934" s="198" t="n">
        <v>257</v>
      </c>
      <c r="D934" s="198" t="n">
        <v>130763</v>
      </c>
      <c r="E934" s="198" t="s">
        <v>409</v>
      </c>
      <c r="F934" s="198" t="s">
        <v>537</v>
      </c>
      <c r="G934" s="198" t="s">
        <v>541</v>
      </c>
      <c r="H934" s="198" t="s">
        <v>841</v>
      </c>
      <c r="I934" s="199" t="s">
        <v>841</v>
      </c>
      <c r="J934" s="198" t="s">
        <v>252</v>
      </c>
      <c r="K934" s="198" t="s">
        <v>1435</v>
      </c>
      <c r="L934" s="234" t="n">
        <v>28290</v>
      </c>
      <c r="M934" s="234" t="n">
        <v>15060</v>
      </c>
      <c r="N934" s="234" t="n">
        <v>10.5</v>
      </c>
      <c r="O934" s="407" t="n">
        <v>13230</v>
      </c>
      <c r="P934" s="407" t="n">
        <v>11840.8</v>
      </c>
      <c r="Q934" s="234" t="n">
        <v>2025</v>
      </c>
      <c r="R934" s="234"/>
      <c r="S934" s="248" t="n">
        <v>45814</v>
      </c>
      <c r="T934" s="407" t="n">
        <f aca="false">Таблица18[[#This Row],[Вес нетто]]-Таблица18[[#This Row],[Зачетный вес]]</f>
        <v>1389.2</v>
      </c>
      <c r="U934" s="409" t="n">
        <f aca="false">Таблица18[[#This Row],[Отход]]/Таблица18[[#This Row],[Вес нетто]]</f>
        <v>0.105003779289494</v>
      </c>
      <c r="V934" s="234" t="n">
        <f aca="false">MONTH(Таблица18[[#This Row],[Дата акта]])</f>
        <v>6</v>
      </c>
      <c r="W934" s="234" t="n">
        <v>6</v>
      </c>
      <c r="X934" s="248" t="n">
        <f aca="false">DATE(1900,Таблица18[[#This Row],[Месяц]],Таблица18[[#This Row],[Число]])</f>
        <v>158</v>
      </c>
      <c r="Y934" s="234"/>
      <c r="AF934" s="411"/>
      <c r="AG934" s="412"/>
    </row>
    <row r="935" s="410" customFormat="true" ht="15" hidden="true" customHeight="true" outlineLevel="0" collapsed="false">
      <c r="A935" s="198" t="s">
        <v>2557</v>
      </c>
      <c r="B935" s="199" t="s">
        <v>417</v>
      </c>
      <c r="C935" s="198" t="n">
        <v>259</v>
      </c>
      <c r="D935" s="198" t="n">
        <v>52</v>
      </c>
      <c r="E935" s="198" t="s">
        <v>422</v>
      </c>
      <c r="F935" s="198" t="s">
        <v>376</v>
      </c>
      <c r="G935" s="198" t="s">
        <v>377</v>
      </c>
      <c r="H935" s="198" t="s">
        <v>730</v>
      </c>
      <c r="I935" s="199" t="s">
        <v>730</v>
      </c>
      <c r="J935" s="198" t="s">
        <v>47</v>
      </c>
      <c r="K935" s="198" t="s">
        <v>1435</v>
      </c>
      <c r="L935" s="234" t="n">
        <v>14210</v>
      </c>
      <c r="M935" s="234" t="n">
        <v>9720</v>
      </c>
      <c r="N935" s="234" t="n">
        <v>10.5</v>
      </c>
      <c r="O935" s="407" t="n">
        <v>4490</v>
      </c>
      <c r="P935" s="407" t="n">
        <v>4018.5</v>
      </c>
      <c r="Q935" s="234" t="n">
        <v>2025</v>
      </c>
      <c r="R935" s="234"/>
      <c r="S935" s="248" t="n">
        <v>45814</v>
      </c>
      <c r="T935" s="407" t="n">
        <f aca="false">Таблица18[[#This Row],[Вес нетто]]-Таблица18[[#This Row],[Зачетный вес]]</f>
        <v>471.5</v>
      </c>
      <c r="U935" s="409" t="n">
        <f aca="false">Таблица18[[#This Row],[Отход]]/Таблица18[[#This Row],[Вес нетто]]</f>
        <v>0.105011135857461</v>
      </c>
      <c r="V935" s="234" t="n">
        <f aca="false">MONTH(Таблица18[[#This Row],[Дата акта]])</f>
        <v>6</v>
      </c>
      <c r="W935" s="234" t="n">
        <v>6</v>
      </c>
      <c r="X935" s="248" t="n">
        <f aca="false">DATE(1900,Таблица18[[#This Row],[Месяц]],Таблица18[[#This Row],[Число]])</f>
        <v>158</v>
      </c>
      <c r="Y935" s="234"/>
      <c r="AF935" s="411"/>
      <c r="AG935" s="412"/>
    </row>
    <row r="936" s="410" customFormat="true" ht="15" hidden="true" customHeight="true" outlineLevel="0" collapsed="false">
      <c r="A936" s="198" t="s">
        <v>2558</v>
      </c>
      <c r="B936" s="199" t="s">
        <v>417</v>
      </c>
      <c r="C936" s="198" t="n">
        <v>260</v>
      </c>
      <c r="D936" s="198" t="n">
        <v>130764</v>
      </c>
      <c r="E936" s="198" t="s">
        <v>409</v>
      </c>
      <c r="F936" s="198" t="s">
        <v>445</v>
      </c>
      <c r="G936" s="198" t="s">
        <v>449</v>
      </c>
      <c r="H936" s="198" t="s">
        <v>841</v>
      </c>
      <c r="I936" s="199" t="s">
        <v>841</v>
      </c>
      <c r="J936" s="198" t="s">
        <v>252</v>
      </c>
      <c r="K936" s="198" t="s">
        <v>1435</v>
      </c>
      <c r="L936" s="234" t="n">
        <v>29310</v>
      </c>
      <c r="M936" s="234" t="n">
        <v>15640</v>
      </c>
      <c r="N936" s="234" t="n">
        <v>20</v>
      </c>
      <c r="O936" s="407" t="n">
        <v>13670</v>
      </c>
      <c r="P936" s="407" t="n">
        <v>10936</v>
      </c>
      <c r="Q936" s="234" t="n">
        <v>2025</v>
      </c>
      <c r="R936" s="234"/>
      <c r="S936" s="248" t="n">
        <v>45814</v>
      </c>
      <c r="T936" s="407" t="n">
        <f aca="false">Таблица18[[#This Row],[Вес нетто]]-Таблица18[[#This Row],[Зачетный вес]]</f>
        <v>2734</v>
      </c>
      <c r="U936" s="409" t="n">
        <f aca="false">Таблица18[[#This Row],[Отход]]/Таблица18[[#This Row],[Вес нетто]]</f>
        <v>0.2</v>
      </c>
      <c r="V936" s="234" t="n">
        <f aca="false">MONTH(Таблица18[[#This Row],[Дата акта]])</f>
        <v>6</v>
      </c>
      <c r="W936" s="234" t="n">
        <v>6</v>
      </c>
      <c r="X936" s="248" t="n">
        <f aca="false">DATE(1900,Таблица18[[#This Row],[Месяц]],Таблица18[[#This Row],[Число]])</f>
        <v>158</v>
      </c>
      <c r="Y936" s="234"/>
      <c r="AF936" s="411"/>
      <c r="AG936" s="412"/>
    </row>
    <row r="937" s="410" customFormat="true" ht="15" hidden="true" customHeight="true" outlineLevel="0" collapsed="false">
      <c r="A937" s="198" t="s">
        <v>2559</v>
      </c>
      <c r="B937" s="199" t="s">
        <v>417</v>
      </c>
      <c r="C937" s="198" t="n">
        <v>266</v>
      </c>
      <c r="D937" s="198" t="n">
        <v>130765</v>
      </c>
      <c r="E937" s="198" t="s">
        <v>409</v>
      </c>
      <c r="F937" s="198" t="s">
        <v>451</v>
      </c>
      <c r="G937" s="198" t="s">
        <v>455</v>
      </c>
      <c r="H937" s="198" t="s">
        <v>841</v>
      </c>
      <c r="I937" s="199" t="s">
        <v>841</v>
      </c>
      <c r="J937" s="198" t="s">
        <v>252</v>
      </c>
      <c r="K937" s="198" t="s">
        <v>1435</v>
      </c>
      <c r="L937" s="234" t="n">
        <v>28580</v>
      </c>
      <c r="M937" s="234" t="n">
        <v>14910</v>
      </c>
      <c r="N937" s="234" t="n">
        <v>19.5</v>
      </c>
      <c r="O937" s="407" t="n">
        <v>13670</v>
      </c>
      <c r="P937" s="407" t="n">
        <v>11004.3</v>
      </c>
      <c r="Q937" s="234" t="n">
        <v>2025</v>
      </c>
      <c r="R937" s="234"/>
      <c r="S937" s="248" t="n">
        <v>45814</v>
      </c>
      <c r="T937" s="407" t="n">
        <f aca="false">Таблица18[[#This Row],[Вес нетто]]-Таблица18[[#This Row],[Зачетный вес]]</f>
        <v>2665.7</v>
      </c>
      <c r="U937" s="409" t="n">
        <f aca="false">Таблица18[[#This Row],[Отход]]/Таблица18[[#This Row],[Вес нетто]]</f>
        <v>0.195003657644477</v>
      </c>
      <c r="V937" s="234" t="n">
        <f aca="false">MONTH(Таблица18[[#This Row],[Дата акта]])</f>
        <v>6</v>
      </c>
      <c r="W937" s="234" t="n">
        <v>6</v>
      </c>
      <c r="X937" s="248" t="n">
        <f aca="false">DATE(1900,Таблица18[[#This Row],[Месяц]],Таблица18[[#This Row],[Число]])</f>
        <v>158</v>
      </c>
      <c r="Y937" s="234"/>
      <c r="AF937" s="411"/>
      <c r="AG937" s="412"/>
    </row>
    <row r="938" s="410" customFormat="true" ht="15" hidden="true" customHeight="true" outlineLevel="0" collapsed="false">
      <c r="A938" s="198" t="s">
        <v>2560</v>
      </c>
      <c r="B938" s="199" t="s">
        <v>417</v>
      </c>
      <c r="C938" s="198" t="n">
        <v>263</v>
      </c>
      <c r="D938" s="198" t="n">
        <v>53</v>
      </c>
      <c r="E938" s="198" t="s">
        <v>422</v>
      </c>
      <c r="F938" s="198" t="s">
        <v>374</v>
      </c>
      <c r="G938" s="198" t="s">
        <v>375</v>
      </c>
      <c r="H938" s="198" t="s">
        <v>157</v>
      </c>
      <c r="I938" s="199" t="s">
        <v>157</v>
      </c>
      <c r="J938" s="198" t="s">
        <v>68</v>
      </c>
      <c r="K938" s="198" t="s">
        <v>1435</v>
      </c>
      <c r="L938" s="234" t="n">
        <v>6920</v>
      </c>
      <c r="M938" s="234" t="n">
        <v>4600</v>
      </c>
      <c r="N938" s="234" t="n">
        <v>12.5</v>
      </c>
      <c r="O938" s="407" t="n">
        <v>2320</v>
      </c>
      <c r="P938" s="407" t="n">
        <v>2030</v>
      </c>
      <c r="Q938" s="234" t="n">
        <v>2025</v>
      </c>
      <c r="R938" s="234"/>
      <c r="S938" s="248" t="n">
        <v>45814</v>
      </c>
      <c r="T938" s="407" t="n">
        <f aca="false">Таблица18[[#This Row],[Вес нетто]]-Таблица18[[#This Row],[Зачетный вес]]</f>
        <v>290</v>
      </c>
      <c r="U938" s="409" t="n">
        <f aca="false">Таблица18[[#This Row],[Отход]]/Таблица18[[#This Row],[Вес нетто]]</f>
        <v>0.125</v>
      </c>
      <c r="V938" s="234" t="n">
        <f aca="false">MONTH(Таблица18[[#This Row],[Дата акта]])</f>
        <v>6</v>
      </c>
      <c r="W938" s="234" t="n">
        <v>6</v>
      </c>
      <c r="X938" s="248" t="n">
        <f aca="false">DATE(1900,Таблица18[[#This Row],[Месяц]],Таблица18[[#This Row],[Число]])</f>
        <v>158</v>
      </c>
      <c r="Y938" s="234"/>
      <c r="AF938" s="411"/>
      <c r="AG938" s="412"/>
    </row>
    <row r="939" s="410" customFormat="true" ht="15" hidden="true" customHeight="true" outlineLevel="0" collapsed="false">
      <c r="A939" s="198" t="s">
        <v>2561</v>
      </c>
      <c r="B939" s="199" t="s">
        <v>417</v>
      </c>
      <c r="C939" s="198" t="n">
        <v>270</v>
      </c>
      <c r="D939" s="198" t="n">
        <v>130767</v>
      </c>
      <c r="E939" s="198" t="s">
        <v>409</v>
      </c>
      <c r="F939" s="198" t="s">
        <v>48</v>
      </c>
      <c r="G939" s="198" t="s">
        <v>49</v>
      </c>
      <c r="H939" s="198" t="s">
        <v>841</v>
      </c>
      <c r="I939" s="199" t="s">
        <v>841</v>
      </c>
      <c r="J939" s="198" t="s">
        <v>252</v>
      </c>
      <c r="K939" s="198" t="s">
        <v>1435</v>
      </c>
      <c r="L939" s="234" t="n">
        <v>28770</v>
      </c>
      <c r="M939" s="234" t="n">
        <v>14930</v>
      </c>
      <c r="N939" s="234" t="n">
        <v>16.5</v>
      </c>
      <c r="O939" s="407" t="n">
        <v>13840</v>
      </c>
      <c r="P939" s="407" t="n">
        <v>11556.4</v>
      </c>
      <c r="Q939" s="234" t="n">
        <v>2025</v>
      </c>
      <c r="R939" s="234"/>
      <c r="S939" s="248" t="n">
        <v>45814</v>
      </c>
      <c r="T939" s="407" t="n">
        <f aca="false">Таблица18[[#This Row],[Вес нетто]]-Таблица18[[#This Row],[Зачетный вес]]</f>
        <v>2283.6</v>
      </c>
      <c r="U939" s="409" t="n">
        <f aca="false">Таблица18[[#This Row],[Отход]]/Таблица18[[#This Row],[Вес нетто]]</f>
        <v>0.165</v>
      </c>
      <c r="V939" s="234" t="n">
        <f aca="false">MONTH(Таблица18[[#This Row],[Дата акта]])</f>
        <v>6</v>
      </c>
      <c r="W939" s="234" t="n">
        <v>6</v>
      </c>
      <c r="X939" s="248" t="n">
        <f aca="false">DATE(1900,Таблица18[[#This Row],[Месяц]],Таблица18[[#This Row],[Число]])</f>
        <v>158</v>
      </c>
      <c r="Y939" s="234"/>
      <c r="AF939" s="411"/>
      <c r="AG939" s="412"/>
    </row>
    <row r="940" s="410" customFormat="true" ht="15" hidden="true" customHeight="true" outlineLevel="0" collapsed="false">
      <c r="A940" s="198" t="s">
        <v>2562</v>
      </c>
      <c r="B940" s="199" t="s">
        <v>417</v>
      </c>
      <c r="C940" s="198" t="n">
        <v>268</v>
      </c>
      <c r="D940" s="198" t="n">
        <v>130766</v>
      </c>
      <c r="E940" s="198" t="s">
        <v>409</v>
      </c>
      <c r="F940" s="198" t="s">
        <v>466</v>
      </c>
      <c r="G940" s="198" t="s">
        <v>470</v>
      </c>
      <c r="H940" s="198" t="s">
        <v>841</v>
      </c>
      <c r="I940" s="199" t="s">
        <v>841</v>
      </c>
      <c r="J940" s="198" t="s">
        <v>252</v>
      </c>
      <c r="K940" s="198" t="s">
        <v>1435</v>
      </c>
      <c r="L940" s="234" t="n">
        <v>28260</v>
      </c>
      <c r="M940" s="234" t="n">
        <v>14630</v>
      </c>
      <c r="N940" s="234" t="n">
        <v>17.5</v>
      </c>
      <c r="O940" s="407" t="n">
        <v>13630</v>
      </c>
      <c r="P940" s="407" t="n">
        <v>11244.7</v>
      </c>
      <c r="Q940" s="234" t="n">
        <v>2025</v>
      </c>
      <c r="R940" s="234"/>
      <c r="S940" s="248" t="n">
        <v>45814</v>
      </c>
      <c r="T940" s="407" t="n">
        <f aca="false">Таблица18[[#This Row],[Вес нетто]]-Таблица18[[#This Row],[Зачетный вес]]</f>
        <v>2385.3</v>
      </c>
      <c r="U940" s="409" t="n">
        <f aca="false">Таблица18[[#This Row],[Отход]]/Таблица18[[#This Row],[Вес нетто]]</f>
        <v>0.175003668378577</v>
      </c>
      <c r="V940" s="234" t="n">
        <f aca="false">MONTH(Таблица18[[#This Row],[Дата акта]])</f>
        <v>6</v>
      </c>
      <c r="W940" s="234" t="n">
        <v>6</v>
      </c>
      <c r="X940" s="248" t="n">
        <f aca="false">DATE(1900,Таблица18[[#This Row],[Месяц]],Таблица18[[#This Row],[Число]])</f>
        <v>158</v>
      </c>
      <c r="Y940" s="234"/>
      <c r="AF940" s="411"/>
      <c r="AG940" s="412"/>
    </row>
    <row r="941" s="410" customFormat="true" ht="15" hidden="true" customHeight="true" outlineLevel="0" collapsed="false">
      <c r="A941" s="198" t="s">
        <v>2563</v>
      </c>
      <c r="B941" s="199" t="s">
        <v>417</v>
      </c>
      <c r="C941" s="198" t="n">
        <v>271</v>
      </c>
      <c r="D941" s="198" t="n">
        <v>130768</v>
      </c>
      <c r="E941" s="198" t="s">
        <v>409</v>
      </c>
      <c r="F941" s="198" t="s">
        <v>472</v>
      </c>
      <c r="G941" s="198" t="s">
        <v>476</v>
      </c>
      <c r="H941" s="198" t="s">
        <v>841</v>
      </c>
      <c r="I941" s="199" t="s">
        <v>841</v>
      </c>
      <c r="J941" s="198" t="s">
        <v>252</v>
      </c>
      <c r="K941" s="198" t="s">
        <v>1435</v>
      </c>
      <c r="L941" s="234" t="n">
        <v>29270</v>
      </c>
      <c r="M941" s="234" t="n">
        <v>15360</v>
      </c>
      <c r="N941" s="234" t="n">
        <v>18.5</v>
      </c>
      <c r="O941" s="407" t="n">
        <v>13910</v>
      </c>
      <c r="P941" s="407" t="n">
        <v>11336.6</v>
      </c>
      <c r="Q941" s="234" t="n">
        <v>2025</v>
      </c>
      <c r="R941" s="234"/>
      <c r="S941" s="248" t="n">
        <v>45814</v>
      </c>
      <c r="T941" s="407" t="n">
        <f aca="false">Таблица18[[#This Row],[Вес нетто]]-Таблица18[[#This Row],[Зачетный вес]]</f>
        <v>2573.4</v>
      </c>
      <c r="U941" s="409" t="n">
        <f aca="false">Таблица18[[#This Row],[Отход]]/Таблица18[[#This Row],[Вес нетто]]</f>
        <v>0.185003594536305</v>
      </c>
      <c r="V941" s="234" t="n">
        <f aca="false">MONTH(Таблица18[[#This Row],[Дата акта]])</f>
        <v>6</v>
      </c>
      <c r="W941" s="234" t="n">
        <v>6</v>
      </c>
      <c r="X941" s="248" t="n">
        <f aca="false">DATE(1900,Таблица18[[#This Row],[Месяц]],Таблица18[[#This Row],[Число]])</f>
        <v>158</v>
      </c>
      <c r="Y941" s="234"/>
      <c r="AF941" s="411"/>
      <c r="AG941" s="412"/>
    </row>
    <row r="942" s="410" customFormat="true" ht="15" hidden="true" customHeight="true" outlineLevel="0" collapsed="false">
      <c r="A942" s="198" t="s">
        <v>2564</v>
      </c>
      <c r="B942" s="199" t="s">
        <v>417</v>
      </c>
      <c r="C942" s="198" t="n">
        <v>272</v>
      </c>
      <c r="D942" s="198" t="n">
        <v>130770</v>
      </c>
      <c r="E942" s="198" t="s">
        <v>409</v>
      </c>
      <c r="F942" s="198" t="s">
        <v>371</v>
      </c>
      <c r="G942" s="198" t="s">
        <v>372</v>
      </c>
      <c r="H942" s="198" t="s">
        <v>841</v>
      </c>
      <c r="I942" s="199" t="s">
        <v>841</v>
      </c>
      <c r="J942" s="198" t="s">
        <v>252</v>
      </c>
      <c r="K942" s="198" t="s">
        <v>1435</v>
      </c>
      <c r="L942" s="234" t="n">
        <v>28690</v>
      </c>
      <c r="M942" s="234" t="n">
        <v>14960</v>
      </c>
      <c r="N942" s="234" t="n">
        <v>17.5</v>
      </c>
      <c r="O942" s="407" t="n">
        <v>13730</v>
      </c>
      <c r="P942" s="407" t="n">
        <v>11327.2</v>
      </c>
      <c r="Q942" s="234" t="n">
        <v>2025</v>
      </c>
      <c r="R942" s="234"/>
      <c r="S942" s="248" t="n">
        <v>45814</v>
      </c>
      <c r="T942" s="407" t="n">
        <f aca="false">Таблица18[[#This Row],[Вес нетто]]-Таблица18[[#This Row],[Зачетный вес]]</f>
        <v>2402.8</v>
      </c>
      <c r="U942" s="409" t="n">
        <f aca="false">Таблица18[[#This Row],[Отход]]/Таблица18[[#This Row],[Вес нетто]]</f>
        <v>0.175003641660597</v>
      </c>
      <c r="V942" s="234" t="n">
        <f aca="false">MONTH(Таблица18[[#This Row],[Дата акта]])</f>
        <v>6</v>
      </c>
      <c r="W942" s="234" t="n">
        <v>6</v>
      </c>
      <c r="X942" s="248" t="n">
        <f aca="false">DATE(1900,Таблица18[[#This Row],[Месяц]],Таблица18[[#This Row],[Число]])</f>
        <v>158</v>
      </c>
      <c r="Y942" s="234"/>
      <c r="AF942" s="411"/>
      <c r="AG942" s="412"/>
    </row>
    <row r="943" s="410" customFormat="true" ht="15" hidden="true" customHeight="true" outlineLevel="0" collapsed="false">
      <c r="A943" s="198" t="s">
        <v>2565</v>
      </c>
      <c r="B943" s="199" t="s">
        <v>417</v>
      </c>
      <c r="C943" s="198" t="n">
        <v>274</v>
      </c>
      <c r="D943" s="198" t="n">
        <v>130771</v>
      </c>
      <c r="E943" s="198" t="s">
        <v>409</v>
      </c>
      <c r="F943" s="198" t="s">
        <v>365</v>
      </c>
      <c r="G943" s="198" t="s">
        <v>373</v>
      </c>
      <c r="H943" s="198" t="s">
        <v>841</v>
      </c>
      <c r="I943" s="199" t="s">
        <v>841</v>
      </c>
      <c r="J943" s="198" t="s">
        <v>252</v>
      </c>
      <c r="K943" s="198" t="s">
        <v>1435</v>
      </c>
      <c r="L943" s="234" t="n">
        <v>32400</v>
      </c>
      <c r="M943" s="234" t="n">
        <v>18720</v>
      </c>
      <c r="N943" s="234" t="n">
        <v>18.5</v>
      </c>
      <c r="O943" s="407" t="n">
        <v>13680</v>
      </c>
      <c r="P943" s="407" t="n">
        <v>11149.2</v>
      </c>
      <c r="Q943" s="234" t="n">
        <v>2025</v>
      </c>
      <c r="R943" s="234"/>
      <c r="S943" s="248" t="n">
        <v>45815</v>
      </c>
      <c r="T943" s="407" t="n">
        <f aca="false">Таблица18[[#This Row],[Вес нетто]]-Таблица18[[#This Row],[Зачетный вес]]</f>
        <v>2530.8</v>
      </c>
      <c r="U943" s="409" t="n">
        <f aca="false">Таблица18[[#This Row],[Отход]]/Таблица18[[#This Row],[Вес нетто]]</f>
        <v>0.185</v>
      </c>
      <c r="V943" s="234" t="n">
        <f aca="false">MONTH(Таблица18[[#This Row],[Дата акта]])</f>
        <v>6</v>
      </c>
      <c r="W943" s="234" t="n">
        <v>7</v>
      </c>
      <c r="X943" s="248" t="n">
        <f aca="false">DATE(1900,Таблица18[[#This Row],[Месяц]],Таблица18[[#This Row],[Число]])</f>
        <v>159</v>
      </c>
      <c r="Y943" s="234"/>
      <c r="AF943" s="411"/>
      <c r="AG943" s="412"/>
    </row>
    <row r="944" s="410" customFormat="true" ht="15" hidden="true" customHeight="true" outlineLevel="0" collapsed="false">
      <c r="A944" s="198" t="s">
        <v>2566</v>
      </c>
      <c r="B944" s="199" t="s">
        <v>417</v>
      </c>
      <c r="C944" s="198" t="n">
        <v>275</v>
      </c>
      <c r="D944" s="198" t="n">
        <v>59</v>
      </c>
      <c r="E944" s="198" t="s">
        <v>422</v>
      </c>
      <c r="F944" s="198" t="s">
        <v>376</v>
      </c>
      <c r="G944" s="198" t="s">
        <v>377</v>
      </c>
      <c r="H944" s="198" t="s">
        <v>865</v>
      </c>
      <c r="I944" s="199" t="s">
        <v>865</v>
      </c>
      <c r="J944" s="198" t="s">
        <v>252</v>
      </c>
      <c r="K944" s="198" t="s">
        <v>1435</v>
      </c>
      <c r="L944" s="234" t="n">
        <v>28010</v>
      </c>
      <c r="M944" s="234" t="n">
        <v>14400</v>
      </c>
      <c r="N944" s="234" t="n">
        <v>13.5</v>
      </c>
      <c r="O944" s="407" t="n">
        <v>13610</v>
      </c>
      <c r="P944" s="407" t="n">
        <v>11772.6</v>
      </c>
      <c r="Q944" s="234" t="n">
        <v>2025</v>
      </c>
      <c r="R944" s="234"/>
      <c r="S944" s="248" t="n">
        <v>45815</v>
      </c>
      <c r="T944" s="407" t="n">
        <f aca="false">Таблица18[[#This Row],[Вес нетто]]-Таблица18[[#This Row],[Зачетный вес]]</f>
        <v>1837.4</v>
      </c>
      <c r="U944" s="409" t="n">
        <f aca="false">Таблица18[[#This Row],[Отход]]/Таблица18[[#This Row],[Вес нетто]]</f>
        <v>0.135003673769287</v>
      </c>
      <c r="V944" s="234" t="n">
        <f aca="false">MONTH(Таблица18[[#This Row],[Дата акта]])</f>
        <v>6</v>
      </c>
      <c r="W944" s="234" t="n">
        <v>7</v>
      </c>
      <c r="X944" s="248" t="n">
        <f aca="false">DATE(1900,Таблица18[[#This Row],[Месяц]],Таблица18[[#This Row],[Число]])</f>
        <v>159</v>
      </c>
      <c r="Y944" s="234"/>
      <c r="AF944" s="411"/>
      <c r="AG944" s="412"/>
    </row>
    <row r="945" s="410" customFormat="true" ht="15" hidden="true" customHeight="true" outlineLevel="0" collapsed="false">
      <c r="A945" s="198" t="s">
        <v>2567</v>
      </c>
      <c r="B945" s="199" t="s">
        <v>417</v>
      </c>
      <c r="C945" s="198" t="n">
        <v>276</v>
      </c>
      <c r="D945" s="198" t="n">
        <v>60</v>
      </c>
      <c r="E945" s="198" t="s">
        <v>867</v>
      </c>
      <c r="F945" s="198" t="s">
        <v>374</v>
      </c>
      <c r="G945" s="198" t="s">
        <v>375</v>
      </c>
      <c r="H945" s="198" t="s">
        <v>865</v>
      </c>
      <c r="I945" s="199" t="s">
        <v>865</v>
      </c>
      <c r="J945" s="198" t="s">
        <v>252</v>
      </c>
      <c r="K945" s="198" t="s">
        <v>1435</v>
      </c>
      <c r="L945" s="234" t="n">
        <v>9050</v>
      </c>
      <c r="M945" s="234" t="n">
        <v>4580</v>
      </c>
      <c r="N945" s="234" t="n">
        <v>11.5</v>
      </c>
      <c r="O945" s="407" t="n">
        <v>4470</v>
      </c>
      <c r="P945" s="407" t="n">
        <v>3955.9</v>
      </c>
      <c r="Q945" s="234" t="n">
        <v>2025</v>
      </c>
      <c r="R945" s="234"/>
      <c r="S945" s="248" t="n">
        <v>45815</v>
      </c>
      <c r="T945" s="407" t="n">
        <f aca="false">Таблица18[[#This Row],[Вес нетто]]-Таблица18[[#This Row],[Зачетный вес]]</f>
        <v>514.1</v>
      </c>
      <c r="U945" s="409" t="n">
        <f aca="false">Таблица18[[#This Row],[Отход]]/Таблица18[[#This Row],[Вес нетто]]</f>
        <v>0.115011185682327</v>
      </c>
      <c r="V945" s="234" t="n">
        <f aca="false">MONTH(Таблица18[[#This Row],[Дата акта]])</f>
        <v>6</v>
      </c>
      <c r="W945" s="234" t="n">
        <v>7</v>
      </c>
      <c r="X945" s="248" t="n">
        <f aca="false">DATE(1900,Таблица18[[#This Row],[Месяц]],Таблица18[[#This Row],[Число]])</f>
        <v>159</v>
      </c>
      <c r="Y945" s="234"/>
      <c r="AF945" s="411"/>
      <c r="AG945" s="412"/>
    </row>
    <row r="946" s="410" customFormat="true" ht="15" hidden="true" customHeight="true" outlineLevel="0" collapsed="false">
      <c r="A946" s="198" t="s">
        <v>2568</v>
      </c>
      <c r="B946" s="199" t="s">
        <v>417</v>
      </c>
      <c r="C946" s="198" t="n">
        <v>277</v>
      </c>
      <c r="D946" s="198" t="n">
        <v>130775</v>
      </c>
      <c r="E946" s="198" t="s">
        <v>409</v>
      </c>
      <c r="F946" s="198" t="s">
        <v>361</v>
      </c>
      <c r="G946" s="198" t="s">
        <v>362</v>
      </c>
      <c r="H946" s="198" t="s">
        <v>841</v>
      </c>
      <c r="I946" s="199" t="s">
        <v>841</v>
      </c>
      <c r="J946" s="198" t="s">
        <v>252</v>
      </c>
      <c r="K946" s="198" t="s">
        <v>1435</v>
      </c>
      <c r="L946" s="234" t="n">
        <v>28430</v>
      </c>
      <c r="M946" s="234" t="n">
        <v>14730</v>
      </c>
      <c r="N946" s="234" t="n">
        <v>18.5</v>
      </c>
      <c r="O946" s="407" t="n">
        <v>13700</v>
      </c>
      <c r="P946" s="407" t="n">
        <v>11165.5</v>
      </c>
      <c r="Q946" s="234" t="n">
        <v>2025</v>
      </c>
      <c r="R946" s="234"/>
      <c r="S946" s="248" t="n">
        <v>45815</v>
      </c>
      <c r="T946" s="407" t="n">
        <f aca="false">Таблица18[[#This Row],[Вес нетто]]-Таблица18[[#This Row],[Зачетный вес]]</f>
        <v>2534.5</v>
      </c>
      <c r="U946" s="409" t="n">
        <f aca="false">Таблица18[[#This Row],[Отход]]/Таблица18[[#This Row],[Вес нетто]]</f>
        <v>0.185</v>
      </c>
      <c r="V946" s="234" t="n">
        <f aca="false">MONTH(Таблица18[[#This Row],[Дата акта]])</f>
        <v>6</v>
      </c>
      <c r="W946" s="234" t="n">
        <v>7</v>
      </c>
      <c r="X946" s="248" t="n">
        <f aca="false">DATE(1900,Таблица18[[#This Row],[Месяц]],Таблица18[[#This Row],[Число]])</f>
        <v>159</v>
      </c>
      <c r="Y946" s="234"/>
      <c r="AF946" s="411"/>
      <c r="AG946" s="412"/>
    </row>
    <row r="947" s="410" customFormat="true" ht="15" hidden="true" customHeight="true" outlineLevel="0" collapsed="false">
      <c r="A947" s="198" t="s">
        <v>2569</v>
      </c>
      <c r="B947" s="199" t="s">
        <v>417</v>
      </c>
      <c r="C947" s="198" t="n">
        <v>278</v>
      </c>
      <c r="D947" s="198" t="n">
        <v>130773</v>
      </c>
      <c r="E947" s="198" t="s">
        <v>409</v>
      </c>
      <c r="F947" s="198" t="s">
        <v>395</v>
      </c>
      <c r="G947" s="198" t="s">
        <v>566</v>
      </c>
      <c r="H947" s="198" t="s">
        <v>841</v>
      </c>
      <c r="I947" s="199" t="s">
        <v>841</v>
      </c>
      <c r="J947" s="198" t="s">
        <v>252</v>
      </c>
      <c r="K947" s="198" t="s">
        <v>1435</v>
      </c>
      <c r="L947" s="234" t="n">
        <v>28030</v>
      </c>
      <c r="M947" s="234" t="n">
        <v>14280</v>
      </c>
      <c r="N947" s="234" t="n">
        <v>11.5</v>
      </c>
      <c r="O947" s="407" t="n">
        <v>13750</v>
      </c>
      <c r="P947" s="407" t="n">
        <v>12168.7</v>
      </c>
      <c r="Q947" s="234" t="n">
        <v>2025</v>
      </c>
      <c r="R947" s="234"/>
      <c r="S947" s="248" t="n">
        <v>45815</v>
      </c>
      <c r="T947" s="407" t="n">
        <f aca="false">Таблица18[[#This Row],[Вес нетто]]-Таблица18[[#This Row],[Зачетный вес]]</f>
        <v>1581.3</v>
      </c>
      <c r="U947" s="409" t="n">
        <f aca="false">Таблица18[[#This Row],[Отход]]/Таблица18[[#This Row],[Вес нетто]]</f>
        <v>0.115003636363636</v>
      </c>
      <c r="V947" s="234" t="n">
        <f aca="false">MONTH(Таблица18[[#This Row],[Дата акта]])</f>
        <v>6</v>
      </c>
      <c r="W947" s="234" t="n">
        <v>7</v>
      </c>
      <c r="X947" s="248" t="n">
        <f aca="false">DATE(1900,Таблица18[[#This Row],[Месяц]],Таблица18[[#This Row],[Число]])</f>
        <v>159</v>
      </c>
      <c r="Y947" s="234"/>
      <c r="AF947" s="411"/>
      <c r="AG947" s="412"/>
    </row>
    <row r="948" s="410" customFormat="true" ht="15" hidden="true" customHeight="true" outlineLevel="0" collapsed="false">
      <c r="A948" s="198" t="s">
        <v>2570</v>
      </c>
      <c r="B948" s="199" t="s">
        <v>417</v>
      </c>
      <c r="C948" s="198" t="n">
        <v>279</v>
      </c>
      <c r="D948" s="198" t="n">
        <v>130774</v>
      </c>
      <c r="E948" s="198" t="s">
        <v>409</v>
      </c>
      <c r="F948" s="198" t="s">
        <v>386</v>
      </c>
      <c r="G948" s="198" t="s">
        <v>387</v>
      </c>
      <c r="H948" s="198" t="s">
        <v>841</v>
      </c>
      <c r="I948" s="199" t="s">
        <v>841</v>
      </c>
      <c r="J948" s="198" t="s">
        <v>252</v>
      </c>
      <c r="K948" s="198" t="s">
        <v>1435</v>
      </c>
      <c r="L948" s="234" t="n">
        <v>28730</v>
      </c>
      <c r="M948" s="234" t="n">
        <v>15080</v>
      </c>
      <c r="N948" s="234" t="n">
        <v>16.5</v>
      </c>
      <c r="O948" s="407" t="n">
        <v>13650</v>
      </c>
      <c r="P948" s="407" t="n">
        <v>11397.7</v>
      </c>
      <c r="Q948" s="234" t="n">
        <v>2025</v>
      </c>
      <c r="R948" s="234"/>
      <c r="S948" s="248" t="n">
        <v>45815</v>
      </c>
      <c r="T948" s="407" t="n">
        <f aca="false">Таблица18[[#This Row],[Вес нетто]]-Таблица18[[#This Row],[Зачетный вес]]</f>
        <v>2252.3</v>
      </c>
      <c r="U948" s="409" t="n">
        <f aca="false">Таблица18[[#This Row],[Отход]]/Таблица18[[#This Row],[Вес нетто]]</f>
        <v>0.165003663003663</v>
      </c>
      <c r="V948" s="234" t="n">
        <f aca="false">MONTH(Таблица18[[#This Row],[Дата акта]])</f>
        <v>6</v>
      </c>
      <c r="W948" s="234" t="n">
        <v>7</v>
      </c>
      <c r="X948" s="248" t="n">
        <f aca="false">DATE(1900,Таблица18[[#This Row],[Месяц]],Таблица18[[#This Row],[Число]])</f>
        <v>159</v>
      </c>
      <c r="Y948" s="234"/>
      <c r="AF948" s="411"/>
      <c r="AG948" s="412"/>
    </row>
    <row r="949" s="410" customFormat="true" ht="15" hidden="true" customHeight="true" outlineLevel="0" collapsed="false">
      <c r="A949" s="198" t="s">
        <v>2571</v>
      </c>
      <c r="B949" s="199" t="s">
        <v>417</v>
      </c>
      <c r="C949" s="198" t="n">
        <v>281</v>
      </c>
      <c r="D949" s="198" t="n">
        <v>83501</v>
      </c>
      <c r="E949" s="198" t="s">
        <v>409</v>
      </c>
      <c r="F949" s="198" t="s">
        <v>439</v>
      </c>
      <c r="G949" s="198" t="s">
        <v>443</v>
      </c>
      <c r="H949" s="198" t="s">
        <v>841</v>
      </c>
      <c r="I949" s="199" t="s">
        <v>841</v>
      </c>
      <c r="J949" s="198" t="s">
        <v>252</v>
      </c>
      <c r="K949" s="198" t="s">
        <v>1435</v>
      </c>
      <c r="L949" s="234" t="n">
        <v>37850</v>
      </c>
      <c r="M949" s="234" t="n">
        <v>23900</v>
      </c>
      <c r="N949" s="234" t="n">
        <v>19.5</v>
      </c>
      <c r="O949" s="407" t="n">
        <v>13950</v>
      </c>
      <c r="P949" s="407" t="n">
        <v>11229.7</v>
      </c>
      <c r="Q949" s="234" t="n">
        <v>2025</v>
      </c>
      <c r="R949" s="234"/>
      <c r="S949" s="248" t="n">
        <v>45815</v>
      </c>
      <c r="T949" s="407" t="n">
        <f aca="false">Таблица18[[#This Row],[Вес нетто]]-Таблица18[[#This Row],[Зачетный вес]]</f>
        <v>2720.3</v>
      </c>
      <c r="U949" s="409" t="n">
        <f aca="false">Таблица18[[#This Row],[Отход]]/Таблица18[[#This Row],[Вес нетто]]</f>
        <v>0.195003584229391</v>
      </c>
      <c r="V949" s="234" t="n">
        <f aca="false">MONTH(Таблица18[[#This Row],[Дата акта]])</f>
        <v>6</v>
      </c>
      <c r="W949" s="234" t="n">
        <v>7</v>
      </c>
      <c r="X949" s="248" t="n">
        <f aca="false">DATE(1900,Таблица18[[#This Row],[Месяц]],Таблица18[[#This Row],[Число]])</f>
        <v>159</v>
      </c>
      <c r="Y949" s="234"/>
      <c r="AF949" s="411"/>
      <c r="AG949" s="412"/>
    </row>
    <row r="950" s="410" customFormat="true" ht="15" hidden="true" customHeight="true" outlineLevel="0" collapsed="false">
      <c r="A950" s="198" t="s">
        <v>2572</v>
      </c>
      <c r="B950" s="199" t="s">
        <v>417</v>
      </c>
      <c r="C950" s="198" t="n">
        <v>285</v>
      </c>
      <c r="D950" s="198" t="n">
        <v>65</v>
      </c>
      <c r="E950" s="198" t="s">
        <v>422</v>
      </c>
      <c r="F950" s="198" t="s">
        <v>411</v>
      </c>
      <c r="G950" s="198" t="s">
        <v>381</v>
      </c>
      <c r="H950" s="198" t="s">
        <v>865</v>
      </c>
      <c r="I950" s="199" t="s">
        <v>865</v>
      </c>
      <c r="J950" s="198" t="s">
        <v>252</v>
      </c>
      <c r="K950" s="198" t="s">
        <v>1435</v>
      </c>
      <c r="L950" s="234" t="n">
        <v>23240</v>
      </c>
      <c r="M950" s="234" t="n">
        <v>14120</v>
      </c>
      <c r="N950" s="234" t="n">
        <v>11</v>
      </c>
      <c r="O950" s="407" t="n">
        <v>9120</v>
      </c>
      <c r="P950" s="407" t="n">
        <v>8116.8</v>
      </c>
      <c r="Q950" s="234" t="n">
        <v>2025</v>
      </c>
      <c r="R950" s="234"/>
      <c r="S950" s="248" t="n">
        <v>45815</v>
      </c>
      <c r="T950" s="407" t="n">
        <f aca="false">Таблица18[[#This Row],[Вес нетто]]-Таблица18[[#This Row],[Зачетный вес]]</f>
        <v>1003.2</v>
      </c>
      <c r="U950" s="409" t="n">
        <f aca="false">Таблица18[[#This Row],[Отход]]/Таблица18[[#This Row],[Вес нетто]]</f>
        <v>0.11</v>
      </c>
      <c r="V950" s="234" t="n">
        <f aca="false">MONTH(Таблица18[[#This Row],[Дата акта]])</f>
        <v>6</v>
      </c>
      <c r="W950" s="234" t="n">
        <v>7</v>
      </c>
      <c r="X950" s="248" t="n">
        <f aca="false">DATE(1900,Таблица18[[#This Row],[Месяц]],Таблица18[[#This Row],[Число]])</f>
        <v>159</v>
      </c>
      <c r="Y950" s="234"/>
      <c r="AF950" s="411"/>
      <c r="AG950" s="412"/>
    </row>
    <row r="951" s="410" customFormat="true" ht="15" hidden="true" customHeight="true" outlineLevel="0" collapsed="false">
      <c r="A951" s="198" t="s">
        <v>2573</v>
      </c>
      <c r="B951" s="199" t="s">
        <v>417</v>
      </c>
      <c r="C951" s="198" t="n">
        <v>286</v>
      </c>
      <c r="D951" s="198" t="n">
        <v>66</v>
      </c>
      <c r="E951" s="198" t="s">
        <v>422</v>
      </c>
      <c r="F951" s="198" t="s">
        <v>378</v>
      </c>
      <c r="G951" s="198" t="s">
        <v>379</v>
      </c>
      <c r="H951" s="198" t="s">
        <v>865</v>
      </c>
      <c r="I951" s="199" t="s">
        <v>865</v>
      </c>
      <c r="J951" s="198" t="s">
        <v>252</v>
      </c>
      <c r="K951" s="198" t="s">
        <v>1435</v>
      </c>
      <c r="L951" s="234" t="n">
        <v>8900</v>
      </c>
      <c r="M951" s="234" t="n">
        <v>4630</v>
      </c>
      <c r="N951" s="234" t="n">
        <v>8.5</v>
      </c>
      <c r="O951" s="407" t="n">
        <v>4270</v>
      </c>
      <c r="P951" s="407" t="n">
        <v>3907</v>
      </c>
      <c r="Q951" s="234" t="n">
        <v>2025</v>
      </c>
      <c r="R951" s="234"/>
      <c r="S951" s="248" t="n">
        <v>45815</v>
      </c>
      <c r="T951" s="407" t="n">
        <f aca="false">Таблица18[[#This Row],[Вес нетто]]-Таблица18[[#This Row],[Зачетный вес]]</f>
        <v>363</v>
      </c>
      <c r="U951" s="409" t="n">
        <f aca="false">Таблица18[[#This Row],[Отход]]/Таблица18[[#This Row],[Вес нетто]]</f>
        <v>0.0850117096018735</v>
      </c>
      <c r="V951" s="234" t="n">
        <f aca="false">MONTH(Таблица18[[#This Row],[Дата акта]])</f>
        <v>6</v>
      </c>
      <c r="W951" s="234" t="n">
        <v>7</v>
      </c>
      <c r="X951" s="248" t="n">
        <f aca="false">DATE(1900,Таблица18[[#This Row],[Месяц]],Таблица18[[#This Row],[Число]])</f>
        <v>159</v>
      </c>
      <c r="Y951" s="234"/>
      <c r="AF951" s="411"/>
      <c r="AG951" s="412"/>
    </row>
    <row r="952" s="410" customFormat="true" ht="15" hidden="true" customHeight="true" outlineLevel="0" collapsed="false">
      <c r="A952" s="198" t="s">
        <v>2574</v>
      </c>
      <c r="B952" s="199" t="s">
        <v>417</v>
      </c>
      <c r="C952" s="198" t="n">
        <v>288</v>
      </c>
      <c r="D952" s="198" t="n">
        <v>67</v>
      </c>
      <c r="E952" s="198" t="s">
        <v>422</v>
      </c>
      <c r="F952" s="198" t="s">
        <v>384</v>
      </c>
      <c r="G952" s="198" t="s">
        <v>385</v>
      </c>
      <c r="H952" s="198" t="s">
        <v>865</v>
      </c>
      <c r="I952" s="199" t="s">
        <v>865</v>
      </c>
      <c r="J952" s="198" t="s">
        <v>252</v>
      </c>
      <c r="K952" s="198" t="s">
        <v>1435</v>
      </c>
      <c r="L952" s="234" t="n">
        <v>27260</v>
      </c>
      <c r="M952" s="234" t="n">
        <v>14480</v>
      </c>
      <c r="N952" s="234" t="n">
        <v>16</v>
      </c>
      <c r="O952" s="407" t="n">
        <v>12780</v>
      </c>
      <c r="P952" s="407" t="n">
        <v>10735.2</v>
      </c>
      <c r="Q952" s="234" t="n">
        <v>2025</v>
      </c>
      <c r="R952" s="234"/>
      <c r="S952" s="248" t="n">
        <v>45815</v>
      </c>
      <c r="T952" s="407" t="n">
        <f aca="false">Таблица18[[#This Row],[Вес нетто]]-Таблица18[[#This Row],[Зачетный вес]]</f>
        <v>2044.8</v>
      </c>
      <c r="U952" s="409" t="n">
        <f aca="false">Таблица18[[#This Row],[Отход]]/Таблица18[[#This Row],[Вес нетто]]</f>
        <v>0.16</v>
      </c>
      <c r="V952" s="234" t="n">
        <f aca="false">MONTH(Таблица18[[#This Row],[Дата акта]])</f>
        <v>6</v>
      </c>
      <c r="W952" s="234" t="n">
        <v>7</v>
      </c>
      <c r="X952" s="248" t="n">
        <f aca="false">DATE(1900,Таблица18[[#This Row],[Месяц]],Таблица18[[#This Row],[Число]])</f>
        <v>159</v>
      </c>
      <c r="Y952" s="234"/>
      <c r="AF952" s="411"/>
      <c r="AG952" s="412"/>
    </row>
    <row r="953" s="410" customFormat="true" ht="15" hidden="true" customHeight="true" outlineLevel="0" collapsed="false">
      <c r="A953" s="198" t="s">
        <v>2575</v>
      </c>
      <c r="B953" s="199" t="s">
        <v>417</v>
      </c>
      <c r="C953" s="198" t="n">
        <v>289</v>
      </c>
      <c r="D953" s="198" t="n">
        <v>68</v>
      </c>
      <c r="E953" s="198" t="s">
        <v>422</v>
      </c>
      <c r="F953" s="198" t="s">
        <v>48</v>
      </c>
      <c r="G953" s="198" t="s">
        <v>49</v>
      </c>
      <c r="H953" s="198" t="s">
        <v>865</v>
      </c>
      <c r="I953" s="199" t="s">
        <v>865</v>
      </c>
      <c r="J953" s="198" t="s">
        <v>252</v>
      </c>
      <c r="K953" s="198" t="s">
        <v>1435</v>
      </c>
      <c r="L953" s="234" t="n">
        <v>24210</v>
      </c>
      <c r="M953" s="234" t="n">
        <v>14880</v>
      </c>
      <c r="N953" s="234" t="n">
        <v>15</v>
      </c>
      <c r="O953" s="407" t="n">
        <v>9330</v>
      </c>
      <c r="P953" s="407" t="n">
        <v>7930.5</v>
      </c>
      <c r="Q953" s="234" t="n">
        <v>2025</v>
      </c>
      <c r="R953" s="234"/>
      <c r="S953" s="248" t="n">
        <v>45815</v>
      </c>
      <c r="T953" s="407" t="n">
        <f aca="false">Таблица18[[#This Row],[Вес нетто]]-Таблица18[[#This Row],[Зачетный вес]]</f>
        <v>1399.5</v>
      </c>
      <c r="U953" s="409" t="n">
        <f aca="false">Таблица18[[#This Row],[Отход]]/Таблица18[[#This Row],[Вес нетто]]</f>
        <v>0.15</v>
      </c>
      <c r="V953" s="234" t="n">
        <f aca="false">MONTH(Таблица18[[#This Row],[Дата акта]])</f>
        <v>6</v>
      </c>
      <c r="W953" s="234" t="n">
        <v>7</v>
      </c>
      <c r="X953" s="248" t="n">
        <f aca="false">DATE(1900,Таблица18[[#This Row],[Месяц]],Таблица18[[#This Row],[Число]])</f>
        <v>159</v>
      </c>
      <c r="Y953" s="234"/>
      <c r="AF953" s="411"/>
      <c r="AG953" s="412"/>
    </row>
    <row r="954" s="410" customFormat="true" ht="15" hidden="true" customHeight="true" outlineLevel="0" collapsed="false">
      <c r="A954" s="198" t="s">
        <v>2576</v>
      </c>
      <c r="B954" s="199" t="s">
        <v>417</v>
      </c>
      <c r="C954" s="198" t="n">
        <v>290</v>
      </c>
      <c r="D954" s="198" t="n">
        <v>69</v>
      </c>
      <c r="E954" s="198" t="s">
        <v>422</v>
      </c>
      <c r="F954" s="198" t="s">
        <v>411</v>
      </c>
      <c r="G954" s="198" t="s">
        <v>868</v>
      </c>
      <c r="H954" s="198" t="s">
        <v>865</v>
      </c>
      <c r="I954" s="199" t="s">
        <v>865</v>
      </c>
      <c r="J954" s="198" t="s">
        <v>252</v>
      </c>
      <c r="K954" s="198" t="s">
        <v>1435</v>
      </c>
      <c r="L954" s="234" t="n">
        <v>23310</v>
      </c>
      <c r="M954" s="234" t="n">
        <v>14100</v>
      </c>
      <c r="N954" s="234" t="n">
        <v>18.5</v>
      </c>
      <c r="O954" s="407" t="n">
        <v>9210</v>
      </c>
      <c r="P954" s="407" t="n">
        <v>7506.1</v>
      </c>
      <c r="Q954" s="234" t="n">
        <v>2025</v>
      </c>
      <c r="R954" s="234"/>
      <c r="S954" s="248" t="n">
        <v>45815</v>
      </c>
      <c r="T954" s="407" t="n">
        <f aca="false">Таблица18[[#This Row],[Вес нетто]]-Таблица18[[#This Row],[Зачетный вес]]</f>
        <v>1703.9</v>
      </c>
      <c r="U954" s="409" t="n">
        <f aca="false">Таблица18[[#This Row],[Отход]]/Таблица18[[#This Row],[Вес нетто]]</f>
        <v>0.18500542888165</v>
      </c>
      <c r="V954" s="234" t="n">
        <f aca="false">MONTH(Таблица18[[#This Row],[Дата акта]])</f>
        <v>6</v>
      </c>
      <c r="W954" s="234" t="n">
        <v>7</v>
      </c>
      <c r="X954" s="248" t="n">
        <f aca="false">DATE(1900,Таблица18[[#This Row],[Месяц]],Таблица18[[#This Row],[Число]])</f>
        <v>159</v>
      </c>
      <c r="Y954" s="234"/>
      <c r="AF954" s="411"/>
      <c r="AG954" s="412"/>
    </row>
    <row r="955" s="410" customFormat="true" ht="15" hidden="true" customHeight="true" outlineLevel="0" collapsed="false">
      <c r="A955" s="198" t="s">
        <v>2577</v>
      </c>
      <c r="B955" s="199" t="s">
        <v>417</v>
      </c>
      <c r="C955" s="198" t="n">
        <v>291</v>
      </c>
      <c r="D955" s="198" t="n">
        <v>70</v>
      </c>
      <c r="E955" s="198" t="s">
        <v>422</v>
      </c>
      <c r="F955" s="198" t="s">
        <v>378</v>
      </c>
      <c r="G955" s="198" t="s">
        <v>379</v>
      </c>
      <c r="H955" s="198" t="s">
        <v>865</v>
      </c>
      <c r="I955" s="199" t="s">
        <v>865</v>
      </c>
      <c r="J955" s="198" t="s">
        <v>252</v>
      </c>
      <c r="K955" s="198" t="s">
        <v>1435</v>
      </c>
      <c r="L955" s="234" t="n">
        <v>9180</v>
      </c>
      <c r="M955" s="234" t="n">
        <v>4620</v>
      </c>
      <c r="N955" s="234" t="n">
        <v>15.5</v>
      </c>
      <c r="O955" s="407" t="n">
        <v>4560</v>
      </c>
      <c r="P955" s="407" t="n">
        <v>3853.2</v>
      </c>
      <c r="Q955" s="234" t="n">
        <v>2025</v>
      </c>
      <c r="R955" s="234"/>
      <c r="S955" s="248" t="n">
        <v>45815</v>
      </c>
      <c r="T955" s="407" t="n">
        <f aca="false">Таблица18[[#This Row],[Вес нетто]]-Таблица18[[#This Row],[Зачетный вес]]</f>
        <v>706.8</v>
      </c>
      <c r="U955" s="409" t="n">
        <f aca="false">Таблица18[[#This Row],[Отход]]/Таблица18[[#This Row],[Вес нетто]]</f>
        <v>0.155</v>
      </c>
      <c r="V955" s="234" t="n">
        <f aca="false">MONTH(Таблица18[[#This Row],[Дата акта]])</f>
        <v>6</v>
      </c>
      <c r="W955" s="234" t="n">
        <v>7</v>
      </c>
      <c r="X955" s="248" t="n">
        <f aca="false">DATE(1900,Таблица18[[#This Row],[Месяц]],Таблица18[[#This Row],[Число]])</f>
        <v>159</v>
      </c>
      <c r="Y955" s="234"/>
      <c r="AF955" s="411"/>
      <c r="AG955" s="412"/>
    </row>
    <row r="956" s="410" customFormat="true" ht="15" hidden="true" customHeight="true" outlineLevel="0" collapsed="false">
      <c r="A956" s="198" t="s">
        <v>2578</v>
      </c>
      <c r="B956" s="199" t="s">
        <v>417</v>
      </c>
      <c r="C956" s="198" t="n">
        <v>293</v>
      </c>
      <c r="D956" s="198" t="n">
        <v>71</v>
      </c>
      <c r="E956" s="198" t="s">
        <v>422</v>
      </c>
      <c r="F956" s="198" t="s">
        <v>384</v>
      </c>
      <c r="G956" s="198" t="s">
        <v>385</v>
      </c>
      <c r="H956" s="198" t="s">
        <v>865</v>
      </c>
      <c r="I956" s="199" t="s">
        <v>865</v>
      </c>
      <c r="J956" s="198" t="s">
        <v>252</v>
      </c>
      <c r="K956" s="198" t="s">
        <v>1435</v>
      </c>
      <c r="L956" s="234" t="n">
        <v>31060</v>
      </c>
      <c r="M956" s="234" t="n">
        <v>14460</v>
      </c>
      <c r="N956" s="234" t="n">
        <v>14</v>
      </c>
      <c r="O956" s="407" t="n">
        <v>16600</v>
      </c>
      <c r="P956" s="407" t="n">
        <v>14276</v>
      </c>
      <c r="Q956" s="234" t="n">
        <v>2025</v>
      </c>
      <c r="R956" s="234"/>
      <c r="S956" s="248" t="n">
        <v>45815</v>
      </c>
      <c r="T956" s="407" t="n">
        <f aca="false">Таблица18[[#This Row],[Вес нетто]]-Таблица18[[#This Row],[Зачетный вес]]</f>
        <v>2324</v>
      </c>
      <c r="U956" s="409" t="n">
        <f aca="false">Таблица18[[#This Row],[Отход]]/Таблица18[[#This Row],[Вес нетто]]</f>
        <v>0.14</v>
      </c>
      <c r="V956" s="234" t="n">
        <f aca="false">MONTH(Таблица18[[#This Row],[Дата акта]])</f>
        <v>6</v>
      </c>
      <c r="W956" s="234" t="n">
        <v>7</v>
      </c>
      <c r="X956" s="248" t="n">
        <f aca="false">DATE(1900,Таблица18[[#This Row],[Месяц]],Таблица18[[#This Row],[Число]])</f>
        <v>159</v>
      </c>
      <c r="Y956" s="234"/>
      <c r="AF956" s="411"/>
      <c r="AG956" s="412"/>
    </row>
    <row r="957" s="410" customFormat="true" ht="15" hidden="true" customHeight="true" outlineLevel="0" collapsed="false">
      <c r="A957" s="198" t="s">
        <v>2579</v>
      </c>
      <c r="B957" s="199" t="s">
        <v>417</v>
      </c>
      <c r="C957" s="198" t="n">
        <v>294</v>
      </c>
      <c r="D957" s="198" t="n">
        <v>72</v>
      </c>
      <c r="E957" s="198" t="s">
        <v>422</v>
      </c>
      <c r="F957" s="198" t="s">
        <v>48</v>
      </c>
      <c r="G957" s="198" t="s">
        <v>49</v>
      </c>
      <c r="H957" s="198" t="s">
        <v>870</v>
      </c>
      <c r="I957" s="199" t="s">
        <v>870</v>
      </c>
      <c r="J957" s="198" t="s">
        <v>869</v>
      </c>
      <c r="K957" s="198" t="s">
        <v>1435</v>
      </c>
      <c r="L957" s="234" t="n">
        <v>28630</v>
      </c>
      <c r="M957" s="234" t="n">
        <v>14990</v>
      </c>
      <c r="N957" s="234" t="n">
        <v>12</v>
      </c>
      <c r="O957" s="407" t="n">
        <v>13640</v>
      </c>
      <c r="P957" s="407" t="n">
        <v>12003.2</v>
      </c>
      <c r="Q957" s="234" t="n">
        <v>2025</v>
      </c>
      <c r="R957" s="234"/>
      <c r="S957" s="248" t="n">
        <v>45815</v>
      </c>
      <c r="T957" s="407" t="n">
        <f aca="false">Таблица18[[#This Row],[Вес нетто]]-Таблица18[[#This Row],[Зачетный вес]]</f>
        <v>1636.8</v>
      </c>
      <c r="U957" s="409" t="n">
        <f aca="false">Таблица18[[#This Row],[Отход]]/Таблица18[[#This Row],[Вес нетто]]</f>
        <v>0.12</v>
      </c>
      <c r="V957" s="234" t="n">
        <f aca="false">MONTH(Таблица18[[#This Row],[Дата акта]])</f>
        <v>6</v>
      </c>
      <c r="W957" s="234" t="n">
        <v>7</v>
      </c>
      <c r="X957" s="248" t="n">
        <f aca="false">DATE(1900,Таблица18[[#This Row],[Месяц]],Таблица18[[#This Row],[Число]])</f>
        <v>159</v>
      </c>
      <c r="Y957" s="234"/>
      <c r="AF957" s="411"/>
      <c r="AG957" s="412"/>
    </row>
    <row r="958" s="410" customFormat="true" ht="15" hidden="true" customHeight="true" outlineLevel="0" collapsed="false">
      <c r="A958" s="198" t="s">
        <v>2580</v>
      </c>
      <c r="B958" s="199" t="s">
        <v>417</v>
      </c>
      <c r="C958" s="198" t="n">
        <v>295</v>
      </c>
      <c r="D958" s="198" t="n">
        <v>73</v>
      </c>
      <c r="E958" s="198" t="s">
        <v>422</v>
      </c>
      <c r="F958" s="198" t="s">
        <v>411</v>
      </c>
      <c r="G958" s="198" t="s">
        <v>381</v>
      </c>
      <c r="H958" s="198" t="s">
        <v>870</v>
      </c>
      <c r="I958" s="199" t="s">
        <v>870</v>
      </c>
      <c r="J958" s="198" t="s">
        <v>869</v>
      </c>
      <c r="K958" s="198" t="s">
        <v>1435</v>
      </c>
      <c r="L958" s="234" t="n">
        <v>27400</v>
      </c>
      <c r="M958" s="234" t="n">
        <v>14090</v>
      </c>
      <c r="N958" s="234" t="n">
        <v>15</v>
      </c>
      <c r="O958" s="407" t="n">
        <v>13310</v>
      </c>
      <c r="P958" s="407" t="n">
        <v>11313.5</v>
      </c>
      <c r="Q958" s="234" t="n">
        <v>2025</v>
      </c>
      <c r="R958" s="234"/>
      <c r="S958" s="248" t="n">
        <v>45815</v>
      </c>
      <c r="T958" s="407" t="n">
        <f aca="false">Таблица18[[#This Row],[Вес нетто]]-Таблица18[[#This Row],[Зачетный вес]]</f>
        <v>1996.5</v>
      </c>
      <c r="U958" s="409" t="n">
        <f aca="false">Таблица18[[#This Row],[Отход]]/Таблица18[[#This Row],[Вес нетто]]</f>
        <v>0.15</v>
      </c>
      <c r="V958" s="234" t="n">
        <f aca="false">MONTH(Таблица18[[#This Row],[Дата акта]])</f>
        <v>6</v>
      </c>
      <c r="W958" s="234" t="n">
        <v>7</v>
      </c>
      <c r="X958" s="248" t="n">
        <f aca="false">DATE(1900,Таблица18[[#This Row],[Месяц]],Таблица18[[#This Row],[Число]])</f>
        <v>159</v>
      </c>
      <c r="Y958" s="234"/>
      <c r="AF958" s="411"/>
      <c r="AG958" s="412"/>
    </row>
    <row r="959" s="410" customFormat="true" ht="15" hidden="true" customHeight="true" outlineLevel="0" collapsed="false">
      <c r="A959" s="198" t="s">
        <v>2581</v>
      </c>
      <c r="B959" s="199" t="s">
        <v>746</v>
      </c>
      <c r="C959" s="198" t="n">
        <v>296</v>
      </c>
      <c r="D959" s="198" t="n">
        <v>74</v>
      </c>
      <c r="E959" s="198" t="s">
        <v>422</v>
      </c>
      <c r="F959" s="198" t="s">
        <v>378</v>
      </c>
      <c r="G959" s="198" t="s">
        <v>379</v>
      </c>
      <c r="H959" s="198" t="s">
        <v>870</v>
      </c>
      <c r="I959" s="199" t="s">
        <v>870</v>
      </c>
      <c r="J959" s="198" t="s">
        <v>869</v>
      </c>
      <c r="K959" s="198" t="s">
        <v>1435</v>
      </c>
      <c r="L959" s="234" t="n">
        <v>8620</v>
      </c>
      <c r="M959" s="234" t="n">
        <v>4610</v>
      </c>
      <c r="N959" s="234" t="n">
        <v>16.5</v>
      </c>
      <c r="O959" s="407" t="n">
        <v>4010</v>
      </c>
      <c r="P959" s="407" t="n">
        <v>3348.3</v>
      </c>
      <c r="Q959" s="234" t="n">
        <v>2025</v>
      </c>
      <c r="R959" s="234"/>
      <c r="S959" s="248" t="n">
        <v>45815</v>
      </c>
      <c r="T959" s="407" t="n">
        <f aca="false">Таблица18[[#This Row],[Вес нетто]]-Таблица18[[#This Row],[Зачетный вес]]</f>
        <v>661.7</v>
      </c>
      <c r="U959" s="409" t="n">
        <f aca="false">Таблица18[[#This Row],[Отход]]/Таблица18[[#This Row],[Вес нетто]]</f>
        <v>0.16501246882793</v>
      </c>
      <c r="V959" s="234" t="n">
        <f aca="false">MONTH(Таблица18[[#This Row],[Дата акта]])</f>
        <v>6</v>
      </c>
      <c r="W959" s="234" t="n">
        <v>7</v>
      </c>
      <c r="X959" s="248" t="n">
        <f aca="false">DATE(1900,Таблица18[[#This Row],[Месяц]],Таблица18[[#This Row],[Число]])</f>
        <v>159</v>
      </c>
      <c r="Y959" s="234"/>
      <c r="AF959" s="411"/>
      <c r="AG959" s="412"/>
    </row>
    <row r="960" s="410" customFormat="true" ht="15" hidden="true" customHeight="true" outlineLevel="0" collapsed="false">
      <c r="A960" s="198" t="s">
        <v>2582</v>
      </c>
      <c r="B960" s="199" t="s">
        <v>746</v>
      </c>
      <c r="C960" s="198" t="n">
        <v>297</v>
      </c>
      <c r="D960" s="198" t="n">
        <v>75</v>
      </c>
      <c r="E960" s="198" t="s">
        <v>422</v>
      </c>
      <c r="F960" s="198" t="s">
        <v>384</v>
      </c>
      <c r="G960" s="198" t="s">
        <v>385</v>
      </c>
      <c r="H960" s="198" t="s">
        <v>870</v>
      </c>
      <c r="I960" s="199" t="s">
        <v>870</v>
      </c>
      <c r="J960" s="198" t="s">
        <v>869</v>
      </c>
      <c r="K960" s="198" t="s">
        <v>1435</v>
      </c>
      <c r="L960" s="234" t="n">
        <v>31480</v>
      </c>
      <c r="M960" s="234" t="n">
        <v>14460</v>
      </c>
      <c r="N960" s="234" t="n">
        <v>12</v>
      </c>
      <c r="O960" s="407" t="n">
        <v>17020</v>
      </c>
      <c r="P960" s="407" t="n">
        <v>14977.6</v>
      </c>
      <c r="Q960" s="234" t="n">
        <v>2025</v>
      </c>
      <c r="R960" s="234"/>
      <c r="S960" s="248" t="n">
        <v>45815</v>
      </c>
      <c r="T960" s="407" t="n">
        <f aca="false">Таблица18[[#This Row],[Вес нетто]]-Таблица18[[#This Row],[Зачетный вес]]</f>
        <v>2042.4</v>
      </c>
      <c r="U960" s="409" t="n">
        <f aca="false">Таблица18[[#This Row],[Отход]]/Таблица18[[#This Row],[Вес нетто]]</f>
        <v>0.12</v>
      </c>
      <c r="V960" s="234" t="n">
        <f aca="false">MONTH(Таблица18[[#This Row],[Дата акта]])</f>
        <v>6</v>
      </c>
      <c r="W960" s="234" t="n">
        <v>7</v>
      </c>
      <c r="X960" s="248" t="n">
        <f aca="false">DATE(1900,Таблица18[[#This Row],[Месяц]],Таблица18[[#This Row],[Число]])</f>
        <v>159</v>
      </c>
      <c r="Y960" s="234"/>
      <c r="AF960" s="411"/>
      <c r="AG960" s="412"/>
    </row>
    <row r="961" s="410" customFormat="true" ht="15" hidden="true" customHeight="true" outlineLevel="0" collapsed="false">
      <c r="A961" s="198" t="s">
        <v>2583</v>
      </c>
      <c r="B961" s="199" t="s">
        <v>746</v>
      </c>
      <c r="C961" s="198" t="n">
        <v>298</v>
      </c>
      <c r="D961" s="198" t="n">
        <v>76</v>
      </c>
      <c r="E961" s="198" t="s">
        <v>422</v>
      </c>
      <c r="F961" s="198" t="s">
        <v>48</v>
      </c>
      <c r="G961" s="198" t="s">
        <v>49</v>
      </c>
      <c r="H961" s="198" t="s">
        <v>870</v>
      </c>
      <c r="I961" s="199" t="s">
        <v>870</v>
      </c>
      <c r="J961" s="198" t="s">
        <v>869</v>
      </c>
      <c r="K961" s="198" t="s">
        <v>1435</v>
      </c>
      <c r="L961" s="234" t="n">
        <v>28100</v>
      </c>
      <c r="M961" s="234" t="n">
        <v>14970</v>
      </c>
      <c r="N961" s="234" t="n">
        <v>17</v>
      </c>
      <c r="O961" s="407" t="n">
        <v>13130</v>
      </c>
      <c r="P961" s="407" t="n">
        <v>10897.9</v>
      </c>
      <c r="Q961" s="234" t="n">
        <v>2025</v>
      </c>
      <c r="R961" s="234"/>
      <c r="S961" s="248" t="n">
        <v>45815</v>
      </c>
      <c r="T961" s="407" t="n">
        <f aca="false">Таблица18[[#This Row],[Вес нетто]]-Таблица18[[#This Row],[Зачетный вес]]</f>
        <v>2232.1</v>
      </c>
      <c r="U961" s="409" t="n">
        <f aca="false">Таблица18[[#This Row],[Отход]]/Таблица18[[#This Row],[Вес нетто]]</f>
        <v>0.17</v>
      </c>
      <c r="V961" s="234" t="n">
        <f aca="false">MONTH(Таблица18[[#This Row],[Дата акта]])</f>
        <v>6</v>
      </c>
      <c r="W961" s="234" t="n">
        <v>7</v>
      </c>
      <c r="X961" s="248" t="n">
        <f aca="false">DATE(1900,Таблица18[[#This Row],[Месяц]],Таблица18[[#This Row],[Число]])</f>
        <v>159</v>
      </c>
      <c r="Y961" s="234"/>
      <c r="AF961" s="411"/>
      <c r="AG961" s="412"/>
    </row>
    <row r="962" s="410" customFormat="true" ht="15" hidden="true" customHeight="true" outlineLevel="0" collapsed="false">
      <c r="A962" s="198" t="s">
        <v>2584</v>
      </c>
      <c r="B962" s="199" t="s">
        <v>746</v>
      </c>
      <c r="C962" s="198" t="n">
        <v>299</v>
      </c>
      <c r="D962" s="198" t="n">
        <v>77</v>
      </c>
      <c r="E962" s="198" t="s">
        <v>422</v>
      </c>
      <c r="F962" s="198" t="s">
        <v>411</v>
      </c>
      <c r="G962" s="198" t="s">
        <v>381</v>
      </c>
      <c r="H962" s="198" t="s">
        <v>870</v>
      </c>
      <c r="I962" s="199" t="s">
        <v>870</v>
      </c>
      <c r="J962" s="198" t="s">
        <v>869</v>
      </c>
      <c r="K962" s="198" t="s">
        <v>1435</v>
      </c>
      <c r="L962" s="234" t="n">
        <v>27200</v>
      </c>
      <c r="M962" s="234" t="n">
        <v>14080</v>
      </c>
      <c r="N962" s="234" t="n">
        <v>11</v>
      </c>
      <c r="O962" s="407" t="n">
        <v>13120</v>
      </c>
      <c r="P962" s="407" t="n">
        <v>11676.8</v>
      </c>
      <c r="Q962" s="234" t="n">
        <v>2025</v>
      </c>
      <c r="R962" s="234"/>
      <c r="S962" s="248" t="n">
        <v>45816</v>
      </c>
      <c r="T962" s="407" t="n">
        <f aca="false">Таблица18[[#This Row],[Вес нетто]]-Таблица18[[#This Row],[Зачетный вес]]</f>
        <v>1443.2</v>
      </c>
      <c r="U962" s="409" t="n">
        <f aca="false">Таблица18[[#This Row],[Отход]]/Таблица18[[#This Row],[Вес нетто]]</f>
        <v>0.11</v>
      </c>
      <c r="V962" s="234" t="n">
        <f aca="false">MONTH(Таблица18[[#This Row],[Дата акта]])</f>
        <v>6</v>
      </c>
      <c r="W962" s="234" t="n">
        <v>8</v>
      </c>
      <c r="X962" s="248" t="n">
        <f aca="false">DATE(1900,Таблица18[[#This Row],[Месяц]],Таблица18[[#This Row],[Число]])</f>
        <v>160</v>
      </c>
      <c r="Y962" s="234"/>
      <c r="AF962" s="411"/>
      <c r="AG962" s="412"/>
    </row>
    <row r="963" s="410" customFormat="true" ht="15" hidden="true" customHeight="true" outlineLevel="0" collapsed="false">
      <c r="A963" s="198" t="s">
        <v>2585</v>
      </c>
      <c r="B963" s="199" t="s">
        <v>746</v>
      </c>
      <c r="C963" s="198" t="n">
        <v>300</v>
      </c>
      <c r="D963" s="198" t="n">
        <v>78</v>
      </c>
      <c r="E963" s="198" t="s">
        <v>422</v>
      </c>
      <c r="F963" s="198" t="s">
        <v>378</v>
      </c>
      <c r="G963" s="198" t="s">
        <v>379</v>
      </c>
      <c r="H963" s="198" t="s">
        <v>870</v>
      </c>
      <c r="I963" s="199" t="s">
        <v>870</v>
      </c>
      <c r="J963" s="198" t="s">
        <v>869</v>
      </c>
      <c r="K963" s="198" t="s">
        <v>1435</v>
      </c>
      <c r="L963" s="234" t="n">
        <v>9060</v>
      </c>
      <c r="M963" s="234" t="n">
        <v>4530</v>
      </c>
      <c r="N963" s="234" t="n">
        <v>9.5</v>
      </c>
      <c r="O963" s="407" t="n">
        <v>4530</v>
      </c>
      <c r="P963" s="407" t="n">
        <v>4099.6</v>
      </c>
      <c r="Q963" s="234" t="n">
        <v>2025</v>
      </c>
      <c r="R963" s="234"/>
      <c r="S963" s="248" t="n">
        <v>45816</v>
      </c>
      <c r="T963" s="407" t="n">
        <f aca="false">Таблица18[[#This Row],[Вес нетто]]-Таблица18[[#This Row],[Зачетный вес]]</f>
        <v>430.4</v>
      </c>
      <c r="U963" s="409" t="n">
        <f aca="false">Таблица18[[#This Row],[Отход]]/Таблица18[[#This Row],[Вес нетто]]</f>
        <v>0.0950110375275937</v>
      </c>
      <c r="V963" s="234" t="n">
        <f aca="false">MONTH(Таблица18[[#This Row],[Дата акта]])</f>
        <v>6</v>
      </c>
      <c r="W963" s="234" t="n">
        <v>8</v>
      </c>
      <c r="X963" s="248" t="n">
        <f aca="false">DATE(1900,Таблица18[[#This Row],[Месяц]],Таблица18[[#This Row],[Число]])</f>
        <v>160</v>
      </c>
      <c r="Y963" s="234"/>
      <c r="AF963" s="411"/>
      <c r="AG963" s="412"/>
    </row>
    <row r="964" s="410" customFormat="true" ht="15" hidden="true" customHeight="true" outlineLevel="0" collapsed="false">
      <c r="A964" s="198" t="s">
        <v>2586</v>
      </c>
      <c r="B964" s="199"/>
      <c r="C964" s="198" t="n">
        <v>300</v>
      </c>
      <c r="D964" s="198" t="n">
        <v>78</v>
      </c>
      <c r="E964" s="198" t="s">
        <v>422</v>
      </c>
      <c r="F964" s="198" t="s">
        <v>378</v>
      </c>
      <c r="G964" s="198" t="s">
        <v>379</v>
      </c>
      <c r="H964" s="198" t="s">
        <v>870</v>
      </c>
      <c r="I964" s="199" t="s">
        <v>870</v>
      </c>
      <c r="J964" s="198" t="s">
        <v>869</v>
      </c>
      <c r="K964" s="198" t="s">
        <v>1435</v>
      </c>
      <c r="L964" s="234"/>
      <c r="M964" s="234"/>
      <c r="N964" s="234"/>
      <c r="O964" s="407"/>
      <c r="P964" s="407"/>
      <c r="Q964" s="234" t="n">
        <v>2025</v>
      </c>
      <c r="R964" s="234"/>
      <c r="S964" s="248" t="n">
        <v>45816</v>
      </c>
      <c r="T964" s="407" t="n">
        <f aca="false">Таблица18[[#This Row],[Вес нетто]]-Таблица18[[#This Row],[Зачетный вес]]</f>
        <v>0</v>
      </c>
      <c r="U964" s="409" t="e">
        <f aca="false">Таблица18[[#This Row],[Отход]]/Таблица18[[#This Row],[Вес нетто]]</f>
        <v>#DIV/0!</v>
      </c>
      <c r="V964" s="234" t="n">
        <f aca="false">MONTH(Таблица18[[#This Row],[Дата акта]])</f>
        <v>6</v>
      </c>
      <c r="W964" s="234" t="n">
        <v>8</v>
      </c>
      <c r="X964" s="248" t="n">
        <f aca="false">DATE(1900,Таблица18[[#This Row],[Месяц]],Таблица18[[#This Row],[Число]])</f>
        <v>160</v>
      </c>
      <c r="Y964" s="234"/>
      <c r="AF964" s="411"/>
      <c r="AG964" s="412"/>
    </row>
    <row r="965" s="410" customFormat="true" ht="15" hidden="true" customHeight="true" outlineLevel="0" collapsed="false">
      <c r="A965" s="198" t="s">
        <v>2587</v>
      </c>
      <c r="B965" s="199" t="s">
        <v>746</v>
      </c>
      <c r="C965" s="198" t="n">
        <v>302</v>
      </c>
      <c r="D965" s="198" t="n">
        <v>80</v>
      </c>
      <c r="E965" s="198" t="s">
        <v>422</v>
      </c>
      <c r="F965" s="198" t="s">
        <v>384</v>
      </c>
      <c r="G965" s="198" t="s">
        <v>385</v>
      </c>
      <c r="H965" s="198" t="s">
        <v>870</v>
      </c>
      <c r="I965" s="199" t="s">
        <v>870</v>
      </c>
      <c r="J965" s="198" t="s">
        <v>869</v>
      </c>
      <c r="K965" s="198" t="s">
        <v>1435</v>
      </c>
      <c r="L965" s="234" t="n">
        <v>20660</v>
      </c>
      <c r="M965" s="234" t="n">
        <v>14450</v>
      </c>
      <c r="N965" s="234" t="n">
        <v>11.5</v>
      </c>
      <c r="O965" s="407" t="n">
        <v>6210</v>
      </c>
      <c r="P965" s="407" t="n">
        <v>5495.8</v>
      </c>
      <c r="Q965" s="234" t="n">
        <v>2025</v>
      </c>
      <c r="R965" s="234"/>
      <c r="S965" s="248" t="n">
        <v>45816</v>
      </c>
      <c r="T965" s="407" t="n">
        <f aca="false">Таблица18[[#This Row],[Вес нетто]]-Таблица18[[#This Row],[Зачетный вес]]</f>
        <v>714.2</v>
      </c>
      <c r="U965" s="409" t="n">
        <f aca="false">Таблица18[[#This Row],[Отход]]/Таблица18[[#This Row],[Вес нетто]]</f>
        <v>0.115008051529791</v>
      </c>
      <c r="V965" s="234" t="n">
        <f aca="false">MONTH(Таблица18[[#This Row],[Дата акта]])</f>
        <v>6</v>
      </c>
      <c r="W965" s="234" t="n">
        <v>8</v>
      </c>
      <c r="X965" s="248" t="n">
        <f aca="false">DATE(1900,Таблица18[[#This Row],[Месяц]],Таблица18[[#This Row],[Число]])</f>
        <v>160</v>
      </c>
      <c r="Y965" s="234"/>
      <c r="AF965" s="411"/>
      <c r="AG965" s="412"/>
    </row>
    <row r="966" s="410" customFormat="true" ht="15" hidden="true" customHeight="true" outlineLevel="0" collapsed="false">
      <c r="A966" s="198" t="s">
        <v>2588</v>
      </c>
      <c r="B966" s="199" t="s">
        <v>417</v>
      </c>
      <c r="C966" s="198" t="n">
        <v>301</v>
      </c>
      <c r="D966" s="198" t="n">
        <v>79</v>
      </c>
      <c r="E966" s="198" t="s">
        <v>422</v>
      </c>
      <c r="F966" s="198" t="s">
        <v>384</v>
      </c>
      <c r="G966" s="198" t="s">
        <v>385</v>
      </c>
      <c r="H966" s="198" t="s">
        <v>730</v>
      </c>
      <c r="I966" s="199" t="s">
        <v>730</v>
      </c>
      <c r="J966" s="198" t="s">
        <v>66</v>
      </c>
      <c r="K966" s="198" t="s">
        <v>1435</v>
      </c>
      <c r="L966" s="234" t="n">
        <v>27510</v>
      </c>
      <c r="M966" s="234" t="n">
        <v>20660</v>
      </c>
      <c r="N966" s="234" t="n">
        <v>13.5</v>
      </c>
      <c r="O966" s="407" t="n">
        <v>6850</v>
      </c>
      <c r="P966" s="407" t="n">
        <v>5925.2</v>
      </c>
      <c r="Q966" s="234" t="n">
        <v>2025</v>
      </c>
      <c r="R966" s="234"/>
      <c r="S966" s="248" t="n">
        <v>45816</v>
      </c>
      <c r="T966" s="407" t="n">
        <f aca="false">Таблица18[[#This Row],[Вес нетто]]-Таблица18[[#This Row],[Зачетный вес]]</f>
        <v>924.8</v>
      </c>
      <c r="U966" s="409" t="n">
        <f aca="false">Таблица18[[#This Row],[Отход]]/Таблица18[[#This Row],[Вес нетто]]</f>
        <v>0.135007299270073</v>
      </c>
      <c r="V966" s="234" t="n">
        <f aca="false">MONTH(Таблица18[[#This Row],[Дата акта]])</f>
        <v>6</v>
      </c>
      <c r="W966" s="234" t="n">
        <v>8</v>
      </c>
      <c r="X966" s="248" t="n">
        <f aca="false">DATE(1900,Таблица18[[#This Row],[Месяц]],Таблица18[[#This Row],[Число]])</f>
        <v>160</v>
      </c>
      <c r="Y966" s="234"/>
      <c r="AF966" s="411"/>
      <c r="AG966" s="412"/>
    </row>
    <row r="967" s="410" customFormat="true" ht="15" hidden="true" customHeight="true" outlineLevel="0" collapsed="false">
      <c r="A967" s="198" t="s">
        <v>2589</v>
      </c>
      <c r="B967" s="199" t="s">
        <v>417</v>
      </c>
      <c r="C967" s="198" t="n">
        <v>303</v>
      </c>
      <c r="D967" s="198" t="n">
        <v>81</v>
      </c>
      <c r="E967" s="198" t="s">
        <v>422</v>
      </c>
      <c r="F967" s="198" t="s">
        <v>48</v>
      </c>
      <c r="G967" s="198" t="s">
        <v>49</v>
      </c>
      <c r="H967" s="198" t="s">
        <v>730</v>
      </c>
      <c r="I967" s="199" t="s">
        <v>730</v>
      </c>
      <c r="J967" s="198" t="s">
        <v>66</v>
      </c>
      <c r="K967" s="198" t="s">
        <v>1435</v>
      </c>
      <c r="L967" s="234" t="n">
        <v>28740</v>
      </c>
      <c r="M967" s="234" t="n">
        <v>14970</v>
      </c>
      <c r="N967" s="234" t="n">
        <v>16</v>
      </c>
      <c r="O967" s="407" t="n">
        <v>13770</v>
      </c>
      <c r="P967" s="407" t="n">
        <v>11566.8</v>
      </c>
      <c r="Q967" s="234" t="n">
        <v>2025</v>
      </c>
      <c r="R967" s="234"/>
      <c r="S967" s="248" t="n">
        <v>45816</v>
      </c>
      <c r="T967" s="407" t="n">
        <f aca="false">Таблица18[[#This Row],[Вес нетто]]-Таблица18[[#This Row],[Зачетный вес]]</f>
        <v>2203.2</v>
      </c>
      <c r="U967" s="409" t="n">
        <f aca="false">Таблица18[[#This Row],[Отход]]/Таблица18[[#This Row],[Вес нетто]]</f>
        <v>0.16</v>
      </c>
      <c r="V967" s="234" t="n">
        <f aca="false">MONTH(Таблица18[[#This Row],[Дата акта]])</f>
        <v>6</v>
      </c>
      <c r="W967" s="234" t="n">
        <v>8</v>
      </c>
      <c r="X967" s="248" t="n">
        <f aca="false">DATE(1900,Таблица18[[#This Row],[Месяц]],Таблица18[[#This Row],[Число]])</f>
        <v>160</v>
      </c>
      <c r="Y967" s="234"/>
      <c r="AF967" s="411"/>
      <c r="AG967" s="412"/>
    </row>
    <row r="968" s="410" customFormat="true" ht="15" hidden="true" customHeight="true" outlineLevel="0" collapsed="false">
      <c r="A968" s="198" t="s">
        <v>2590</v>
      </c>
      <c r="B968" s="199"/>
      <c r="C968" s="198" t="n">
        <v>292</v>
      </c>
      <c r="D968" s="198" t="n">
        <v>65</v>
      </c>
      <c r="E968" s="198" t="s">
        <v>422</v>
      </c>
      <c r="F968" s="198" t="s">
        <v>411</v>
      </c>
      <c r="G968" s="198" t="s">
        <v>381</v>
      </c>
      <c r="H968" s="198"/>
      <c r="I968" s="199"/>
      <c r="J968" s="198" t="s">
        <v>252</v>
      </c>
      <c r="K968" s="198" t="s">
        <v>1435</v>
      </c>
      <c r="L968" s="234"/>
      <c r="M968" s="234"/>
      <c r="N968" s="234"/>
      <c r="O968" s="407"/>
      <c r="P968" s="407"/>
      <c r="Q968" s="234" t="n">
        <v>2025</v>
      </c>
      <c r="R968" s="234"/>
      <c r="S968" s="248" t="n">
        <v>45815</v>
      </c>
      <c r="T968" s="407" t="n">
        <f aca="false">Таблица18[[#This Row],[Вес нетто]]-Таблица18[[#This Row],[Зачетный вес]]</f>
        <v>0</v>
      </c>
      <c r="U968" s="409" t="e">
        <f aca="false">Таблица18[[#This Row],[Отход]]/Таблица18[[#This Row],[Вес нетто]]</f>
        <v>#DIV/0!</v>
      </c>
      <c r="V968" s="234" t="n">
        <f aca="false">MONTH(Таблица18[[#This Row],[Дата акта]])</f>
        <v>6</v>
      </c>
      <c r="W968" s="234" t="n">
        <v>7</v>
      </c>
      <c r="X968" s="248" t="n">
        <f aca="false">DATE(1900,Таблица18[[#This Row],[Месяц]],Таблица18[[#This Row],[Число]])</f>
        <v>159</v>
      </c>
      <c r="Y968" s="234"/>
      <c r="AF968" s="411"/>
      <c r="AG968" s="412"/>
    </row>
    <row r="969" s="410" customFormat="true" ht="15" hidden="true" customHeight="true" outlineLevel="0" collapsed="false">
      <c r="A969" s="198" t="s">
        <v>2591</v>
      </c>
      <c r="B969" s="199" t="s">
        <v>417</v>
      </c>
      <c r="C969" s="198" t="n">
        <v>304</v>
      </c>
      <c r="D969" s="198" t="n">
        <v>82</v>
      </c>
      <c r="E969" s="198" t="s">
        <v>422</v>
      </c>
      <c r="F969" s="198" t="s">
        <v>411</v>
      </c>
      <c r="G969" s="198" t="s">
        <v>381</v>
      </c>
      <c r="H969" s="198" t="s">
        <v>730</v>
      </c>
      <c r="I969" s="199" t="s">
        <v>730</v>
      </c>
      <c r="J969" s="198" t="s">
        <v>66</v>
      </c>
      <c r="K969" s="198" t="s">
        <v>1435</v>
      </c>
      <c r="L969" s="234" t="n">
        <v>27790</v>
      </c>
      <c r="M969" s="234" t="n">
        <v>14070</v>
      </c>
      <c r="N969" s="234" t="n">
        <v>9</v>
      </c>
      <c r="O969" s="407" t="n">
        <v>13720</v>
      </c>
      <c r="P969" s="407" t="n">
        <v>12485.2</v>
      </c>
      <c r="Q969" s="234" t="n">
        <v>2025</v>
      </c>
      <c r="R969" s="234"/>
      <c r="S969" s="248" t="n">
        <v>45816</v>
      </c>
      <c r="T969" s="407" t="n">
        <f aca="false">Таблица18[[#This Row],[Вес нетто]]-Таблица18[[#This Row],[Зачетный вес]]</f>
        <v>1234.8</v>
      </c>
      <c r="U969" s="409" t="n">
        <f aca="false">Таблица18[[#This Row],[Отход]]/Таблица18[[#This Row],[Вес нетто]]</f>
        <v>0.0899999999999999</v>
      </c>
      <c r="V969" s="234" t="n">
        <f aca="false">MONTH(Таблица18[[#This Row],[Дата акта]])</f>
        <v>6</v>
      </c>
      <c r="W969" s="234" t="n">
        <v>8</v>
      </c>
      <c r="X969" s="248" t="n">
        <f aca="false">DATE(1900,Таблица18[[#This Row],[Месяц]],Таблица18[[#This Row],[Число]])</f>
        <v>160</v>
      </c>
      <c r="Y969" s="234"/>
      <c r="AF969" s="411"/>
      <c r="AG969" s="412"/>
    </row>
    <row r="970" s="410" customFormat="true" ht="15" hidden="true" customHeight="true" outlineLevel="0" collapsed="false">
      <c r="A970" s="198" t="s">
        <v>2592</v>
      </c>
      <c r="B970" s="199" t="s">
        <v>417</v>
      </c>
      <c r="C970" s="198" t="n">
        <v>305</v>
      </c>
      <c r="D970" s="198" t="n">
        <v>83</v>
      </c>
      <c r="E970" s="198" t="s">
        <v>422</v>
      </c>
      <c r="F970" s="198" t="s">
        <v>378</v>
      </c>
      <c r="G970" s="198" t="s">
        <v>379</v>
      </c>
      <c r="H970" s="198" t="s">
        <v>730</v>
      </c>
      <c r="I970" s="199" t="s">
        <v>730</v>
      </c>
      <c r="J970" s="198" t="s">
        <v>66</v>
      </c>
      <c r="K970" s="198" t="s">
        <v>1435</v>
      </c>
      <c r="L970" s="234" t="n">
        <v>9040</v>
      </c>
      <c r="M970" s="234" t="n">
        <v>4520</v>
      </c>
      <c r="N970" s="234" t="n">
        <v>7.5</v>
      </c>
      <c r="O970" s="407" t="n">
        <v>4520</v>
      </c>
      <c r="P970" s="407" t="n">
        <v>4181</v>
      </c>
      <c r="Q970" s="234" t="n">
        <v>2025</v>
      </c>
      <c r="R970" s="234"/>
      <c r="S970" s="248" t="n">
        <v>45816</v>
      </c>
      <c r="T970" s="407" t="n">
        <f aca="false">Таблица18[[#This Row],[Вес нетто]]-Таблица18[[#This Row],[Зачетный вес]]</f>
        <v>339</v>
      </c>
      <c r="U970" s="409" t="n">
        <f aca="false">Таблица18[[#This Row],[Отход]]/Таблица18[[#This Row],[Вес нетто]]</f>
        <v>0.075</v>
      </c>
      <c r="V970" s="234" t="n">
        <f aca="false">MONTH(Таблица18[[#This Row],[Дата акта]])</f>
        <v>6</v>
      </c>
      <c r="W970" s="234" t="n">
        <v>8</v>
      </c>
      <c r="X970" s="248" t="n">
        <f aca="false">DATE(1900,Таблица18[[#This Row],[Месяц]],Таблица18[[#This Row],[Число]])</f>
        <v>160</v>
      </c>
      <c r="Y970" s="234"/>
      <c r="AF970" s="411"/>
      <c r="AG970" s="412"/>
    </row>
    <row r="971" s="410" customFormat="true" ht="15" hidden="true" customHeight="true" outlineLevel="0" collapsed="false">
      <c r="A971" s="198" t="s">
        <v>2593</v>
      </c>
      <c r="B971" s="199" t="s">
        <v>417</v>
      </c>
      <c r="C971" s="198" t="n">
        <v>306</v>
      </c>
      <c r="D971" s="198" t="n">
        <v>84</v>
      </c>
      <c r="E971" s="198" t="s">
        <v>422</v>
      </c>
      <c r="F971" s="198" t="s">
        <v>384</v>
      </c>
      <c r="G971" s="198" t="s">
        <v>385</v>
      </c>
      <c r="H971" s="198" t="s">
        <v>730</v>
      </c>
      <c r="I971" s="199" t="s">
        <v>730</v>
      </c>
      <c r="J971" s="198" t="s">
        <v>66</v>
      </c>
      <c r="K971" s="198" t="s">
        <v>1435</v>
      </c>
      <c r="L971" s="234" t="n">
        <v>27630</v>
      </c>
      <c r="M971" s="234" t="n">
        <v>14440</v>
      </c>
      <c r="N971" s="234" t="n">
        <v>9.5</v>
      </c>
      <c r="O971" s="407" t="n">
        <v>13190</v>
      </c>
      <c r="P971" s="407" t="n">
        <v>11936.9</v>
      </c>
      <c r="Q971" s="234" t="n">
        <v>2025</v>
      </c>
      <c r="R971" s="234"/>
      <c r="S971" s="248" t="n">
        <v>45816</v>
      </c>
      <c r="T971" s="407" t="n">
        <f aca="false">Таблица18[[#This Row],[Вес нетто]]-Таблица18[[#This Row],[Зачетный вес]]</f>
        <v>1253.1</v>
      </c>
      <c r="U971" s="409" t="n">
        <f aca="false">Таблица18[[#This Row],[Отход]]/Таблица18[[#This Row],[Вес нетто]]</f>
        <v>0.0950037907505686</v>
      </c>
      <c r="V971" s="234" t="n">
        <f aca="false">MONTH(Таблица18[[#This Row],[Дата акта]])</f>
        <v>6</v>
      </c>
      <c r="W971" s="234" t="n">
        <v>8</v>
      </c>
      <c r="X971" s="248" t="n">
        <f aca="false">DATE(1900,Таблица18[[#This Row],[Месяц]],Таблица18[[#This Row],[Число]])</f>
        <v>160</v>
      </c>
      <c r="Y971" s="234"/>
      <c r="AF971" s="411"/>
      <c r="AG971" s="412"/>
    </row>
    <row r="972" s="410" customFormat="true" ht="15" hidden="true" customHeight="true" outlineLevel="0" collapsed="false">
      <c r="A972" s="198" t="s">
        <v>2594</v>
      </c>
      <c r="B972" s="199" t="s">
        <v>417</v>
      </c>
      <c r="C972" s="198" t="n">
        <v>307</v>
      </c>
      <c r="D972" s="198" t="n">
        <v>85</v>
      </c>
      <c r="E972" s="198" t="s">
        <v>422</v>
      </c>
      <c r="F972" s="198" t="s">
        <v>48</v>
      </c>
      <c r="G972" s="198" t="s">
        <v>49</v>
      </c>
      <c r="H972" s="198" t="s">
        <v>730</v>
      </c>
      <c r="I972" s="199" t="s">
        <v>730</v>
      </c>
      <c r="J972" s="198" t="s">
        <v>66</v>
      </c>
      <c r="K972" s="198" t="s">
        <v>1435</v>
      </c>
      <c r="L972" s="234" t="n">
        <v>28590</v>
      </c>
      <c r="M972" s="234" t="n">
        <v>14950</v>
      </c>
      <c r="N972" s="234" t="n">
        <v>9.5</v>
      </c>
      <c r="O972" s="407" t="n">
        <v>13640</v>
      </c>
      <c r="P972" s="407" t="n">
        <v>12344.2</v>
      </c>
      <c r="Q972" s="234" t="n">
        <v>2025</v>
      </c>
      <c r="R972" s="234"/>
      <c r="S972" s="248" t="n">
        <v>45816</v>
      </c>
      <c r="T972" s="407" t="n">
        <f aca="false">Таблица18[[#This Row],[Вес нетто]]-Таблица18[[#This Row],[Зачетный вес]]</f>
        <v>1295.8</v>
      </c>
      <c r="U972" s="409" t="n">
        <f aca="false">Таблица18[[#This Row],[Отход]]/Таблица18[[#This Row],[Вес нетто]]</f>
        <v>0.095</v>
      </c>
      <c r="V972" s="234" t="n">
        <f aca="false">MONTH(Таблица18[[#This Row],[Дата акта]])</f>
        <v>6</v>
      </c>
      <c r="W972" s="234" t="n">
        <v>8</v>
      </c>
      <c r="X972" s="248" t="n">
        <f aca="false">DATE(1900,Таблица18[[#This Row],[Месяц]],Таблица18[[#This Row],[Число]])</f>
        <v>160</v>
      </c>
      <c r="Y972" s="234"/>
      <c r="AF972" s="411"/>
      <c r="AG972" s="412"/>
    </row>
    <row r="973" s="410" customFormat="true" ht="15" hidden="true" customHeight="true" outlineLevel="0" collapsed="false">
      <c r="A973" s="198" t="s">
        <v>2595</v>
      </c>
      <c r="B973" s="199" t="s">
        <v>417</v>
      </c>
      <c r="C973" s="198" t="n">
        <v>309</v>
      </c>
      <c r="D973" s="198" t="n">
        <v>86</v>
      </c>
      <c r="E973" s="198" t="s">
        <v>422</v>
      </c>
      <c r="F973" s="198" t="s">
        <v>872</v>
      </c>
      <c r="G973" s="198" t="s">
        <v>364</v>
      </c>
      <c r="H973" s="198" t="s">
        <v>730</v>
      </c>
      <c r="I973" s="199" t="s">
        <v>730</v>
      </c>
      <c r="J973" s="198" t="s">
        <v>66</v>
      </c>
      <c r="K973" s="198" t="s">
        <v>1435</v>
      </c>
      <c r="L973" s="234" t="n">
        <v>27300</v>
      </c>
      <c r="M973" s="234" t="n">
        <v>14610</v>
      </c>
      <c r="N973" s="234" t="n">
        <v>10.5</v>
      </c>
      <c r="O973" s="407" t="n">
        <v>12690</v>
      </c>
      <c r="P973" s="407" t="n">
        <v>11357.5</v>
      </c>
      <c r="Q973" s="234" t="n">
        <v>2025</v>
      </c>
      <c r="R973" s="234"/>
      <c r="S973" s="248" t="n">
        <v>45816</v>
      </c>
      <c r="T973" s="407" t="n">
        <f aca="false">Таблица18[[#This Row],[Вес нетто]]-Таблица18[[#This Row],[Зачетный вес]]</f>
        <v>1332.5</v>
      </c>
      <c r="U973" s="409" t="n">
        <f aca="false">Таблица18[[#This Row],[Отход]]/Таблица18[[#This Row],[Вес нетто]]</f>
        <v>0.105003940110323</v>
      </c>
      <c r="V973" s="234" t="n">
        <f aca="false">MONTH(Таблица18[[#This Row],[Дата акта]])</f>
        <v>6</v>
      </c>
      <c r="W973" s="234" t="n">
        <v>8</v>
      </c>
      <c r="X973" s="248" t="n">
        <f aca="false">DATE(1900,Таблица18[[#This Row],[Месяц]],Таблица18[[#This Row],[Число]])</f>
        <v>160</v>
      </c>
      <c r="Y973" s="234"/>
      <c r="AF973" s="411"/>
      <c r="AG973" s="412"/>
    </row>
    <row r="974" s="410" customFormat="true" ht="15" hidden="true" customHeight="true" outlineLevel="0" collapsed="false">
      <c r="A974" s="198" t="s">
        <v>2596</v>
      </c>
      <c r="B974" s="199" t="s">
        <v>417</v>
      </c>
      <c r="C974" s="198" t="n">
        <v>310</v>
      </c>
      <c r="D974" s="198" t="n">
        <v>87</v>
      </c>
      <c r="E974" s="198" t="s">
        <v>867</v>
      </c>
      <c r="F974" s="198" t="s">
        <v>374</v>
      </c>
      <c r="G974" s="198" t="s">
        <v>375</v>
      </c>
      <c r="H974" s="198" t="s">
        <v>730</v>
      </c>
      <c r="I974" s="199" t="s">
        <v>730</v>
      </c>
      <c r="J974" s="198" t="s">
        <v>66</v>
      </c>
      <c r="K974" s="198" t="s">
        <v>1435</v>
      </c>
      <c r="L974" s="234" t="n">
        <v>9060</v>
      </c>
      <c r="M974" s="234" t="n">
        <v>4570</v>
      </c>
      <c r="N974" s="234" t="n">
        <v>14</v>
      </c>
      <c r="O974" s="407" t="n">
        <v>4490</v>
      </c>
      <c r="P974" s="407" t="n">
        <v>3861.4</v>
      </c>
      <c r="Q974" s="234" t="n">
        <v>2025</v>
      </c>
      <c r="R974" s="234"/>
      <c r="S974" s="248" t="n">
        <v>45816</v>
      </c>
      <c r="T974" s="407" t="n">
        <f aca="false">Таблица18[[#This Row],[Вес нетто]]-Таблица18[[#This Row],[Зачетный вес]]</f>
        <v>628.6</v>
      </c>
      <c r="U974" s="409" t="n">
        <f aca="false">Таблица18[[#This Row],[Отход]]/Таблица18[[#This Row],[Вес нетто]]</f>
        <v>0.14</v>
      </c>
      <c r="V974" s="234" t="n">
        <f aca="false">MONTH(Таблица18[[#This Row],[Дата акта]])</f>
        <v>6</v>
      </c>
      <c r="W974" s="234" t="n">
        <v>8</v>
      </c>
      <c r="X974" s="248" t="n">
        <f aca="false">DATE(1900,Таблица18[[#This Row],[Месяц]],Таблица18[[#This Row],[Число]])</f>
        <v>160</v>
      </c>
      <c r="Y974" s="234"/>
      <c r="AF974" s="411"/>
      <c r="AG974" s="412"/>
    </row>
    <row r="975" s="410" customFormat="true" ht="15" hidden="true" customHeight="true" outlineLevel="0" collapsed="false">
      <c r="A975" s="198" t="s">
        <v>2597</v>
      </c>
      <c r="B975" s="199" t="s">
        <v>417</v>
      </c>
      <c r="C975" s="198" t="n">
        <v>311</v>
      </c>
      <c r="D975" s="198" t="n">
        <v>88</v>
      </c>
      <c r="E975" s="198" t="s">
        <v>422</v>
      </c>
      <c r="F975" s="198" t="s">
        <v>376</v>
      </c>
      <c r="G975" s="198" t="s">
        <v>377</v>
      </c>
      <c r="H975" s="198" t="s">
        <v>730</v>
      </c>
      <c r="I975" s="199" t="s">
        <v>730</v>
      </c>
      <c r="J975" s="198" t="s">
        <v>66</v>
      </c>
      <c r="K975" s="198" t="s">
        <v>1435</v>
      </c>
      <c r="L975" s="234" t="n">
        <v>28280</v>
      </c>
      <c r="M975" s="234" t="n">
        <v>14320</v>
      </c>
      <c r="N975" s="234" t="n">
        <v>12.5</v>
      </c>
      <c r="O975" s="407" t="n">
        <v>13960</v>
      </c>
      <c r="P975" s="407" t="n">
        <v>12215</v>
      </c>
      <c r="Q975" s="234" t="n">
        <v>2025</v>
      </c>
      <c r="R975" s="234"/>
      <c r="S975" s="248" t="n">
        <v>45816</v>
      </c>
      <c r="T975" s="407" t="n">
        <f aca="false">Таблица18[[#This Row],[Вес нетто]]-Таблица18[[#This Row],[Зачетный вес]]</f>
        <v>1745</v>
      </c>
      <c r="U975" s="409" t="n">
        <f aca="false">Таблица18[[#This Row],[Отход]]/Таблица18[[#This Row],[Вес нетто]]</f>
        <v>0.125</v>
      </c>
      <c r="V975" s="234" t="n">
        <f aca="false">MONTH(Таблица18[[#This Row],[Дата акта]])</f>
        <v>6</v>
      </c>
      <c r="W975" s="234" t="n">
        <v>8</v>
      </c>
      <c r="X975" s="248" t="n">
        <f aca="false">DATE(1900,Таблица18[[#This Row],[Месяц]],Таблица18[[#This Row],[Число]])</f>
        <v>160</v>
      </c>
      <c r="Y975" s="234"/>
      <c r="AF975" s="411"/>
      <c r="AG975" s="412"/>
    </row>
    <row r="976" s="410" customFormat="true" ht="15" hidden="true" customHeight="true" outlineLevel="0" collapsed="false">
      <c r="A976" s="198" t="s">
        <v>2598</v>
      </c>
      <c r="B976" s="199" t="s">
        <v>746</v>
      </c>
      <c r="C976" s="198" t="n">
        <v>313</v>
      </c>
      <c r="D976" s="198" t="n">
        <v>89</v>
      </c>
      <c r="E976" s="198" t="s">
        <v>422</v>
      </c>
      <c r="F976" s="198" t="s">
        <v>371</v>
      </c>
      <c r="G976" s="198" t="s">
        <v>372</v>
      </c>
      <c r="H976" s="198" t="s">
        <v>730</v>
      </c>
      <c r="I976" s="199" t="s">
        <v>730</v>
      </c>
      <c r="J976" s="198" t="s">
        <v>66</v>
      </c>
      <c r="K976" s="198" t="s">
        <v>1435</v>
      </c>
      <c r="L976" s="234" t="n">
        <v>28870</v>
      </c>
      <c r="M976" s="234" t="n">
        <v>14930</v>
      </c>
      <c r="N976" s="234" t="n">
        <v>11</v>
      </c>
      <c r="O976" s="407" t="n">
        <v>13940</v>
      </c>
      <c r="P976" s="407" t="n">
        <v>12406.6</v>
      </c>
      <c r="Q976" s="234" t="n">
        <v>2025</v>
      </c>
      <c r="R976" s="234"/>
      <c r="S976" s="248" t="n">
        <v>45816</v>
      </c>
      <c r="T976" s="407" t="n">
        <f aca="false">Таблица18[[#This Row],[Вес нетто]]-Таблица18[[#This Row],[Зачетный вес]]</f>
        <v>1533.4</v>
      </c>
      <c r="U976" s="409" t="n">
        <f aca="false">Таблица18[[#This Row],[Отход]]/Таблица18[[#This Row],[Вес нетто]]</f>
        <v>0.11</v>
      </c>
      <c r="V976" s="234" t="n">
        <f aca="false">MONTH(Таблица18[[#This Row],[Дата акта]])</f>
        <v>6</v>
      </c>
      <c r="W976" s="234" t="n">
        <v>8</v>
      </c>
      <c r="X976" s="248" t="n">
        <f aca="false">DATE(1900,Таблица18[[#This Row],[Месяц]],Таблица18[[#This Row],[Число]])</f>
        <v>160</v>
      </c>
      <c r="Y976" s="234"/>
      <c r="AF976" s="411"/>
      <c r="AG976" s="412"/>
    </row>
    <row r="977" s="410" customFormat="true" ht="15" hidden="true" customHeight="true" outlineLevel="0" collapsed="false">
      <c r="A977" s="198" t="s">
        <v>2599</v>
      </c>
      <c r="B977" s="199" t="s">
        <v>746</v>
      </c>
      <c r="C977" s="198" t="n">
        <v>314</v>
      </c>
      <c r="D977" s="198" t="n">
        <v>90</v>
      </c>
      <c r="E977" s="198" t="s">
        <v>422</v>
      </c>
      <c r="F977" s="198" t="s">
        <v>457</v>
      </c>
      <c r="G977" s="198" t="s">
        <v>366</v>
      </c>
      <c r="H977" s="198" t="s">
        <v>730</v>
      </c>
      <c r="I977" s="199" t="s">
        <v>730</v>
      </c>
      <c r="J977" s="198" t="s">
        <v>66</v>
      </c>
      <c r="K977" s="198" t="s">
        <v>1435</v>
      </c>
      <c r="L977" s="234" t="n">
        <v>29020</v>
      </c>
      <c r="M977" s="234" t="n">
        <v>14980</v>
      </c>
      <c r="N977" s="234" t="n">
        <v>14</v>
      </c>
      <c r="O977" s="407" t="n">
        <v>14040</v>
      </c>
      <c r="P977" s="407" t="n">
        <v>12074.4</v>
      </c>
      <c r="Q977" s="234" t="n">
        <v>2025</v>
      </c>
      <c r="R977" s="234"/>
      <c r="S977" s="248" t="n">
        <v>45816</v>
      </c>
      <c r="T977" s="407" t="n">
        <f aca="false">Таблица18[[#This Row],[Вес нетто]]-Таблица18[[#This Row],[Зачетный вес]]</f>
        <v>1965.6</v>
      </c>
      <c r="U977" s="409" t="n">
        <f aca="false">Таблица18[[#This Row],[Отход]]/Таблица18[[#This Row],[Вес нетто]]</f>
        <v>0.14</v>
      </c>
      <c r="V977" s="234" t="n">
        <f aca="false">MONTH(Таблица18[[#This Row],[Дата акта]])</f>
        <v>6</v>
      </c>
      <c r="W977" s="234" t="n">
        <v>8</v>
      </c>
      <c r="X977" s="248" t="n">
        <f aca="false">DATE(1900,Таблица18[[#This Row],[Месяц]],Таблица18[[#This Row],[Число]])</f>
        <v>160</v>
      </c>
      <c r="Y977" s="234"/>
      <c r="AF977" s="411"/>
      <c r="AG977" s="412"/>
    </row>
    <row r="978" s="410" customFormat="true" ht="15" hidden="true" customHeight="true" outlineLevel="0" collapsed="false">
      <c r="A978" s="198" t="s">
        <v>2600</v>
      </c>
      <c r="B978" s="199" t="s">
        <v>417</v>
      </c>
      <c r="C978" s="198" t="n">
        <v>316</v>
      </c>
      <c r="D978" s="198" t="n">
        <v>91</v>
      </c>
      <c r="E978" s="198" t="s">
        <v>867</v>
      </c>
      <c r="F978" s="198" t="s">
        <v>374</v>
      </c>
      <c r="G978" s="198" t="s">
        <v>375</v>
      </c>
      <c r="H978" s="198" t="s">
        <v>873</v>
      </c>
      <c r="I978" s="199" t="s">
        <v>873</v>
      </c>
      <c r="J978" s="198" t="s">
        <v>66</v>
      </c>
      <c r="K978" s="198" t="s">
        <v>1435</v>
      </c>
      <c r="L978" s="234" t="n">
        <v>9360</v>
      </c>
      <c r="M978" s="234" t="n">
        <v>4590</v>
      </c>
      <c r="N978" s="234" t="n">
        <v>22</v>
      </c>
      <c r="O978" s="407" t="n">
        <v>4770</v>
      </c>
      <c r="P978" s="407" t="n">
        <v>3720.6</v>
      </c>
      <c r="Q978" s="234" t="n">
        <v>2025</v>
      </c>
      <c r="R978" s="234"/>
      <c r="S978" s="248" t="n">
        <v>45816</v>
      </c>
      <c r="T978" s="407" t="n">
        <f aca="false">Таблица18[[#This Row],[Вес нетто]]-Таблица18[[#This Row],[Зачетный вес]]</f>
        <v>1049.4</v>
      </c>
      <c r="U978" s="409" t="n">
        <f aca="false">Таблица18[[#This Row],[Отход]]/Таблица18[[#This Row],[Вес нетто]]</f>
        <v>0.22</v>
      </c>
      <c r="V978" s="234" t="n">
        <f aca="false">MONTH(Таблица18[[#This Row],[Дата акта]])</f>
        <v>6</v>
      </c>
      <c r="W978" s="234" t="n">
        <v>8</v>
      </c>
      <c r="X978" s="248" t="n">
        <f aca="false">DATE(1900,Таблица18[[#This Row],[Месяц]],Таблица18[[#This Row],[Число]])</f>
        <v>160</v>
      </c>
      <c r="Y978" s="234"/>
      <c r="AF978" s="411"/>
      <c r="AG978" s="412"/>
    </row>
    <row r="979" s="410" customFormat="true" ht="15" hidden="true" customHeight="true" outlineLevel="0" collapsed="false">
      <c r="A979" s="198" t="s">
        <v>2601</v>
      </c>
      <c r="B979" s="199" t="s">
        <v>746</v>
      </c>
      <c r="C979" s="198" t="n">
        <v>317</v>
      </c>
      <c r="D979" s="198" t="n">
        <v>92</v>
      </c>
      <c r="E979" s="198" t="s">
        <v>422</v>
      </c>
      <c r="F979" s="198" t="s">
        <v>363</v>
      </c>
      <c r="G979" s="198" t="s">
        <v>364</v>
      </c>
      <c r="H979" s="198" t="s">
        <v>730</v>
      </c>
      <c r="I979" s="199" t="s">
        <v>730</v>
      </c>
      <c r="J979" s="198" t="s">
        <v>66</v>
      </c>
      <c r="K979" s="198" t="s">
        <v>1435</v>
      </c>
      <c r="L979" s="234" t="n">
        <v>28500</v>
      </c>
      <c r="M979" s="234" t="n">
        <v>14590</v>
      </c>
      <c r="N979" s="234" t="n">
        <v>23</v>
      </c>
      <c r="O979" s="407" t="n">
        <v>13910</v>
      </c>
      <c r="P979" s="407" t="n">
        <v>10710.7</v>
      </c>
      <c r="Q979" s="234" t="n">
        <v>2025</v>
      </c>
      <c r="R979" s="234"/>
      <c r="S979" s="248" t="n">
        <v>45816</v>
      </c>
      <c r="T979" s="407" t="n">
        <f aca="false">Таблица18[[#This Row],[Вес нетто]]-Таблица18[[#This Row],[Зачетный вес]]</f>
        <v>3199.3</v>
      </c>
      <c r="U979" s="409" t="n">
        <f aca="false">Таблица18[[#This Row],[Отход]]/Таблица18[[#This Row],[Вес нетто]]</f>
        <v>0.23</v>
      </c>
      <c r="V979" s="234" t="n">
        <f aca="false">MONTH(Таблица18[[#This Row],[Дата акта]])</f>
        <v>6</v>
      </c>
      <c r="W979" s="234" t="n">
        <v>8</v>
      </c>
      <c r="X979" s="248" t="n">
        <f aca="false">DATE(1900,Таблица18[[#This Row],[Месяц]],Таблица18[[#This Row],[Число]])</f>
        <v>160</v>
      </c>
      <c r="Y979" s="234"/>
      <c r="AF979" s="411"/>
      <c r="AG979" s="412"/>
    </row>
    <row r="980" s="410" customFormat="true" ht="15" hidden="true" customHeight="true" outlineLevel="0" collapsed="false">
      <c r="A980" s="198" t="s">
        <v>2602</v>
      </c>
      <c r="B980" s="199" t="s">
        <v>746</v>
      </c>
      <c r="C980" s="198" t="n">
        <v>318</v>
      </c>
      <c r="D980" s="198" t="n">
        <v>93</v>
      </c>
      <c r="E980" s="198" t="s">
        <v>422</v>
      </c>
      <c r="F980" s="198" t="s">
        <v>376</v>
      </c>
      <c r="G980" s="198" t="s">
        <v>875</v>
      </c>
      <c r="H980" s="198" t="s">
        <v>730</v>
      </c>
      <c r="I980" s="199" t="s">
        <v>730</v>
      </c>
      <c r="J980" s="198" t="s">
        <v>66</v>
      </c>
      <c r="K980" s="198" t="s">
        <v>1435</v>
      </c>
      <c r="L980" s="234" t="n">
        <v>25680</v>
      </c>
      <c r="M980" s="234" t="n">
        <v>14310</v>
      </c>
      <c r="N980" s="234" t="n">
        <v>14</v>
      </c>
      <c r="O980" s="407" t="n">
        <v>11370</v>
      </c>
      <c r="P980" s="407" t="n">
        <v>9778.2</v>
      </c>
      <c r="Q980" s="234" t="n">
        <v>2025</v>
      </c>
      <c r="R980" s="234"/>
      <c r="S980" s="248" t="n">
        <v>45816</v>
      </c>
      <c r="T980" s="407" t="n">
        <f aca="false">Таблица18[[#This Row],[Вес нетто]]-Таблица18[[#This Row],[Зачетный вес]]</f>
        <v>1591.8</v>
      </c>
      <c r="U980" s="409" t="n">
        <f aca="false">Таблица18[[#This Row],[Отход]]/Таблица18[[#This Row],[Вес нетто]]</f>
        <v>0.14</v>
      </c>
      <c r="V980" s="234" t="n">
        <f aca="false">MONTH(Таблица18[[#This Row],[Дата акта]])</f>
        <v>6</v>
      </c>
      <c r="W980" s="234" t="n">
        <v>8</v>
      </c>
      <c r="X980" s="248" t="n">
        <f aca="false">DATE(1900,Таблица18[[#This Row],[Месяц]],Таблица18[[#This Row],[Число]])</f>
        <v>160</v>
      </c>
      <c r="Y980" s="234"/>
      <c r="AF980" s="411"/>
      <c r="AG980" s="412"/>
    </row>
    <row r="981" s="410" customFormat="true" ht="15" hidden="true" customHeight="true" outlineLevel="0" collapsed="false">
      <c r="A981" s="198" t="s">
        <v>2603</v>
      </c>
      <c r="B981" s="199" t="s">
        <v>417</v>
      </c>
      <c r="C981" s="198" t="n">
        <v>319</v>
      </c>
      <c r="D981" s="198" t="n">
        <v>94</v>
      </c>
      <c r="E981" s="198" t="s">
        <v>422</v>
      </c>
      <c r="F981" s="198" t="s">
        <v>374</v>
      </c>
      <c r="G981" s="198" t="s">
        <v>375</v>
      </c>
      <c r="H981" s="198" t="s">
        <v>873</v>
      </c>
      <c r="I981" s="199" t="s">
        <v>873</v>
      </c>
      <c r="J981" s="198" t="s">
        <v>66</v>
      </c>
      <c r="K981" s="198" t="s">
        <v>1435</v>
      </c>
      <c r="L981" s="234" t="n">
        <v>9380</v>
      </c>
      <c r="M981" s="234" t="n">
        <v>4590</v>
      </c>
      <c r="N981" s="234" t="n">
        <v>17.5</v>
      </c>
      <c r="O981" s="407" t="n">
        <v>4790</v>
      </c>
      <c r="P981" s="407" t="n">
        <v>3951.7</v>
      </c>
      <c r="Q981" s="234" t="n">
        <v>2025</v>
      </c>
      <c r="R981" s="234"/>
      <c r="S981" s="248" t="n">
        <v>45816</v>
      </c>
      <c r="T981" s="407" t="n">
        <f aca="false">Таблица18[[#This Row],[Вес нетто]]-Таблица18[[#This Row],[Зачетный вес]]</f>
        <v>838.3</v>
      </c>
      <c r="U981" s="409" t="n">
        <f aca="false">Таблица18[[#This Row],[Отход]]/Таблица18[[#This Row],[Вес нетто]]</f>
        <v>0.175010438413361</v>
      </c>
      <c r="V981" s="234" t="n">
        <f aca="false">MONTH(Таблица18[[#This Row],[Дата акта]])</f>
        <v>6</v>
      </c>
      <c r="W981" s="234" t="n">
        <v>8</v>
      </c>
      <c r="X981" s="248" t="n">
        <f aca="false">DATE(1900,Таблица18[[#This Row],[Месяц]],Таблица18[[#This Row],[Число]])</f>
        <v>160</v>
      </c>
      <c r="Y981" s="234"/>
      <c r="AF981" s="411"/>
      <c r="AG981" s="412"/>
    </row>
    <row r="982" s="410" customFormat="true" ht="15" hidden="true" customHeight="true" outlineLevel="0" collapsed="false">
      <c r="A982" s="198" t="s">
        <v>2604</v>
      </c>
      <c r="B982" s="199" t="s">
        <v>746</v>
      </c>
      <c r="C982" s="198" t="n">
        <v>320</v>
      </c>
      <c r="D982" s="198" t="n">
        <v>95</v>
      </c>
      <c r="E982" s="198" t="s">
        <v>422</v>
      </c>
      <c r="F982" s="198" t="s">
        <v>371</v>
      </c>
      <c r="G982" s="198" t="s">
        <v>372</v>
      </c>
      <c r="H982" s="198" t="s">
        <v>730</v>
      </c>
      <c r="I982" s="199" t="s">
        <v>730</v>
      </c>
      <c r="J982" s="198" t="s">
        <v>66</v>
      </c>
      <c r="K982" s="198" t="s">
        <v>1435</v>
      </c>
      <c r="L982" s="234" t="n">
        <v>28720</v>
      </c>
      <c r="M982" s="234" t="n">
        <v>14930</v>
      </c>
      <c r="N982" s="234" t="n">
        <v>8.5</v>
      </c>
      <c r="O982" s="407" t="n">
        <v>13790</v>
      </c>
      <c r="P982" s="407" t="n">
        <v>12617.8</v>
      </c>
      <c r="Q982" s="234" t="n">
        <v>2025</v>
      </c>
      <c r="R982" s="234"/>
      <c r="S982" s="248" t="n">
        <v>45816</v>
      </c>
      <c r="T982" s="407" t="n">
        <f aca="false">Таблица18[[#This Row],[Вес нетто]]-Таблица18[[#This Row],[Зачетный вес]]</f>
        <v>1172.2</v>
      </c>
      <c r="U982" s="409" t="n">
        <f aca="false">Таблица18[[#This Row],[Отход]]/Таблица18[[#This Row],[Вес нетто]]</f>
        <v>0.0850036258158086</v>
      </c>
      <c r="V982" s="234" t="n">
        <f aca="false">MONTH(Таблица18[[#This Row],[Дата акта]])</f>
        <v>6</v>
      </c>
      <c r="W982" s="234" t="n">
        <v>8</v>
      </c>
      <c r="X982" s="248" t="n">
        <f aca="false">DATE(1900,Таблица18[[#This Row],[Месяц]],Таблица18[[#This Row],[Число]])</f>
        <v>160</v>
      </c>
      <c r="Y982" s="234"/>
      <c r="AF982" s="411"/>
      <c r="AG982" s="412"/>
    </row>
    <row r="983" s="410" customFormat="true" ht="15" hidden="true" customHeight="true" outlineLevel="0" collapsed="false">
      <c r="A983" s="198" t="s">
        <v>2605</v>
      </c>
      <c r="B983" s="199" t="s">
        <v>746</v>
      </c>
      <c r="C983" s="198" t="n">
        <v>322</v>
      </c>
      <c r="D983" s="198" t="n">
        <v>97</v>
      </c>
      <c r="E983" s="198" t="s">
        <v>422</v>
      </c>
      <c r="F983" s="198" t="s">
        <v>457</v>
      </c>
      <c r="G983" s="198" t="s">
        <v>366</v>
      </c>
      <c r="H983" s="198" t="s">
        <v>865</v>
      </c>
      <c r="I983" s="199" t="s">
        <v>865</v>
      </c>
      <c r="J983" s="198" t="s">
        <v>252</v>
      </c>
      <c r="K983" s="198" t="s">
        <v>1435</v>
      </c>
      <c r="L983" s="234" t="n">
        <v>29060</v>
      </c>
      <c r="M983" s="234" t="n">
        <v>22220</v>
      </c>
      <c r="N983" s="234" t="n">
        <v>8.5</v>
      </c>
      <c r="O983" s="407" t="n">
        <v>6840</v>
      </c>
      <c r="P983" s="407" t="n">
        <v>6258.6</v>
      </c>
      <c r="Q983" s="234" t="n">
        <v>2025</v>
      </c>
      <c r="R983" s="234"/>
      <c r="S983" s="248" t="n">
        <v>45816</v>
      </c>
      <c r="T983" s="407" t="n">
        <f aca="false">Таблица18[[#This Row],[Вес нетто]]-Таблица18[[#This Row],[Зачетный вес]]</f>
        <v>581.4</v>
      </c>
      <c r="U983" s="409" t="n">
        <f aca="false">Таблица18[[#This Row],[Отход]]/Таблица18[[#This Row],[Вес нетто]]</f>
        <v>0.085</v>
      </c>
      <c r="V983" s="234" t="n">
        <f aca="false">MONTH(Таблица18[[#This Row],[Дата акта]])</f>
        <v>6</v>
      </c>
      <c r="W983" s="234" t="n">
        <v>8</v>
      </c>
      <c r="X983" s="248" t="n">
        <f aca="false">DATE(1900,Таблица18[[#This Row],[Месяц]],Таблица18[[#This Row],[Число]])</f>
        <v>160</v>
      </c>
      <c r="Y983" s="234"/>
      <c r="AF983" s="411"/>
      <c r="AG983" s="412"/>
    </row>
    <row r="984" s="410" customFormat="true" ht="15" hidden="true" customHeight="true" outlineLevel="0" collapsed="false">
      <c r="A984" s="198" t="s">
        <v>2606</v>
      </c>
      <c r="B984" s="199" t="s">
        <v>746</v>
      </c>
      <c r="C984" s="198" t="n">
        <v>324</v>
      </c>
      <c r="D984" s="198" t="n">
        <v>97</v>
      </c>
      <c r="E984" s="198" t="s">
        <v>422</v>
      </c>
      <c r="F984" s="198" t="s">
        <v>457</v>
      </c>
      <c r="G984" s="198" t="s">
        <v>366</v>
      </c>
      <c r="H984" s="198" t="s">
        <v>730</v>
      </c>
      <c r="I984" s="199" t="s">
        <v>730</v>
      </c>
      <c r="J984" s="198" t="s">
        <v>66</v>
      </c>
      <c r="K984" s="198" t="s">
        <v>1435</v>
      </c>
      <c r="L984" s="234" t="n">
        <v>22220</v>
      </c>
      <c r="M984" s="234" t="n">
        <v>14960</v>
      </c>
      <c r="N984" s="234" t="n">
        <v>10</v>
      </c>
      <c r="O984" s="407" t="n">
        <v>7260</v>
      </c>
      <c r="P984" s="407" t="n">
        <v>6534</v>
      </c>
      <c r="Q984" s="234" t="n">
        <v>2025</v>
      </c>
      <c r="R984" s="234"/>
      <c r="S984" s="248" t="n">
        <v>45816</v>
      </c>
      <c r="T984" s="407" t="n">
        <f aca="false">Таблица18[[#This Row],[Вес нетто]]-Таблица18[[#This Row],[Зачетный вес]]</f>
        <v>726</v>
      </c>
      <c r="U984" s="409" t="n">
        <f aca="false">Таблица18[[#This Row],[Отход]]/Таблица18[[#This Row],[Вес нетто]]</f>
        <v>0.1</v>
      </c>
      <c r="V984" s="234" t="n">
        <f aca="false">MONTH(Таблица18[[#This Row],[Дата акта]])</f>
        <v>6</v>
      </c>
      <c r="W984" s="234" t="n">
        <v>8</v>
      </c>
      <c r="X984" s="248" t="n">
        <f aca="false">DATE(1900,Таблица18[[#This Row],[Месяц]],Таблица18[[#This Row],[Число]])</f>
        <v>160</v>
      </c>
      <c r="Y984" s="234"/>
      <c r="AF984" s="411"/>
      <c r="AG984" s="412"/>
    </row>
    <row r="985" s="410" customFormat="true" ht="15" hidden="true" customHeight="true" outlineLevel="0" collapsed="false">
      <c r="A985" s="198" t="s">
        <v>2607</v>
      </c>
      <c r="B985" s="199" t="s">
        <v>417</v>
      </c>
      <c r="C985" s="198" t="n">
        <v>323</v>
      </c>
      <c r="D985" s="198" t="n">
        <v>96</v>
      </c>
      <c r="E985" s="198" t="s">
        <v>422</v>
      </c>
      <c r="F985" s="198" t="s">
        <v>363</v>
      </c>
      <c r="G985" s="198" t="s">
        <v>364</v>
      </c>
      <c r="H985" s="198" t="s">
        <v>873</v>
      </c>
      <c r="I985" s="199" t="s">
        <v>873</v>
      </c>
      <c r="J985" s="198" t="s">
        <v>876</v>
      </c>
      <c r="K985" s="198" t="s">
        <v>1435</v>
      </c>
      <c r="L985" s="234" t="n">
        <v>29740</v>
      </c>
      <c r="M985" s="234" t="n">
        <v>22640</v>
      </c>
      <c r="N985" s="234" t="n">
        <v>14.5</v>
      </c>
      <c r="O985" s="407" t="n">
        <v>7100</v>
      </c>
      <c r="P985" s="407" t="n">
        <v>6070.5</v>
      </c>
      <c r="Q985" s="234" t="n">
        <v>2025</v>
      </c>
      <c r="R985" s="234"/>
      <c r="S985" s="248" t="n">
        <v>45816</v>
      </c>
      <c r="T985" s="407" t="n">
        <f aca="false">Таблица18[[#This Row],[Вес нетто]]-Таблица18[[#This Row],[Зачетный вес]]</f>
        <v>1029.5</v>
      </c>
      <c r="U985" s="409" t="n">
        <f aca="false">Таблица18[[#This Row],[Отход]]/Таблица18[[#This Row],[Вес нетто]]</f>
        <v>0.145</v>
      </c>
      <c r="V985" s="234" t="n">
        <f aca="false">MONTH(Таблица18[[#This Row],[Дата акта]])</f>
        <v>6</v>
      </c>
      <c r="W985" s="234" t="n">
        <v>8</v>
      </c>
      <c r="X985" s="248" t="n">
        <f aca="false">DATE(1900,Таблица18[[#This Row],[Месяц]],Таблица18[[#This Row],[Число]])</f>
        <v>160</v>
      </c>
      <c r="Y985" s="234"/>
      <c r="AF985" s="411"/>
      <c r="AG985" s="412"/>
    </row>
    <row r="986" s="410" customFormat="true" ht="15" hidden="true" customHeight="true" outlineLevel="0" collapsed="false">
      <c r="A986" s="198" t="s">
        <v>2608</v>
      </c>
      <c r="B986" s="199" t="s">
        <v>417</v>
      </c>
      <c r="C986" s="198" t="n">
        <v>326</v>
      </c>
      <c r="D986" s="198" t="n">
        <v>96</v>
      </c>
      <c r="E986" s="198" t="s">
        <v>422</v>
      </c>
      <c r="F986" s="198" t="s">
        <v>363</v>
      </c>
      <c r="G986" s="198" t="s">
        <v>364</v>
      </c>
      <c r="H986" s="198" t="s">
        <v>873</v>
      </c>
      <c r="I986" s="199" t="s">
        <v>873</v>
      </c>
      <c r="J986" s="198" t="s">
        <v>66</v>
      </c>
      <c r="K986" s="198" t="s">
        <v>1435</v>
      </c>
      <c r="L986" s="234" t="n">
        <v>22640</v>
      </c>
      <c r="M986" s="234" t="n">
        <v>14580</v>
      </c>
      <c r="N986" s="234" t="n">
        <v>14.5</v>
      </c>
      <c r="O986" s="407" t="n">
        <v>8060</v>
      </c>
      <c r="P986" s="407" t="n">
        <v>6891.3</v>
      </c>
      <c r="Q986" s="234" t="n">
        <v>2025</v>
      </c>
      <c r="R986" s="234"/>
      <c r="S986" s="248" t="n">
        <v>45816</v>
      </c>
      <c r="T986" s="407" t="n">
        <f aca="false">Таблица18[[#This Row],[Вес нетто]]-Таблица18[[#This Row],[Зачетный вес]]</f>
        <v>1168.7</v>
      </c>
      <c r="U986" s="409" t="n">
        <f aca="false">Таблица18[[#This Row],[Отход]]/Таблица18[[#This Row],[Вес нетто]]</f>
        <v>0.145</v>
      </c>
      <c r="V986" s="234" t="n">
        <f aca="false">MONTH(Таблица18[[#This Row],[Дата акта]])</f>
        <v>6</v>
      </c>
      <c r="W986" s="234" t="n">
        <v>8</v>
      </c>
      <c r="X986" s="248" t="n">
        <f aca="false">DATE(1900,Таблица18[[#This Row],[Месяц]],Таблица18[[#This Row],[Число]])</f>
        <v>160</v>
      </c>
      <c r="Y986" s="234"/>
      <c r="AF986" s="411"/>
      <c r="AG986" s="412"/>
    </row>
    <row r="987" s="410" customFormat="true" ht="15" hidden="true" customHeight="true" outlineLevel="0" collapsed="false">
      <c r="A987" s="198" t="s">
        <v>2609</v>
      </c>
      <c r="B987" s="199" t="s">
        <v>417</v>
      </c>
      <c r="C987" s="198" t="n">
        <v>325</v>
      </c>
      <c r="D987" s="198" t="n">
        <v>98</v>
      </c>
      <c r="E987" s="198" t="s">
        <v>422</v>
      </c>
      <c r="F987" s="198" t="s">
        <v>374</v>
      </c>
      <c r="G987" s="198" t="s">
        <v>375</v>
      </c>
      <c r="H987" s="198" t="s">
        <v>873</v>
      </c>
      <c r="I987" s="199" t="s">
        <v>873</v>
      </c>
      <c r="J987" s="198" t="s">
        <v>876</v>
      </c>
      <c r="K987" s="198" t="s">
        <v>1435</v>
      </c>
      <c r="L987" s="234" t="n">
        <v>9220</v>
      </c>
      <c r="M987" s="234" t="n">
        <v>4580</v>
      </c>
      <c r="N987" s="234" t="n">
        <v>14.5</v>
      </c>
      <c r="O987" s="407" t="n">
        <v>4640</v>
      </c>
      <c r="P987" s="407" t="n">
        <v>3967.2</v>
      </c>
      <c r="Q987" s="234" t="n">
        <v>2025</v>
      </c>
      <c r="R987" s="234"/>
      <c r="S987" s="248" t="n">
        <v>45816</v>
      </c>
      <c r="T987" s="407" t="n">
        <f aca="false">Таблица18[[#This Row],[Вес нетто]]-Таблица18[[#This Row],[Зачетный вес]]</f>
        <v>672.8</v>
      </c>
      <c r="U987" s="409" t="n">
        <f aca="false">Таблица18[[#This Row],[Отход]]/Таблица18[[#This Row],[Вес нетто]]</f>
        <v>0.145</v>
      </c>
      <c r="V987" s="234" t="n">
        <f aca="false">MONTH(Таблица18[[#This Row],[Дата акта]])</f>
        <v>6</v>
      </c>
      <c r="W987" s="234" t="n">
        <v>8</v>
      </c>
      <c r="X987" s="248" t="n">
        <f aca="false">DATE(1900,Таблица18[[#This Row],[Месяц]],Таблица18[[#This Row],[Число]])</f>
        <v>160</v>
      </c>
      <c r="Y987" s="234"/>
      <c r="AF987" s="411"/>
      <c r="AG987" s="412"/>
    </row>
    <row r="988" s="410" customFormat="true" ht="15" hidden="true" customHeight="true" outlineLevel="0" collapsed="false">
      <c r="A988" s="198" t="s">
        <v>2610</v>
      </c>
      <c r="B988" s="199" t="s">
        <v>746</v>
      </c>
      <c r="C988" s="198" t="n">
        <v>327</v>
      </c>
      <c r="D988" s="198" t="n">
        <v>99</v>
      </c>
      <c r="E988" s="198" t="s">
        <v>422</v>
      </c>
      <c r="F988" s="198" t="s">
        <v>376</v>
      </c>
      <c r="G988" s="198" t="s">
        <v>377</v>
      </c>
      <c r="H988" s="198" t="s">
        <v>865</v>
      </c>
      <c r="I988" s="199" t="s">
        <v>865</v>
      </c>
      <c r="J988" s="198" t="s">
        <v>252</v>
      </c>
      <c r="K988" s="198" t="s">
        <v>1435</v>
      </c>
      <c r="L988" s="234" t="n">
        <v>27940</v>
      </c>
      <c r="M988" s="234" t="n">
        <v>14300</v>
      </c>
      <c r="N988" s="234" t="n">
        <v>11.5</v>
      </c>
      <c r="O988" s="407" t="n">
        <v>13640</v>
      </c>
      <c r="P988" s="407" t="n">
        <v>12071.4</v>
      </c>
      <c r="Q988" s="234" t="n">
        <v>2025</v>
      </c>
      <c r="R988" s="234"/>
      <c r="S988" s="248" t="n">
        <v>45816</v>
      </c>
      <c r="T988" s="407" t="n">
        <f aca="false">Таблица18[[#This Row],[Вес нетто]]-Таблица18[[#This Row],[Зачетный вес]]</f>
        <v>1568.6</v>
      </c>
      <c r="U988" s="409" t="n">
        <f aca="false">Таблица18[[#This Row],[Отход]]/Таблица18[[#This Row],[Вес нетто]]</f>
        <v>0.115</v>
      </c>
      <c r="V988" s="234" t="n">
        <f aca="false">MONTH(Таблица18[[#This Row],[Дата акта]])</f>
        <v>6</v>
      </c>
      <c r="W988" s="234" t="n">
        <v>8</v>
      </c>
      <c r="X988" s="248" t="n">
        <f aca="false">DATE(1900,Таблица18[[#This Row],[Месяц]],Таблица18[[#This Row],[Число]])</f>
        <v>160</v>
      </c>
      <c r="Y988" s="234"/>
      <c r="AF988" s="411"/>
      <c r="AG988" s="412"/>
    </row>
    <row r="989" s="410" customFormat="true" ht="15" hidden="true" customHeight="true" outlineLevel="0" collapsed="false">
      <c r="A989" s="198" t="s">
        <v>2611</v>
      </c>
      <c r="B989" s="199" t="s">
        <v>746</v>
      </c>
      <c r="C989" s="198" t="n">
        <v>328</v>
      </c>
      <c r="D989" s="198" t="n">
        <v>100</v>
      </c>
      <c r="E989" s="198" t="s">
        <v>422</v>
      </c>
      <c r="F989" s="198" t="s">
        <v>371</v>
      </c>
      <c r="G989" s="198" t="s">
        <v>372</v>
      </c>
      <c r="H989" s="198" t="s">
        <v>865</v>
      </c>
      <c r="I989" s="199" t="s">
        <v>865</v>
      </c>
      <c r="J989" s="198" t="s">
        <v>252</v>
      </c>
      <c r="K989" s="198" t="s">
        <v>1435</v>
      </c>
      <c r="L989" s="234" t="n">
        <v>28390</v>
      </c>
      <c r="M989" s="234" t="n">
        <v>14920</v>
      </c>
      <c r="N989" s="234" t="n">
        <v>14.5</v>
      </c>
      <c r="O989" s="407" t="n">
        <v>13470</v>
      </c>
      <c r="P989" s="407" t="n">
        <v>11516.8</v>
      </c>
      <c r="Q989" s="234" t="n">
        <v>2025</v>
      </c>
      <c r="R989" s="234"/>
      <c r="S989" s="248" t="n">
        <v>45817</v>
      </c>
      <c r="T989" s="407" t="n">
        <f aca="false">Таблица18[[#This Row],[Вес нетто]]-Таблица18[[#This Row],[Зачетный вес]]</f>
        <v>1953.2</v>
      </c>
      <c r="U989" s="409" t="n">
        <f aca="false">Таблица18[[#This Row],[Отход]]/Таблица18[[#This Row],[Вес нетто]]</f>
        <v>0.145003711952487</v>
      </c>
      <c r="V989" s="234" t="n">
        <f aca="false">MONTH(Таблица18[[#This Row],[Дата акта]])</f>
        <v>6</v>
      </c>
      <c r="W989" s="234" t="n">
        <v>9</v>
      </c>
      <c r="X989" s="248" t="n">
        <f aca="false">DATE(1900,Таблица18[[#This Row],[Месяц]],Таблица18[[#This Row],[Число]])</f>
        <v>161</v>
      </c>
      <c r="Y989" s="234"/>
      <c r="AF989" s="411"/>
      <c r="AG989" s="412"/>
    </row>
    <row r="990" s="410" customFormat="true" ht="15" hidden="true" customHeight="true" outlineLevel="0" collapsed="false">
      <c r="A990" s="198" t="s">
        <v>2612</v>
      </c>
      <c r="B990" s="199" t="s">
        <v>417</v>
      </c>
      <c r="C990" s="198" t="n">
        <v>329</v>
      </c>
      <c r="D990" s="198" t="n">
        <v>101</v>
      </c>
      <c r="E990" s="198" t="s">
        <v>422</v>
      </c>
      <c r="F990" s="198" t="s">
        <v>363</v>
      </c>
      <c r="G990" s="198" t="s">
        <v>364</v>
      </c>
      <c r="H990" s="198" t="s">
        <v>865</v>
      </c>
      <c r="I990" s="199" t="s">
        <v>865</v>
      </c>
      <c r="J990" s="198" t="s">
        <v>252</v>
      </c>
      <c r="K990" s="198" t="s">
        <v>1435</v>
      </c>
      <c r="L990" s="234" t="n">
        <v>28980</v>
      </c>
      <c r="M990" s="234" t="n">
        <v>20040</v>
      </c>
      <c r="N990" s="234" t="n">
        <v>26.5</v>
      </c>
      <c r="O990" s="407" t="n">
        <v>8940</v>
      </c>
      <c r="P990" s="407" t="n">
        <v>6570.9</v>
      </c>
      <c r="Q990" s="234" t="n">
        <v>2025</v>
      </c>
      <c r="R990" s="234"/>
      <c r="S990" s="248" t="n">
        <v>45817</v>
      </c>
      <c r="T990" s="407" t="n">
        <f aca="false">Таблица18[[#This Row],[Вес нетто]]-Таблица18[[#This Row],[Зачетный вес]]</f>
        <v>2369.1</v>
      </c>
      <c r="U990" s="409" t="n">
        <f aca="false">Таблица18[[#This Row],[Отход]]/Таблица18[[#This Row],[Вес нетто]]</f>
        <v>0.265</v>
      </c>
      <c r="V990" s="234" t="n">
        <f aca="false">MONTH(Таблица18[[#This Row],[Дата акта]])</f>
        <v>6</v>
      </c>
      <c r="W990" s="234" t="n">
        <v>9</v>
      </c>
      <c r="X990" s="248" t="n">
        <f aca="false">DATE(1900,Таблица18[[#This Row],[Месяц]],Таблица18[[#This Row],[Число]])</f>
        <v>161</v>
      </c>
      <c r="Y990" s="234"/>
      <c r="AF990" s="411"/>
      <c r="AG990" s="412"/>
    </row>
    <row r="991" s="410" customFormat="true" ht="15" hidden="true" customHeight="true" outlineLevel="0" collapsed="false">
      <c r="A991" s="198" t="s">
        <v>2613</v>
      </c>
      <c r="B991" s="199" t="s">
        <v>417</v>
      </c>
      <c r="C991" s="198" t="n">
        <v>330</v>
      </c>
      <c r="D991" s="198" t="n">
        <v>101</v>
      </c>
      <c r="E991" s="198" t="s">
        <v>422</v>
      </c>
      <c r="F991" s="198" t="s">
        <v>363</v>
      </c>
      <c r="G991" s="198" t="s">
        <v>364</v>
      </c>
      <c r="H991" s="198" t="s">
        <v>873</v>
      </c>
      <c r="I991" s="199" t="s">
        <v>873</v>
      </c>
      <c r="J991" s="198" t="s">
        <v>876</v>
      </c>
      <c r="K991" s="198" t="s">
        <v>1435</v>
      </c>
      <c r="L991" s="234" t="n">
        <v>20040</v>
      </c>
      <c r="M991" s="234" t="n">
        <v>14560</v>
      </c>
      <c r="N991" s="234" t="n">
        <v>15.5</v>
      </c>
      <c r="O991" s="407" t="n">
        <v>5480</v>
      </c>
      <c r="P991" s="407" t="n">
        <v>4630.6</v>
      </c>
      <c r="Q991" s="234" t="n">
        <v>2025</v>
      </c>
      <c r="R991" s="234"/>
      <c r="S991" s="248" t="n">
        <v>45817</v>
      </c>
      <c r="T991" s="407" t="n">
        <f aca="false">Таблица18[[#This Row],[Вес нетто]]-Таблица18[[#This Row],[Зачетный вес]]</f>
        <v>849.4</v>
      </c>
      <c r="U991" s="409" t="n">
        <f aca="false">Таблица18[[#This Row],[Отход]]/Таблица18[[#This Row],[Вес нетто]]</f>
        <v>0.155</v>
      </c>
      <c r="V991" s="234" t="n">
        <f aca="false">MONTH(Таблица18[[#This Row],[Дата акта]])</f>
        <v>6</v>
      </c>
      <c r="W991" s="234" t="n">
        <v>9</v>
      </c>
      <c r="X991" s="248" t="n">
        <f aca="false">DATE(1900,Таблица18[[#This Row],[Месяц]],Таблица18[[#This Row],[Число]])</f>
        <v>161</v>
      </c>
      <c r="Y991" s="234"/>
      <c r="AF991" s="411"/>
      <c r="AG991" s="412"/>
    </row>
    <row r="992" s="410" customFormat="true" ht="15" hidden="true" customHeight="true" outlineLevel="0" collapsed="false">
      <c r="A992" s="198" t="s">
        <v>2614</v>
      </c>
      <c r="B992" s="199" t="s">
        <v>417</v>
      </c>
      <c r="C992" s="198" t="n">
        <v>331</v>
      </c>
      <c r="D992" s="198" t="n">
        <v>102</v>
      </c>
      <c r="E992" s="198" t="s">
        <v>422</v>
      </c>
      <c r="F992" s="198" t="s">
        <v>457</v>
      </c>
      <c r="G992" s="198" t="s">
        <v>366</v>
      </c>
      <c r="H992" s="198" t="s">
        <v>865</v>
      </c>
      <c r="I992" s="199" t="s">
        <v>865</v>
      </c>
      <c r="J992" s="198" t="s">
        <v>252</v>
      </c>
      <c r="K992" s="198" t="s">
        <v>1435</v>
      </c>
      <c r="L992" s="234" t="n">
        <v>29040</v>
      </c>
      <c r="M992" s="234" t="n">
        <v>14960</v>
      </c>
      <c r="N992" s="234" t="n">
        <v>27</v>
      </c>
      <c r="O992" s="407" t="n">
        <v>14080</v>
      </c>
      <c r="P992" s="407" t="n">
        <v>10278.4</v>
      </c>
      <c r="Q992" s="234" t="n">
        <v>2025</v>
      </c>
      <c r="R992" s="234"/>
      <c r="S992" s="248" t="n">
        <v>45817</v>
      </c>
      <c r="T992" s="407" t="n">
        <f aca="false">Таблица18[[#This Row],[Вес нетто]]-Таблица18[[#This Row],[Зачетный вес]]</f>
        <v>3801.6</v>
      </c>
      <c r="U992" s="409" t="n">
        <f aca="false">Таблица18[[#This Row],[Отход]]/Таблица18[[#This Row],[Вес нетто]]</f>
        <v>0.27</v>
      </c>
      <c r="V992" s="234" t="n">
        <f aca="false">MONTH(Таблица18[[#This Row],[Дата акта]])</f>
        <v>6</v>
      </c>
      <c r="W992" s="234" t="n">
        <v>9</v>
      </c>
      <c r="X992" s="248" t="n">
        <f aca="false">DATE(1900,Таблица18[[#This Row],[Месяц]],Таблица18[[#This Row],[Число]])</f>
        <v>161</v>
      </c>
      <c r="Y992" s="234"/>
      <c r="AF992" s="411"/>
      <c r="AG992" s="412"/>
    </row>
    <row r="993" s="410" customFormat="true" ht="15" hidden="true" customHeight="true" outlineLevel="0" collapsed="false">
      <c r="A993" s="198" t="s">
        <v>2615</v>
      </c>
      <c r="B993" s="199" t="s">
        <v>417</v>
      </c>
      <c r="C993" s="198" t="n">
        <v>332</v>
      </c>
      <c r="D993" s="198" t="n">
        <v>103</v>
      </c>
      <c r="E993" s="198" t="s">
        <v>422</v>
      </c>
      <c r="F993" s="198" t="s">
        <v>374</v>
      </c>
      <c r="G993" s="198" t="s">
        <v>375</v>
      </c>
      <c r="H993" s="198" t="s">
        <v>865</v>
      </c>
      <c r="I993" s="199" t="s">
        <v>865</v>
      </c>
      <c r="J993" s="198" t="s">
        <v>252</v>
      </c>
      <c r="K993" s="198" t="s">
        <v>1435</v>
      </c>
      <c r="L993" s="234" t="n">
        <v>7930</v>
      </c>
      <c r="M993" s="234" t="n">
        <v>4570</v>
      </c>
      <c r="N993" s="234" t="n">
        <v>11.5</v>
      </c>
      <c r="O993" s="407" t="n">
        <v>3360</v>
      </c>
      <c r="P993" s="407" t="n">
        <v>2973.6</v>
      </c>
      <c r="Q993" s="234" t="n">
        <v>2025</v>
      </c>
      <c r="R993" s="234"/>
      <c r="S993" s="248" t="n">
        <v>45817</v>
      </c>
      <c r="T993" s="407" t="n">
        <f aca="false">Таблица18[[#This Row],[Вес нетто]]-Таблица18[[#This Row],[Зачетный вес]]</f>
        <v>386.4</v>
      </c>
      <c r="U993" s="409" t="n">
        <f aca="false">Таблица18[[#This Row],[Отход]]/Таблица18[[#This Row],[Вес нетто]]</f>
        <v>0.115</v>
      </c>
      <c r="V993" s="234" t="n">
        <f aca="false">MONTH(Таблица18[[#This Row],[Дата акта]])</f>
        <v>6</v>
      </c>
      <c r="W993" s="234" t="n">
        <v>9</v>
      </c>
      <c r="X993" s="248" t="n">
        <f aca="false">DATE(1900,Таблица18[[#This Row],[Месяц]],Таблица18[[#This Row],[Число]])</f>
        <v>161</v>
      </c>
      <c r="Y993" s="234"/>
      <c r="AF993" s="411"/>
      <c r="AG993" s="412"/>
    </row>
    <row r="994" s="410" customFormat="true" ht="15" hidden="true" customHeight="true" outlineLevel="0" collapsed="false">
      <c r="A994" s="198" t="s">
        <v>2616</v>
      </c>
      <c r="B994" s="199" t="s">
        <v>746</v>
      </c>
      <c r="C994" s="198" t="n">
        <v>333</v>
      </c>
      <c r="D994" s="198" t="n">
        <v>104</v>
      </c>
      <c r="E994" s="198" t="s">
        <v>422</v>
      </c>
      <c r="F994" s="198" t="s">
        <v>376</v>
      </c>
      <c r="G994" s="198" t="s">
        <v>377</v>
      </c>
      <c r="H994" s="198" t="s">
        <v>865</v>
      </c>
      <c r="I994" s="199" t="s">
        <v>865</v>
      </c>
      <c r="J994" s="198" t="s">
        <v>252</v>
      </c>
      <c r="K994" s="198" t="s">
        <v>1435</v>
      </c>
      <c r="L994" s="234" t="n">
        <v>29700</v>
      </c>
      <c r="M994" s="234" t="n">
        <v>14290</v>
      </c>
      <c r="N994" s="234" t="n">
        <v>13</v>
      </c>
      <c r="O994" s="407" t="n">
        <v>15410</v>
      </c>
      <c r="P994" s="407" t="n">
        <v>13406.7</v>
      </c>
      <c r="Q994" s="234" t="n">
        <v>2025</v>
      </c>
      <c r="R994" s="234"/>
      <c r="S994" s="248" t="n">
        <v>45817</v>
      </c>
      <c r="T994" s="407" t="n">
        <f aca="false">Таблица18[[#This Row],[Вес нетто]]-Таблица18[[#This Row],[Зачетный вес]]</f>
        <v>2003.3</v>
      </c>
      <c r="U994" s="409" t="n">
        <f aca="false">Таблица18[[#This Row],[Отход]]/Таблица18[[#This Row],[Вес нетто]]</f>
        <v>0.13</v>
      </c>
      <c r="V994" s="234" t="n">
        <f aca="false">MONTH(Таблица18[[#This Row],[Дата акта]])</f>
        <v>6</v>
      </c>
      <c r="W994" s="234" t="n">
        <v>9</v>
      </c>
      <c r="X994" s="248" t="n">
        <f aca="false">DATE(1900,Таблица18[[#This Row],[Месяц]],Таблица18[[#This Row],[Число]])</f>
        <v>161</v>
      </c>
      <c r="Y994" s="234"/>
      <c r="AF994" s="411"/>
      <c r="AG994" s="412"/>
    </row>
    <row r="995" s="410" customFormat="true" ht="15" hidden="true" customHeight="true" outlineLevel="0" collapsed="false">
      <c r="A995" s="198" t="s">
        <v>2617</v>
      </c>
      <c r="B995" s="199" t="s">
        <v>417</v>
      </c>
      <c r="C995" s="198" t="n">
        <v>243</v>
      </c>
      <c r="D995" s="198" t="s">
        <v>878</v>
      </c>
      <c r="E995" s="198" t="s">
        <v>422</v>
      </c>
      <c r="F995" s="198" t="s">
        <v>602</v>
      </c>
      <c r="G995" s="198" t="s">
        <v>606</v>
      </c>
      <c r="H995" s="198" t="s">
        <v>730</v>
      </c>
      <c r="I995" s="199" t="s">
        <v>730</v>
      </c>
      <c r="J995" s="198" t="s">
        <v>47</v>
      </c>
      <c r="K995" s="198" t="s">
        <v>1435</v>
      </c>
      <c r="L995" s="234" t="n">
        <v>31330</v>
      </c>
      <c r="M995" s="234" t="n">
        <v>17860</v>
      </c>
      <c r="N995" s="234" t="n">
        <v>17.6</v>
      </c>
      <c r="O995" s="407" t="n">
        <v>13470</v>
      </c>
      <c r="P995" s="407" t="n">
        <v>11105.4</v>
      </c>
      <c r="Q995" s="234" t="n">
        <v>2025</v>
      </c>
      <c r="R995" s="234"/>
      <c r="S995" s="248" t="n">
        <v>45814</v>
      </c>
      <c r="T995" s="407" t="n">
        <f aca="false">Таблица18[[#This Row],[Вес нетто]]-Таблица18[[#This Row],[Зачетный вес]]</f>
        <v>2364.6</v>
      </c>
      <c r="U995" s="409" t="n">
        <f aca="false">Таблица18[[#This Row],[Отход]]/Таблица18[[#This Row],[Вес нетто]]</f>
        <v>0.17554565701559</v>
      </c>
      <c r="V995" s="234" t="n">
        <f aca="false">MONTH(Таблица18[[#This Row],[Дата акта]])</f>
        <v>6</v>
      </c>
      <c r="W995" s="234" t="n">
        <v>6</v>
      </c>
      <c r="X995" s="248" t="n">
        <f aca="false">DATE(1900,Таблица18[[#This Row],[Месяц]],Таблица18[[#This Row],[Число]])</f>
        <v>158</v>
      </c>
      <c r="Y995" s="234"/>
      <c r="AF995" s="411"/>
      <c r="AG995" s="412"/>
    </row>
    <row r="996" s="410" customFormat="true" ht="15" hidden="true" customHeight="true" outlineLevel="0" collapsed="false">
      <c r="A996" s="198" t="s">
        <v>2618</v>
      </c>
      <c r="B996" s="199" t="s">
        <v>417</v>
      </c>
      <c r="C996" s="198" t="n">
        <v>247</v>
      </c>
      <c r="D996" s="198" t="s">
        <v>879</v>
      </c>
      <c r="E996" s="198" t="s">
        <v>761</v>
      </c>
      <c r="F996" s="198" t="s">
        <v>610</v>
      </c>
      <c r="G996" s="198" t="s">
        <v>614</v>
      </c>
      <c r="H996" s="198" t="s">
        <v>730</v>
      </c>
      <c r="I996" s="199" t="s">
        <v>730</v>
      </c>
      <c r="J996" s="198" t="s">
        <v>47</v>
      </c>
      <c r="K996" s="198" t="s">
        <v>1435</v>
      </c>
      <c r="L996" s="234" t="n">
        <v>30930</v>
      </c>
      <c r="M996" s="234" t="n">
        <v>16950</v>
      </c>
      <c r="N996" s="234" t="n">
        <v>17.1</v>
      </c>
      <c r="O996" s="407" t="n">
        <v>13980</v>
      </c>
      <c r="P996" s="407" t="n">
        <v>11587</v>
      </c>
      <c r="Q996" s="234" t="n">
        <v>2025</v>
      </c>
      <c r="R996" s="234"/>
      <c r="S996" s="248" t="n">
        <v>45814</v>
      </c>
      <c r="T996" s="407" t="n">
        <f aca="false">Таблица18[[#This Row],[Вес нетто]]-Таблица18[[#This Row],[Зачетный вес]]</f>
        <v>2393</v>
      </c>
      <c r="U996" s="409" t="n">
        <f aca="false">Таблица18[[#This Row],[Отход]]/Таблица18[[#This Row],[Вес нетто]]</f>
        <v>0.171173104434907</v>
      </c>
      <c r="V996" s="234" t="n">
        <f aca="false">MONTH(Таблица18[[#This Row],[Дата акта]])</f>
        <v>6</v>
      </c>
      <c r="W996" s="234" t="n">
        <v>6</v>
      </c>
      <c r="X996" s="248" t="n">
        <f aca="false">DATE(1900,Таблица18[[#This Row],[Месяц]],Таблица18[[#This Row],[Число]])</f>
        <v>158</v>
      </c>
      <c r="Y996" s="234"/>
      <c r="AF996" s="411"/>
      <c r="AG996" s="412"/>
    </row>
    <row r="997" s="410" customFormat="true" ht="15" hidden="true" customHeight="true" outlineLevel="0" collapsed="false">
      <c r="A997" s="198" t="s">
        <v>2619</v>
      </c>
      <c r="B997" s="199" t="s">
        <v>417</v>
      </c>
      <c r="C997" s="198" t="n">
        <v>262</v>
      </c>
      <c r="D997" s="198" t="s">
        <v>880</v>
      </c>
      <c r="E997" s="198" t="s">
        <v>422</v>
      </c>
      <c r="F997" s="198" t="s">
        <v>677</v>
      </c>
      <c r="G997" s="198" t="s">
        <v>681</v>
      </c>
      <c r="H997" s="198" t="s">
        <v>730</v>
      </c>
      <c r="I997" s="199" t="s">
        <v>730</v>
      </c>
      <c r="J997" s="198" t="s">
        <v>47</v>
      </c>
      <c r="K997" s="198" t="s">
        <v>1435</v>
      </c>
      <c r="L997" s="234" t="n">
        <v>32070</v>
      </c>
      <c r="M997" s="234" t="n">
        <v>16710</v>
      </c>
      <c r="N997" s="234" t="n">
        <v>18.3</v>
      </c>
      <c r="O997" s="407" t="n">
        <v>15360</v>
      </c>
      <c r="P997" s="407" t="n">
        <v>12544.9</v>
      </c>
      <c r="Q997" s="234" t="n">
        <v>2025</v>
      </c>
      <c r="R997" s="234"/>
      <c r="S997" s="248" t="n">
        <v>45814</v>
      </c>
      <c r="T997" s="407" t="n">
        <f aca="false">Таблица18[[#This Row],[Вес нетто]]-Таблица18[[#This Row],[Зачетный вес]]</f>
        <v>2815.1</v>
      </c>
      <c r="U997" s="409" t="n">
        <f aca="false">Таблица18[[#This Row],[Отход]]/Таблица18[[#This Row],[Вес нетто]]</f>
        <v>0.183274739583333</v>
      </c>
      <c r="V997" s="234" t="n">
        <f aca="false">MONTH(Таблица18[[#This Row],[Дата акта]])</f>
        <v>6</v>
      </c>
      <c r="W997" s="234" t="n">
        <v>6</v>
      </c>
      <c r="X997" s="248" t="n">
        <f aca="false">DATE(1900,Таблица18[[#This Row],[Месяц]],Таблица18[[#This Row],[Число]])</f>
        <v>158</v>
      </c>
      <c r="Y997" s="234"/>
      <c r="AF997" s="411"/>
      <c r="AG997" s="412"/>
    </row>
    <row r="998" s="410" customFormat="true" ht="15" hidden="true" customHeight="true" outlineLevel="0" collapsed="false">
      <c r="A998" s="198" t="s">
        <v>2620</v>
      </c>
      <c r="B998" s="199" t="s">
        <v>417</v>
      </c>
      <c r="C998" s="198" t="n">
        <v>264</v>
      </c>
      <c r="D998" s="198" t="s">
        <v>881</v>
      </c>
      <c r="E998" s="198" t="s">
        <v>761</v>
      </c>
      <c r="F998" s="198" t="s">
        <v>617</v>
      </c>
      <c r="G998" s="198" t="s">
        <v>621</v>
      </c>
      <c r="H998" s="198" t="s">
        <v>730</v>
      </c>
      <c r="I998" s="199" t="s">
        <v>730</v>
      </c>
      <c r="J998" s="198" t="s">
        <v>252</v>
      </c>
      <c r="K998" s="198" t="s">
        <v>1435</v>
      </c>
      <c r="L998" s="234" t="n">
        <v>30510</v>
      </c>
      <c r="M998" s="234" t="n">
        <v>17670</v>
      </c>
      <c r="N998" s="234" t="n">
        <v>16.7</v>
      </c>
      <c r="O998" s="407" t="n">
        <v>12840</v>
      </c>
      <c r="P998" s="407" t="n">
        <v>10697.5</v>
      </c>
      <c r="Q998" s="234" t="n">
        <v>2025</v>
      </c>
      <c r="R998" s="234"/>
      <c r="S998" s="248" t="n">
        <v>45814</v>
      </c>
      <c r="T998" s="407" t="n">
        <f aca="false">Таблица18[[#This Row],[Вес нетто]]-Таблица18[[#This Row],[Зачетный вес]]</f>
        <v>2142.5</v>
      </c>
      <c r="U998" s="409" t="n">
        <f aca="false">Таблица18[[#This Row],[Отход]]/Таблица18[[#This Row],[Вес нетто]]</f>
        <v>0.166861370716511</v>
      </c>
      <c r="V998" s="234" t="n">
        <f aca="false">MONTH(Таблица18[[#This Row],[Дата акта]])</f>
        <v>6</v>
      </c>
      <c r="W998" s="234" t="n">
        <v>6</v>
      </c>
      <c r="X998" s="248" t="n">
        <f aca="false">DATE(1900,Таблица18[[#This Row],[Месяц]],Таблица18[[#This Row],[Число]])</f>
        <v>158</v>
      </c>
      <c r="Y998" s="234"/>
      <c r="AF998" s="411"/>
      <c r="AG998" s="412"/>
    </row>
    <row r="999" s="410" customFormat="true" ht="15" hidden="true" customHeight="true" outlineLevel="0" collapsed="false">
      <c r="A999" s="198" t="s">
        <v>2621</v>
      </c>
      <c r="B999" s="199" t="s">
        <v>417</v>
      </c>
      <c r="C999" s="198" t="n">
        <v>261</v>
      </c>
      <c r="D999" s="198" t="s">
        <v>882</v>
      </c>
      <c r="E999" s="198" t="s">
        <v>422</v>
      </c>
      <c r="F999" s="198" t="s">
        <v>685</v>
      </c>
      <c r="G999" s="198" t="s">
        <v>689</v>
      </c>
      <c r="H999" s="198" t="s">
        <v>865</v>
      </c>
      <c r="I999" s="199" t="s">
        <v>865</v>
      </c>
      <c r="J999" s="198" t="s">
        <v>252</v>
      </c>
      <c r="K999" s="198" t="s">
        <v>1435</v>
      </c>
      <c r="L999" s="234" t="n">
        <v>35150</v>
      </c>
      <c r="M999" s="234" t="n">
        <v>18810</v>
      </c>
      <c r="N999" s="234" t="n">
        <v>13.5</v>
      </c>
      <c r="O999" s="407" t="n">
        <v>16340</v>
      </c>
      <c r="P999" s="407" t="n">
        <v>14133.1</v>
      </c>
      <c r="Q999" s="234" t="n">
        <v>2025</v>
      </c>
      <c r="R999" s="234"/>
      <c r="S999" s="248" t="n">
        <v>45814</v>
      </c>
      <c r="T999" s="407" t="n">
        <f aca="false">Таблица18[[#This Row],[Вес нетто]]-Таблица18[[#This Row],[Зачетный вес]]</f>
        <v>2206.9</v>
      </c>
      <c r="U999" s="409" t="n">
        <f aca="false">Таблица18[[#This Row],[Отход]]/Таблица18[[#This Row],[Вес нетто]]</f>
        <v>0.135061199510404</v>
      </c>
      <c r="V999" s="234" t="n">
        <f aca="false">MONTH(Таблица18[[#This Row],[Дата акта]])</f>
        <v>6</v>
      </c>
      <c r="W999" s="234" t="n">
        <v>6</v>
      </c>
      <c r="X999" s="248" t="n">
        <f aca="false">DATE(1900,Таблица18[[#This Row],[Месяц]],Таблица18[[#This Row],[Число]])</f>
        <v>158</v>
      </c>
      <c r="Y999" s="234"/>
      <c r="AF999" s="411"/>
      <c r="AG999" s="412"/>
    </row>
    <row r="1000" s="410" customFormat="true" ht="15" hidden="true" customHeight="true" outlineLevel="0" collapsed="false">
      <c r="A1000" s="198" t="s">
        <v>2622</v>
      </c>
      <c r="B1000" s="199" t="s">
        <v>417</v>
      </c>
      <c r="C1000" s="198" t="n">
        <v>337</v>
      </c>
      <c r="D1000" s="198" t="n">
        <v>64</v>
      </c>
      <c r="E1000" s="198" t="s">
        <v>422</v>
      </c>
      <c r="F1000" s="198" t="s">
        <v>48</v>
      </c>
      <c r="G1000" s="198" t="s">
        <v>49</v>
      </c>
      <c r="H1000" s="198" t="s">
        <v>865</v>
      </c>
      <c r="I1000" s="199" t="s">
        <v>865</v>
      </c>
      <c r="J1000" s="198" t="s">
        <v>252</v>
      </c>
      <c r="K1000" s="198" t="s">
        <v>1435</v>
      </c>
      <c r="L1000" s="234" t="n">
        <v>23850</v>
      </c>
      <c r="M1000" s="234" t="n">
        <v>14890</v>
      </c>
      <c r="N1000" s="234" t="n">
        <v>16</v>
      </c>
      <c r="O1000" s="407" t="n">
        <v>8960</v>
      </c>
      <c r="P1000" s="407" t="n">
        <v>7526.4</v>
      </c>
      <c r="Q1000" s="234" t="n">
        <v>2025</v>
      </c>
      <c r="R1000" s="234"/>
      <c r="S1000" s="248" t="n">
        <v>45815</v>
      </c>
      <c r="T1000" s="407" t="n">
        <f aca="false">Таблица18[[#This Row],[Вес нетто]]-Таблица18[[#This Row],[Зачетный вес]]</f>
        <v>1433.6</v>
      </c>
      <c r="U1000" s="409" t="n">
        <f aca="false">Таблица18[[#This Row],[Отход]]/Таблица18[[#This Row],[Вес нетто]]</f>
        <v>0.16</v>
      </c>
      <c r="V1000" s="234" t="n">
        <f aca="false">MONTH(Таблица18[[#This Row],[Дата акта]])</f>
        <v>6</v>
      </c>
      <c r="W1000" s="234" t="n">
        <v>7</v>
      </c>
      <c r="X1000" s="248" t="n">
        <f aca="false">DATE(1900,Таблица18[[#This Row],[Месяц]],Таблица18[[#This Row],[Число]])</f>
        <v>159</v>
      </c>
      <c r="Y1000" s="234"/>
      <c r="AF1000" s="411"/>
      <c r="AG1000" s="412"/>
    </row>
    <row r="1001" s="410" customFormat="true" ht="15" hidden="true" customHeight="true" outlineLevel="0" collapsed="false">
      <c r="A1001" s="198" t="s">
        <v>2623</v>
      </c>
      <c r="B1001" s="199" t="s">
        <v>417</v>
      </c>
      <c r="C1001" s="198" t="n">
        <v>280</v>
      </c>
      <c r="D1001" s="198" t="s">
        <v>883</v>
      </c>
      <c r="E1001" s="198" t="s">
        <v>422</v>
      </c>
      <c r="F1001" s="198" t="s">
        <v>792</v>
      </c>
      <c r="G1001" s="198" t="s">
        <v>793</v>
      </c>
      <c r="H1001" s="198" t="s">
        <v>865</v>
      </c>
      <c r="I1001" s="199" t="s">
        <v>865</v>
      </c>
      <c r="J1001" s="198" t="s">
        <v>252</v>
      </c>
      <c r="K1001" s="198" t="s">
        <v>1435</v>
      </c>
      <c r="L1001" s="234" t="n">
        <v>31050</v>
      </c>
      <c r="M1001" s="234" t="n">
        <v>17130</v>
      </c>
      <c r="N1001" s="234" t="n">
        <v>19</v>
      </c>
      <c r="O1001" s="407" t="n">
        <v>13920</v>
      </c>
      <c r="P1001" s="407" t="n">
        <v>11279.6</v>
      </c>
      <c r="Q1001" s="234" t="n">
        <v>2025</v>
      </c>
      <c r="R1001" s="234"/>
      <c r="S1001" s="248" t="n">
        <v>45815</v>
      </c>
      <c r="T1001" s="407" t="n">
        <f aca="false">Таблица18[[#This Row],[Вес нетто]]-Таблица18[[#This Row],[Зачетный вес]]</f>
        <v>2640.4</v>
      </c>
      <c r="U1001" s="409" t="n">
        <f aca="false">Таблица18[[#This Row],[Отход]]/Таблица18[[#This Row],[Вес нетто]]</f>
        <v>0.189683908045977</v>
      </c>
      <c r="V1001" s="234" t="n">
        <f aca="false">MONTH(Таблица18[[#This Row],[Дата акта]])</f>
        <v>6</v>
      </c>
      <c r="W1001" s="234" t="n">
        <v>7</v>
      </c>
      <c r="X1001" s="248" t="n">
        <f aca="false">DATE(1900,Таблица18[[#This Row],[Месяц]],Таблица18[[#This Row],[Число]])</f>
        <v>159</v>
      </c>
      <c r="Y1001" s="234"/>
      <c r="AF1001" s="411"/>
      <c r="AG1001" s="412"/>
    </row>
    <row r="1002" s="410" customFormat="true" ht="15" hidden="true" customHeight="true" outlineLevel="0" collapsed="false">
      <c r="A1002" s="198" t="s">
        <v>2624</v>
      </c>
      <c r="B1002" s="199" t="s">
        <v>417</v>
      </c>
      <c r="C1002" s="198" t="n">
        <v>269</v>
      </c>
      <c r="D1002" s="198" t="s">
        <v>884</v>
      </c>
      <c r="E1002" s="198" t="s">
        <v>422</v>
      </c>
      <c r="F1002" s="198" t="s">
        <v>799</v>
      </c>
      <c r="G1002" s="198" t="s">
        <v>800</v>
      </c>
      <c r="H1002" s="198" t="s">
        <v>865</v>
      </c>
      <c r="I1002" s="199" t="s">
        <v>865</v>
      </c>
      <c r="J1002" s="198" t="s">
        <v>252</v>
      </c>
      <c r="K1002" s="198" t="s">
        <v>1435</v>
      </c>
      <c r="L1002" s="234" t="n">
        <v>32130</v>
      </c>
      <c r="M1002" s="234" t="n">
        <v>16130</v>
      </c>
      <c r="N1002" s="234" t="n">
        <v>18.9</v>
      </c>
      <c r="O1002" s="407" t="n">
        <v>16000</v>
      </c>
      <c r="P1002" s="407" t="n">
        <v>12975.8</v>
      </c>
      <c r="Q1002" s="234" t="n">
        <v>2025</v>
      </c>
      <c r="R1002" s="234"/>
      <c r="S1002" s="248" t="n">
        <v>45815</v>
      </c>
      <c r="T1002" s="407" t="n">
        <f aca="false">Таблица18[[#This Row],[Вес нетто]]-Таблица18[[#This Row],[Зачетный вес]]</f>
        <v>3024.2</v>
      </c>
      <c r="U1002" s="409" t="n">
        <f aca="false">Таблица18[[#This Row],[Отход]]/Таблица18[[#This Row],[Вес нетто]]</f>
        <v>0.1890125</v>
      </c>
      <c r="V1002" s="234" t="n">
        <f aca="false">MONTH(Таблица18[[#This Row],[Дата акта]])</f>
        <v>6</v>
      </c>
      <c r="W1002" s="234" t="n">
        <v>7</v>
      </c>
      <c r="X1002" s="248" t="n">
        <f aca="false">DATE(1900,Таблица18[[#This Row],[Месяц]],Таблица18[[#This Row],[Число]])</f>
        <v>159</v>
      </c>
      <c r="Y1002" s="234"/>
      <c r="AF1002" s="411"/>
      <c r="AG1002" s="412"/>
    </row>
    <row r="1003" s="410" customFormat="true" ht="15" hidden="true" customHeight="true" outlineLevel="0" collapsed="false">
      <c r="A1003" s="198" t="s">
        <v>2625</v>
      </c>
      <c r="B1003" s="199" t="s">
        <v>886</v>
      </c>
      <c r="C1003" s="198" t="n">
        <v>336</v>
      </c>
      <c r="D1003" s="198" t="n">
        <v>105</v>
      </c>
      <c r="E1003" s="198" t="s">
        <v>422</v>
      </c>
      <c r="F1003" s="198" t="s">
        <v>359</v>
      </c>
      <c r="G1003" s="198" t="s">
        <v>426</v>
      </c>
      <c r="H1003" s="198" t="s">
        <v>885</v>
      </c>
      <c r="I1003" s="199" t="s">
        <v>885</v>
      </c>
      <c r="J1003" s="198" t="s">
        <v>47</v>
      </c>
      <c r="K1003" s="198" t="s">
        <v>1435</v>
      </c>
      <c r="L1003" s="234" t="n">
        <v>22920</v>
      </c>
      <c r="M1003" s="234" t="n">
        <v>13920</v>
      </c>
      <c r="N1003" s="234" t="n">
        <v>12</v>
      </c>
      <c r="O1003" s="407" t="n">
        <v>9000</v>
      </c>
      <c r="P1003" s="407" t="n">
        <v>7920</v>
      </c>
      <c r="Q1003" s="234" t="n">
        <v>2025</v>
      </c>
      <c r="R1003" s="234"/>
      <c r="S1003" s="248" t="n">
        <v>45817</v>
      </c>
      <c r="T1003" s="407" t="n">
        <f aca="false">Таблица18[[#This Row],[Вес нетто]]-Таблица18[[#This Row],[Зачетный вес]]</f>
        <v>1080</v>
      </c>
      <c r="U1003" s="409" t="n">
        <f aca="false">Таблица18[[#This Row],[Отход]]/Таблица18[[#This Row],[Вес нетто]]</f>
        <v>0.12</v>
      </c>
      <c r="V1003" s="234" t="n">
        <f aca="false">MONTH(Таблица18[[#This Row],[Дата акта]])</f>
        <v>6</v>
      </c>
      <c r="W1003" s="234" t="n">
        <v>9</v>
      </c>
      <c r="X1003" s="248" t="n">
        <f aca="false">DATE(1900,Таблица18[[#This Row],[Месяц]],Таблица18[[#This Row],[Число]])</f>
        <v>161</v>
      </c>
      <c r="Y1003" s="234"/>
      <c r="AF1003" s="411"/>
      <c r="AG1003" s="412"/>
    </row>
    <row r="1004" s="410" customFormat="true" ht="15" hidden="true" customHeight="true" outlineLevel="0" collapsed="false">
      <c r="A1004" s="198" t="s">
        <v>2626</v>
      </c>
      <c r="B1004" s="199" t="s">
        <v>746</v>
      </c>
      <c r="C1004" s="198" t="n">
        <v>338</v>
      </c>
      <c r="D1004" s="198" t="n">
        <v>106</v>
      </c>
      <c r="E1004" s="198" t="s">
        <v>422</v>
      </c>
      <c r="F1004" s="198" t="s">
        <v>55</v>
      </c>
      <c r="G1004" s="198" t="s">
        <v>56</v>
      </c>
      <c r="H1004" s="198" t="s">
        <v>865</v>
      </c>
      <c r="I1004" s="199" t="s">
        <v>865</v>
      </c>
      <c r="J1004" s="198" t="s">
        <v>252</v>
      </c>
      <c r="K1004" s="198" t="s">
        <v>1435</v>
      </c>
      <c r="L1004" s="234" t="n">
        <v>27980</v>
      </c>
      <c r="M1004" s="234" t="n">
        <v>14750</v>
      </c>
      <c r="N1004" s="234" t="n">
        <v>16</v>
      </c>
      <c r="O1004" s="407" t="n">
        <v>13230</v>
      </c>
      <c r="P1004" s="407" t="n">
        <v>11113.2</v>
      </c>
      <c r="Q1004" s="234" t="n">
        <v>2025</v>
      </c>
      <c r="R1004" s="234"/>
      <c r="S1004" s="248" t="n">
        <v>45817</v>
      </c>
      <c r="T1004" s="407" t="n">
        <f aca="false">Таблица18[[#This Row],[Вес нетто]]-Таблица18[[#This Row],[Зачетный вес]]</f>
        <v>2116.8</v>
      </c>
      <c r="U1004" s="409" t="n">
        <f aca="false">Таблица18[[#This Row],[Отход]]/Таблица18[[#This Row],[Вес нетто]]</f>
        <v>0.16</v>
      </c>
      <c r="V1004" s="234" t="n">
        <f aca="false">MONTH(Таблица18[[#This Row],[Дата акта]])</f>
        <v>6</v>
      </c>
      <c r="W1004" s="234" t="n">
        <v>9</v>
      </c>
      <c r="X1004" s="248" t="n">
        <f aca="false">DATE(1900,Таблица18[[#This Row],[Месяц]],Таблица18[[#This Row],[Число]])</f>
        <v>161</v>
      </c>
      <c r="Y1004" s="234"/>
      <c r="AF1004" s="411"/>
      <c r="AG1004" s="412"/>
    </row>
    <row r="1005" s="410" customFormat="true" ht="15" hidden="true" customHeight="true" outlineLevel="0" collapsed="false">
      <c r="A1005" s="198" t="s">
        <v>2627</v>
      </c>
      <c r="B1005" s="199" t="s">
        <v>746</v>
      </c>
      <c r="C1005" s="198" t="n">
        <v>339</v>
      </c>
      <c r="D1005" s="198" t="n">
        <v>107</v>
      </c>
      <c r="E1005" s="198" t="s">
        <v>422</v>
      </c>
      <c r="F1005" s="198" t="s">
        <v>411</v>
      </c>
      <c r="G1005" s="198" t="s">
        <v>887</v>
      </c>
      <c r="H1005" s="198" t="s">
        <v>885</v>
      </c>
      <c r="I1005" s="199" t="s">
        <v>885</v>
      </c>
      <c r="J1005" s="198" t="s">
        <v>47</v>
      </c>
      <c r="K1005" s="198" t="s">
        <v>1435</v>
      </c>
      <c r="L1005" s="234" t="n">
        <v>23280</v>
      </c>
      <c r="M1005" s="234" t="n">
        <v>14180</v>
      </c>
      <c r="N1005" s="234" t="n">
        <v>14.5</v>
      </c>
      <c r="O1005" s="407" t="n">
        <v>9100</v>
      </c>
      <c r="P1005" s="407" t="n">
        <v>7780.5</v>
      </c>
      <c r="Q1005" s="234" t="n">
        <v>2025</v>
      </c>
      <c r="R1005" s="234"/>
      <c r="S1005" s="248" t="n">
        <v>45817</v>
      </c>
      <c r="T1005" s="407" t="n">
        <f aca="false">Таблица18[[#This Row],[Вес нетто]]-Таблица18[[#This Row],[Зачетный вес]]</f>
        <v>1319.5</v>
      </c>
      <c r="U1005" s="409" t="n">
        <f aca="false">Таблица18[[#This Row],[Отход]]/Таблица18[[#This Row],[Вес нетто]]</f>
        <v>0.145</v>
      </c>
      <c r="V1005" s="234" t="n">
        <f aca="false">MONTH(Таблица18[[#This Row],[Дата акта]])</f>
        <v>6</v>
      </c>
      <c r="W1005" s="234" t="n">
        <v>9</v>
      </c>
      <c r="X1005" s="248" t="n">
        <f aca="false">DATE(1900,Таблица18[[#This Row],[Месяц]],Таблица18[[#This Row],[Число]])</f>
        <v>161</v>
      </c>
      <c r="Y1005" s="234"/>
      <c r="AF1005" s="411"/>
      <c r="AG1005" s="412"/>
    </row>
    <row r="1006" s="410" customFormat="true" ht="15" hidden="true" customHeight="true" outlineLevel="0" collapsed="false">
      <c r="A1006" s="198" t="s">
        <v>2628</v>
      </c>
      <c r="B1006" s="199" t="s">
        <v>746</v>
      </c>
      <c r="C1006" s="198" t="n">
        <v>340</v>
      </c>
      <c r="D1006" s="198" t="n">
        <v>108</v>
      </c>
      <c r="E1006" s="198" t="s">
        <v>422</v>
      </c>
      <c r="F1006" s="198" t="s">
        <v>378</v>
      </c>
      <c r="G1006" s="198" t="s">
        <v>379</v>
      </c>
      <c r="H1006" s="198" t="s">
        <v>865</v>
      </c>
      <c r="I1006" s="199" t="s">
        <v>865</v>
      </c>
      <c r="J1006" s="198" t="s">
        <v>252</v>
      </c>
      <c r="K1006" s="198" t="s">
        <v>1435</v>
      </c>
      <c r="L1006" s="234" t="n">
        <v>9270</v>
      </c>
      <c r="M1006" s="234" t="n">
        <v>4600</v>
      </c>
      <c r="N1006" s="234" t="n">
        <v>20.5</v>
      </c>
      <c r="O1006" s="407" t="n">
        <v>4670</v>
      </c>
      <c r="P1006" s="407" t="n">
        <v>3712.6</v>
      </c>
      <c r="Q1006" s="234" t="n">
        <v>2025</v>
      </c>
      <c r="R1006" s="234"/>
      <c r="S1006" s="248" t="n">
        <v>45817</v>
      </c>
      <c r="T1006" s="407" t="n">
        <f aca="false">Таблица18[[#This Row],[Вес нетто]]-Таблица18[[#This Row],[Зачетный вес]]</f>
        <v>957.4</v>
      </c>
      <c r="U1006" s="409" t="n">
        <f aca="false">Таблица18[[#This Row],[Отход]]/Таблица18[[#This Row],[Вес нетто]]</f>
        <v>0.205010706638116</v>
      </c>
      <c r="V1006" s="234" t="n">
        <f aca="false">MONTH(Таблица18[[#This Row],[Дата акта]])</f>
        <v>6</v>
      </c>
      <c r="W1006" s="234" t="n">
        <v>9</v>
      </c>
      <c r="X1006" s="248" t="n">
        <f aca="false">DATE(1900,Таблица18[[#This Row],[Месяц]],Таблица18[[#This Row],[Число]])</f>
        <v>161</v>
      </c>
      <c r="Y1006" s="234"/>
      <c r="AF1006" s="411"/>
      <c r="AG1006" s="412"/>
    </row>
    <row r="1007" s="410" customFormat="true" ht="15" hidden="true" customHeight="true" outlineLevel="0" collapsed="false">
      <c r="A1007" s="198" t="s">
        <v>2629</v>
      </c>
      <c r="B1007" s="199" t="s">
        <v>886</v>
      </c>
      <c r="C1007" s="198" t="n">
        <v>341</v>
      </c>
      <c r="D1007" s="198" t="n">
        <v>109</v>
      </c>
      <c r="E1007" s="198" t="s">
        <v>422</v>
      </c>
      <c r="F1007" s="198" t="s">
        <v>359</v>
      </c>
      <c r="G1007" s="198" t="s">
        <v>426</v>
      </c>
      <c r="H1007" s="198" t="s">
        <v>885</v>
      </c>
      <c r="I1007" s="199" t="s">
        <v>885</v>
      </c>
      <c r="J1007" s="198" t="s">
        <v>47</v>
      </c>
      <c r="K1007" s="198" t="s">
        <v>1435</v>
      </c>
      <c r="L1007" s="234" t="n">
        <v>22650</v>
      </c>
      <c r="M1007" s="234" t="n">
        <v>13900</v>
      </c>
      <c r="N1007" s="234" t="n">
        <v>15.5</v>
      </c>
      <c r="O1007" s="407" t="n">
        <v>8750</v>
      </c>
      <c r="P1007" s="407" t="n">
        <v>7393.7</v>
      </c>
      <c r="Q1007" s="234" t="n">
        <v>2025</v>
      </c>
      <c r="R1007" s="234"/>
      <c r="S1007" s="248" t="n">
        <v>45817</v>
      </c>
      <c r="T1007" s="407" t="n">
        <f aca="false">Таблица18[[#This Row],[Вес нетто]]-Таблица18[[#This Row],[Зачетный вес]]</f>
        <v>1356.3</v>
      </c>
      <c r="U1007" s="409" t="n">
        <f aca="false">Таблица18[[#This Row],[Отход]]/Таблица18[[#This Row],[Вес нетто]]</f>
        <v>0.155005714285714</v>
      </c>
      <c r="V1007" s="234" t="n">
        <f aca="false">MONTH(Таблица18[[#This Row],[Дата акта]])</f>
        <v>6</v>
      </c>
      <c r="W1007" s="234" t="n">
        <v>9</v>
      </c>
      <c r="X1007" s="248" t="n">
        <f aca="false">DATE(1900,Таблица18[[#This Row],[Месяц]],Таблица18[[#This Row],[Число]])</f>
        <v>161</v>
      </c>
      <c r="Y1007" s="234"/>
      <c r="AF1007" s="411"/>
      <c r="AG1007" s="412"/>
    </row>
    <row r="1008" s="410" customFormat="true" ht="15" hidden="true" customHeight="true" outlineLevel="0" collapsed="false">
      <c r="A1008" s="198" t="s">
        <v>2630</v>
      </c>
      <c r="B1008" s="199" t="s">
        <v>417</v>
      </c>
      <c r="C1008" s="198"/>
      <c r="D1008" s="198" t="s">
        <v>889</v>
      </c>
      <c r="E1008" s="198" t="s">
        <v>409</v>
      </c>
      <c r="F1008" s="198" t="s">
        <v>888</v>
      </c>
      <c r="G1008" s="198" t="s">
        <v>796</v>
      </c>
      <c r="H1008" s="198" t="s">
        <v>781</v>
      </c>
      <c r="I1008" s="199" t="s">
        <v>781</v>
      </c>
      <c r="J1008" s="198" t="s">
        <v>252</v>
      </c>
      <c r="K1008" s="198" t="s">
        <v>1435</v>
      </c>
      <c r="L1008" s="234" t="n">
        <v>34840</v>
      </c>
      <c r="M1008" s="234" t="n">
        <v>18500</v>
      </c>
      <c r="N1008" s="234" t="n">
        <v>21.4</v>
      </c>
      <c r="O1008" s="407" t="n">
        <v>16340</v>
      </c>
      <c r="P1008" s="407" t="n">
        <v>12845.4</v>
      </c>
      <c r="Q1008" s="234" t="n">
        <v>2025</v>
      </c>
      <c r="R1008" s="234"/>
      <c r="S1008" s="248" t="n">
        <v>45814</v>
      </c>
      <c r="T1008" s="407" t="n">
        <f aca="false">Таблица18[[#This Row],[Вес нетто]]-Таблица18[[#This Row],[Зачетный вес]]</f>
        <v>3494.6</v>
      </c>
      <c r="U1008" s="409" t="n">
        <f aca="false">Таблица18[[#This Row],[Отход]]/Таблица18[[#This Row],[Вес нетто]]</f>
        <v>0.213867809057528</v>
      </c>
      <c r="V1008" s="234" t="n">
        <f aca="false">MONTH(Таблица18[[#This Row],[Дата акта]])</f>
        <v>6</v>
      </c>
      <c r="W1008" s="234" t="n">
        <v>6</v>
      </c>
      <c r="X1008" s="248" t="n">
        <f aca="false">DATE(1900,Таблица18[[#This Row],[Месяц]],Таблица18[[#This Row],[Число]])</f>
        <v>158</v>
      </c>
      <c r="Y1008" s="234"/>
      <c r="AF1008" s="411"/>
      <c r="AG1008" s="412"/>
    </row>
    <row r="1009" s="410" customFormat="true" ht="15" hidden="true" customHeight="true" outlineLevel="0" collapsed="false">
      <c r="A1009" s="198" t="s">
        <v>2631</v>
      </c>
      <c r="B1009" s="199" t="s">
        <v>417</v>
      </c>
      <c r="C1009" s="198"/>
      <c r="D1009" s="198" t="s">
        <v>891</v>
      </c>
      <c r="E1009" s="198" t="s">
        <v>409</v>
      </c>
      <c r="F1009" s="198" t="s">
        <v>799</v>
      </c>
      <c r="G1009" s="198" t="s">
        <v>890</v>
      </c>
      <c r="H1009" s="198" t="s">
        <v>781</v>
      </c>
      <c r="I1009" s="199" t="s">
        <v>781</v>
      </c>
      <c r="J1009" s="198" t="s">
        <v>252</v>
      </c>
      <c r="K1009" s="198" t="s">
        <v>1435</v>
      </c>
      <c r="L1009" s="234" t="n">
        <v>31840</v>
      </c>
      <c r="M1009" s="234" t="n">
        <v>16000</v>
      </c>
      <c r="N1009" s="234" t="n">
        <v>19</v>
      </c>
      <c r="O1009" s="407" t="n">
        <v>15840</v>
      </c>
      <c r="P1009" s="407" t="n">
        <v>12823.2</v>
      </c>
      <c r="Q1009" s="234" t="n">
        <v>2025</v>
      </c>
      <c r="R1009" s="234"/>
      <c r="S1009" s="248" t="n">
        <v>45814</v>
      </c>
      <c r="T1009" s="407" t="n">
        <f aca="false">Таблица18[[#This Row],[Вес нетто]]-Таблица18[[#This Row],[Зачетный вес]]</f>
        <v>3016.8</v>
      </c>
      <c r="U1009" s="409" t="n">
        <f aca="false">Таблица18[[#This Row],[Отход]]/Таблица18[[#This Row],[Вес нетто]]</f>
        <v>0.190454545454545</v>
      </c>
      <c r="V1009" s="234" t="n">
        <f aca="false">MONTH(Таблица18[[#This Row],[Дата акта]])</f>
        <v>6</v>
      </c>
      <c r="W1009" s="234" t="n">
        <v>6</v>
      </c>
      <c r="X1009" s="248" t="n">
        <f aca="false">DATE(1900,Таблица18[[#This Row],[Месяц]],Таблица18[[#This Row],[Число]])</f>
        <v>158</v>
      </c>
      <c r="Y1009" s="234"/>
      <c r="AF1009" s="411"/>
      <c r="AG1009" s="412"/>
    </row>
    <row r="1010" s="410" customFormat="true" ht="15" hidden="true" customHeight="true" outlineLevel="0" collapsed="false">
      <c r="A1010" s="198" t="s">
        <v>2632</v>
      </c>
      <c r="B1010" s="199" t="s">
        <v>746</v>
      </c>
      <c r="C1010" s="198" t="n">
        <v>343</v>
      </c>
      <c r="D1010" s="198" t="n">
        <v>110</v>
      </c>
      <c r="E1010" s="198" t="s">
        <v>422</v>
      </c>
      <c r="F1010" s="198" t="s">
        <v>48</v>
      </c>
      <c r="G1010" s="198" t="s">
        <v>49</v>
      </c>
      <c r="H1010" s="198" t="s">
        <v>865</v>
      </c>
      <c r="I1010" s="199" t="s">
        <v>865</v>
      </c>
      <c r="J1010" s="198" t="s">
        <v>252</v>
      </c>
      <c r="K1010" s="198" t="s">
        <v>1435</v>
      </c>
      <c r="L1010" s="234" t="n">
        <v>28400</v>
      </c>
      <c r="M1010" s="234" t="n">
        <v>14930</v>
      </c>
      <c r="N1010" s="234" t="n">
        <v>15.5</v>
      </c>
      <c r="O1010" s="407" t="n">
        <v>13470</v>
      </c>
      <c r="P1010" s="407" t="n">
        <v>11382.1</v>
      </c>
      <c r="Q1010" s="234" t="n">
        <v>2025</v>
      </c>
      <c r="R1010" s="234"/>
      <c r="S1010" s="248" t="n">
        <v>45817</v>
      </c>
      <c r="T1010" s="407" t="n">
        <f aca="false">Таблица18[[#This Row],[Вес нетто]]-Таблица18[[#This Row],[Зачетный вес]]</f>
        <v>2087.9</v>
      </c>
      <c r="U1010" s="409" t="n">
        <f aca="false">Таблица18[[#This Row],[Отход]]/Таблица18[[#This Row],[Вес нетто]]</f>
        <v>0.155003711952487</v>
      </c>
      <c r="V1010" s="234" t="n">
        <f aca="false">MONTH(Таблица18[[#This Row],[Дата акта]])</f>
        <v>6</v>
      </c>
      <c r="W1010" s="234" t="n">
        <v>9</v>
      </c>
      <c r="X1010" s="248" t="n">
        <f aca="false">DATE(1900,Таблица18[[#This Row],[Месяц]],Таблица18[[#This Row],[Число]])</f>
        <v>161</v>
      </c>
      <c r="Y1010" s="234"/>
      <c r="AF1010" s="411"/>
      <c r="AG1010" s="412"/>
    </row>
    <row r="1011" s="410" customFormat="true" ht="15" hidden="true" customHeight="true" outlineLevel="0" collapsed="false">
      <c r="A1011" s="198" t="s">
        <v>2633</v>
      </c>
      <c r="B1011" s="199" t="s">
        <v>746</v>
      </c>
      <c r="C1011" s="198" t="n">
        <v>344</v>
      </c>
      <c r="D1011" s="198" t="n">
        <v>111</v>
      </c>
      <c r="E1011" s="198" t="s">
        <v>422</v>
      </c>
      <c r="F1011" s="198" t="s">
        <v>411</v>
      </c>
      <c r="G1011" s="198" t="s">
        <v>381</v>
      </c>
      <c r="H1011" s="198" t="s">
        <v>885</v>
      </c>
      <c r="I1011" s="199" t="s">
        <v>885</v>
      </c>
      <c r="J1011" s="198" t="s">
        <v>47</v>
      </c>
      <c r="K1011" s="198" t="s">
        <v>1435</v>
      </c>
      <c r="L1011" s="234" t="n">
        <v>23630</v>
      </c>
      <c r="M1011" s="234" t="n">
        <v>14160</v>
      </c>
      <c r="N1011" s="234" t="n">
        <v>14.5</v>
      </c>
      <c r="O1011" s="407" t="n">
        <v>9470</v>
      </c>
      <c r="P1011" s="407" t="n">
        <v>8096.8</v>
      </c>
      <c r="Q1011" s="234" t="n">
        <v>2025</v>
      </c>
      <c r="R1011" s="234"/>
      <c r="S1011" s="248" t="n">
        <v>45817</v>
      </c>
      <c r="T1011" s="407" t="n">
        <f aca="false">Таблица18[[#This Row],[Вес нетто]]-Таблица18[[#This Row],[Зачетный вес]]</f>
        <v>1373.2</v>
      </c>
      <c r="U1011" s="409" t="n">
        <f aca="false">Таблица18[[#This Row],[Отход]]/Таблица18[[#This Row],[Вес нетто]]</f>
        <v>0.145005279831045</v>
      </c>
      <c r="V1011" s="234" t="n">
        <f aca="false">MONTH(Таблица18[[#This Row],[Дата акта]])</f>
        <v>6</v>
      </c>
      <c r="W1011" s="234" t="n">
        <v>9</v>
      </c>
      <c r="X1011" s="248" t="n">
        <f aca="false">DATE(1900,Таблица18[[#This Row],[Месяц]],Таблица18[[#This Row],[Число]])</f>
        <v>161</v>
      </c>
      <c r="Y1011" s="234"/>
      <c r="AF1011" s="411"/>
      <c r="AG1011" s="412"/>
    </row>
    <row r="1012" s="410" customFormat="true" ht="15" hidden="true" customHeight="true" outlineLevel="0" collapsed="false">
      <c r="A1012" s="198" t="s">
        <v>2634</v>
      </c>
      <c r="B1012" s="199" t="s">
        <v>886</v>
      </c>
      <c r="C1012" s="198" t="n">
        <v>346</v>
      </c>
      <c r="D1012" s="198" t="n">
        <v>112</v>
      </c>
      <c r="E1012" s="198" t="s">
        <v>422</v>
      </c>
      <c r="F1012" s="198" t="s">
        <v>359</v>
      </c>
      <c r="G1012" s="198" t="s">
        <v>426</v>
      </c>
      <c r="H1012" s="198" t="s">
        <v>885</v>
      </c>
      <c r="I1012" s="199" t="s">
        <v>885</v>
      </c>
      <c r="J1012" s="198" t="s">
        <v>47</v>
      </c>
      <c r="K1012" s="198" t="s">
        <v>1435</v>
      </c>
      <c r="L1012" s="234" t="n">
        <v>24450</v>
      </c>
      <c r="M1012" s="234" t="n">
        <v>13910</v>
      </c>
      <c r="N1012" s="234" t="n">
        <v>11.5</v>
      </c>
      <c r="O1012" s="407" t="n">
        <v>10540</v>
      </c>
      <c r="P1012" s="407" t="n">
        <v>9327.9</v>
      </c>
      <c r="Q1012" s="234" t="n">
        <v>2025</v>
      </c>
      <c r="R1012" s="234"/>
      <c r="S1012" s="248" t="n">
        <v>45817</v>
      </c>
      <c r="T1012" s="407" t="n">
        <f aca="false">Таблица18[[#This Row],[Вес нетто]]-Таблица18[[#This Row],[Зачетный вес]]</f>
        <v>1212.1</v>
      </c>
      <c r="U1012" s="409" t="n">
        <f aca="false">Таблица18[[#This Row],[Отход]]/Таблица18[[#This Row],[Вес нетто]]</f>
        <v>0.115</v>
      </c>
      <c r="V1012" s="234" t="n">
        <f aca="false">MONTH(Таблица18[[#This Row],[Дата акта]])</f>
        <v>6</v>
      </c>
      <c r="W1012" s="234" t="n">
        <v>9</v>
      </c>
      <c r="X1012" s="248" t="n">
        <f aca="false">DATE(1900,Таблица18[[#This Row],[Месяц]],Таблица18[[#This Row],[Число]])</f>
        <v>161</v>
      </c>
      <c r="Y1012" s="234"/>
      <c r="AF1012" s="411"/>
      <c r="AG1012" s="412"/>
    </row>
    <row r="1013" s="410" customFormat="true" ht="15" hidden="true" customHeight="true" outlineLevel="0" collapsed="false">
      <c r="A1013" s="198" t="s">
        <v>2635</v>
      </c>
      <c r="B1013" s="199" t="s">
        <v>746</v>
      </c>
      <c r="C1013" s="198" t="n">
        <v>347</v>
      </c>
      <c r="D1013" s="198" t="n">
        <v>106</v>
      </c>
      <c r="E1013" s="198" t="s">
        <v>422</v>
      </c>
      <c r="F1013" s="198" t="s">
        <v>55</v>
      </c>
      <c r="G1013" s="198" t="s">
        <v>56</v>
      </c>
      <c r="H1013" s="198" t="s">
        <v>865</v>
      </c>
      <c r="I1013" s="199" t="s">
        <v>865</v>
      </c>
      <c r="J1013" s="198" t="s">
        <v>252</v>
      </c>
      <c r="K1013" s="198" t="s">
        <v>1435</v>
      </c>
      <c r="L1013" s="234" t="n">
        <v>28260</v>
      </c>
      <c r="M1013" s="234" t="n">
        <v>14720</v>
      </c>
      <c r="N1013" s="234" t="n">
        <v>18.5</v>
      </c>
      <c r="O1013" s="407" t="n">
        <v>13540</v>
      </c>
      <c r="P1013" s="407" t="n">
        <v>11035.1</v>
      </c>
      <c r="Q1013" s="234" t="n">
        <v>2025</v>
      </c>
      <c r="R1013" s="234"/>
      <c r="S1013" s="248" t="n">
        <v>45817</v>
      </c>
      <c r="T1013" s="407" t="n">
        <f aca="false">Таблица18[[#This Row],[Вес нетто]]-Таблица18[[#This Row],[Зачетный вес]]</f>
        <v>2504.9</v>
      </c>
      <c r="U1013" s="409" t="n">
        <f aca="false">Таблица18[[#This Row],[Отход]]/Таблица18[[#This Row],[Вес нетто]]</f>
        <v>0.185</v>
      </c>
      <c r="V1013" s="234" t="n">
        <f aca="false">MONTH(Таблица18[[#This Row],[Дата акта]])</f>
        <v>6</v>
      </c>
      <c r="W1013" s="234" t="n">
        <v>9</v>
      </c>
      <c r="X1013" s="248" t="n">
        <f aca="false">DATE(1900,Таблица18[[#This Row],[Месяц]],Таблица18[[#This Row],[Число]])</f>
        <v>161</v>
      </c>
      <c r="Y1013" s="234"/>
      <c r="AF1013" s="411"/>
      <c r="AG1013" s="412"/>
    </row>
    <row r="1014" s="410" customFormat="true" ht="15" hidden="true" customHeight="true" outlineLevel="0" collapsed="false">
      <c r="A1014" s="198" t="s">
        <v>2636</v>
      </c>
      <c r="B1014" s="199" t="s">
        <v>746</v>
      </c>
      <c r="C1014" s="198" t="n">
        <v>348</v>
      </c>
      <c r="D1014" s="198" t="n">
        <v>114</v>
      </c>
      <c r="E1014" s="198" t="s">
        <v>422</v>
      </c>
      <c r="F1014" s="198" t="s">
        <v>384</v>
      </c>
      <c r="G1014" s="198" t="s">
        <v>385</v>
      </c>
      <c r="H1014" s="198" t="s">
        <v>870</v>
      </c>
      <c r="I1014" s="199" t="s">
        <v>870</v>
      </c>
      <c r="J1014" s="198" t="s">
        <v>252</v>
      </c>
      <c r="K1014" s="198" t="s">
        <v>1435</v>
      </c>
      <c r="L1014" s="234" t="n">
        <v>31620</v>
      </c>
      <c r="M1014" s="234" t="n">
        <v>14480</v>
      </c>
      <c r="N1014" s="234" t="n">
        <v>12</v>
      </c>
      <c r="O1014" s="407" t="n">
        <v>17140</v>
      </c>
      <c r="P1014" s="407" t="n">
        <v>15083.2</v>
      </c>
      <c r="Q1014" s="234" t="n">
        <v>2025</v>
      </c>
      <c r="R1014" s="234"/>
      <c r="S1014" s="248" t="n">
        <v>45818</v>
      </c>
      <c r="T1014" s="407" t="n">
        <f aca="false">Таблица18[[#This Row],[Вес нетто]]-Таблица18[[#This Row],[Зачетный вес]]</f>
        <v>2056.8</v>
      </c>
      <c r="U1014" s="409" t="n">
        <f aca="false">Таблица18[[#This Row],[Отход]]/Таблица18[[#This Row],[Вес нетто]]</f>
        <v>0.12</v>
      </c>
      <c r="V1014" s="234" t="n">
        <f aca="false">MONTH(Таблица18[[#This Row],[Дата акта]])</f>
        <v>6</v>
      </c>
      <c r="W1014" s="234" t="n">
        <v>10</v>
      </c>
      <c r="X1014" s="248" t="n">
        <f aca="false">DATE(1900,Таблица18[[#This Row],[Месяц]],Таблица18[[#This Row],[Число]])</f>
        <v>162</v>
      </c>
      <c r="Y1014" s="234"/>
      <c r="AF1014" s="411"/>
      <c r="AG1014" s="412"/>
    </row>
    <row r="1015" s="410" customFormat="true" ht="15" hidden="true" customHeight="true" outlineLevel="0" collapsed="false">
      <c r="A1015" s="198" t="s">
        <v>2637</v>
      </c>
      <c r="B1015" s="199" t="s">
        <v>417</v>
      </c>
      <c r="C1015" s="198" t="n">
        <v>349</v>
      </c>
      <c r="D1015" s="198" t="n">
        <v>115</v>
      </c>
      <c r="E1015" s="198" t="s">
        <v>422</v>
      </c>
      <c r="F1015" s="198" t="s">
        <v>361</v>
      </c>
      <c r="G1015" s="198" t="s">
        <v>362</v>
      </c>
      <c r="H1015" s="198" t="s">
        <v>873</v>
      </c>
      <c r="I1015" s="199" t="s">
        <v>873</v>
      </c>
      <c r="J1015" s="198" t="s">
        <v>893</v>
      </c>
      <c r="K1015" s="198" t="s">
        <v>1435</v>
      </c>
      <c r="L1015" s="234" t="n">
        <v>32670</v>
      </c>
      <c r="M1015" s="234" t="n">
        <v>14700</v>
      </c>
      <c r="N1015" s="234" t="n">
        <v>16</v>
      </c>
      <c r="O1015" s="407" t="n">
        <v>17970</v>
      </c>
      <c r="P1015" s="407" t="n">
        <v>15094.8</v>
      </c>
      <c r="Q1015" s="234" t="n">
        <v>2025</v>
      </c>
      <c r="R1015" s="234"/>
      <c r="S1015" s="248" t="n">
        <v>45818</v>
      </c>
      <c r="T1015" s="407" t="n">
        <f aca="false">Таблица18[[#This Row],[Вес нетто]]-Таблица18[[#This Row],[Зачетный вес]]</f>
        <v>2875.2</v>
      </c>
      <c r="U1015" s="409" t="n">
        <f aca="false">Таблица18[[#This Row],[Отход]]/Таблица18[[#This Row],[Вес нетто]]</f>
        <v>0.16</v>
      </c>
      <c r="V1015" s="234" t="n">
        <f aca="false">MONTH(Таблица18[[#This Row],[Дата акта]])</f>
        <v>6</v>
      </c>
      <c r="W1015" s="234" t="n">
        <v>10</v>
      </c>
      <c r="X1015" s="248" t="n">
        <f aca="false">DATE(1900,Таблица18[[#This Row],[Месяц]],Таблица18[[#This Row],[Число]])</f>
        <v>162</v>
      </c>
      <c r="Y1015" s="234"/>
      <c r="AF1015" s="411"/>
      <c r="AG1015" s="412"/>
    </row>
    <row r="1016" s="410" customFormat="true" ht="15" hidden="true" customHeight="true" outlineLevel="0" collapsed="false">
      <c r="A1016" s="198" t="s">
        <v>2638</v>
      </c>
      <c r="B1016" s="199" t="s">
        <v>746</v>
      </c>
      <c r="C1016" s="198" t="n">
        <v>351</v>
      </c>
      <c r="D1016" s="198" t="n">
        <v>116</v>
      </c>
      <c r="E1016" s="198" t="s">
        <v>422</v>
      </c>
      <c r="F1016" s="198" t="s">
        <v>384</v>
      </c>
      <c r="G1016" s="198" t="s">
        <v>385</v>
      </c>
      <c r="H1016" s="198" t="s">
        <v>870</v>
      </c>
      <c r="I1016" s="199" t="s">
        <v>870</v>
      </c>
      <c r="J1016" s="198" t="s">
        <v>252</v>
      </c>
      <c r="K1016" s="198" t="s">
        <v>1435</v>
      </c>
      <c r="L1016" s="234" t="n">
        <v>24440</v>
      </c>
      <c r="M1016" s="234" t="n">
        <v>14460</v>
      </c>
      <c r="N1016" s="234" t="n">
        <v>8.5</v>
      </c>
      <c r="O1016" s="407" t="n">
        <v>9980</v>
      </c>
      <c r="P1016" s="407" t="n">
        <v>9131.7</v>
      </c>
      <c r="Q1016" s="234" t="n">
        <v>2025</v>
      </c>
      <c r="R1016" s="234"/>
      <c r="S1016" s="248" t="n">
        <v>45818</v>
      </c>
      <c r="T1016" s="407" t="n">
        <f aca="false">Таблица18[[#This Row],[Вес нетто]]-Таблица18[[#This Row],[Зачетный вес]]</f>
        <v>848.299999999999</v>
      </c>
      <c r="U1016" s="409" t="n">
        <f aca="false">Таблица18[[#This Row],[Отход]]/Таблица18[[#This Row],[Вес нетто]]</f>
        <v>0.0849999999999999</v>
      </c>
      <c r="V1016" s="234" t="n">
        <f aca="false">MONTH(Таблица18[[#This Row],[Дата акта]])</f>
        <v>6</v>
      </c>
      <c r="W1016" s="234" t="n">
        <v>10</v>
      </c>
      <c r="X1016" s="248" t="n">
        <f aca="false">DATE(1900,Таблица18[[#This Row],[Месяц]],Таблица18[[#This Row],[Число]])</f>
        <v>162</v>
      </c>
      <c r="Y1016" s="234"/>
      <c r="AF1016" s="411"/>
      <c r="AG1016" s="412"/>
    </row>
    <row r="1017" s="410" customFormat="true" ht="15" hidden="true" customHeight="true" outlineLevel="0" collapsed="false">
      <c r="A1017" s="198" t="s">
        <v>2639</v>
      </c>
      <c r="B1017" s="199" t="s">
        <v>417</v>
      </c>
      <c r="C1017" s="198" t="n">
        <v>352</v>
      </c>
      <c r="D1017" s="198" t="n">
        <v>117</v>
      </c>
      <c r="E1017" s="198" t="s">
        <v>422</v>
      </c>
      <c r="F1017" s="198" t="s">
        <v>382</v>
      </c>
      <c r="G1017" s="198" t="s">
        <v>383</v>
      </c>
      <c r="H1017" s="198" t="s">
        <v>873</v>
      </c>
      <c r="I1017" s="199" t="s">
        <v>873</v>
      </c>
      <c r="J1017" s="198" t="s">
        <v>894</v>
      </c>
      <c r="K1017" s="198" t="s">
        <v>1435</v>
      </c>
      <c r="L1017" s="234" t="n">
        <v>25900</v>
      </c>
      <c r="M1017" s="234" t="n">
        <v>14860</v>
      </c>
      <c r="N1017" s="234" t="n">
        <v>20.5</v>
      </c>
      <c r="O1017" s="407" t="n">
        <v>11040</v>
      </c>
      <c r="P1017" s="407" t="n">
        <v>8776.8</v>
      </c>
      <c r="Q1017" s="234" t="n">
        <v>2025</v>
      </c>
      <c r="R1017" s="234"/>
      <c r="S1017" s="248" t="n">
        <v>45818</v>
      </c>
      <c r="T1017" s="407" t="n">
        <f aca="false">Таблица18[[#This Row],[Вес нетто]]-Таблица18[[#This Row],[Зачетный вес]]</f>
        <v>2263.2</v>
      </c>
      <c r="U1017" s="409" t="n">
        <f aca="false">Таблица18[[#This Row],[Отход]]/Таблица18[[#This Row],[Вес нетто]]</f>
        <v>0.205</v>
      </c>
      <c r="V1017" s="234" t="n">
        <f aca="false">MONTH(Таблица18[[#This Row],[Дата акта]])</f>
        <v>6</v>
      </c>
      <c r="W1017" s="234" t="n">
        <v>10</v>
      </c>
      <c r="X1017" s="248" t="n">
        <f aca="false">DATE(1900,Таблица18[[#This Row],[Месяц]],Таблица18[[#This Row],[Число]])</f>
        <v>162</v>
      </c>
      <c r="Y1017" s="234"/>
      <c r="AF1017" s="411"/>
      <c r="AG1017" s="412"/>
    </row>
    <row r="1018" s="410" customFormat="true" ht="15" hidden="true" customHeight="true" outlineLevel="0" collapsed="false">
      <c r="A1018" s="198" t="s">
        <v>2640</v>
      </c>
      <c r="B1018" s="199" t="s">
        <v>417</v>
      </c>
      <c r="C1018" s="198" t="n">
        <v>353</v>
      </c>
      <c r="D1018" s="198" t="n">
        <v>118</v>
      </c>
      <c r="E1018" s="198" t="s">
        <v>422</v>
      </c>
      <c r="F1018" s="198" t="s">
        <v>376</v>
      </c>
      <c r="G1018" s="198" t="s">
        <v>377</v>
      </c>
      <c r="H1018" s="198" t="s">
        <v>873</v>
      </c>
      <c r="I1018" s="199" t="s">
        <v>873</v>
      </c>
      <c r="J1018" s="198" t="s">
        <v>895</v>
      </c>
      <c r="K1018" s="198" t="s">
        <v>1435</v>
      </c>
      <c r="L1018" s="234" t="n">
        <v>23280</v>
      </c>
      <c r="M1018" s="234" t="n">
        <v>18880</v>
      </c>
      <c r="N1018" s="234" t="n">
        <v>12.5</v>
      </c>
      <c r="O1018" s="407" t="n">
        <v>4400</v>
      </c>
      <c r="P1018" s="407" t="n">
        <v>3850</v>
      </c>
      <c r="Q1018" s="234" t="n">
        <v>2025</v>
      </c>
      <c r="R1018" s="234"/>
      <c r="S1018" s="248" t="n">
        <v>45818</v>
      </c>
      <c r="T1018" s="407" t="n">
        <f aca="false">Таблица18[[#This Row],[Вес нетто]]-Таблица18[[#This Row],[Зачетный вес]]</f>
        <v>550</v>
      </c>
      <c r="U1018" s="409" t="n">
        <f aca="false">Таблица18[[#This Row],[Отход]]/Таблица18[[#This Row],[Вес нетто]]</f>
        <v>0.125</v>
      </c>
      <c r="V1018" s="234" t="n">
        <f aca="false">MONTH(Таблица18[[#This Row],[Дата акта]])</f>
        <v>6</v>
      </c>
      <c r="W1018" s="234" t="n">
        <v>10</v>
      </c>
      <c r="X1018" s="248" t="n">
        <f aca="false">DATE(1900,Таблица18[[#This Row],[Месяц]],Таблица18[[#This Row],[Число]])</f>
        <v>162</v>
      </c>
      <c r="Y1018" s="234"/>
      <c r="AF1018" s="411"/>
      <c r="AG1018" s="412"/>
    </row>
    <row r="1019" s="410" customFormat="true" ht="15" hidden="true" customHeight="true" outlineLevel="0" collapsed="false">
      <c r="A1019" s="198" t="s">
        <v>2641</v>
      </c>
      <c r="B1019" s="199" t="s">
        <v>417</v>
      </c>
      <c r="C1019" s="198" t="n">
        <v>354</v>
      </c>
      <c r="D1019" s="198" t="n">
        <v>118</v>
      </c>
      <c r="E1019" s="198" t="s">
        <v>422</v>
      </c>
      <c r="F1019" s="198" t="s">
        <v>376</v>
      </c>
      <c r="G1019" s="198" t="s">
        <v>377</v>
      </c>
      <c r="H1019" s="198" t="s">
        <v>873</v>
      </c>
      <c r="I1019" s="199" t="s">
        <v>873</v>
      </c>
      <c r="J1019" s="198" t="s">
        <v>894</v>
      </c>
      <c r="K1019" s="198" t="s">
        <v>1435</v>
      </c>
      <c r="L1019" s="234" t="n">
        <v>18880</v>
      </c>
      <c r="M1019" s="234" t="n">
        <v>14290</v>
      </c>
      <c r="N1019" s="234" t="n">
        <v>29.5</v>
      </c>
      <c r="O1019" s="407" t="n">
        <v>4590</v>
      </c>
      <c r="P1019" s="407" t="n">
        <v>3235.9</v>
      </c>
      <c r="Q1019" s="234" t="n">
        <v>2025</v>
      </c>
      <c r="R1019" s="234"/>
      <c r="S1019" s="248" t="n">
        <v>45818</v>
      </c>
      <c r="T1019" s="407" t="n">
        <f aca="false">Таблица18[[#This Row],[Вес нетто]]-Таблица18[[#This Row],[Зачетный вес]]</f>
        <v>1354.1</v>
      </c>
      <c r="U1019" s="409" t="n">
        <f aca="false">Таблица18[[#This Row],[Отход]]/Таблица18[[#This Row],[Вес нетто]]</f>
        <v>0.295010893246187</v>
      </c>
      <c r="V1019" s="234" t="n">
        <f aca="false">MONTH(Таблица18[[#This Row],[Дата акта]])</f>
        <v>6</v>
      </c>
      <c r="W1019" s="234" t="n">
        <v>10</v>
      </c>
      <c r="X1019" s="248" t="n">
        <f aca="false">DATE(1900,Таблица18[[#This Row],[Месяц]],Таблица18[[#This Row],[Число]])</f>
        <v>162</v>
      </c>
      <c r="Y1019" s="234"/>
      <c r="AF1019" s="411"/>
      <c r="AG1019" s="412"/>
    </row>
    <row r="1020" s="410" customFormat="true" ht="15" hidden="true" customHeight="true" outlineLevel="0" collapsed="false">
      <c r="A1020" s="198" t="s">
        <v>2642</v>
      </c>
      <c r="B1020" s="199" t="s">
        <v>746</v>
      </c>
      <c r="C1020" s="198" t="n">
        <v>356</v>
      </c>
      <c r="D1020" s="198" t="n">
        <v>119</v>
      </c>
      <c r="E1020" s="198" t="s">
        <v>422</v>
      </c>
      <c r="F1020" s="198" t="s">
        <v>361</v>
      </c>
      <c r="G1020" s="198" t="s">
        <v>362</v>
      </c>
      <c r="H1020" s="198" t="s">
        <v>896</v>
      </c>
      <c r="I1020" s="199" t="s">
        <v>896</v>
      </c>
      <c r="J1020" s="198" t="s">
        <v>68</v>
      </c>
      <c r="K1020" s="198" t="s">
        <v>1435</v>
      </c>
      <c r="L1020" s="234" t="n">
        <v>28700</v>
      </c>
      <c r="M1020" s="234" t="n">
        <v>14680</v>
      </c>
      <c r="N1020" s="234" t="n">
        <v>10</v>
      </c>
      <c r="O1020" s="407" t="n">
        <v>14020</v>
      </c>
      <c r="P1020" s="407" t="n">
        <v>12618</v>
      </c>
      <c r="Q1020" s="234" t="n">
        <v>2025</v>
      </c>
      <c r="R1020" s="234"/>
      <c r="S1020" s="248" t="n">
        <v>45818</v>
      </c>
      <c r="T1020" s="407" t="n">
        <f aca="false">Таблица18[[#This Row],[Вес нетто]]-Таблица18[[#This Row],[Зачетный вес]]</f>
        <v>1402</v>
      </c>
      <c r="U1020" s="409" t="n">
        <f aca="false">Таблица18[[#This Row],[Отход]]/Таблица18[[#This Row],[Вес нетто]]</f>
        <v>0.1</v>
      </c>
      <c r="V1020" s="234" t="n">
        <f aca="false">MONTH(Таблица18[[#This Row],[Дата акта]])</f>
        <v>6</v>
      </c>
      <c r="W1020" s="234" t="n">
        <v>10</v>
      </c>
      <c r="X1020" s="248" t="n">
        <f aca="false">DATE(1900,Таблица18[[#This Row],[Месяц]],Таблица18[[#This Row],[Число]])</f>
        <v>162</v>
      </c>
      <c r="Y1020" s="234"/>
      <c r="AF1020" s="411"/>
      <c r="AG1020" s="412"/>
    </row>
    <row r="1021" s="410" customFormat="true" ht="15" hidden="true" customHeight="true" outlineLevel="0" collapsed="false">
      <c r="A1021" s="198" t="s">
        <v>2643</v>
      </c>
      <c r="B1021" s="199" t="s">
        <v>417</v>
      </c>
      <c r="C1021" s="198" t="n">
        <v>357</v>
      </c>
      <c r="D1021" s="198" t="n">
        <v>120</v>
      </c>
      <c r="E1021" s="198" t="s">
        <v>422</v>
      </c>
      <c r="F1021" s="198" t="s">
        <v>384</v>
      </c>
      <c r="G1021" s="198" t="s">
        <v>385</v>
      </c>
      <c r="H1021" s="198" t="s">
        <v>873</v>
      </c>
      <c r="I1021" s="199" t="s">
        <v>873</v>
      </c>
      <c r="J1021" s="198" t="s">
        <v>897</v>
      </c>
      <c r="K1021" s="198" t="s">
        <v>1435</v>
      </c>
      <c r="L1021" s="234" t="n">
        <v>25050</v>
      </c>
      <c r="M1021" s="234" t="n">
        <v>20660</v>
      </c>
      <c r="N1021" s="234" t="n">
        <v>29.5</v>
      </c>
      <c r="O1021" s="407" t="n">
        <v>4390</v>
      </c>
      <c r="P1021" s="407" t="n">
        <v>3094.9</v>
      </c>
      <c r="Q1021" s="234" t="n">
        <v>2025</v>
      </c>
      <c r="R1021" s="234"/>
      <c r="S1021" s="248" t="n">
        <v>45818</v>
      </c>
      <c r="T1021" s="407" t="n">
        <f aca="false">Таблица18[[#This Row],[Вес нетто]]-Таблица18[[#This Row],[Зачетный вес]]</f>
        <v>1295.1</v>
      </c>
      <c r="U1021" s="409" t="n">
        <f aca="false">Таблица18[[#This Row],[Отход]]/Таблица18[[#This Row],[Вес нетто]]</f>
        <v>0.29501138952164</v>
      </c>
      <c r="V1021" s="234" t="n">
        <f aca="false">MONTH(Таблица18[[#This Row],[Дата акта]])</f>
        <v>6</v>
      </c>
      <c r="W1021" s="234" t="n">
        <v>10</v>
      </c>
      <c r="X1021" s="248" t="n">
        <f aca="false">DATE(1900,Таблица18[[#This Row],[Месяц]],Таблица18[[#This Row],[Число]])</f>
        <v>162</v>
      </c>
      <c r="Y1021" s="234"/>
      <c r="AF1021" s="411"/>
      <c r="AG1021" s="412"/>
    </row>
    <row r="1022" s="410" customFormat="true" ht="15" hidden="true" customHeight="true" outlineLevel="0" collapsed="false">
      <c r="A1022" s="198" t="s">
        <v>2644</v>
      </c>
      <c r="B1022" s="199" t="s">
        <v>417</v>
      </c>
      <c r="C1022" s="198" t="n">
        <v>358</v>
      </c>
      <c r="D1022" s="198" t="n">
        <v>120</v>
      </c>
      <c r="E1022" s="198" t="s">
        <v>422</v>
      </c>
      <c r="F1022" s="198" t="s">
        <v>384</v>
      </c>
      <c r="G1022" s="198" t="s">
        <v>385</v>
      </c>
      <c r="H1022" s="198" t="s">
        <v>873</v>
      </c>
      <c r="I1022" s="199" t="s">
        <v>873</v>
      </c>
      <c r="J1022" s="198" t="s">
        <v>898</v>
      </c>
      <c r="K1022" s="198" t="s">
        <v>1435</v>
      </c>
      <c r="L1022" s="234" t="n">
        <v>20660</v>
      </c>
      <c r="M1022" s="234" t="n">
        <v>14480</v>
      </c>
      <c r="N1022" s="234" t="n">
        <v>21.5</v>
      </c>
      <c r="O1022" s="407" t="n">
        <v>6180</v>
      </c>
      <c r="P1022" s="407" t="n">
        <v>4851.3</v>
      </c>
      <c r="Q1022" s="234" t="n">
        <v>2025</v>
      </c>
      <c r="R1022" s="234"/>
      <c r="S1022" s="248" t="n">
        <v>45818</v>
      </c>
      <c r="T1022" s="407" t="n">
        <f aca="false">Таблица18[[#This Row],[Вес нетто]]-Таблица18[[#This Row],[Зачетный вес]]</f>
        <v>1328.7</v>
      </c>
      <c r="U1022" s="409" t="n">
        <f aca="false">Таблица18[[#This Row],[Отход]]/Таблица18[[#This Row],[Вес нетто]]</f>
        <v>0.215</v>
      </c>
      <c r="V1022" s="234" t="n">
        <f aca="false">MONTH(Таблица18[[#This Row],[Дата акта]])</f>
        <v>6</v>
      </c>
      <c r="W1022" s="234" t="n">
        <v>10</v>
      </c>
      <c r="X1022" s="248" t="n">
        <f aca="false">DATE(1900,Таблица18[[#This Row],[Месяц]],Таблица18[[#This Row],[Число]])</f>
        <v>162</v>
      </c>
      <c r="Y1022" s="234"/>
      <c r="AF1022" s="411"/>
      <c r="AG1022" s="412"/>
    </row>
    <row r="1023" s="410" customFormat="true" ht="15" hidden="true" customHeight="true" outlineLevel="0" collapsed="false">
      <c r="A1023" s="198" t="s">
        <v>2645</v>
      </c>
      <c r="B1023" s="199" t="s">
        <v>746</v>
      </c>
      <c r="C1023" s="198" t="n">
        <v>359</v>
      </c>
      <c r="D1023" s="198" t="n">
        <v>121</v>
      </c>
      <c r="E1023" s="198" t="s">
        <v>422</v>
      </c>
      <c r="F1023" s="198" t="s">
        <v>382</v>
      </c>
      <c r="G1023" s="198" t="s">
        <v>383</v>
      </c>
      <c r="H1023" s="198" t="s">
        <v>896</v>
      </c>
      <c r="I1023" s="199" t="s">
        <v>896</v>
      </c>
      <c r="J1023" s="198" t="s">
        <v>47</v>
      </c>
      <c r="K1023" s="198" t="s">
        <v>1435</v>
      </c>
      <c r="L1023" s="234" t="n">
        <v>30340</v>
      </c>
      <c r="M1023" s="234" t="n">
        <v>23450</v>
      </c>
      <c r="N1023" s="234" t="n">
        <v>6.5</v>
      </c>
      <c r="O1023" s="407" t="n">
        <v>6890</v>
      </c>
      <c r="P1023" s="407" t="n">
        <v>6442.1</v>
      </c>
      <c r="Q1023" s="234" t="n">
        <v>2025</v>
      </c>
      <c r="R1023" s="234"/>
      <c r="S1023" s="248" t="n">
        <v>45818</v>
      </c>
      <c r="T1023" s="407" t="n">
        <f aca="false">Таблица18[[#This Row],[Вес нетто]]-Таблица18[[#This Row],[Зачетный вес]]</f>
        <v>447.9</v>
      </c>
      <c r="U1023" s="409" t="n">
        <f aca="false">Таблица18[[#This Row],[Отход]]/Таблица18[[#This Row],[Вес нетто]]</f>
        <v>0.0650072568940493</v>
      </c>
      <c r="V1023" s="234" t="n">
        <f aca="false">MONTH(Таблица18[[#This Row],[Дата акта]])</f>
        <v>6</v>
      </c>
      <c r="W1023" s="234" t="n">
        <v>10</v>
      </c>
      <c r="X1023" s="248" t="n">
        <f aca="false">DATE(1900,Таблица18[[#This Row],[Месяц]],Таблица18[[#This Row],[Число]])</f>
        <v>162</v>
      </c>
      <c r="Y1023" s="234"/>
      <c r="AF1023" s="411"/>
      <c r="AG1023" s="412"/>
    </row>
    <row r="1024" s="410" customFormat="true" ht="15" hidden="true" customHeight="true" outlineLevel="0" collapsed="false">
      <c r="A1024" s="198" t="s">
        <v>2646</v>
      </c>
      <c r="B1024" s="199" t="s">
        <v>746</v>
      </c>
      <c r="C1024" s="198" t="n">
        <v>361</v>
      </c>
      <c r="D1024" s="198" t="n">
        <v>121</v>
      </c>
      <c r="E1024" s="198" t="s">
        <v>422</v>
      </c>
      <c r="F1024" s="198" t="s">
        <v>382</v>
      </c>
      <c r="G1024" s="198" t="s">
        <v>383</v>
      </c>
      <c r="H1024" s="198" t="s">
        <v>896</v>
      </c>
      <c r="I1024" s="199" t="s">
        <v>896</v>
      </c>
      <c r="J1024" s="198" t="s">
        <v>68</v>
      </c>
      <c r="K1024" s="198" t="s">
        <v>1435</v>
      </c>
      <c r="L1024" s="234" t="n">
        <v>23450</v>
      </c>
      <c r="M1024" s="234" t="n">
        <v>14840</v>
      </c>
      <c r="N1024" s="234" t="n">
        <v>8.5</v>
      </c>
      <c r="O1024" s="407" t="n">
        <v>8610</v>
      </c>
      <c r="P1024" s="407" t="n">
        <v>7878.1</v>
      </c>
      <c r="Q1024" s="234" t="n">
        <v>2025</v>
      </c>
      <c r="R1024" s="234"/>
      <c r="S1024" s="248" t="n">
        <v>45818</v>
      </c>
      <c r="T1024" s="407" t="n">
        <f aca="false">Таблица18[[#This Row],[Вес нетто]]-Таблица18[[#This Row],[Зачетный вес]]</f>
        <v>731.9</v>
      </c>
      <c r="U1024" s="409" t="n">
        <f aca="false">Таблица18[[#This Row],[Отход]]/Таблица18[[#This Row],[Вес нетто]]</f>
        <v>0.0850058072009291</v>
      </c>
      <c r="V1024" s="234" t="n">
        <f aca="false">MONTH(Таблица18[[#This Row],[Дата акта]])</f>
        <v>6</v>
      </c>
      <c r="W1024" s="234" t="n">
        <v>10</v>
      </c>
      <c r="X1024" s="248" t="n">
        <f aca="false">DATE(1900,Таблица18[[#This Row],[Месяц]],Таблица18[[#This Row],[Число]])</f>
        <v>162</v>
      </c>
      <c r="Y1024" s="234"/>
      <c r="AF1024" s="411"/>
      <c r="AG1024" s="412"/>
    </row>
    <row r="1025" s="410" customFormat="true" ht="15" hidden="true" customHeight="true" outlineLevel="0" collapsed="false">
      <c r="A1025" s="198" t="s">
        <v>2647</v>
      </c>
      <c r="B1025" s="199" t="s">
        <v>417</v>
      </c>
      <c r="C1025" s="198" t="n">
        <v>362</v>
      </c>
      <c r="D1025" s="198" t="n">
        <v>28</v>
      </c>
      <c r="E1025" s="198" t="s">
        <v>899</v>
      </c>
      <c r="F1025" s="198" t="s">
        <v>374</v>
      </c>
      <c r="G1025" s="198" t="s">
        <v>375</v>
      </c>
      <c r="H1025" s="198" t="s">
        <v>901</v>
      </c>
      <c r="I1025" s="199" t="s">
        <v>901</v>
      </c>
      <c r="J1025" s="198" t="s">
        <v>900</v>
      </c>
      <c r="K1025" s="198" t="s">
        <v>1435</v>
      </c>
      <c r="L1025" s="234" t="n">
        <v>6240</v>
      </c>
      <c r="M1025" s="234" t="n">
        <v>4560</v>
      </c>
      <c r="N1025" s="234" t="n">
        <v>12</v>
      </c>
      <c r="O1025" s="407" t="n">
        <v>1680</v>
      </c>
      <c r="P1025" s="407" t="n">
        <v>1478.4</v>
      </c>
      <c r="Q1025" s="234" t="n">
        <v>2025</v>
      </c>
      <c r="R1025" s="234"/>
      <c r="S1025" s="248" t="n">
        <v>45818</v>
      </c>
      <c r="T1025" s="407" t="n">
        <f aca="false">Таблица18[[#This Row],[Вес нетто]]-Таблица18[[#This Row],[Зачетный вес]]</f>
        <v>201.6</v>
      </c>
      <c r="U1025" s="409" t="n">
        <f aca="false">Таблица18[[#This Row],[Отход]]/Таблица18[[#This Row],[Вес нетто]]</f>
        <v>0.12</v>
      </c>
      <c r="V1025" s="234" t="n">
        <f aca="false">MONTH(Таблица18[[#This Row],[Дата акта]])</f>
        <v>6</v>
      </c>
      <c r="W1025" s="234" t="n">
        <v>10</v>
      </c>
      <c r="X1025" s="248" t="n">
        <f aca="false">DATE(1900,Таблица18[[#This Row],[Месяц]],Таблица18[[#This Row],[Число]])</f>
        <v>162</v>
      </c>
      <c r="Y1025" s="234"/>
      <c r="AF1025" s="411"/>
      <c r="AG1025" s="412"/>
    </row>
    <row r="1026" s="410" customFormat="true" ht="15" hidden="true" customHeight="true" outlineLevel="0" collapsed="false">
      <c r="A1026" s="198" t="s">
        <v>2648</v>
      </c>
      <c r="B1026" s="199" t="s">
        <v>886</v>
      </c>
      <c r="C1026" s="198" t="n">
        <v>363</v>
      </c>
      <c r="D1026" s="198" t="n">
        <v>123</v>
      </c>
      <c r="E1026" s="198" t="s">
        <v>422</v>
      </c>
      <c r="F1026" s="198" t="s">
        <v>384</v>
      </c>
      <c r="G1026" s="198" t="s">
        <v>385</v>
      </c>
      <c r="H1026" s="198" t="s">
        <v>873</v>
      </c>
      <c r="I1026" s="199" t="s">
        <v>873</v>
      </c>
      <c r="J1026" s="198" t="s">
        <v>68</v>
      </c>
      <c r="K1026" s="198" t="s">
        <v>1435</v>
      </c>
      <c r="L1026" s="234" t="n">
        <v>27420</v>
      </c>
      <c r="M1026" s="234" t="n">
        <v>14450</v>
      </c>
      <c r="N1026" s="234" t="n">
        <v>13.5</v>
      </c>
      <c r="O1026" s="407" t="n">
        <v>12970</v>
      </c>
      <c r="P1026" s="407" t="n">
        <v>11219</v>
      </c>
      <c r="Q1026" s="234" t="n">
        <v>2025</v>
      </c>
      <c r="R1026" s="234"/>
      <c r="S1026" s="248" t="n">
        <v>45818</v>
      </c>
      <c r="T1026" s="407" t="n">
        <f aca="false">Таблица18[[#This Row],[Вес нетто]]-Таблица18[[#This Row],[Зачетный вес]]</f>
        <v>1751</v>
      </c>
      <c r="U1026" s="409" t="n">
        <f aca="false">Таблица18[[#This Row],[Отход]]/Таблица18[[#This Row],[Вес нетто]]</f>
        <v>0.135003855050116</v>
      </c>
      <c r="V1026" s="234" t="n">
        <f aca="false">MONTH(Таблица18[[#This Row],[Дата акта]])</f>
        <v>6</v>
      </c>
      <c r="W1026" s="234" t="n">
        <v>10</v>
      </c>
      <c r="X1026" s="248" t="n">
        <f aca="false">DATE(1900,Таблица18[[#This Row],[Месяц]],Таблица18[[#This Row],[Число]])</f>
        <v>162</v>
      </c>
      <c r="Y1026" s="234"/>
      <c r="AF1026" s="411"/>
      <c r="AG1026" s="412"/>
    </row>
    <row r="1027" s="410" customFormat="true" ht="15" hidden="true" customHeight="true" outlineLevel="0" collapsed="false">
      <c r="A1027" s="198" t="s">
        <v>2649</v>
      </c>
      <c r="B1027" s="199" t="s">
        <v>886</v>
      </c>
      <c r="C1027" s="198" t="n">
        <v>364</v>
      </c>
      <c r="D1027" s="198" t="n">
        <v>124</v>
      </c>
      <c r="E1027" s="198" t="s">
        <v>422</v>
      </c>
      <c r="F1027" s="198" t="s">
        <v>361</v>
      </c>
      <c r="G1027" s="198" t="s">
        <v>362</v>
      </c>
      <c r="H1027" s="198" t="s">
        <v>896</v>
      </c>
      <c r="I1027" s="199" t="s">
        <v>896</v>
      </c>
      <c r="J1027" s="198" t="s">
        <v>47</v>
      </c>
      <c r="K1027" s="198" t="s">
        <v>1435</v>
      </c>
      <c r="L1027" s="234" t="n">
        <v>28620</v>
      </c>
      <c r="M1027" s="234" t="n">
        <v>14660</v>
      </c>
      <c r="N1027" s="234" t="n">
        <v>13.5</v>
      </c>
      <c r="O1027" s="407" t="n">
        <v>13960</v>
      </c>
      <c r="P1027" s="407" t="n">
        <v>12075.4</v>
      </c>
      <c r="Q1027" s="234" t="n">
        <v>2025</v>
      </c>
      <c r="R1027" s="234"/>
      <c r="S1027" s="248" t="n">
        <v>45818</v>
      </c>
      <c r="T1027" s="407" t="n">
        <f aca="false">Таблица18[[#This Row],[Вес нетто]]-Таблица18[[#This Row],[Зачетный вес]]</f>
        <v>1884.6</v>
      </c>
      <c r="U1027" s="409" t="n">
        <f aca="false">Таблица18[[#This Row],[Отход]]/Таблица18[[#This Row],[Вес нетто]]</f>
        <v>0.135</v>
      </c>
      <c r="V1027" s="234" t="n">
        <f aca="false">MONTH(Таблица18[[#This Row],[Дата акта]])</f>
        <v>6</v>
      </c>
      <c r="W1027" s="234" t="n">
        <v>10</v>
      </c>
      <c r="X1027" s="248" t="n">
        <f aca="false">DATE(1900,Таблица18[[#This Row],[Месяц]],Таблица18[[#This Row],[Число]])</f>
        <v>162</v>
      </c>
      <c r="Y1027" s="234"/>
      <c r="AF1027" s="411"/>
      <c r="AG1027" s="412"/>
    </row>
    <row r="1028" s="410" customFormat="true" ht="15" hidden="true" customHeight="true" outlineLevel="0" collapsed="false">
      <c r="A1028" s="198" t="s">
        <v>2650</v>
      </c>
      <c r="B1028" s="199" t="s">
        <v>746</v>
      </c>
      <c r="C1028" s="198" t="n">
        <v>365</v>
      </c>
      <c r="D1028" s="198" t="n">
        <v>125</v>
      </c>
      <c r="E1028" s="198" t="s">
        <v>422</v>
      </c>
      <c r="F1028" s="198" t="s">
        <v>376</v>
      </c>
      <c r="G1028" s="198" t="s">
        <v>377</v>
      </c>
      <c r="H1028" s="198" t="s">
        <v>873</v>
      </c>
      <c r="I1028" s="199" t="s">
        <v>873</v>
      </c>
      <c r="J1028" s="198" t="s">
        <v>68</v>
      </c>
      <c r="K1028" s="198" t="s">
        <v>1435</v>
      </c>
      <c r="L1028" s="234" t="n">
        <v>27130</v>
      </c>
      <c r="M1028" s="234" t="n">
        <v>14260</v>
      </c>
      <c r="N1028" s="234" t="n">
        <v>10.5</v>
      </c>
      <c r="O1028" s="407" t="n">
        <v>12870</v>
      </c>
      <c r="P1028" s="407" t="n">
        <v>11518.6</v>
      </c>
      <c r="Q1028" s="234" t="n">
        <v>2025</v>
      </c>
      <c r="R1028" s="234"/>
      <c r="S1028" s="248" t="n">
        <v>45818</v>
      </c>
      <c r="T1028" s="407" t="n">
        <f aca="false">Таблица18[[#This Row],[Вес нетто]]-Таблица18[[#This Row],[Зачетный вес]]</f>
        <v>1351.4</v>
      </c>
      <c r="U1028" s="409" t="n">
        <f aca="false">Таблица18[[#This Row],[Отход]]/Таблица18[[#This Row],[Вес нетто]]</f>
        <v>0.105003885003885</v>
      </c>
      <c r="V1028" s="234" t="n">
        <f aca="false">MONTH(Таблица18[[#This Row],[Дата акта]])</f>
        <v>6</v>
      </c>
      <c r="W1028" s="234" t="n">
        <v>10</v>
      </c>
      <c r="X1028" s="248" t="n">
        <f aca="false">DATE(1900,Таблица18[[#This Row],[Месяц]],Таблица18[[#This Row],[Число]])</f>
        <v>162</v>
      </c>
      <c r="Y1028" s="234"/>
      <c r="AF1028" s="411"/>
      <c r="AG1028" s="412"/>
    </row>
    <row r="1029" s="410" customFormat="true" ht="15" hidden="true" customHeight="true" outlineLevel="0" collapsed="false">
      <c r="A1029" s="198" t="s">
        <v>2651</v>
      </c>
      <c r="B1029" s="199" t="s">
        <v>746</v>
      </c>
      <c r="C1029" s="198" t="n">
        <v>366</v>
      </c>
      <c r="D1029" s="198" t="n">
        <v>126</v>
      </c>
      <c r="E1029" s="198" t="s">
        <v>422</v>
      </c>
      <c r="F1029" s="198" t="s">
        <v>374</v>
      </c>
      <c r="G1029" s="198" t="s">
        <v>375</v>
      </c>
      <c r="H1029" s="198" t="s">
        <v>873</v>
      </c>
      <c r="I1029" s="199" t="s">
        <v>873</v>
      </c>
      <c r="J1029" s="198" t="s">
        <v>68</v>
      </c>
      <c r="K1029" s="198" t="s">
        <v>1435</v>
      </c>
      <c r="L1029" s="234" t="n">
        <v>8820</v>
      </c>
      <c r="M1029" s="234" t="n">
        <v>4560</v>
      </c>
      <c r="N1029" s="234" t="n">
        <v>10.5</v>
      </c>
      <c r="O1029" s="407" t="n">
        <v>4260</v>
      </c>
      <c r="P1029" s="407" t="n">
        <v>3812.7</v>
      </c>
      <c r="Q1029" s="234" t="n">
        <v>2025</v>
      </c>
      <c r="R1029" s="234"/>
      <c r="S1029" s="248" t="n">
        <v>45818</v>
      </c>
      <c r="T1029" s="407" t="n">
        <f aca="false">Таблица18[[#This Row],[Вес нетто]]-Таблица18[[#This Row],[Зачетный вес]]</f>
        <v>447.3</v>
      </c>
      <c r="U1029" s="409" t="n">
        <f aca="false">Таблица18[[#This Row],[Отход]]/Таблица18[[#This Row],[Вес нетто]]</f>
        <v>0.105</v>
      </c>
      <c r="V1029" s="234" t="n">
        <f aca="false">MONTH(Таблица18[[#This Row],[Дата акта]])</f>
        <v>6</v>
      </c>
      <c r="W1029" s="234" t="n">
        <v>10</v>
      </c>
      <c r="X1029" s="248" t="n">
        <f aca="false">DATE(1900,Таблица18[[#This Row],[Месяц]],Таблица18[[#This Row],[Число]])</f>
        <v>162</v>
      </c>
      <c r="Y1029" s="234"/>
      <c r="AF1029" s="411"/>
      <c r="AG1029" s="412"/>
    </row>
    <row r="1030" s="410" customFormat="true" ht="15" hidden="true" customHeight="true" outlineLevel="0" collapsed="false">
      <c r="A1030" s="198" t="s">
        <v>2652</v>
      </c>
      <c r="B1030" s="199" t="s">
        <v>886</v>
      </c>
      <c r="C1030" s="198" t="n">
        <v>367</v>
      </c>
      <c r="D1030" s="198" t="n">
        <v>127</v>
      </c>
      <c r="E1030" s="198" t="s">
        <v>422</v>
      </c>
      <c r="F1030" s="198" t="s">
        <v>382</v>
      </c>
      <c r="G1030" s="198" t="s">
        <v>383</v>
      </c>
      <c r="H1030" s="198" t="s">
        <v>896</v>
      </c>
      <c r="I1030" s="199" t="s">
        <v>896</v>
      </c>
      <c r="J1030" s="198" t="s">
        <v>47</v>
      </c>
      <c r="K1030" s="198" t="s">
        <v>1435</v>
      </c>
      <c r="L1030" s="234" t="n">
        <v>28410</v>
      </c>
      <c r="M1030" s="234" t="n">
        <v>14850</v>
      </c>
      <c r="N1030" s="234" t="n">
        <v>13.5</v>
      </c>
      <c r="O1030" s="407" t="n">
        <v>13560</v>
      </c>
      <c r="P1030" s="407" t="n">
        <v>11729.4</v>
      </c>
      <c r="Q1030" s="234" t="n">
        <v>2025</v>
      </c>
      <c r="R1030" s="234"/>
      <c r="S1030" s="248" t="n">
        <v>45818</v>
      </c>
      <c r="T1030" s="407" t="n">
        <f aca="false">Таблица18[[#This Row],[Вес нетто]]-Таблица18[[#This Row],[Зачетный вес]]</f>
        <v>1830.6</v>
      </c>
      <c r="U1030" s="409" t="n">
        <f aca="false">Таблица18[[#This Row],[Отход]]/Таблица18[[#This Row],[Вес нетто]]</f>
        <v>0.135</v>
      </c>
      <c r="V1030" s="234" t="n">
        <f aca="false">MONTH(Таблица18[[#This Row],[Дата акта]])</f>
        <v>6</v>
      </c>
      <c r="W1030" s="234" t="n">
        <v>10</v>
      </c>
      <c r="X1030" s="248" t="n">
        <f aca="false">DATE(1900,Таблица18[[#This Row],[Месяц]],Таблица18[[#This Row],[Число]])</f>
        <v>162</v>
      </c>
      <c r="Y1030" s="234"/>
      <c r="AF1030" s="411"/>
      <c r="AG1030" s="412"/>
    </row>
    <row r="1031" s="410" customFormat="true" ht="15" hidden="true" customHeight="true" outlineLevel="0" collapsed="false">
      <c r="A1031" s="198" t="s">
        <v>2653</v>
      </c>
      <c r="B1031" s="199" t="s">
        <v>746</v>
      </c>
      <c r="C1031" s="198" t="n">
        <v>368</v>
      </c>
      <c r="D1031" s="198" t="n">
        <v>128</v>
      </c>
      <c r="E1031" s="198" t="s">
        <v>422</v>
      </c>
      <c r="F1031" s="198" t="s">
        <v>384</v>
      </c>
      <c r="G1031" s="198" t="s">
        <v>385</v>
      </c>
      <c r="H1031" s="198" t="s">
        <v>873</v>
      </c>
      <c r="I1031" s="199" t="s">
        <v>873</v>
      </c>
      <c r="J1031" s="198" t="s">
        <v>68</v>
      </c>
      <c r="K1031" s="198" t="s">
        <v>1435</v>
      </c>
      <c r="L1031" s="234" t="n">
        <v>27150</v>
      </c>
      <c r="M1031" s="234" t="n">
        <v>14430</v>
      </c>
      <c r="N1031" s="234" t="n">
        <v>11.5</v>
      </c>
      <c r="O1031" s="407" t="n">
        <v>12720</v>
      </c>
      <c r="P1031" s="407" t="n">
        <v>11257.2</v>
      </c>
      <c r="Q1031" s="234" t="n">
        <v>2025</v>
      </c>
      <c r="R1031" s="234"/>
      <c r="S1031" s="248" t="n">
        <v>45818</v>
      </c>
      <c r="T1031" s="407" t="n">
        <f aca="false">Таблица18[[#This Row],[Вес нетто]]-Таблица18[[#This Row],[Зачетный вес]]</f>
        <v>1462.8</v>
      </c>
      <c r="U1031" s="409" t="n">
        <f aca="false">Таблица18[[#This Row],[Отход]]/Таблица18[[#This Row],[Вес нетто]]</f>
        <v>0.115</v>
      </c>
      <c r="V1031" s="234" t="n">
        <f aca="false">MONTH(Таблица18[[#This Row],[Дата акта]])</f>
        <v>6</v>
      </c>
      <c r="W1031" s="234" t="n">
        <v>10</v>
      </c>
      <c r="X1031" s="248" t="n">
        <f aca="false">DATE(1900,Таблица18[[#This Row],[Месяц]],Таблица18[[#This Row],[Число]])</f>
        <v>162</v>
      </c>
      <c r="Y1031" s="234"/>
      <c r="AF1031" s="411"/>
      <c r="AG1031" s="412"/>
    </row>
    <row r="1032" s="410" customFormat="true" ht="15" hidden="true" customHeight="true" outlineLevel="0" collapsed="false">
      <c r="A1032" s="198" t="s">
        <v>2654</v>
      </c>
      <c r="B1032" s="199" t="s">
        <v>746</v>
      </c>
      <c r="C1032" s="198" t="n">
        <v>369</v>
      </c>
      <c r="D1032" s="198" t="n">
        <v>129</v>
      </c>
      <c r="E1032" s="198" t="s">
        <v>422</v>
      </c>
      <c r="F1032" s="198" t="s">
        <v>361</v>
      </c>
      <c r="G1032" s="198" t="s">
        <v>362</v>
      </c>
      <c r="H1032" s="198" t="s">
        <v>896</v>
      </c>
      <c r="I1032" s="199" t="s">
        <v>896</v>
      </c>
      <c r="J1032" s="198" t="s">
        <v>47</v>
      </c>
      <c r="K1032" s="198" t="s">
        <v>1435</v>
      </c>
      <c r="L1032" s="234" t="n">
        <v>28490</v>
      </c>
      <c r="M1032" s="234" t="n">
        <v>14640</v>
      </c>
      <c r="N1032" s="234" t="n">
        <v>12</v>
      </c>
      <c r="O1032" s="407" t="n">
        <v>13850</v>
      </c>
      <c r="P1032" s="407" t="n">
        <v>12188</v>
      </c>
      <c r="Q1032" s="234" t="n">
        <v>2025</v>
      </c>
      <c r="R1032" s="234"/>
      <c r="S1032" s="248" t="n">
        <v>45819</v>
      </c>
      <c r="T1032" s="407" t="n">
        <f aca="false">Таблица18[[#This Row],[Вес нетто]]-Таблица18[[#This Row],[Зачетный вес]]</f>
        <v>1662</v>
      </c>
      <c r="U1032" s="409" t="n">
        <f aca="false">Таблица18[[#This Row],[Отход]]/Таблица18[[#This Row],[Вес нетто]]</f>
        <v>0.12</v>
      </c>
      <c r="V1032" s="234" t="n">
        <f aca="false">MONTH(Таблица18[[#This Row],[Дата акта]])</f>
        <v>6</v>
      </c>
      <c r="W1032" s="234" t="n">
        <v>11</v>
      </c>
      <c r="X1032" s="248" t="n">
        <f aca="false">DATE(1900,Таблица18[[#This Row],[Месяц]],Таблица18[[#This Row],[Число]])</f>
        <v>163</v>
      </c>
      <c r="Y1032" s="234"/>
      <c r="AF1032" s="411"/>
      <c r="AG1032" s="412"/>
    </row>
    <row r="1033" s="410" customFormat="true" ht="15" hidden="true" customHeight="true" outlineLevel="0" collapsed="false">
      <c r="A1033" s="198" t="s">
        <v>2655</v>
      </c>
      <c r="B1033" s="199" t="s">
        <v>746</v>
      </c>
      <c r="C1033" s="198" t="n">
        <v>371</v>
      </c>
      <c r="D1033" s="198" t="n">
        <v>131</v>
      </c>
      <c r="E1033" s="198" t="s">
        <v>422</v>
      </c>
      <c r="F1033" s="198" t="s">
        <v>374</v>
      </c>
      <c r="G1033" s="198" t="s">
        <v>375</v>
      </c>
      <c r="H1033" s="198" t="s">
        <v>873</v>
      </c>
      <c r="I1033" s="199" t="s">
        <v>873</v>
      </c>
      <c r="J1033" s="198" t="s">
        <v>68</v>
      </c>
      <c r="K1033" s="198" t="s">
        <v>1435</v>
      </c>
      <c r="L1033" s="234" t="n">
        <v>8840</v>
      </c>
      <c r="M1033" s="234" t="n">
        <v>4550</v>
      </c>
      <c r="N1033" s="234" t="n">
        <v>7</v>
      </c>
      <c r="O1033" s="407" t="n">
        <v>4290</v>
      </c>
      <c r="P1033" s="407" t="n">
        <v>3989.7</v>
      </c>
      <c r="Q1033" s="234" t="n">
        <v>2025</v>
      </c>
      <c r="R1033" s="234"/>
      <c r="S1033" s="248" t="n">
        <v>45819</v>
      </c>
      <c r="T1033" s="407" t="n">
        <f aca="false">Таблица18[[#This Row],[Вес нетто]]-Таблица18[[#This Row],[Зачетный вес]]</f>
        <v>300.3</v>
      </c>
      <c r="U1033" s="409" t="n">
        <f aca="false">Таблица18[[#This Row],[Отход]]/Таблица18[[#This Row],[Вес нетто]]</f>
        <v>0.0700000000000001</v>
      </c>
      <c r="V1033" s="234" t="n">
        <f aca="false">MONTH(Таблица18[[#This Row],[Дата акта]])</f>
        <v>6</v>
      </c>
      <c r="W1033" s="234" t="n">
        <v>11</v>
      </c>
      <c r="X1033" s="248" t="n">
        <f aca="false">DATE(1900,Таблица18[[#This Row],[Месяц]],Таблица18[[#This Row],[Число]])</f>
        <v>163</v>
      </c>
      <c r="Y1033" s="234"/>
      <c r="AF1033" s="411"/>
      <c r="AG1033" s="412"/>
    </row>
    <row r="1034" s="410" customFormat="true" ht="15" hidden="true" customHeight="true" outlineLevel="0" collapsed="false">
      <c r="A1034" s="198" t="s">
        <v>2656</v>
      </c>
      <c r="B1034" s="199" t="s">
        <v>746</v>
      </c>
      <c r="C1034" s="198" t="n">
        <v>370</v>
      </c>
      <c r="D1034" s="198" t="n">
        <v>130</v>
      </c>
      <c r="E1034" s="198" t="s">
        <v>422</v>
      </c>
      <c r="F1034" s="198" t="s">
        <v>376</v>
      </c>
      <c r="G1034" s="198" t="s">
        <v>377</v>
      </c>
      <c r="H1034" s="198" t="s">
        <v>873</v>
      </c>
      <c r="I1034" s="199" t="s">
        <v>873</v>
      </c>
      <c r="J1034" s="198" t="s">
        <v>68</v>
      </c>
      <c r="K1034" s="198" t="s">
        <v>1435</v>
      </c>
      <c r="L1034" s="234" t="n">
        <v>27160</v>
      </c>
      <c r="M1034" s="234" t="n">
        <v>14250</v>
      </c>
      <c r="N1034" s="234" t="n">
        <v>10.5</v>
      </c>
      <c r="O1034" s="407" t="n">
        <v>12910</v>
      </c>
      <c r="P1034" s="407" t="n">
        <v>11554.4</v>
      </c>
      <c r="Q1034" s="234" t="n">
        <v>2025</v>
      </c>
      <c r="R1034" s="234"/>
      <c r="S1034" s="248" t="n">
        <v>45819</v>
      </c>
      <c r="T1034" s="407" t="n">
        <f aca="false">Таблица18[[#This Row],[Вес нетто]]-Таблица18[[#This Row],[Зачетный вес]]</f>
        <v>1355.6</v>
      </c>
      <c r="U1034" s="409" t="n">
        <f aca="false">Таблица18[[#This Row],[Отход]]/Таблица18[[#This Row],[Вес нетто]]</f>
        <v>0.105003872966693</v>
      </c>
      <c r="V1034" s="234" t="n">
        <f aca="false">MONTH(Таблица18[[#This Row],[Дата акта]])</f>
        <v>6</v>
      </c>
      <c r="W1034" s="234" t="n">
        <v>11</v>
      </c>
      <c r="X1034" s="248" t="n">
        <f aca="false">DATE(1900,Таблица18[[#This Row],[Месяц]],Таблица18[[#This Row],[Число]])</f>
        <v>163</v>
      </c>
      <c r="Y1034" s="234"/>
      <c r="AF1034" s="411"/>
      <c r="AG1034" s="412"/>
    </row>
    <row r="1035" s="410" customFormat="true" ht="15" hidden="true" customHeight="true" outlineLevel="0" collapsed="false">
      <c r="A1035" s="198" t="s">
        <v>2657</v>
      </c>
      <c r="B1035" s="199" t="s">
        <v>417</v>
      </c>
      <c r="C1035" s="198" t="n">
        <v>360</v>
      </c>
      <c r="D1035" s="198" t="n">
        <v>122</v>
      </c>
      <c r="E1035" s="198" t="s">
        <v>422</v>
      </c>
      <c r="F1035" s="198" t="s">
        <v>376</v>
      </c>
      <c r="G1035" s="198" t="s">
        <v>377</v>
      </c>
      <c r="H1035" s="198" t="s">
        <v>873</v>
      </c>
      <c r="I1035" s="199" t="s">
        <v>873</v>
      </c>
      <c r="J1035" s="198" t="s">
        <v>897</v>
      </c>
      <c r="K1035" s="198" t="s">
        <v>1435</v>
      </c>
      <c r="L1035" s="234" t="n">
        <v>22670</v>
      </c>
      <c r="M1035" s="234" t="n">
        <v>14280</v>
      </c>
      <c r="N1035" s="234" t="n">
        <v>19</v>
      </c>
      <c r="O1035" s="407" t="n">
        <v>8390</v>
      </c>
      <c r="P1035" s="407" t="n">
        <v>6795.9</v>
      </c>
      <c r="Q1035" s="234" t="n">
        <v>2025</v>
      </c>
      <c r="R1035" s="234"/>
      <c r="S1035" s="248" t="n">
        <v>45818</v>
      </c>
      <c r="T1035" s="407" t="n">
        <f aca="false">Таблица18[[#This Row],[Вес нетто]]-Таблица18[[#This Row],[Зачетный вес]]</f>
        <v>1594.1</v>
      </c>
      <c r="U1035" s="409" t="n">
        <f aca="false">Таблица18[[#This Row],[Отход]]/Таблица18[[#This Row],[Вес нетто]]</f>
        <v>0.19</v>
      </c>
      <c r="V1035" s="234" t="n">
        <f aca="false">MONTH(Таблица18[[#This Row],[Дата акта]])</f>
        <v>6</v>
      </c>
      <c r="W1035" s="234" t="n">
        <v>10</v>
      </c>
      <c r="X1035" s="248" t="n">
        <f aca="false">DATE(1900,Таблица18[[#This Row],[Месяц]],Таблица18[[#This Row],[Число]])</f>
        <v>162</v>
      </c>
      <c r="Y1035" s="234"/>
      <c r="AF1035" s="411"/>
      <c r="AG1035" s="412"/>
    </row>
    <row r="1036" s="410" customFormat="true" ht="15" hidden="true" customHeight="true" outlineLevel="0" collapsed="false">
      <c r="A1036" s="198" t="s">
        <v>2658</v>
      </c>
      <c r="B1036" s="199" t="s">
        <v>746</v>
      </c>
      <c r="C1036" s="198" t="n">
        <v>372</v>
      </c>
      <c r="D1036" s="198" t="n">
        <v>132</v>
      </c>
      <c r="E1036" s="198" t="s">
        <v>422</v>
      </c>
      <c r="F1036" s="198" t="s">
        <v>382</v>
      </c>
      <c r="G1036" s="198" t="s">
        <v>383</v>
      </c>
      <c r="H1036" s="198" t="s">
        <v>885</v>
      </c>
      <c r="I1036" s="199" t="s">
        <v>885</v>
      </c>
      <c r="J1036" s="198" t="s">
        <v>47</v>
      </c>
      <c r="K1036" s="198" t="s">
        <v>1435</v>
      </c>
      <c r="L1036" s="234" t="n">
        <v>28460</v>
      </c>
      <c r="M1036" s="234" t="n">
        <v>14840</v>
      </c>
      <c r="N1036" s="234" t="n">
        <v>9.5</v>
      </c>
      <c r="O1036" s="407" t="n">
        <v>13620</v>
      </c>
      <c r="P1036" s="407" t="n">
        <v>12326.1</v>
      </c>
      <c r="Q1036" s="234" t="n">
        <v>2025</v>
      </c>
      <c r="R1036" s="234"/>
      <c r="S1036" s="248" t="n">
        <v>45819</v>
      </c>
      <c r="T1036" s="407" t="n">
        <f aca="false">Таблица18[[#This Row],[Вес нетто]]-Таблица18[[#This Row],[Зачетный вес]]</f>
        <v>1293.9</v>
      </c>
      <c r="U1036" s="409" t="n">
        <f aca="false">Таблица18[[#This Row],[Отход]]/Таблица18[[#This Row],[Вес нетто]]</f>
        <v>0.095</v>
      </c>
      <c r="V1036" s="234" t="n">
        <f aca="false">MONTH(Таблица18[[#This Row],[Дата акта]])</f>
        <v>6</v>
      </c>
      <c r="W1036" s="234" t="n">
        <v>11</v>
      </c>
      <c r="X1036" s="248" t="n">
        <f aca="false">DATE(1900,Таблица18[[#This Row],[Месяц]],Таблица18[[#This Row],[Число]])</f>
        <v>163</v>
      </c>
      <c r="Y1036" s="234"/>
      <c r="AF1036" s="411"/>
      <c r="AG1036" s="412"/>
    </row>
    <row r="1037" s="410" customFormat="true" ht="15" hidden="true" customHeight="true" outlineLevel="0" collapsed="false">
      <c r="A1037" s="198" t="s">
        <v>2659</v>
      </c>
      <c r="B1037" s="199" t="s">
        <v>746</v>
      </c>
      <c r="C1037" s="198" t="n">
        <v>373</v>
      </c>
      <c r="D1037" s="198" t="n">
        <v>133</v>
      </c>
      <c r="E1037" s="198" t="s">
        <v>422</v>
      </c>
      <c r="F1037" s="198" t="s">
        <v>361</v>
      </c>
      <c r="G1037" s="198" t="s">
        <v>362</v>
      </c>
      <c r="H1037" s="198" t="s">
        <v>873</v>
      </c>
      <c r="I1037" s="199" t="s">
        <v>873</v>
      </c>
      <c r="J1037" s="198" t="s">
        <v>68</v>
      </c>
      <c r="K1037" s="198" t="s">
        <v>1435</v>
      </c>
      <c r="L1037" s="234" t="n">
        <v>27930</v>
      </c>
      <c r="M1037" s="234" t="n">
        <v>14640</v>
      </c>
      <c r="N1037" s="234" t="n">
        <v>10</v>
      </c>
      <c r="O1037" s="407" t="n">
        <v>13290</v>
      </c>
      <c r="P1037" s="407" t="n">
        <v>11961</v>
      </c>
      <c r="Q1037" s="234" t="n">
        <v>2025</v>
      </c>
      <c r="R1037" s="234"/>
      <c r="S1037" s="248" t="n">
        <v>45819</v>
      </c>
      <c r="T1037" s="407" t="n">
        <f aca="false">Таблица18[[#This Row],[Вес нетто]]-Таблица18[[#This Row],[Зачетный вес]]</f>
        <v>1329</v>
      </c>
      <c r="U1037" s="409" t="n">
        <f aca="false">Таблица18[[#This Row],[Отход]]/Таблица18[[#This Row],[Вес нетто]]</f>
        <v>0.1</v>
      </c>
      <c r="V1037" s="234" t="n">
        <f aca="false">MONTH(Таблица18[[#This Row],[Дата акта]])</f>
        <v>6</v>
      </c>
      <c r="W1037" s="234" t="n">
        <v>11</v>
      </c>
      <c r="X1037" s="248" t="n">
        <f aca="false">DATE(1900,Таблица18[[#This Row],[Месяц]],Таблица18[[#This Row],[Число]])</f>
        <v>163</v>
      </c>
      <c r="Y1037" s="234"/>
      <c r="AF1037" s="411"/>
      <c r="AG1037" s="412"/>
    </row>
    <row r="1038" s="410" customFormat="true" ht="15" hidden="true" customHeight="true" outlineLevel="0" collapsed="false">
      <c r="A1038" s="198" t="s">
        <v>2660</v>
      </c>
      <c r="B1038" s="199" t="s">
        <v>886</v>
      </c>
      <c r="C1038" s="198" t="n">
        <v>375</v>
      </c>
      <c r="D1038" s="198" t="n">
        <v>134</v>
      </c>
      <c r="E1038" s="198" t="s">
        <v>422</v>
      </c>
      <c r="F1038" s="198" t="s">
        <v>457</v>
      </c>
      <c r="G1038" s="198" t="s">
        <v>366</v>
      </c>
      <c r="H1038" s="198" t="s">
        <v>873</v>
      </c>
      <c r="I1038" s="199" t="s">
        <v>873</v>
      </c>
      <c r="J1038" s="198" t="s">
        <v>68</v>
      </c>
      <c r="K1038" s="198" t="s">
        <v>1435</v>
      </c>
      <c r="L1038" s="234" t="n">
        <v>25280</v>
      </c>
      <c r="M1038" s="234" t="n">
        <v>14940</v>
      </c>
      <c r="N1038" s="234" t="n">
        <v>5</v>
      </c>
      <c r="O1038" s="407" t="n">
        <v>10340</v>
      </c>
      <c r="P1038" s="407" t="n">
        <v>9823</v>
      </c>
      <c r="Q1038" s="234" t="n">
        <v>2025</v>
      </c>
      <c r="R1038" s="234"/>
      <c r="S1038" s="248" t="n">
        <v>45819</v>
      </c>
      <c r="T1038" s="407" t="n">
        <f aca="false">Таблица18[[#This Row],[Вес нетто]]-Таблица18[[#This Row],[Зачетный вес]]</f>
        <v>517</v>
      </c>
      <c r="U1038" s="409" t="n">
        <f aca="false">Таблица18[[#This Row],[Отход]]/Таблица18[[#This Row],[Вес нетто]]</f>
        <v>0.05</v>
      </c>
      <c r="V1038" s="234" t="n">
        <f aca="false">MONTH(Таблица18[[#This Row],[Дата акта]])</f>
        <v>6</v>
      </c>
      <c r="W1038" s="234" t="n">
        <v>11</v>
      </c>
      <c r="X1038" s="248" t="n">
        <f aca="false">DATE(1900,Таблица18[[#This Row],[Месяц]],Таблица18[[#This Row],[Число]])</f>
        <v>163</v>
      </c>
      <c r="Y1038" s="234"/>
      <c r="AF1038" s="411"/>
      <c r="AG1038" s="412"/>
    </row>
    <row r="1039" s="410" customFormat="true" ht="15" hidden="true" customHeight="true" outlineLevel="0" collapsed="false">
      <c r="A1039" s="198" t="s">
        <v>2661</v>
      </c>
      <c r="B1039" s="199" t="s">
        <v>886</v>
      </c>
      <c r="C1039" s="198" t="n">
        <v>377</v>
      </c>
      <c r="D1039" s="198" t="n">
        <v>135</v>
      </c>
      <c r="E1039" s="198" t="s">
        <v>422</v>
      </c>
      <c r="F1039" s="198" t="s">
        <v>371</v>
      </c>
      <c r="G1039" s="198" t="s">
        <v>372</v>
      </c>
      <c r="H1039" s="198" t="s">
        <v>873</v>
      </c>
      <c r="I1039" s="199" t="s">
        <v>873</v>
      </c>
      <c r="J1039" s="198" t="s">
        <v>68</v>
      </c>
      <c r="K1039" s="198" t="s">
        <v>1435</v>
      </c>
      <c r="L1039" s="234" t="n">
        <v>25720</v>
      </c>
      <c r="M1039" s="234" t="n">
        <v>15020</v>
      </c>
      <c r="N1039" s="234" t="n">
        <v>6.5</v>
      </c>
      <c r="O1039" s="407" t="n">
        <v>10700</v>
      </c>
      <c r="P1039" s="407" t="n">
        <v>10004.5</v>
      </c>
      <c r="Q1039" s="234" t="n">
        <v>2025</v>
      </c>
      <c r="R1039" s="234"/>
      <c r="S1039" s="248" t="n">
        <v>45819</v>
      </c>
      <c r="T1039" s="407" t="n">
        <f aca="false">Таблица18[[#This Row],[Вес нетто]]-Таблица18[[#This Row],[Зачетный вес]]</f>
        <v>695.5</v>
      </c>
      <c r="U1039" s="409" t="n">
        <f aca="false">Таблица18[[#This Row],[Отход]]/Таблица18[[#This Row],[Вес нетто]]</f>
        <v>0.065</v>
      </c>
      <c r="V1039" s="234" t="n">
        <f aca="false">MONTH(Таблица18[[#This Row],[Дата акта]])</f>
        <v>6</v>
      </c>
      <c r="W1039" s="234" t="n">
        <v>11</v>
      </c>
      <c r="X1039" s="248" t="n">
        <f aca="false">DATE(1900,Таблица18[[#This Row],[Месяц]],Таблица18[[#This Row],[Число]])</f>
        <v>163</v>
      </c>
      <c r="Y1039" s="234"/>
      <c r="AF1039" s="411"/>
      <c r="AG1039" s="412"/>
    </row>
    <row r="1040" s="410" customFormat="true" ht="15" hidden="true" customHeight="true" outlineLevel="0" collapsed="false">
      <c r="A1040" s="198" t="s">
        <v>2662</v>
      </c>
      <c r="B1040" s="199" t="s">
        <v>746</v>
      </c>
      <c r="C1040" s="198" t="n">
        <v>378</v>
      </c>
      <c r="D1040" s="198" t="n">
        <v>3</v>
      </c>
      <c r="E1040" s="198" t="s">
        <v>899</v>
      </c>
      <c r="F1040" s="198" t="s">
        <v>378</v>
      </c>
      <c r="G1040" s="198" t="s">
        <v>379</v>
      </c>
      <c r="H1040" s="198" t="s">
        <v>903</v>
      </c>
      <c r="I1040" s="199" t="s">
        <v>903</v>
      </c>
      <c r="J1040" s="198" t="s">
        <v>900</v>
      </c>
      <c r="K1040" s="198" t="s">
        <v>1435</v>
      </c>
      <c r="L1040" s="234" t="n">
        <v>8800</v>
      </c>
      <c r="M1040" s="234" t="n">
        <v>4600</v>
      </c>
      <c r="N1040" s="234" t="n">
        <v>7</v>
      </c>
      <c r="O1040" s="407" t="n">
        <v>4200</v>
      </c>
      <c r="P1040" s="407" t="n">
        <v>3906</v>
      </c>
      <c r="Q1040" s="234" t="n">
        <v>2025</v>
      </c>
      <c r="R1040" s="234"/>
      <c r="S1040" s="248" t="n">
        <v>45819</v>
      </c>
      <c r="T1040" s="407" t="n">
        <f aca="false">Таблица18[[#This Row],[Вес нетто]]-Таблица18[[#This Row],[Зачетный вес]]</f>
        <v>294</v>
      </c>
      <c r="U1040" s="409" t="n">
        <f aca="false">Таблица18[[#This Row],[Отход]]/Таблица18[[#This Row],[Вес нетто]]</f>
        <v>0.07</v>
      </c>
      <c r="V1040" s="234" t="n">
        <f aca="false">MONTH(Таблица18[[#This Row],[Дата акта]])</f>
        <v>6</v>
      </c>
      <c r="W1040" s="234" t="n">
        <v>11</v>
      </c>
      <c r="X1040" s="248" t="n">
        <f aca="false">DATE(1900,Таблица18[[#This Row],[Месяц]],Таблица18[[#This Row],[Число]])</f>
        <v>163</v>
      </c>
      <c r="Y1040" s="234"/>
      <c r="AF1040" s="411"/>
      <c r="AG1040" s="412"/>
    </row>
    <row r="1041" s="410" customFormat="true" ht="15" hidden="true" customHeight="true" outlineLevel="0" collapsed="false">
      <c r="A1041" s="198" t="s">
        <v>2663</v>
      </c>
      <c r="B1041" s="199" t="s">
        <v>746</v>
      </c>
      <c r="C1041" s="198" t="n">
        <v>380</v>
      </c>
      <c r="D1041" s="198" t="n">
        <v>1</v>
      </c>
      <c r="E1041" s="198" t="s">
        <v>899</v>
      </c>
      <c r="F1041" s="198" t="s">
        <v>553</v>
      </c>
      <c r="G1041" s="198" t="s">
        <v>557</v>
      </c>
      <c r="H1041" s="198" t="s">
        <v>903</v>
      </c>
      <c r="I1041" s="199" t="s">
        <v>903</v>
      </c>
      <c r="J1041" s="198" t="s">
        <v>900</v>
      </c>
      <c r="K1041" s="198" t="s">
        <v>1435</v>
      </c>
      <c r="L1041" s="234" t="n">
        <v>27810</v>
      </c>
      <c r="M1041" s="234" t="n">
        <v>14980</v>
      </c>
      <c r="N1041" s="234" t="n">
        <v>9.5</v>
      </c>
      <c r="O1041" s="407" t="n">
        <v>12830</v>
      </c>
      <c r="P1041" s="407" t="n">
        <v>11611.1</v>
      </c>
      <c r="Q1041" s="234" t="n">
        <v>2025</v>
      </c>
      <c r="R1041" s="234"/>
      <c r="S1041" s="248" t="n">
        <v>45819</v>
      </c>
      <c r="T1041" s="407" t="n">
        <f aca="false">Таблица18[[#This Row],[Вес нетто]]-Таблица18[[#This Row],[Зачетный вес]]</f>
        <v>1218.9</v>
      </c>
      <c r="U1041" s="409" t="n">
        <f aca="false">Таблица18[[#This Row],[Отход]]/Таблица18[[#This Row],[Вес нетто]]</f>
        <v>0.095003897116134</v>
      </c>
      <c r="V1041" s="234" t="n">
        <f aca="false">MONTH(Таблица18[[#This Row],[Дата акта]])</f>
        <v>6</v>
      </c>
      <c r="W1041" s="234" t="n">
        <v>11</v>
      </c>
      <c r="X1041" s="248" t="n">
        <f aca="false">DATE(1900,Таблица18[[#This Row],[Месяц]],Таблица18[[#This Row],[Число]])</f>
        <v>163</v>
      </c>
      <c r="Y1041" s="234"/>
      <c r="AF1041" s="411"/>
      <c r="AG1041" s="412"/>
    </row>
    <row r="1042" s="410" customFormat="true" ht="15" hidden="true" customHeight="true" outlineLevel="0" collapsed="false">
      <c r="A1042" s="198" t="s">
        <v>2664</v>
      </c>
      <c r="B1042" s="199" t="s">
        <v>746</v>
      </c>
      <c r="C1042" s="198" t="n">
        <v>381</v>
      </c>
      <c r="D1042" s="198" t="n">
        <v>2</v>
      </c>
      <c r="E1042" s="198" t="s">
        <v>899</v>
      </c>
      <c r="F1042" s="198" t="s">
        <v>547</v>
      </c>
      <c r="G1042" s="198" t="s">
        <v>551</v>
      </c>
      <c r="H1042" s="198" t="s">
        <v>903</v>
      </c>
      <c r="I1042" s="199" t="s">
        <v>903</v>
      </c>
      <c r="J1042" s="198" t="s">
        <v>900</v>
      </c>
      <c r="K1042" s="198" t="s">
        <v>1435</v>
      </c>
      <c r="L1042" s="234" t="n">
        <v>27520</v>
      </c>
      <c r="M1042" s="234" t="n">
        <v>14770</v>
      </c>
      <c r="N1042" s="234" t="n">
        <v>5</v>
      </c>
      <c r="O1042" s="407" t="n">
        <v>12750</v>
      </c>
      <c r="P1042" s="407" t="n">
        <v>12112.5</v>
      </c>
      <c r="Q1042" s="234" t="n">
        <v>2025</v>
      </c>
      <c r="R1042" s="234"/>
      <c r="S1042" s="248" t="n">
        <v>45819</v>
      </c>
      <c r="T1042" s="407" t="n">
        <f aca="false">Таблица18[[#This Row],[Вес нетто]]-Таблица18[[#This Row],[Зачетный вес]]</f>
        <v>637.5</v>
      </c>
      <c r="U1042" s="409" t="n">
        <f aca="false">Таблица18[[#This Row],[Отход]]/Таблица18[[#This Row],[Вес нетто]]</f>
        <v>0.05</v>
      </c>
      <c r="V1042" s="234" t="n">
        <f aca="false">MONTH(Таблица18[[#This Row],[Дата акта]])</f>
        <v>6</v>
      </c>
      <c r="W1042" s="234" t="n">
        <v>11</v>
      </c>
      <c r="X1042" s="248" t="n">
        <f aca="false">DATE(1900,Таблица18[[#This Row],[Месяц]],Таблица18[[#This Row],[Число]])</f>
        <v>163</v>
      </c>
      <c r="Y1042" s="234"/>
      <c r="AF1042" s="411"/>
      <c r="AG1042" s="412"/>
    </row>
    <row r="1043" s="410" customFormat="true" ht="15" hidden="true" customHeight="true" outlineLevel="0" collapsed="false">
      <c r="A1043" s="198" t="s">
        <v>2665</v>
      </c>
      <c r="B1043" s="199" t="s">
        <v>746</v>
      </c>
      <c r="C1043" s="198" t="n">
        <v>382</v>
      </c>
      <c r="D1043" s="198" t="n">
        <v>4</v>
      </c>
      <c r="E1043" s="198" t="s">
        <v>899</v>
      </c>
      <c r="F1043" s="198" t="s">
        <v>363</v>
      </c>
      <c r="G1043" s="198" t="s">
        <v>364</v>
      </c>
      <c r="H1043" s="198" t="s">
        <v>903</v>
      </c>
      <c r="I1043" s="199" t="s">
        <v>903</v>
      </c>
      <c r="J1043" s="198" t="s">
        <v>900</v>
      </c>
      <c r="K1043" s="198" t="s">
        <v>1435</v>
      </c>
      <c r="L1043" s="234" t="n">
        <v>27190</v>
      </c>
      <c r="M1043" s="234" t="n">
        <v>14530</v>
      </c>
      <c r="N1043" s="234" t="n">
        <v>8</v>
      </c>
      <c r="O1043" s="407" t="n">
        <v>12660</v>
      </c>
      <c r="P1043" s="407" t="n">
        <v>11647.2</v>
      </c>
      <c r="Q1043" s="234" t="n">
        <v>2025</v>
      </c>
      <c r="R1043" s="234"/>
      <c r="S1043" s="248" t="n">
        <v>45819</v>
      </c>
      <c r="T1043" s="407" t="n">
        <f aca="false">Таблица18[[#This Row],[Вес нетто]]-Таблица18[[#This Row],[Зачетный вес]]</f>
        <v>1012.8</v>
      </c>
      <c r="U1043" s="409" t="n">
        <f aca="false">Таблица18[[#This Row],[Отход]]/Таблица18[[#This Row],[Вес нетто]]</f>
        <v>0.08</v>
      </c>
      <c r="V1043" s="234" t="n">
        <f aca="false">MONTH(Таблица18[[#This Row],[Дата акта]])</f>
        <v>6</v>
      </c>
      <c r="W1043" s="234" t="n">
        <v>11</v>
      </c>
      <c r="X1043" s="248" t="n">
        <f aca="false">DATE(1900,Таблица18[[#This Row],[Месяц]],Таблица18[[#This Row],[Число]])</f>
        <v>163</v>
      </c>
      <c r="Y1043" s="234"/>
      <c r="AF1043" s="411"/>
      <c r="AG1043" s="412"/>
    </row>
    <row r="1044" s="410" customFormat="true" ht="15" hidden="true" customHeight="true" outlineLevel="0" collapsed="false">
      <c r="A1044" s="198" t="s">
        <v>2666</v>
      </c>
      <c r="B1044" s="199" t="s">
        <v>746</v>
      </c>
      <c r="C1044" s="198" t="n">
        <v>383</v>
      </c>
      <c r="D1044" s="198" t="n">
        <v>5</v>
      </c>
      <c r="E1044" s="198" t="s">
        <v>899</v>
      </c>
      <c r="F1044" s="198" t="s">
        <v>55</v>
      </c>
      <c r="G1044" s="198" t="s">
        <v>56</v>
      </c>
      <c r="H1044" s="198" t="s">
        <v>903</v>
      </c>
      <c r="I1044" s="199" t="s">
        <v>903</v>
      </c>
      <c r="J1044" s="198" t="s">
        <v>900</v>
      </c>
      <c r="K1044" s="198" t="s">
        <v>1435</v>
      </c>
      <c r="L1044" s="234" t="n">
        <v>27620</v>
      </c>
      <c r="M1044" s="234" t="n">
        <v>14630</v>
      </c>
      <c r="N1044" s="234" t="n">
        <v>7</v>
      </c>
      <c r="O1044" s="407" t="n">
        <v>12990</v>
      </c>
      <c r="P1044" s="407" t="n">
        <v>12080.7</v>
      </c>
      <c r="Q1044" s="234" t="n">
        <v>2025</v>
      </c>
      <c r="R1044" s="234"/>
      <c r="S1044" s="248" t="n">
        <v>45819</v>
      </c>
      <c r="T1044" s="407" t="n">
        <f aca="false">Таблица18[[#This Row],[Вес нетто]]-Таблица18[[#This Row],[Зачетный вес]]</f>
        <v>909.299999999999</v>
      </c>
      <c r="U1044" s="409" t="n">
        <f aca="false">Таблица18[[#This Row],[Отход]]/Таблица18[[#This Row],[Вес нетто]]</f>
        <v>0.0699999999999999</v>
      </c>
      <c r="V1044" s="234" t="n">
        <f aca="false">MONTH(Таблица18[[#This Row],[Дата акта]])</f>
        <v>6</v>
      </c>
      <c r="W1044" s="234" t="n">
        <v>11</v>
      </c>
      <c r="X1044" s="248" t="n">
        <f aca="false">DATE(1900,Таблица18[[#This Row],[Месяц]],Таблица18[[#This Row],[Число]])</f>
        <v>163</v>
      </c>
      <c r="Y1044" s="234"/>
      <c r="AF1044" s="411"/>
      <c r="AG1044" s="412"/>
    </row>
    <row r="1045" s="410" customFormat="true" ht="15" hidden="true" customHeight="true" outlineLevel="0" collapsed="false">
      <c r="A1045" s="198" t="s">
        <v>2667</v>
      </c>
      <c r="B1045" s="199" t="s">
        <v>746</v>
      </c>
      <c r="C1045" s="198" t="n">
        <v>384</v>
      </c>
      <c r="D1045" s="198" t="n">
        <v>7</v>
      </c>
      <c r="E1045" s="198" t="s">
        <v>899</v>
      </c>
      <c r="F1045" s="198" t="s">
        <v>451</v>
      </c>
      <c r="G1045" s="198" t="s">
        <v>455</v>
      </c>
      <c r="H1045" s="198" t="n">
        <v>40</v>
      </c>
      <c r="I1045" s="199" t="n">
        <v>40</v>
      </c>
      <c r="J1045" s="198" t="s">
        <v>900</v>
      </c>
      <c r="K1045" s="198" t="s">
        <v>1435</v>
      </c>
      <c r="L1045" s="234" t="n">
        <v>27430</v>
      </c>
      <c r="M1045" s="234" t="n">
        <v>15070</v>
      </c>
      <c r="N1045" s="234" t="n">
        <v>6</v>
      </c>
      <c r="O1045" s="407" t="n">
        <v>12360</v>
      </c>
      <c r="P1045" s="407" t="n">
        <v>11618.4</v>
      </c>
      <c r="Q1045" s="234" t="n">
        <v>2025</v>
      </c>
      <c r="R1045" s="234"/>
      <c r="S1045" s="248" t="n">
        <v>45819</v>
      </c>
      <c r="T1045" s="407" t="n">
        <f aca="false">Таблица18[[#This Row],[Вес нетто]]-Таблица18[[#This Row],[Зачетный вес]]</f>
        <v>741.6</v>
      </c>
      <c r="U1045" s="409" t="n">
        <f aca="false">Таблица18[[#This Row],[Отход]]/Таблица18[[#This Row],[Вес нетто]]</f>
        <v>0.06</v>
      </c>
      <c r="V1045" s="234" t="n">
        <f aca="false">MONTH(Таблица18[[#This Row],[Дата акта]])</f>
        <v>6</v>
      </c>
      <c r="W1045" s="234" t="n">
        <v>11</v>
      </c>
      <c r="X1045" s="248" t="n">
        <f aca="false">DATE(1900,Таблица18[[#This Row],[Месяц]],Таблица18[[#This Row],[Число]])</f>
        <v>163</v>
      </c>
      <c r="Y1045" s="234"/>
      <c r="AF1045" s="411"/>
      <c r="AG1045" s="412"/>
    </row>
    <row r="1046" s="410" customFormat="true" ht="15" hidden="true" customHeight="true" outlineLevel="0" collapsed="false">
      <c r="A1046" s="198" t="s">
        <v>2668</v>
      </c>
      <c r="B1046" s="199" t="s">
        <v>746</v>
      </c>
      <c r="C1046" s="198" t="n">
        <v>385</v>
      </c>
      <c r="D1046" s="198" t="n">
        <v>6</v>
      </c>
      <c r="E1046" s="198" t="s">
        <v>899</v>
      </c>
      <c r="F1046" s="198" t="s">
        <v>445</v>
      </c>
      <c r="G1046" s="198" t="s">
        <v>449</v>
      </c>
      <c r="H1046" s="198" t="n">
        <v>40</v>
      </c>
      <c r="I1046" s="199" t="n">
        <v>40</v>
      </c>
      <c r="J1046" s="198" t="s">
        <v>900</v>
      </c>
      <c r="K1046" s="198" t="s">
        <v>1435</v>
      </c>
      <c r="L1046" s="234" t="n">
        <v>28580</v>
      </c>
      <c r="M1046" s="234" t="n">
        <v>15740</v>
      </c>
      <c r="N1046" s="234" t="n">
        <v>7</v>
      </c>
      <c r="O1046" s="407" t="n">
        <v>12840</v>
      </c>
      <c r="P1046" s="407" t="n">
        <v>11941.2</v>
      </c>
      <c r="Q1046" s="234" t="n">
        <v>2025</v>
      </c>
      <c r="R1046" s="234"/>
      <c r="S1046" s="248" t="n">
        <v>45819</v>
      </c>
      <c r="T1046" s="407" t="n">
        <f aca="false">Таблица18[[#This Row],[Вес нетто]]-Таблица18[[#This Row],[Зачетный вес]]</f>
        <v>898.799999999999</v>
      </c>
      <c r="U1046" s="409" t="n">
        <f aca="false">Таблица18[[#This Row],[Отход]]/Таблица18[[#This Row],[Вес нетто]]</f>
        <v>0.0699999999999999</v>
      </c>
      <c r="V1046" s="234" t="n">
        <f aca="false">MONTH(Таблица18[[#This Row],[Дата акта]])</f>
        <v>6</v>
      </c>
      <c r="W1046" s="234" t="n">
        <v>11</v>
      </c>
      <c r="X1046" s="248" t="n">
        <f aca="false">DATE(1900,Таблица18[[#This Row],[Месяц]],Таблица18[[#This Row],[Число]])</f>
        <v>163</v>
      </c>
      <c r="Y1046" s="234"/>
      <c r="AF1046" s="411"/>
      <c r="AG1046" s="412"/>
    </row>
    <row r="1047" s="410" customFormat="true" ht="15" hidden="true" customHeight="true" outlineLevel="0" collapsed="false">
      <c r="A1047" s="198" t="s">
        <v>2669</v>
      </c>
      <c r="B1047" s="199" t="s">
        <v>417</v>
      </c>
      <c r="C1047" s="198" t="n">
        <v>386</v>
      </c>
      <c r="D1047" s="198" t="s">
        <v>906</v>
      </c>
      <c r="E1047" s="198" t="s">
        <v>899</v>
      </c>
      <c r="F1047" s="198" t="s">
        <v>361</v>
      </c>
      <c r="G1047" s="198" t="s">
        <v>362</v>
      </c>
      <c r="H1047" s="198" t="n">
        <v>45</v>
      </c>
      <c r="I1047" s="199" t="n">
        <v>45</v>
      </c>
      <c r="J1047" s="198" t="s">
        <v>904</v>
      </c>
      <c r="K1047" s="198" t="s">
        <v>1435</v>
      </c>
      <c r="L1047" s="234" t="n">
        <v>27660</v>
      </c>
      <c r="M1047" s="234" t="n">
        <v>14730</v>
      </c>
      <c r="N1047" s="234" t="n">
        <v>18.5</v>
      </c>
      <c r="O1047" s="407" t="n">
        <v>12930</v>
      </c>
      <c r="P1047" s="407" t="n">
        <v>10537.9</v>
      </c>
      <c r="Q1047" s="234" t="n">
        <v>2025</v>
      </c>
      <c r="R1047" s="234"/>
      <c r="S1047" s="248" t="n">
        <v>45820</v>
      </c>
      <c r="T1047" s="407" t="n">
        <f aca="false">Таблица18[[#This Row],[Вес нетто]]-Таблица18[[#This Row],[Зачетный вес]]</f>
        <v>2392.1</v>
      </c>
      <c r="U1047" s="409" t="n">
        <f aca="false">Таблица18[[#This Row],[Отход]]/Таблица18[[#This Row],[Вес нетто]]</f>
        <v>0.185003866976025</v>
      </c>
      <c r="V1047" s="234" t="n">
        <f aca="false">MONTH(Таблица18[[#This Row],[Дата акта]])</f>
        <v>6</v>
      </c>
      <c r="W1047" s="234" t="n">
        <v>12</v>
      </c>
      <c r="X1047" s="248" t="n">
        <f aca="false">DATE(1900,Таблица18[[#This Row],[Месяц]],Таблица18[[#This Row],[Число]])</f>
        <v>164</v>
      </c>
      <c r="Y1047" s="234"/>
      <c r="AF1047" s="411"/>
      <c r="AG1047" s="412"/>
    </row>
    <row r="1048" s="410" customFormat="true" ht="15" hidden="true" customHeight="true" outlineLevel="0" collapsed="false">
      <c r="A1048" s="198" t="s">
        <v>2670</v>
      </c>
      <c r="B1048" s="199" t="s">
        <v>417</v>
      </c>
      <c r="C1048" s="198" t="n">
        <v>387</v>
      </c>
      <c r="D1048" s="198" t="s">
        <v>906</v>
      </c>
      <c r="E1048" s="198" t="s">
        <v>899</v>
      </c>
      <c r="F1048" s="198" t="s">
        <v>472</v>
      </c>
      <c r="G1048" s="198" t="s">
        <v>476</v>
      </c>
      <c r="H1048" s="198" t="n">
        <v>45</v>
      </c>
      <c r="I1048" s="199" t="n">
        <v>45</v>
      </c>
      <c r="J1048" s="198" t="s">
        <v>904</v>
      </c>
      <c r="K1048" s="198" t="s">
        <v>1435</v>
      </c>
      <c r="L1048" s="234" t="n">
        <v>28780</v>
      </c>
      <c r="M1048" s="234" t="n">
        <v>15390</v>
      </c>
      <c r="N1048" s="234" t="n">
        <v>12.5</v>
      </c>
      <c r="O1048" s="407" t="n">
        <v>13390</v>
      </c>
      <c r="P1048" s="407" t="n">
        <v>11716.2</v>
      </c>
      <c r="Q1048" s="234" t="n">
        <v>2025</v>
      </c>
      <c r="R1048" s="234"/>
      <c r="S1048" s="248" t="n">
        <v>45820</v>
      </c>
      <c r="T1048" s="407" t="n">
        <f aca="false">Таблица18[[#This Row],[Вес нетто]]-Таблица18[[#This Row],[Зачетный вес]]</f>
        <v>1673.8</v>
      </c>
      <c r="U1048" s="409" t="n">
        <f aca="false">Таблица18[[#This Row],[Отход]]/Таблица18[[#This Row],[Вес нетто]]</f>
        <v>0.125003734129948</v>
      </c>
      <c r="V1048" s="234" t="n">
        <f aca="false">MONTH(Таблица18[[#This Row],[Дата акта]])</f>
        <v>6</v>
      </c>
      <c r="W1048" s="234" t="n">
        <v>12</v>
      </c>
      <c r="X1048" s="248" t="n">
        <f aca="false">DATE(1900,Таблица18[[#This Row],[Месяц]],Таблица18[[#This Row],[Число]])</f>
        <v>164</v>
      </c>
      <c r="Y1048" s="234"/>
      <c r="AF1048" s="411"/>
      <c r="AG1048" s="412"/>
    </row>
    <row r="1049" s="410" customFormat="true" ht="15" hidden="true" customHeight="true" outlineLevel="0" collapsed="false">
      <c r="A1049" s="198" t="s">
        <v>2671</v>
      </c>
      <c r="B1049" s="199" t="s">
        <v>417</v>
      </c>
      <c r="C1049" s="198" t="n">
        <v>388</v>
      </c>
      <c r="D1049" s="198" t="s">
        <v>906</v>
      </c>
      <c r="E1049" s="198" t="s">
        <v>899</v>
      </c>
      <c r="F1049" s="198" t="s">
        <v>57</v>
      </c>
      <c r="G1049" s="198" t="s">
        <v>58</v>
      </c>
      <c r="H1049" s="198" t="n">
        <v>45</v>
      </c>
      <c r="I1049" s="199" t="n">
        <v>45</v>
      </c>
      <c r="J1049" s="198" t="s">
        <v>904</v>
      </c>
      <c r="K1049" s="198" t="s">
        <v>1435</v>
      </c>
      <c r="L1049" s="234" t="n">
        <v>28770</v>
      </c>
      <c r="M1049" s="234" t="n">
        <v>15590</v>
      </c>
      <c r="N1049" s="234" t="n">
        <v>20.5</v>
      </c>
      <c r="O1049" s="407" t="n">
        <v>13180</v>
      </c>
      <c r="P1049" s="407" t="n">
        <v>10478.1</v>
      </c>
      <c r="Q1049" s="234" t="n">
        <v>2025</v>
      </c>
      <c r="R1049" s="234"/>
      <c r="S1049" s="248" t="n">
        <v>45820</v>
      </c>
      <c r="T1049" s="407" t="n">
        <f aca="false">Таблица18[[#This Row],[Вес нетто]]-Таблица18[[#This Row],[Зачетный вес]]</f>
        <v>2701.9</v>
      </c>
      <c r="U1049" s="409" t="n">
        <f aca="false">Таблица18[[#This Row],[Отход]]/Таблица18[[#This Row],[Вес нетто]]</f>
        <v>0.205</v>
      </c>
      <c r="V1049" s="234" t="n">
        <f aca="false">MONTH(Таблица18[[#This Row],[Дата акта]])</f>
        <v>6</v>
      </c>
      <c r="W1049" s="234" t="n">
        <v>12</v>
      </c>
      <c r="X1049" s="248" t="n">
        <f aca="false">DATE(1900,Таблица18[[#This Row],[Месяц]],Таблица18[[#This Row],[Число]])</f>
        <v>164</v>
      </c>
      <c r="Y1049" s="234"/>
      <c r="AF1049" s="411"/>
      <c r="AG1049" s="412"/>
    </row>
    <row r="1050" s="410" customFormat="true" ht="15" hidden="true" customHeight="true" outlineLevel="0" collapsed="false">
      <c r="A1050" s="198" t="s">
        <v>2672</v>
      </c>
      <c r="B1050" s="199" t="s">
        <v>417</v>
      </c>
      <c r="C1050" s="198" t="n">
        <v>389</v>
      </c>
      <c r="D1050" s="198" t="s">
        <v>906</v>
      </c>
      <c r="E1050" s="198" t="s">
        <v>899</v>
      </c>
      <c r="F1050" s="198" t="s">
        <v>427</v>
      </c>
      <c r="G1050" s="198" t="s">
        <v>431</v>
      </c>
      <c r="H1050" s="198" t="n">
        <v>45</v>
      </c>
      <c r="I1050" s="199" t="n">
        <v>45</v>
      </c>
      <c r="J1050" s="198" t="s">
        <v>904</v>
      </c>
      <c r="K1050" s="198" t="s">
        <v>1435</v>
      </c>
      <c r="L1050" s="234" t="n">
        <v>34210</v>
      </c>
      <c r="M1050" s="234" t="n">
        <v>21060</v>
      </c>
      <c r="N1050" s="234" t="n">
        <v>16</v>
      </c>
      <c r="O1050" s="407" t="n">
        <v>13150</v>
      </c>
      <c r="P1050" s="407" t="n">
        <v>11046</v>
      </c>
      <c r="Q1050" s="234" t="n">
        <v>2025</v>
      </c>
      <c r="R1050" s="234"/>
      <c r="S1050" s="248" t="n">
        <v>45820</v>
      </c>
      <c r="T1050" s="407" t="n">
        <f aca="false">Таблица18[[#This Row],[Вес нетто]]-Таблица18[[#This Row],[Зачетный вес]]</f>
        <v>2104</v>
      </c>
      <c r="U1050" s="409" t="n">
        <f aca="false">Таблица18[[#This Row],[Отход]]/Таблица18[[#This Row],[Вес нетто]]</f>
        <v>0.16</v>
      </c>
      <c r="V1050" s="234" t="n">
        <f aca="false">MONTH(Таблица18[[#This Row],[Дата акта]])</f>
        <v>6</v>
      </c>
      <c r="W1050" s="234" t="n">
        <v>12</v>
      </c>
      <c r="X1050" s="248" t="n">
        <f aca="false">DATE(1900,Таблица18[[#This Row],[Месяц]],Таблица18[[#This Row],[Число]])</f>
        <v>164</v>
      </c>
      <c r="Y1050" s="234"/>
      <c r="AF1050" s="411"/>
      <c r="AG1050" s="412"/>
    </row>
    <row r="1051" s="410" customFormat="true" ht="15" hidden="true" customHeight="true" outlineLevel="0" collapsed="false">
      <c r="A1051" s="198" t="s">
        <v>2673</v>
      </c>
      <c r="B1051" s="199" t="s">
        <v>417</v>
      </c>
      <c r="C1051" s="198" t="n">
        <v>390</v>
      </c>
      <c r="D1051" s="198" t="s">
        <v>906</v>
      </c>
      <c r="E1051" s="198" t="s">
        <v>899</v>
      </c>
      <c r="F1051" s="198" t="s">
        <v>439</v>
      </c>
      <c r="G1051" s="198" t="s">
        <v>443</v>
      </c>
      <c r="H1051" s="198" t="n">
        <v>45</v>
      </c>
      <c r="I1051" s="199" t="n">
        <v>45</v>
      </c>
      <c r="J1051" s="198" t="s">
        <v>904</v>
      </c>
      <c r="K1051" s="198" t="s">
        <v>1435</v>
      </c>
      <c r="L1051" s="234" t="n">
        <v>37250</v>
      </c>
      <c r="M1051" s="234" t="n">
        <v>24020</v>
      </c>
      <c r="N1051" s="234" t="n">
        <v>12.5</v>
      </c>
      <c r="O1051" s="407" t="n">
        <v>13230</v>
      </c>
      <c r="P1051" s="407" t="n">
        <v>11576.2</v>
      </c>
      <c r="Q1051" s="234" t="n">
        <v>2025</v>
      </c>
      <c r="R1051" s="234"/>
      <c r="S1051" s="248" t="n">
        <v>45820</v>
      </c>
      <c r="T1051" s="407" t="n">
        <f aca="false">Таблица18[[#This Row],[Вес нетто]]-Таблица18[[#This Row],[Зачетный вес]]</f>
        <v>1653.8</v>
      </c>
      <c r="U1051" s="409" t="n">
        <f aca="false">Таблица18[[#This Row],[Отход]]/Таблица18[[#This Row],[Вес нетто]]</f>
        <v>0.125003779289494</v>
      </c>
      <c r="V1051" s="234" t="n">
        <f aca="false">MONTH(Таблица18[[#This Row],[Дата акта]])</f>
        <v>6</v>
      </c>
      <c r="W1051" s="234" t="n">
        <v>12</v>
      </c>
      <c r="X1051" s="248" t="n">
        <f aca="false">DATE(1900,Таблица18[[#This Row],[Месяц]],Таблица18[[#This Row],[Число]])</f>
        <v>164</v>
      </c>
      <c r="Y1051" s="234"/>
      <c r="AF1051" s="411"/>
      <c r="AG1051" s="412"/>
    </row>
    <row r="1052" s="410" customFormat="true" ht="15" hidden="true" customHeight="true" outlineLevel="0" collapsed="false">
      <c r="A1052" s="198" t="s">
        <v>2674</v>
      </c>
      <c r="B1052" s="199" t="s">
        <v>417</v>
      </c>
      <c r="C1052" s="198" t="n">
        <v>391</v>
      </c>
      <c r="D1052" s="198" t="s">
        <v>906</v>
      </c>
      <c r="E1052" s="198" t="s">
        <v>899</v>
      </c>
      <c r="F1052" s="198" t="s">
        <v>433</v>
      </c>
      <c r="G1052" s="198" t="s">
        <v>437</v>
      </c>
      <c r="H1052" s="198" t="n">
        <v>45</v>
      </c>
      <c r="I1052" s="199" t="n">
        <v>45</v>
      </c>
      <c r="J1052" s="198" t="s">
        <v>904</v>
      </c>
      <c r="K1052" s="198" t="s">
        <v>1435</v>
      </c>
      <c r="L1052" s="234" t="n">
        <v>27970</v>
      </c>
      <c r="M1052" s="234" t="n">
        <v>14910</v>
      </c>
      <c r="N1052" s="234" t="n">
        <v>14.5</v>
      </c>
      <c r="O1052" s="407" t="n">
        <v>13060</v>
      </c>
      <c r="P1052" s="407" t="n">
        <v>11166.3</v>
      </c>
      <c r="Q1052" s="234" t="n">
        <v>2025</v>
      </c>
      <c r="R1052" s="234"/>
      <c r="S1052" s="248" t="n">
        <v>45820</v>
      </c>
      <c r="T1052" s="407" t="n">
        <f aca="false">Таблица18[[#This Row],[Вес нетто]]-Таблица18[[#This Row],[Зачетный вес]]</f>
        <v>1893.7</v>
      </c>
      <c r="U1052" s="409" t="n">
        <f aca="false">Таблица18[[#This Row],[Отход]]/Таблица18[[#This Row],[Вес нетто]]</f>
        <v>0.145</v>
      </c>
      <c r="V1052" s="234" t="n">
        <f aca="false">MONTH(Таблица18[[#This Row],[Дата акта]])</f>
        <v>6</v>
      </c>
      <c r="W1052" s="234" t="n">
        <v>12</v>
      </c>
      <c r="X1052" s="248" t="n">
        <f aca="false">DATE(1900,Таблица18[[#This Row],[Месяц]],Таблица18[[#This Row],[Число]])</f>
        <v>164</v>
      </c>
      <c r="Y1052" s="234"/>
      <c r="AF1052" s="411"/>
      <c r="AG1052" s="412"/>
    </row>
    <row r="1053" s="410" customFormat="true" ht="15" hidden="true" customHeight="true" outlineLevel="0" collapsed="false">
      <c r="A1053" s="198" t="s">
        <v>2675</v>
      </c>
      <c r="B1053" s="199" t="s">
        <v>417</v>
      </c>
      <c r="C1053" s="198" t="n">
        <v>392</v>
      </c>
      <c r="D1053" s="198" t="s">
        <v>906</v>
      </c>
      <c r="E1053" s="198" t="s">
        <v>899</v>
      </c>
      <c r="F1053" s="198" t="s">
        <v>365</v>
      </c>
      <c r="G1053" s="198" t="s">
        <v>373</v>
      </c>
      <c r="H1053" s="198" t="n">
        <v>45</v>
      </c>
      <c r="I1053" s="199" t="n">
        <v>45</v>
      </c>
      <c r="J1053" s="198" t="s">
        <v>904</v>
      </c>
      <c r="K1053" s="198" t="s">
        <v>1435</v>
      </c>
      <c r="L1053" s="234" t="n">
        <v>31920</v>
      </c>
      <c r="M1053" s="234" t="n">
        <v>18730</v>
      </c>
      <c r="N1053" s="234" t="n">
        <v>8.5</v>
      </c>
      <c r="O1053" s="407" t="n">
        <v>13190</v>
      </c>
      <c r="P1053" s="407" t="n">
        <v>12068.8</v>
      </c>
      <c r="Q1053" s="234" t="n">
        <v>2025</v>
      </c>
      <c r="R1053" s="234"/>
      <c r="S1053" s="248" t="n">
        <v>45820</v>
      </c>
      <c r="T1053" s="407" t="n">
        <f aca="false">Таблица18[[#This Row],[Вес нетто]]-Таблица18[[#This Row],[Зачетный вес]]</f>
        <v>1121.2</v>
      </c>
      <c r="U1053" s="409" t="n">
        <f aca="false">Таблица18[[#This Row],[Отход]]/Таблица18[[#This Row],[Вес нетто]]</f>
        <v>0.0850037907505687</v>
      </c>
      <c r="V1053" s="234" t="n">
        <f aca="false">MONTH(Таблица18[[#This Row],[Дата акта]])</f>
        <v>6</v>
      </c>
      <c r="W1053" s="234" t="n">
        <v>12</v>
      </c>
      <c r="X1053" s="248" t="n">
        <f aca="false">DATE(1900,Таблица18[[#This Row],[Месяц]],Таблица18[[#This Row],[Число]])</f>
        <v>164</v>
      </c>
      <c r="Y1053" s="234"/>
      <c r="AF1053" s="411"/>
      <c r="AG1053" s="412"/>
    </row>
    <row r="1054" s="410" customFormat="true" ht="15" hidden="true" customHeight="true" outlineLevel="0" collapsed="false">
      <c r="A1054" s="198" t="s">
        <v>2676</v>
      </c>
      <c r="B1054" s="199" t="s">
        <v>417</v>
      </c>
      <c r="C1054" s="198" t="n">
        <v>393</v>
      </c>
      <c r="D1054" s="198" t="s">
        <v>906</v>
      </c>
      <c r="E1054" s="198" t="s">
        <v>899</v>
      </c>
      <c r="F1054" s="198" t="s">
        <v>457</v>
      </c>
      <c r="G1054" s="198" t="s">
        <v>366</v>
      </c>
      <c r="H1054" s="198" t="n">
        <v>45</v>
      </c>
      <c r="I1054" s="199" t="n">
        <v>45</v>
      </c>
      <c r="J1054" s="198" t="s">
        <v>904</v>
      </c>
      <c r="K1054" s="198" t="s">
        <v>1435</v>
      </c>
      <c r="L1054" s="234" t="n">
        <v>28050</v>
      </c>
      <c r="M1054" s="234" t="n">
        <v>14910</v>
      </c>
      <c r="N1054" s="234" t="n">
        <v>14.5</v>
      </c>
      <c r="O1054" s="407" t="n">
        <v>13140</v>
      </c>
      <c r="P1054" s="407" t="n">
        <v>11234.7</v>
      </c>
      <c r="Q1054" s="234" t="n">
        <v>2025</v>
      </c>
      <c r="R1054" s="234"/>
      <c r="S1054" s="248" t="n">
        <v>45820</v>
      </c>
      <c r="T1054" s="407" t="n">
        <f aca="false">Таблица18[[#This Row],[Вес нетто]]-Таблица18[[#This Row],[Зачетный вес]]</f>
        <v>1905.3</v>
      </c>
      <c r="U1054" s="409" t="n">
        <f aca="false">Таблица18[[#This Row],[Отход]]/Таблица18[[#This Row],[Вес нетто]]</f>
        <v>0.145</v>
      </c>
      <c r="V1054" s="234" t="n">
        <f aca="false">MONTH(Таблица18[[#This Row],[Дата акта]])</f>
        <v>6</v>
      </c>
      <c r="W1054" s="234" t="n">
        <v>12</v>
      </c>
      <c r="X1054" s="248" t="n">
        <f aca="false">DATE(1900,Таблица18[[#This Row],[Месяц]],Таблица18[[#This Row],[Число]])</f>
        <v>164</v>
      </c>
      <c r="Y1054" s="234"/>
      <c r="AF1054" s="411"/>
      <c r="AG1054" s="412"/>
    </row>
    <row r="1055" s="410" customFormat="true" ht="15" hidden="true" customHeight="true" outlineLevel="0" collapsed="false">
      <c r="A1055" s="198" t="s">
        <v>2677</v>
      </c>
      <c r="B1055" s="199" t="s">
        <v>417</v>
      </c>
      <c r="C1055" s="198" t="n">
        <v>394</v>
      </c>
      <c r="D1055" s="198" t="s">
        <v>906</v>
      </c>
      <c r="E1055" s="198" t="s">
        <v>899</v>
      </c>
      <c r="F1055" s="198" t="s">
        <v>359</v>
      </c>
      <c r="G1055" s="198" t="s">
        <v>426</v>
      </c>
      <c r="H1055" s="198" t="n">
        <v>45</v>
      </c>
      <c r="I1055" s="199" t="n">
        <v>45</v>
      </c>
      <c r="J1055" s="198" t="s">
        <v>904</v>
      </c>
      <c r="K1055" s="198" t="s">
        <v>1435</v>
      </c>
      <c r="L1055" s="234" t="n">
        <v>28480</v>
      </c>
      <c r="M1055" s="234" t="n">
        <v>13810</v>
      </c>
      <c r="N1055" s="234" t="n">
        <v>10.5</v>
      </c>
      <c r="O1055" s="407" t="n">
        <v>14670</v>
      </c>
      <c r="P1055" s="407" t="n">
        <v>13129.6</v>
      </c>
      <c r="Q1055" s="234" t="n">
        <v>2025</v>
      </c>
      <c r="R1055" s="234"/>
      <c r="S1055" s="248" t="n">
        <v>45820</v>
      </c>
      <c r="T1055" s="407" t="n">
        <f aca="false">Таблица18[[#This Row],[Вес нетто]]-Таблица18[[#This Row],[Зачетный вес]]</f>
        <v>1540.4</v>
      </c>
      <c r="U1055" s="409" t="n">
        <f aca="false">Таблица18[[#This Row],[Отход]]/Таблица18[[#This Row],[Вес нетто]]</f>
        <v>0.105003408316292</v>
      </c>
      <c r="V1055" s="234" t="n">
        <f aca="false">MONTH(Таблица18[[#This Row],[Дата акта]])</f>
        <v>6</v>
      </c>
      <c r="W1055" s="234" t="n">
        <v>12</v>
      </c>
      <c r="X1055" s="248" t="n">
        <f aca="false">DATE(1900,Таблица18[[#This Row],[Месяц]],Таблица18[[#This Row],[Число]])</f>
        <v>164</v>
      </c>
      <c r="Y1055" s="234"/>
      <c r="AF1055" s="411"/>
      <c r="AG1055" s="412"/>
    </row>
    <row r="1056" s="410" customFormat="true" ht="15" hidden="true" customHeight="true" outlineLevel="0" collapsed="false">
      <c r="A1056" s="198" t="s">
        <v>2678</v>
      </c>
      <c r="B1056" s="199" t="s">
        <v>417</v>
      </c>
      <c r="C1056" s="198" t="n">
        <v>395</v>
      </c>
      <c r="D1056" s="198" t="s">
        <v>906</v>
      </c>
      <c r="E1056" s="198" t="s">
        <v>899</v>
      </c>
      <c r="F1056" s="198" t="s">
        <v>553</v>
      </c>
      <c r="G1056" s="198" t="s">
        <v>557</v>
      </c>
      <c r="H1056" s="198" t="n">
        <v>45</v>
      </c>
      <c r="I1056" s="199" t="n">
        <v>45</v>
      </c>
      <c r="J1056" s="198" t="s">
        <v>904</v>
      </c>
      <c r="K1056" s="198" t="s">
        <v>1435</v>
      </c>
      <c r="L1056" s="234" t="n">
        <v>28580</v>
      </c>
      <c r="M1056" s="234" t="n">
        <v>14940</v>
      </c>
      <c r="N1056" s="234" t="n">
        <v>12</v>
      </c>
      <c r="O1056" s="407" t="n">
        <v>13640</v>
      </c>
      <c r="P1056" s="407" t="n">
        <v>12003.2</v>
      </c>
      <c r="Q1056" s="234" t="n">
        <v>2025</v>
      </c>
      <c r="R1056" s="234"/>
      <c r="S1056" s="248" t="n">
        <v>45820</v>
      </c>
      <c r="T1056" s="407" t="n">
        <f aca="false">Таблица18[[#This Row],[Вес нетто]]-Таблица18[[#This Row],[Зачетный вес]]</f>
        <v>1636.8</v>
      </c>
      <c r="U1056" s="409" t="n">
        <f aca="false">Таблица18[[#This Row],[Отход]]/Таблица18[[#This Row],[Вес нетто]]</f>
        <v>0.12</v>
      </c>
      <c r="V1056" s="234" t="n">
        <f aca="false">MONTH(Таблица18[[#This Row],[Дата акта]])</f>
        <v>6</v>
      </c>
      <c r="W1056" s="234" t="n">
        <v>12</v>
      </c>
      <c r="X1056" s="248" t="n">
        <f aca="false">DATE(1900,Таблица18[[#This Row],[Месяц]],Таблица18[[#This Row],[Число]])</f>
        <v>164</v>
      </c>
      <c r="Y1056" s="234"/>
      <c r="AF1056" s="411"/>
      <c r="AG1056" s="412"/>
    </row>
    <row r="1057" s="410" customFormat="true" ht="15" hidden="true" customHeight="true" outlineLevel="0" collapsed="false">
      <c r="A1057" s="198" t="s">
        <v>2679</v>
      </c>
      <c r="B1057" s="199" t="s">
        <v>417</v>
      </c>
      <c r="C1057" s="198" t="n">
        <v>397</v>
      </c>
      <c r="D1057" s="198" t="s">
        <v>906</v>
      </c>
      <c r="E1057" s="198" t="s">
        <v>899</v>
      </c>
      <c r="F1057" s="198" t="s">
        <v>547</v>
      </c>
      <c r="G1057" s="198" t="s">
        <v>551</v>
      </c>
      <c r="H1057" s="198" t="n">
        <v>45</v>
      </c>
      <c r="I1057" s="199" t="n">
        <v>45</v>
      </c>
      <c r="J1057" s="198" t="s">
        <v>904</v>
      </c>
      <c r="K1057" s="198" t="s">
        <v>1435</v>
      </c>
      <c r="L1057" s="234" t="n">
        <v>28480</v>
      </c>
      <c r="M1057" s="234" t="n">
        <v>14720</v>
      </c>
      <c r="N1057" s="234" t="n">
        <v>14.5</v>
      </c>
      <c r="O1057" s="407" t="n">
        <v>13760</v>
      </c>
      <c r="P1057" s="407" t="n">
        <v>11764.8</v>
      </c>
      <c r="Q1057" s="234" t="n">
        <v>2025</v>
      </c>
      <c r="R1057" s="234"/>
      <c r="S1057" s="248" t="n">
        <v>45820</v>
      </c>
      <c r="T1057" s="407" t="n">
        <f aca="false">Таблица18[[#This Row],[Вес нетто]]-Таблица18[[#This Row],[Зачетный вес]]</f>
        <v>1995.2</v>
      </c>
      <c r="U1057" s="409" t="n">
        <f aca="false">Таблица18[[#This Row],[Отход]]/Таблица18[[#This Row],[Вес нетто]]</f>
        <v>0.145</v>
      </c>
      <c r="V1057" s="234" t="n">
        <f aca="false">MONTH(Таблица18[[#This Row],[Дата акта]])</f>
        <v>6</v>
      </c>
      <c r="W1057" s="234" t="n">
        <v>12</v>
      </c>
      <c r="X1057" s="248" t="n">
        <f aca="false">DATE(1900,Таблица18[[#This Row],[Месяц]],Таблица18[[#This Row],[Число]])</f>
        <v>164</v>
      </c>
      <c r="Y1057" s="234"/>
      <c r="AF1057" s="411"/>
      <c r="AG1057" s="412"/>
    </row>
    <row r="1058" s="410" customFormat="true" ht="15" hidden="true" customHeight="true" outlineLevel="0" collapsed="false">
      <c r="A1058" s="198" t="s">
        <v>2680</v>
      </c>
      <c r="B1058" s="199" t="s">
        <v>417</v>
      </c>
      <c r="C1058" s="198" t="n">
        <v>398</v>
      </c>
      <c r="D1058" s="198"/>
      <c r="E1058" s="198" t="s">
        <v>899</v>
      </c>
      <c r="F1058" s="198" t="s">
        <v>363</v>
      </c>
      <c r="G1058" s="198" t="s">
        <v>364</v>
      </c>
      <c r="H1058" s="198" t="n">
        <v>45</v>
      </c>
      <c r="I1058" s="199" t="n">
        <v>45</v>
      </c>
      <c r="J1058" s="198" t="s">
        <v>904</v>
      </c>
      <c r="K1058" s="198" t="s">
        <v>1435</v>
      </c>
      <c r="L1058" s="234" t="n">
        <v>28360</v>
      </c>
      <c r="M1058" s="234" t="n">
        <v>14550</v>
      </c>
      <c r="N1058" s="234" t="n">
        <v>13.5</v>
      </c>
      <c r="O1058" s="407" t="n">
        <v>13810</v>
      </c>
      <c r="P1058" s="407" t="n">
        <v>11945.6</v>
      </c>
      <c r="Q1058" s="234" t="n">
        <v>2025</v>
      </c>
      <c r="R1058" s="234"/>
      <c r="S1058" s="248" t="n">
        <v>45820</v>
      </c>
      <c r="T1058" s="407" t="n">
        <f aca="false">Таблица18[[#This Row],[Вес нетто]]-Таблица18[[#This Row],[Зачетный вес]]</f>
        <v>1864.4</v>
      </c>
      <c r="U1058" s="409" t="n">
        <f aca="false">Таблица18[[#This Row],[Отход]]/Таблица18[[#This Row],[Вес нетто]]</f>
        <v>0.135003620564808</v>
      </c>
      <c r="V1058" s="234" t="n">
        <f aca="false">MONTH(Таблица18[[#This Row],[Дата акта]])</f>
        <v>6</v>
      </c>
      <c r="W1058" s="234" t="n">
        <v>12</v>
      </c>
      <c r="X1058" s="248" t="n">
        <f aca="false">DATE(1900,Таблица18[[#This Row],[Месяц]],Таблица18[[#This Row],[Число]])</f>
        <v>164</v>
      </c>
      <c r="Y1058" s="234"/>
      <c r="AF1058" s="411"/>
      <c r="AG1058" s="412"/>
    </row>
    <row r="1059" s="410" customFormat="true" ht="15" hidden="true" customHeight="true" outlineLevel="0" collapsed="false">
      <c r="A1059" s="198" t="s">
        <v>2681</v>
      </c>
      <c r="B1059" s="199" t="s">
        <v>417</v>
      </c>
      <c r="C1059" s="198" t="n">
        <v>399</v>
      </c>
      <c r="D1059" s="198" t="s">
        <v>906</v>
      </c>
      <c r="E1059" s="198" t="s">
        <v>899</v>
      </c>
      <c r="F1059" s="198" t="s">
        <v>55</v>
      </c>
      <c r="G1059" s="198" t="s">
        <v>56</v>
      </c>
      <c r="H1059" s="198" t="n">
        <v>45</v>
      </c>
      <c r="I1059" s="199" t="n">
        <v>45</v>
      </c>
      <c r="J1059" s="198" t="s">
        <v>904</v>
      </c>
      <c r="K1059" s="198" t="s">
        <v>1435</v>
      </c>
      <c r="L1059" s="234" t="n">
        <v>28180</v>
      </c>
      <c r="M1059" s="234" t="n">
        <v>14660</v>
      </c>
      <c r="N1059" s="234" t="n">
        <v>13</v>
      </c>
      <c r="O1059" s="407" t="n">
        <v>13520</v>
      </c>
      <c r="P1059" s="407" t="n">
        <v>11762.4</v>
      </c>
      <c r="Q1059" s="234" t="n">
        <v>2025</v>
      </c>
      <c r="R1059" s="234"/>
      <c r="S1059" s="248" t="n">
        <v>45820</v>
      </c>
      <c r="T1059" s="407" t="n">
        <f aca="false">Таблица18[[#This Row],[Вес нетто]]-Таблица18[[#This Row],[Зачетный вес]]</f>
        <v>1757.6</v>
      </c>
      <c r="U1059" s="409" t="n">
        <f aca="false">Таблица18[[#This Row],[Отход]]/Таблица18[[#This Row],[Вес нетто]]</f>
        <v>0.13</v>
      </c>
      <c r="V1059" s="234" t="n">
        <f aca="false">MONTH(Таблица18[[#This Row],[Дата акта]])</f>
        <v>6</v>
      </c>
      <c r="W1059" s="234" t="n">
        <v>12</v>
      </c>
      <c r="X1059" s="248" t="n">
        <f aca="false">DATE(1900,Таблица18[[#This Row],[Месяц]],Таблица18[[#This Row],[Число]])</f>
        <v>164</v>
      </c>
      <c r="Y1059" s="234"/>
      <c r="AF1059" s="411"/>
      <c r="AG1059" s="412"/>
    </row>
    <row r="1060" s="410" customFormat="true" ht="15" hidden="true" customHeight="true" outlineLevel="0" collapsed="false">
      <c r="A1060" s="198" t="s">
        <v>2682</v>
      </c>
      <c r="B1060" s="199" t="s">
        <v>746</v>
      </c>
      <c r="C1060" s="198" t="n">
        <v>400</v>
      </c>
      <c r="D1060" s="198" t="s">
        <v>906</v>
      </c>
      <c r="E1060" s="198" t="s">
        <v>899</v>
      </c>
      <c r="F1060" s="198" t="s">
        <v>445</v>
      </c>
      <c r="G1060" s="198" t="s">
        <v>449</v>
      </c>
      <c r="H1060" s="198" t="s">
        <v>907</v>
      </c>
      <c r="I1060" s="199" t="s">
        <v>907</v>
      </c>
      <c r="J1060" s="198" t="s">
        <v>904</v>
      </c>
      <c r="K1060" s="198" t="s">
        <v>1435</v>
      </c>
      <c r="L1060" s="234" t="n">
        <v>29060</v>
      </c>
      <c r="M1060" s="234" t="n">
        <v>15720</v>
      </c>
      <c r="N1060" s="234" t="n">
        <v>11.5</v>
      </c>
      <c r="O1060" s="407" t="n">
        <v>13340</v>
      </c>
      <c r="P1060" s="407" t="n">
        <v>11805.9</v>
      </c>
      <c r="Q1060" s="234" t="n">
        <v>2025</v>
      </c>
      <c r="R1060" s="234"/>
      <c r="S1060" s="248" t="n">
        <v>45820</v>
      </c>
      <c r="T1060" s="407" t="n">
        <f aca="false">Таблица18[[#This Row],[Вес нетто]]-Таблица18[[#This Row],[Зачетный вес]]</f>
        <v>1534.1</v>
      </c>
      <c r="U1060" s="409" t="n">
        <f aca="false">Таблица18[[#This Row],[Отход]]/Таблица18[[#This Row],[Вес нетто]]</f>
        <v>0.115</v>
      </c>
      <c r="V1060" s="234" t="n">
        <f aca="false">MONTH(Таблица18[[#This Row],[Дата акта]])</f>
        <v>6</v>
      </c>
      <c r="W1060" s="234" t="n">
        <v>12</v>
      </c>
      <c r="X1060" s="248" t="n">
        <f aca="false">DATE(1900,Таблица18[[#This Row],[Месяц]],Таблица18[[#This Row],[Число]])</f>
        <v>164</v>
      </c>
      <c r="Y1060" s="234"/>
      <c r="AF1060" s="411"/>
      <c r="AG1060" s="412"/>
    </row>
    <row r="1061" s="410" customFormat="true" ht="15" hidden="true" customHeight="true" outlineLevel="0" collapsed="false">
      <c r="A1061" s="198" t="s">
        <v>2683</v>
      </c>
      <c r="B1061" s="199" t="s">
        <v>417</v>
      </c>
      <c r="C1061" s="198" t="n">
        <v>401</v>
      </c>
      <c r="D1061" s="198" t="s">
        <v>906</v>
      </c>
      <c r="E1061" s="198" t="s">
        <v>899</v>
      </c>
      <c r="F1061" s="198" t="s">
        <v>451</v>
      </c>
      <c r="G1061" s="198" t="s">
        <v>455</v>
      </c>
      <c r="H1061" s="198" t="s">
        <v>907</v>
      </c>
      <c r="I1061" s="199" t="s">
        <v>907</v>
      </c>
      <c r="J1061" s="198" t="s">
        <v>904</v>
      </c>
      <c r="K1061" s="198" t="s">
        <v>1435</v>
      </c>
      <c r="L1061" s="234" t="n">
        <v>28460</v>
      </c>
      <c r="M1061" s="234" t="n">
        <v>15050</v>
      </c>
      <c r="N1061" s="234" t="n">
        <v>12</v>
      </c>
      <c r="O1061" s="407" t="n">
        <v>13410</v>
      </c>
      <c r="P1061" s="407" t="n">
        <v>11800.8</v>
      </c>
      <c r="Q1061" s="234" t="n">
        <v>2025</v>
      </c>
      <c r="R1061" s="234"/>
      <c r="S1061" s="248" t="n">
        <v>45820</v>
      </c>
      <c r="T1061" s="407" t="n">
        <f aca="false">Таблица18[[#This Row],[Вес нетто]]-Таблица18[[#This Row],[Зачетный вес]]</f>
        <v>1609.2</v>
      </c>
      <c r="U1061" s="409" t="n">
        <f aca="false">Таблица18[[#This Row],[Отход]]/Таблица18[[#This Row],[Вес нетто]]</f>
        <v>0.12</v>
      </c>
      <c r="V1061" s="234" t="n">
        <f aca="false">MONTH(Таблица18[[#This Row],[Дата акта]])</f>
        <v>6</v>
      </c>
      <c r="W1061" s="234" t="n">
        <v>12</v>
      </c>
      <c r="X1061" s="248" t="n">
        <f aca="false">DATE(1900,Таблица18[[#This Row],[Месяц]],Таблица18[[#This Row],[Число]])</f>
        <v>164</v>
      </c>
      <c r="Y1061" s="234"/>
      <c r="AF1061" s="411"/>
      <c r="AG1061" s="412"/>
    </row>
    <row r="1062" s="410" customFormat="true" ht="15" hidden="true" customHeight="true" outlineLevel="0" collapsed="false">
      <c r="A1062" s="198" t="s">
        <v>2684</v>
      </c>
      <c r="B1062" s="199" t="s">
        <v>417</v>
      </c>
      <c r="C1062" s="198" t="n">
        <v>402</v>
      </c>
      <c r="D1062" s="198" t="s">
        <v>906</v>
      </c>
      <c r="E1062" s="198" t="s">
        <v>899</v>
      </c>
      <c r="F1062" s="198" t="s">
        <v>361</v>
      </c>
      <c r="G1062" s="198" t="s">
        <v>362</v>
      </c>
      <c r="H1062" s="198" t="s">
        <v>907</v>
      </c>
      <c r="I1062" s="199" t="s">
        <v>907</v>
      </c>
      <c r="J1062" s="198" t="s">
        <v>904</v>
      </c>
      <c r="K1062" s="198" t="s">
        <v>1435</v>
      </c>
      <c r="L1062" s="234" t="n">
        <v>28070</v>
      </c>
      <c r="M1062" s="234" t="n">
        <v>14720</v>
      </c>
      <c r="N1062" s="234" t="n">
        <v>12.5</v>
      </c>
      <c r="O1062" s="407" t="n">
        <v>13350</v>
      </c>
      <c r="P1062" s="407" t="n">
        <v>11681.2</v>
      </c>
      <c r="Q1062" s="234" t="n">
        <v>2025</v>
      </c>
      <c r="R1062" s="234"/>
      <c r="S1062" s="248" t="n">
        <v>45820</v>
      </c>
      <c r="T1062" s="407" t="n">
        <f aca="false">Таблица18[[#This Row],[Вес нетто]]-Таблица18[[#This Row],[Зачетный вес]]</f>
        <v>1668.8</v>
      </c>
      <c r="U1062" s="409" t="n">
        <f aca="false">Таблица18[[#This Row],[Отход]]/Таблица18[[#This Row],[Вес нетто]]</f>
        <v>0.125003745318352</v>
      </c>
      <c r="V1062" s="234" t="n">
        <f aca="false">MONTH(Таблица18[[#This Row],[Дата акта]])</f>
        <v>6</v>
      </c>
      <c r="W1062" s="234" t="n">
        <v>12</v>
      </c>
      <c r="X1062" s="248" t="n">
        <f aca="false">DATE(1900,Таблица18[[#This Row],[Месяц]],Таблица18[[#This Row],[Число]])</f>
        <v>164</v>
      </c>
      <c r="Y1062" s="234"/>
      <c r="AF1062" s="411"/>
      <c r="AG1062" s="412"/>
    </row>
    <row r="1063" s="410" customFormat="true" ht="15" hidden="true" customHeight="true" outlineLevel="0" collapsed="false">
      <c r="A1063" s="198" t="s">
        <v>2685</v>
      </c>
      <c r="B1063" s="199" t="s">
        <v>417</v>
      </c>
      <c r="C1063" s="198" t="n">
        <v>403</v>
      </c>
      <c r="D1063" s="198" t="s">
        <v>906</v>
      </c>
      <c r="E1063" s="198" t="s">
        <v>899</v>
      </c>
      <c r="F1063" s="198" t="s">
        <v>57</v>
      </c>
      <c r="G1063" s="198" t="s">
        <v>58</v>
      </c>
      <c r="H1063" s="198" t="s">
        <v>907</v>
      </c>
      <c r="I1063" s="199" t="s">
        <v>907</v>
      </c>
      <c r="J1063" s="198" t="s">
        <v>904</v>
      </c>
      <c r="K1063" s="198" t="s">
        <v>1435</v>
      </c>
      <c r="L1063" s="234" t="n">
        <v>28930</v>
      </c>
      <c r="M1063" s="234" t="n">
        <v>15520</v>
      </c>
      <c r="N1063" s="234" t="n">
        <v>12.5</v>
      </c>
      <c r="O1063" s="407" t="n">
        <v>13410</v>
      </c>
      <c r="P1063" s="407" t="n">
        <v>11733.7</v>
      </c>
      <c r="Q1063" s="234" t="n">
        <v>2025</v>
      </c>
      <c r="R1063" s="234"/>
      <c r="S1063" s="248" t="n">
        <v>45820</v>
      </c>
      <c r="T1063" s="407" t="n">
        <f aca="false">Таблица18[[#This Row],[Вес нетто]]-Таблица18[[#This Row],[Зачетный вес]]</f>
        <v>1676.3</v>
      </c>
      <c r="U1063" s="409" t="n">
        <f aca="false">Таблица18[[#This Row],[Отход]]/Таблица18[[#This Row],[Вес нетто]]</f>
        <v>0.125003728560776</v>
      </c>
      <c r="V1063" s="234" t="n">
        <f aca="false">MONTH(Таблица18[[#This Row],[Дата акта]])</f>
        <v>6</v>
      </c>
      <c r="W1063" s="234" t="n">
        <v>12</v>
      </c>
      <c r="X1063" s="248" t="n">
        <f aca="false">DATE(1900,Таблица18[[#This Row],[Месяц]],Таблица18[[#This Row],[Число]])</f>
        <v>164</v>
      </c>
      <c r="Y1063" s="234"/>
      <c r="AF1063" s="411"/>
      <c r="AG1063" s="412"/>
    </row>
    <row r="1064" s="410" customFormat="true" ht="15" hidden="true" customHeight="true" outlineLevel="0" collapsed="false">
      <c r="A1064" s="198" t="s">
        <v>2686</v>
      </c>
      <c r="B1064" s="199" t="s">
        <v>417</v>
      </c>
      <c r="C1064" s="198" t="n">
        <v>404</v>
      </c>
      <c r="D1064" s="198" t="s">
        <v>906</v>
      </c>
      <c r="E1064" s="198" t="s">
        <v>899</v>
      </c>
      <c r="F1064" s="198" t="s">
        <v>472</v>
      </c>
      <c r="G1064" s="198" t="s">
        <v>476</v>
      </c>
      <c r="H1064" s="198" t="s">
        <v>907</v>
      </c>
      <c r="I1064" s="199" t="s">
        <v>907</v>
      </c>
      <c r="J1064" s="198" t="s">
        <v>904</v>
      </c>
      <c r="K1064" s="198" t="s">
        <v>1435</v>
      </c>
      <c r="L1064" s="234" t="n">
        <v>28570</v>
      </c>
      <c r="M1064" s="234" t="n">
        <v>15350</v>
      </c>
      <c r="N1064" s="234" t="n">
        <v>9.5</v>
      </c>
      <c r="O1064" s="407" t="n">
        <v>13220</v>
      </c>
      <c r="P1064" s="407" t="n">
        <v>11964.1</v>
      </c>
      <c r="Q1064" s="234" t="n">
        <v>2025</v>
      </c>
      <c r="R1064" s="234"/>
      <c r="S1064" s="248" t="n">
        <v>45820</v>
      </c>
      <c r="T1064" s="407" t="n">
        <f aca="false">Таблица18[[#This Row],[Вес нетто]]-Таблица18[[#This Row],[Зачетный вес]]</f>
        <v>1255.9</v>
      </c>
      <c r="U1064" s="409" t="n">
        <f aca="false">Таблица18[[#This Row],[Отход]]/Таблица18[[#This Row],[Вес нетто]]</f>
        <v>0.095</v>
      </c>
      <c r="V1064" s="234" t="n">
        <f aca="false">MONTH(Таблица18[[#This Row],[Дата акта]])</f>
        <v>6</v>
      </c>
      <c r="W1064" s="234" t="n">
        <v>12</v>
      </c>
      <c r="X1064" s="248" t="n">
        <f aca="false">DATE(1900,Таблица18[[#This Row],[Месяц]],Таблица18[[#This Row],[Число]])</f>
        <v>164</v>
      </c>
      <c r="Y1064" s="234"/>
      <c r="AF1064" s="411"/>
      <c r="AG1064" s="412"/>
    </row>
    <row r="1065" s="410" customFormat="true" ht="15" hidden="true" customHeight="true" outlineLevel="0" collapsed="false">
      <c r="A1065" s="198" t="s">
        <v>2687</v>
      </c>
      <c r="B1065" s="199" t="s">
        <v>417</v>
      </c>
      <c r="C1065" s="198" t="n">
        <v>406</v>
      </c>
      <c r="D1065" s="198" t="n">
        <v>26</v>
      </c>
      <c r="E1065" s="198" t="s">
        <v>899</v>
      </c>
      <c r="F1065" s="198" t="s">
        <v>395</v>
      </c>
      <c r="G1065" s="198" t="s">
        <v>566</v>
      </c>
      <c r="H1065" s="198" t="s">
        <v>907</v>
      </c>
      <c r="I1065" s="199" t="s">
        <v>907</v>
      </c>
      <c r="J1065" s="198" t="s">
        <v>904</v>
      </c>
      <c r="K1065" s="198" t="s">
        <v>1435</v>
      </c>
      <c r="L1065" s="234" t="n">
        <v>27890</v>
      </c>
      <c r="M1065" s="234" t="n">
        <v>14420</v>
      </c>
      <c r="N1065" s="234" t="n">
        <v>13.5</v>
      </c>
      <c r="O1065" s="407" t="n">
        <v>13470</v>
      </c>
      <c r="P1065" s="407" t="n">
        <v>11651.5</v>
      </c>
      <c r="Q1065" s="234" t="n">
        <v>2025</v>
      </c>
      <c r="R1065" s="234"/>
      <c r="S1065" s="248" t="n">
        <v>45820</v>
      </c>
      <c r="T1065" s="407" t="n">
        <f aca="false">Таблица18[[#This Row],[Вес нетто]]-Таблица18[[#This Row],[Зачетный вес]]</f>
        <v>1818.5</v>
      </c>
      <c r="U1065" s="409" t="n">
        <f aca="false">Таблица18[[#This Row],[Отход]]/Таблица18[[#This Row],[Вес нетто]]</f>
        <v>0.135003711952487</v>
      </c>
      <c r="V1065" s="234" t="n">
        <f aca="false">MONTH(Таблица18[[#This Row],[Дата акта]])</f>
        <v>6</v>
      </c>
      <c r="W1065" s="234" t="n">
        <v>12</v>
      </c>
      <c r="X1065" s="248" t="n">
        <f aca="false">DATE(1900,Таблица18[[#This Row],[Месяц]],Таблица18[[#This Row],[Число]])</f>
        <v>164</v>
      </c>
      <c r="Y1065" s="234"/>
      <c r="AF1065" s="411"/>
      <c r="AG1065" s="412"/>
    </row>
    <row r="1066" s="410" customFormat="true" ht="15" hidden="true" customHeight="true" outlineLevel="0" collapsed="false">
      <c r="A1066" s="198" t="s">
        <v>2688</v>
      </c>
      <c r="B1066" s="199" t="s">
        <v>417</v>
      </c>
      <c r="C1066" s="198" t="n">
        <v>408</v>
      </c>
      <c r="D1066" s="198" t="s">
        <v>906</v>
      </c>
      <c r="E1066" s="198" t="s">
        <v>899</v>
      </c>
      <c r="F1066" s="198" t="s">
        <v>386</v>
      </c>
      <c r="G1066" s="198" t="s">
        <v>387</v>
      </c>
      <c r="H1066" s="198" t="s">
        <v>907</v>
      </c>
      <c r="I1066" s="199" t="s">
        <v>907</v>
      </c>
      <c r="J1066" s="198" t="s">
        <v>904</v>
      </c>
      <c r="K1066" s="198" t="s">
        <v>1435</v>
      </c>
      <c r="L1066" s="234" t="n">
        <v>23210</v>
      </c>
      <c r="M1066" s="234" t="n">
        <v>15130</v>
      </c>
      <c r="N1066" s="234" t="n">
        <v>21</v>
      </c>
      <c r="O1066" s="407" t="n">
        <v>8080</v>
      </c>
      <c r="P1066" s="407" t="n">
        <v>6383.2</v>
      </c>
      <c r="Q1066" s="234" t="n">
        <v>2025</v>
      </c>
      <c r="R1066" s="234"/>
      <c r="S1066" s="248" t="n">
        <v>45820</v>
      </c>
      <c r="T1066" s="407" t="n">
        <f aca="false">Таблица18[[#This Row],[Вес нетто]]-Таблица18[[#This Row],[Зачетный вес]]</f>
        <v>1696.8</v>
      </c>
      <c r="U1066" s="409" t="n">
        <f aca="false">Таблица18[[#This Row],[Отход]]/Таблица18[[#This Row],[Вес нетто]]</f>
        <v>0.21</v>
      </c>
      <c r="V1066" s="234" t="n">
        <f aca="false">MONTH(Таблица18[[#This Row],[Дата акта]])</f>
        <v>6</v>
      </c>
      <c r="W1066" s="234" t="n">
        <v>12</v>
      </c>
      <c r="X1066" s="248" t="n">
        <f aca="false">DATE(1900,Таблица18[[#This Row],[Месяц]],Таблица18[[#This Row],[Число]])</f>
        <v>164</v>
      </c>
      <c r="Y1066" s="234"/>
      <c r="AF1066" s="411"/>
      <c r="AG1066" s="412"/>
    </row>
    <row r="1067" s="410" customFormat="true" ht="15" hidden="true" customHeight="true" outlineLevel="0" collapsed="false">
      <c r="A1067" s="198" t="s">
        <v>2689</v>
      </c>
      <c r="B1067" s="199" t="s">
        <v>417</v>
      </c>
      <c r="C1067" s="198" t="n">
        <v>407</v>
      </c>
      <c r="D1067" s="198" t="n">
        <v>28</v>
      </c>
      <c r="E1067" s="198" t="s">
        <v>899</v>
      </c>
      <c r="F1067" s="198" t="s">
        <v>384</v>
      </c>
      <c r="G1067" s="198" t="s">
        <v>385</v>
      </c>
      <c r="H1067" s="198" t="s">
        <v>901</v>
      </c>
      <c r="I1067" s="199" t="s">
        <v>901</v>
      </c>
      <c r="J1067" s="198" t="s">
        <v>900</v>
      </c>
      <c r="K1067" s="198" t="s">
        <v>1435</v>
      </c>
      <c r="L1067" s="234" t="n">
        <v>27530</v>
      </c>
      <c r="M1067" s="234" t="n">
        <v>14450</v>
      </c>
      <c r="N1067" s="234" t="n">
        <v>17</v>
      </c>
      <c r="O1067" s="407" t="n">
        <v>13080</v>
      </c>
      <c r="P1067" s="407" t="n">
        <v>10856.4</v>
      </c>
      <c r="Q1067" s="234" t="n">
        <v>2025</v>
      </c>
      <c r="R1067" s="234"/>
      <c r="S1067" s="248" t="n">
        <v>45821</v>
      </c>
      <c r="T1067" s="407" t="n">
        <f aca="false">Таблица18[[#This Row],[Вес нетто]]-Таблица18[[#This Row],[Зачетный вес]]</f>
        <v>2223.6</v>
      </c>
      <c r="U1067" s="409" t="n">
        <f aca="false">Таблица18[[#This Row],[Отход]]/Таблица18[[#This Row],[Вес нетто]]</f>
        <v>0.17</v>
      </c>
      <c r="V1067" s="234" t="n">
        <f aca="false">MONTH(Таблица18[[#This Row],[Дата акта]])</f>
        <v>6</v>
      </c>
      <c r="W1067" s="234" t="n">
        <v>13</v>
      </c>
      <c r="X1067" s="248" t="n">
        <f aca="false">DATE(1900,Таблица18[[#This Row],[Месяц]],Таблица18[[#This Row],[Число]])</f>
        <v>165</v>
      </c>
      <c r="Y1067" s="234"/>
      <c r="AF1067" s="411"/>
      <c r="AG1067" s="412"/>
    </row>
    <row r="1068" s="410" customFormat="true" ht="15" hidden="true" customHeight="true" outlineLevel="0" collapsed="false">
      <c r="A1068" s="198" t="s">
        <v>2690</v>
      </c>
      <c r="B1068" s="199" t="s">
        <v>417</v>
      </c>
      <c r="C1068" s="198" t="n">
        <v>409</v>
      </c>
      <c r="D1068" s="198" t="n">
        <v>29</v>
      </c>
      <c r="E1068" s="198" t="s">
        <v>899</v>
      </c>
      <c r="F1068" s="198" t="s">
        <v>382</v>
      </c>
      <c r="G1068" s="198" t="s">
        <v>383</v>
      </c>
      <c r="H1068" s="198" t="s">
        <v>901</v>
      </c>
      <c r="I1068" s="199" t="s">
        <v>901</v>
      </c>
      <c r="J1068" s="198" t="s">
        <v>900</v>
      </c>
      <c r="K1068" s="198" t="s">
        <v>1435</v>
      </c>
      <c r="L1068" s="234" t="n">
        <v>28900</v>
      </c>
      <c r="M1068" s="234" t="n">
        <v>14890</v>
      </c>
      <c r="N1068" s="234" t="n">
        <v>13.5</v>
      </c>
      <c r="O1068" s="407" t="n">
        <v>14010</v>
      </c>
      <c r="P1068" s="407" t="n">
        <v>12118.6</v>
      </c>
      <c r="Q1068" s="234" t="n">
        <v>2025</v>
      </c>
      <c r="R1068" s="234"/>
      <c r="S1068" s="248" t="n">
        <v>45821</v>
      </c>
      <c r="T1068" s="407" t="n">
        <f aca="false">Таблица18[[#This Row],[Вес нетто]]-Таблица18[[#This Row],[Зачетный вес]]</f>
        <v>1891.4</v>
      </c>
      <c r="U1068" s="409" t="n">
        <f aca="false">Таблица18[[#This Row],[Отход]]/Таблица18[[#This Row],[Вес нетто]]</f>
        <v>0.135003568879372</v>
      </c>
      <c r="V1068" s="234" t="n">
        <f aca="false">MONTH(Таблица18[[#This Row],[Дата акта]])</f>
        <v>6</v>
      </c>
      <c r="W1068" s="234" t="n">
        <v>13</v>
      </c>
      <c r="X1068" s="248" t="n">
        <f aca="false">DATE(1900,Таблица18[[#This Row],[Месяц]],Таблица18[[#This Row],[Число]])</f>
        <v>165</v>
      </c>
      <c r="Y1068" s="234"/>
      <c r="AF1068" s="411"/>
      <c r="AG1068" s="412"/>
    </row>
    <row r="1069" s="410" customFormat="true" ht="15" hidden="true" customHeight="true" outlineLevel="0" collapsed="false">
      <c r="A1069" s="198" t="s">
        <v>2691</v>
      </c>
      <c r="B1069" s="199" t="s">
        <v>417</v>
      </c>
      <c r="C1069" s="198" t="n">
        <v>405</v>
      </c>
      <c r="D1069" s="198" t="s">
        <v>906</v>
      </c>
      <c r="E1069" s="198" t="s">
        <v>899</v>
      </c>
      <c r="F1069" s="198" t="s">
        <v>386</v>
      </c>
      <c r="G1069" s="198" t="s">
        <v>387</v>
      </c>
      <c r="H1069" s="198" t="s">
        <v>901</v>
      </c>
      <c r="I1069" s="199" t="s">
        <v>901</v>
      </c>
      <c r="J1069" s="198" t="s">
        <v>900</v>
      </c>
      <c r="K1069" s="198" t="s">
        <v>1435</v>
      </c>
      <c r="L1069" s="234" t="n">
        <v>29840</v>
      </c>
      <c r="M1069" s="234" t="n">
        <v>23210</v>
      </c>
      <c r="N1069" s="234" t="n">
        <v>14.5</v>
      </c>
      <c r="O1069" s="407" t="n">
        <v>6630</v>
      </c>
      <c r="P1069" s="407" t="n">
        <v>5668.6</v>
      </c>
      <c r="Q1069" s="234" t="n">
        <v>2025</v>
      </c>
      <c r="R1069" s="234"/>
      <c r="S1069" s="248" t="n">
        <v>45820</v>
      </c>
      <c r="T1069" s="407" t="n">
        <f aca="false">Таблица18[[#This Row],[Вес нетто]]-Таблица18[[#This Row],[Зачетный вес]]</f>
        <v>961.4</v>
      </c>
      <c r="U1069" s="409" t="n">
        <f aca="false">Таблица18[[#This Row],[Отход]]/Таблица18[[#This Row],[Вес нетто]]</f>
        <v>0.14500754147813</v>
      </c>
      <c r="V1069" s="234" t="n">
        <f aca="false">MONTH(Таблица18[[#This Row],[Дата акта]])</f>
        <v>6</v>
      </c>
      <c r="W1069" s="234" t="n">
        <v>12</v>
      </c>
      <c r="X1069" s="248" t="n">
        <f aca="false">DATE(1900,Таблица18[[#This Row],[Месяц]],Таблица18[[#This Row],[Число]])</f>
        <v>164</v>
      </c>
      <c r="Y1069" s="234"/>
      <c r="AF1069" s="411"/>
      <c r="AG1069" s="412"/>
    </row>
    <row r="1070" s="410" customFormat="true" ht="15" hidden="true" customHeight="true" outlineLevel="0" collapsed="false">
      <c r="A1070" s="198" t="s">
        <v>2692</v>
      </c>
      <c r="B1070" s="199" t="s">
        <v>417</v>
      </c>
      <c r="C1070" s="198" t="n">
        <v>410</v>
      </c>
      <c r="D1070" s="198" t="n">
        <v>30</v>
      </c>
      <c r="E1070" s="198" t="s">
        <v>899</v>
      </c>
      <c r="F1070" s="198" t="s">
        <v>427</v>
      </c>
      <c r="G1070" s="198" t="s">
        <v>431</v>
      </c>
      <c r="H1070" s="198" t="s">
        <v>901</v>
      </c>
      <c r="I1070" s="199" t="s">
        <v>901</v>
      </c>
      <c r="J1070" s="198" t="s">
        <v>904</v>
      </c>
      <c r="K1070" s="198" t="s">
        <v>1435</v>
      </c>
      <c r="L1070" s="234" t="n">
        <v>36780</v>
      </c>
      <c r="M1070" s="234" t="n">
        <v>20960</v>
      </c>
      <c r="N1070" s="234" t="n">
        <v>14.8</v>
      </c>
      <c r="O1070" s="407" t="n">
        <v>15820</v>
      </c>
      <c r="P1070" s="407" t="n">
        <v>13482.7</v>
      </c>
      <c r="Q1070" s="234" t="n">
        <v>2025</v>
      </c>
      <c r="R1070" s="234"/>
      <c r="S1070" s="248" t="n">
        <v>45821</v>
      </c>
      <c r="T1070" s="407" t="n">
        <f aca="false">Таблица18[[#This Row],[Вес нетто]]-Таблица18[[#This Row],[Зачетный вес]]</f>
        <v>2337.3</v>
      </c>
      <c r="U1070" s="409" t="n">
        <f aca="false">Таблица18[[#This Row],[Отход]]/Таблица18[[#This Row],[Вес нетто]]</f>
        <v>0.147743362831858</v>
      </c>
      <c r="V1070" s="234" t="n">
        <f aca="false">MONTH(Таблица18[[#This Row],[Дата акта]])</f>
        <v>6</v>
      </c>
      <c r="W1070" s="234" t="n">
        <v>13</v>
      </c>
      <c r="X1070" s="248" t="n">
        <f aca="false">DATE(1900,Таблица18[[#This Row],[Месяц]],Таблица18[[#This Row],[Число]])</f>
        <v>165</v>
      </c>
      <c r="Y1070" s="234"/>
      <c r="AF1070" s="411"/>
      <c r="AG1070" s="412"/>
    </row>
    <row r="1071" s="410" customFormat="true" ht="15" hidden="true" customHeight="true" outlineLevel="0" collapsed="false">
      <c r="A1071" s="198" t="s">
        <v>2693</v>
      </c>
      <c r="B1071" s="199" t="s">
        <v>417</v>
      </c>
      <c r="C1071" s="198" t="n">
        <v>411</v>
      </c>
      <c r="D1071" s="198" t="n">
        <v>31</v>
      </c>
      <c r="E1071" s="198" t="s">
        <v>899</v>
      </c>
      <c r="F1071" s="198" t="s">
        <v>365</v>
      </c>
      <c r="G1071" s="198" t="s">
        <v>373</v>
      </c>
      <c r="H1071" s="198" t="s">
        <v>628</v>
      </c>
      <c r="I1071" s="199" t="s">
        <v>628</v>
      </c>
      <c r="J1071" s="198" t="s">
        <v>904</v>
      </c>
      <c r="K1071" s="198" t="s">
        <v>1435</v>
      </c>
      <c r="L1071" s="234" t="n">
        <v>34890</v>
      </c>
      <c r="M1071" s="234" t="n">
        <v>18650</v>
      </c>
      <c r="N1071" s="234" t="n">
        <v>9.5</v>
      </c>
      <c r="O1071" s="407" t="n">
        <v>16240</v>
      </c>
      <c r="P1071" s="407" t="n">
        <v>14697.2</v>
      </c>
      <c r="Q1071" s="234" t="n">
        <v>2025</v>
      </c>
      <c r="R1071" s="234"/>
      <c r="S1071" s="248" t="n">
        <v>45821</v>
      </c>
      <c r="T1071" s="407" t="n">
        <f aca="false">Таблица18[[#This Row],[Вес нетто]]-Таблица18[[#This Row],[Зачетный вес]]</f>
        <v>1542.8</v>
      </c>
      <c r="U1071" s="409" t="n">
        <f aca="false">Таблица18[[#This Row],[Отход]]/Таблица18[[#This Row],[Вес нетто]]</f>
        <v>0.095</v>
      </c>
      <c r="V1071" s="234" t="n">
        <f aca="false">MONTH(Таблица18[[#This Row],[Дата акта]])</f>
        <v>6</v>
      </c>
      <c r="W1071" s="234" t="n">
        <v>13</v>
      </c>
      <c r="X1071" s="248" t="n">
        <f aca="false">DATE(1900,Таблица18[[#This Row],[Месяц]],Таблица18[[#This Row],[Число]])</f>
        <v>165</v>
      </c>
      <c r="Y1071" s="234"/>
      <c r="AF1071" s="411"/>
      <c r="AG1071" s="412"/>
    </row>
    <row r="1072" s="410" customFormat="true" ht="15" hidden="true" customHeight="true" outlineLevel="0" collapsed="false">
      <c r="A1072" s="198" t="s">
        <v>2694</v>
      </c>
      <c r="B1072" s="199" t="s">
        <v>417</v>
      </c>
      <c r="C1072" s="198" t="n">
        <v>414</v>
      </c>
      <c r="D1072" s="198" t="n">
        <v>32</v>
      </c>
      <c r="E1072" s="198" t="s">
        <v>899</v>
      </c>
      <c r="F1072" s="198" t="s">
        <v>457</v>
      </c>
      <c r="G1072" s="198" t="s">
        <v>366</v>
      </c>
      <c r="H1072" s="198" t="s">
        <v>628</v>
      </c>
      <c r="I1072" s="199" t="s">
        <v>628</v>
      </c>
      <c r="J1072" s="198" t="s">
        <v>904</v>
      </c>
      <c r="K1072" s="198" t="s">
        <v>1435</v>
      </c>
      <c r="L1072" s="234" t="n">
        <v>28220</v>
      </c>
      <c r="M1072" s="234" t="n">
        <v>14820</v>
      </c>
      <c r="N1072" s="234" t="n">
        <v>12.5</v>
      </c>
      <c r="O1072" s="407" t="n">
        <v>13400</v>
      </c>
      <c r="P1072" s="407" t="n">
        <v>11725</v>
      </c>
      <c r="Q1072" s="234" t="n">
        <v>2025</v>
      </c>
      <c r="R1072" s="234"/>
      <c r="S1072" s="248" t="n">
        <v>45821</v>
      </c>
      <c r="T1072" s="407" t="n">
        <f aca="false">Таблица18[[#This Row],[Вес нетто]]-Таблица18[[#This Row],[Зачетный вес]]</f>
        <v>1675</v>
      </c>
      <c r="U1072" s="409" t="n">
        <f aca="false">Таблица18[[#This Row],[Отход]]/Таблица18[[#This Row],[Вес нетто]]</f>
        <v>0.125</v>
      </c>
      <c r="V1072" s="234" t="n">
        <f aca="false">MONTH(Таблица18[[#This Row],[Дата акта]])</f>
        <v>6</v>
      </c>
      <c r="W1072" s="234" t="n">
        <v>13</v>
      </c>
      <c r="X1072" s="248" t="n">
        <f aca="false">DATE(1900,Таблица18[[#This Row],[Месяц]],Таблица18[[#This Row],[Число]])</f>
        <v>165</v>
      </c>
      <c r="Y1072" s="234"/>
      <c r="AF1072" s="411"/>
      <c r="AG1072" s="412"/>
    </row>
    <row r="1073" s="410" customFormat="true" ht="15" hidden="true" customHeight="true" outlineLevel="0" collapsed="false">
      <c r="A1073" s="198" t="s">
        <v>2695</v>
      </c>
      <c r="B1073" s="199" t="s">
        <v>417</v>
      </c>
      <c r="C1073" s="198" t="n">
        <v>415</v>
      </c>
      <c r="D1073" s="198" t="n">
        <v>34</v>
      </c>
      <c r="E1073" s="198" t="s">
        <v>899</v>
      </c>
      <c r="F1073" s="198" t="s">
        <v>433</v>
      </c>
      <c r="G1073" s="198" t="s">
        <v>437</v>
      </c>
      <c r="H1073" s="198" t="s">
        <v>628</v>
      </c>
      <c r="I1073" s="199" t="s">
        <v>628</v>
      </c>
      <c r="J1073" s="198" t="s">
        <v>904</v>
      </c>
      <c r="K1073" s="198" t="s">
        <v>1435</v>
      </c>
      <c r="L1073" s="234" t="n">
        <v>28150</v>
      </c>
      <c r="M1073" s="234" t="n">
        <v>14910</v>
      </c>
      <c r="N1073" s="234" t="n">
        <v>8.5</v>
      </c>
      <c r="O1073" s="407" t="n">
        <v>13240</v>
      </c>
      <c r="P1073" s="407" t="n">
        <v>12114.6</v>
      </c>
      <c r="Q1073" s="234" t="n">
        <v>2025</v>
      </c>
      <c r="R1073" s="234"/>
      <c r="S1073" s="248" t="n">
        <v>45821</v>
      </c>
      <c r="T1073" s="407" t="n">
        <f aca="false">Таблица18[[#This Row],[Вес нетто]]-Таблица18[[#This Row],[Зачетный вес]]</f>
        <v>1125.4</v>
      </c>
      <c r="U1073" s="409" t="n">
        <f aca="false">Таблица18[[#This Row],[Отход]]/Таблица18[[#This Row],[Вес нетто]]</f>
        <v>0.085</v>
      </c>
      <c r="V1073" s="234" t="n">
        <f aca="false">MONTH(Таблица18[[#This Row],[Дата акта]])</f>
        <v>6</v>
      </c>
      <c r="W1073" s="234" t="n">
        <v>13</v>
      </c>
      <c r="X1073" s="248" t="n">
        <f aca="false">DATE(1900,Таблица18[[#This Row],[Месяц]],Таблица18[[#This Row],[Число]])</f>
        <v>165</v>
      </c>
      <c r="Y1073" s="234"/>
      <c r="AF1073" s="411"/>
      <c r="AG1073" s="412"/>
    </row>
    <row r="1074" s="410" customFormat="true" ht="15" hidden="true" customHeight="true" outlineLevel="0" collapsed="false">
      <c r="A1074" s="198" t="s">
        <v>2696</v>
      </c>
      <c r="B1074" s="199" t="s">
        <v>417</v>
      </c>
      <c r="C1074" s="198" t="n">
        <v>418</v>
      </c>
      <c r="D1074" s="198" t="n">
        <v>33</v>
      </c>
      <c r="E1074" s="198" t="s">
        <v>899</v>
      </c>
      <c r="F1074" s="198" t="s">
        <v>439</v>
      </c>
      <c r="G1074" s="198" t="s">
        <v>443</v>
      </c>
      <c r="H1074" s="198" t="s">
        <v>628</v>
      </c>
      <c r="I1074" s="199" t="s">
        <v>628</v>
      </c>
      <c r="J1074" s="198" t="s">
        <v>904</v>
      </c>
      <c r="K1074" s="198" t="s">
        <v>1435</v>
      </c>
      <c r="L1074" s="234" t="n">
        <v>37170</v>
      </c>
      <c r="M1074" s="234" t="n">
        <v>23840</v>
      </c>
      <c r="N1074" s="234" t="n">
        <v>13.5</v>
      </c>
      <c r="O1074" s="407" t="n">
        <v>13330</v>
      </c>
      <c r="P1074" s="407" t="n">
        <v>11530.4</v>
      </c>
      <c r="Q1074" s="234" t="n">
        <v>2025</v>
      </c>
      <c r="R1074" s="234"/>
      <c r="S1074" s="248" t="n">
        <v>45821</v>
      </c>
      <c r="T1074" s="407" t="n">
        <f aca="false">Таблица18[[#This Row],[Вес нетто]]-Таблица18[[#This Row],[Зачетный вес]]</f>
        <v>1799.6</v>
      </c>
      <c r="U1074" s="409" t="n">
        <f aca="false">Таблица18[[#This Row],[Отход]]/Таблица18[[#This Row],[Вес нетто]]</f>
        <v>0.135003750937734</v>
      </c>
      <c r="V1074" s="234" t="n">
        <f aca="false">MONTH(Таблица18[[#This Row],[Дата акта]])</f>
        <v>6</v>
      </c>
      <c r="W1074" s="234" t="n">
        <v>13</v>
      </c>
      <c r="X1074" s="248" t="n">
        <f aca="false">DATE(1900,Таблица18[[#This Row],[Месяц]],Таблица18[[#This Row],[Число]])</f>
        <v>165</v>
      </c>
      <c r="Y1074" s="234"/>
      <c r="AF1074" s="411"/>
      <c r="AG1074" s="412"/>
    </row>
    <row r="1075" s="410" customFormat="true" ht="15" hidden="true" customHeight="true" outlineLevel="0" collapsed="false">
      <c r="A1075" s="198" t="s">
        <v>2697</v>
      </c>
      <c r="B1075" s="199" t="s">
        <v>417</v>
      </c>
      <c r="C1075" s="198" t="n">
        <v>420</v>
      </c>
      <c r="D1075" s="198" t="s">
        <v>906</v>
      </c>
      <c r="E1075" s="198" t="s">
        <v>908</v>
      </c>
      <c r="F1075" s="198" t="s">
        <v>378</v>
      </c>
      <c r="G1075" s="198" t="s">
        <v>379</v>
      </c>
      <c r="H1075" s="198" t="n">
        <v>16</v>
      </c>
      <c r="I1075" s="199" t="n">
        <v>16</v>
      </c>
      <c r="J1075" s="198" t="s">
        <v>904</v>
      </c>
      <c r="K1075" s="198" t="s">
        <v>1435</v>
      </c>
      <c r="L1075" s="234" t="n">
        <v>8910</v>
      </c>
      <c r="M1075" s="234" t="n">
        <v>4610</v>
      </c>
      <c r="N1075" s="234" t="n">
        <v>27.5</v>
      </c>
      <c r="O1075" s="407" t="n">
        <v>4300</v>
      </c>
      <c r="P1075" s="407" t="n">
        <v>3117.5</v>
      </c>
      <c r="Q1075" s="234" t="n">
        <v>2025</v>
      </c>
      <c r="R1075" s="234"/>
      <c r="S1075" s="248" t="n">
        <v>45821</v>
      </c>
      <c r="T1075" s="407" t="n">
        <f aca="false">Таблица18[[#This Row],[Вес нетто]]-Таблица18[[#This Row],[Зачетный вес]]</f>
        <v>1182.5</v>
      </c>
      <c r="U1075" s="409" t="n">
        <f aca="false">Таблица18[[#This Row],[Отход]]/Таблица18[[#This Row],[Вес нетто]]</f>
        <v>0.275</v>
      </c>
      <c r="V1075" s="234" t="n">
        <f aca="false">MONTH(Таблица18[[#This Row],[Дата акта]])</f>
        <v>6</v>
      </c>
      <c r="W1075" s="234" t="n">
        <v>13</v>
      </c>
      <c r="X1075" s="248" t="n">
        <f aca="false">DATE(1900,Таблица18[[#This Row],[Месяц]],Таблица18[[#This Row],[Число]])</f>
        <v>165</v>
      </c>
      <c r="Y1075" s="234"/>
      <c r="AF1075" s="411"/>
      <c r="AG1075" s="412"/>
    </row>
    <row r="1076" s="410" customFormat="true" ht="15" hidden="true" customHeight="true" outlineLevel="0" collapsed="false">
      <c r="A1076" s="198" t="s">
        <v>2698</v>
      </c>
      <c r="B1076" s="199" t="s">
        <v>417</v>
      </c>
      <c r="C1076" s="198" t="n">
        <v>421</v>
      </c>
      <c r="D1076" s="198" t="n">
        <v>35</v>
      </c>
      <c r="E1076" s="198" t="s">
        <v>899</v>
      </c>
      <c r="F1076" s="198" t="s">
        <v>359</v>
      </c>
      <c r="G1076" s="198" t="s">
        <v>426</v>
      </c>
      <c r="H1076" s="198" t="s">
        <v>628</v>
      </c>
      <c r="I1076" s="199" t="s">
        <v>628</v>
      </c>
      <c r="J1076" s="198" t="s">
        <v>904</v>
      </c>
      <c r="K1076" s="198" t="s">
        <v>1435</v>
      </c>
      <c r="L1076" s="234" t="n">
        <v>28520</v>
      </c>
      <c r="M1076" s="234" t="n">
        <v>13780</v>
      </c>
      <c r="N1076" s="234" t="n">
        <v>23.5</v>
      </c>
      <c r="O1076" s="407" t="n">
        <v>14740</v>
      </c>
      <c r="P1076" s="407" t="n">
        <v>11276.1</v>
      </c>
      <c r="Q1076" s="234" t="n">
        <v>2025</v>
      </c>
      <c r="R1076" s="234"/>
      <c r="S1076" s="248" t="n">
        <v>45821</v>
      </c>
      <c r="T1076" s="407" t="n">
        <f aca="false">Таблица18[[#This Row],[Вес нетто]]-Таблица18[[#This Row],[Зачетный вес]]</f>
        <v>3463.9</v>
      </c>
      <c r="U1076" s="409" t="n">
        <f aca="false">Таблица18[[#This Row],[Отход]]/Таблица18[[#This Row],[Вес нетто]]</f>
        <v>0.235</v>
      </c>
      <c r="V1076" s="234" t="n">
        <f aca="false">MONTH(Таблица18[[#This Row],[Дата акта]])</f>
        <v>6</v>
      </c>
      <c r="W1076" s="234" t="n">
        <v>13</v>
      </c>
      <c r="X1076" s="248" t="n">
        <f aca="false">DATE(1900,Таблица18[[#This Row],[Месяц]],Таблица18[[#This Row],[Число]])</f>
        <v>165</v>
      </c>
      <c r="Y1076" s="234"/>
      <c r="AF1076" s="411"/>
      <c r="AG1076" s="412"/>
    </row>
    <row r="1077" s="410" customFormat="true" ht="15" hidden="true" customHeight="true" outlineLevel="0" collapsed="false">
      <c r="A1077" s="198" t="s">
        <v>2699</v>
      </c>
      <c r="B1077" s="199" t="s">
        <v>417</v>
      </c>
      <c r="C1077" s="198" t="n">
        <v>422</v>
      </c>
      <c r="D1077" s="198" t="s">
        <v>906</v>
      </c>
      <c r="E1077" s="198" t="s">
        <v>908</v>
      </c>
      <c r="F1077" s="198" t="s">
        <v>374</v>
      </c>
      <c r="G1077" s="198" t="s">
        <v>375</v>
      </c>
      <c r="H1077" s="198" t="n">
        <v>16</v>
      </c>
      <c r="I1077" s="199" t="n">
        <v>16</v>
      </c>
      <c r="J1077" s="198" t="s">
        <v>904</v>
      </c>
      <c r="K1077" s="198" t="s">
        <v>1435</v>
      </c>
      <c r="L1077" s="234" t="n">
        <v>8780</v>
      </c>
      <c r="M1077" s="234" t="n">
        <v>4590</v>
      </c>
      <c r="N1077" s="234" t="n">
        <v>17.5</v>
      </c>
      <c r="O1077" s="407" t="n">
        <v>4190</v>
      </c>
      <c r="P1077" s="407" t="n">
        <v>3456.7</v>
      </c>
      <c r="Q1077" s="234" t="n">
        <v>2025</v>
      </c>
      <c r="R1077" s="234"/>
      <c r="S1077" s="248" t="n">
        <v>45821</v>
      </c>
      <c r="T1077" s="407" t="n">
        <f aca="false">Таблица18[[#This Row],[Вес нетто]]-Таблица18[[#This Row],[Зачетный вес]]</f>
        <v>733.3</v>
      </c>
      <c r="U1077" s="409" t="n">
        <f aca="false">Таблица18[[#This Row],[Отход]]/Таблица18[[#This Row],[Вес нетто]]</f>
        <v>0.175011933174224</v>
      </c>
      <c r="V1077" s="234" t="n">
        <f aca="false">MONTH(Таблица18[[#This Row],[Дата акта]])</f>
        <v>6</v>
      </c>
      <c r="W1077" s="234" t="n">
        <v>13</v>
      </c>
      <c r="X1077" s="248" t="n">
        <f aca="false">DATE(1900,Таблица18[[#This Row],[Месяц]],Таблица18[[#This Row],[Число]])</f>
        <v>165</v>
      </c>
      <c r="Y1077" s="234"/>
      <c r="AF1077" s="411"/>
      <c r="AG1077" s="412"/>
    </row>
    <row r="1078" s="410" customFormat="true" ht="15" hidden="true" customHeight="true" outlineLevel="0" collapsed="false">
      <c r="A1078" s="198" t="s">
        <v>2700</v>
      </c>
      <c r="B1078" s="199" t="s">
        <v>417</v>
      </c>
      <c r="C1078" s="198" t="n">
        <v>423</v>
      </c>
      <c r="D1078" s="198" t="n">
        <v>36</v>
      </c>
      <c r="E1078" s="198" t="s">
        <v>899</v>
      </c>
      <c r="F1078" s="198" t="s">
        <v>553</v>
      </c>
      <c r="G1078" s="198" t="s">
        <v>557</v>
      </c>
      <c r="H1078" s="198" t="s">
        <v>628</v>
      </c>
      <c r="I1078" s="199" t="s">
        <v>628</v>
      </c>
      <c r="J1078" s="198" t="s">
        <v>904</v>
      </c>
      <c r="K1078" s="198" t="s">
        <v>1435</v>
      </c>
      <c r="L1078" s="234" t="n">
        <v>28660</v>
      </c>
      <c r="M1078" s="234" t="n">
        <v>14850</v>
      </c>
      <c r="N1078" s="234" t="n">
        <v>20.5</v>
      </c>
      <c r="O1078" s="407" t="n">
        <v>13810</v>
      </c>
      <c r="P1078" s="407" t="n">
        <v>10978.9</v>
      </c>
      <c r="Q1078" s="234" t="n">
        <v>2025</v>
      </c>
      <c r="R1078" s="234"/>
      <c r="S1078" s="248" t="n">
        <v>45821</v>
      </c>
      <c r="T1078" s="407" t="n">
        <f aca="false">Таблица18[[#This Row],[Вес нетто]]-Таблица18[[#This Row],[Зачетный вес]]</f>
        <v>2831.1</v>
      </c>
      <c r="U1078" s="409" t="n">
        <f aca="false">Таблица18[[#This Row],[Отход]]/Таблица18[[#This Row],[Вес нетто]]</f>
        <v>0.205003620564808</v>
      </c>
      <c r="V1078" s="234" t="n">
        <f aca="false">MONTH(Таблица18[[#This Row],[Дата акта]])</f>
        <v>6</v>
      </c>
      <c r="W1078" s="234" t="n">
        <v>13</v>
      </c>
      <c r="X1078" s="248" t="n">
        <f aca="false">DATE(1900,Таблица18[[#This Row],[Месяц]],Таблица18[[#This Row],[Число]])</f>
        <v>165</v>
      </c>
      <c r="Y1078" s="234"/>
      <c r="AF1078" s="411"/>
      <c r="AG1078" s="412"/>
    </row>
    <row r="1079" s="410" customFormat="true" ht="15" hidden="true" customHeight="true" outlineLevel="0" collapsed="false">
      <c r="A1079" s="198" t="s">
        <v>2701</v>
      </c>
      <c r="B1079" s="199" t="s">
        <v>417</v>
      </c>
      <c r="C1079" s="198" t="n">
        <v>424</v>
      </c>
      <c r="D1079" s="198" t="n">
        <v>37</v>
      </c>
      <c r="E1079" s="198" t="s">
        <v>899</v>
      </c>
      <c r="F1079" s="198" t="s">
        <v>547</v>
      </c>
      <c r="G1079" s="198" t="s">
        <v>551</v>
      </c>
      <c r="H1079" s="198" t="s">
        <v>901</v>
      </c>
      <c r="I1079" s="199" t="s">
        <v>901</v>
      </c>
      <c r="J1079" s="198" t="s">
        <v>904</v>
      </c>
      <c r="K1079" s="198" t="s">
        <v>1435</v>
      </c>
      <c r="L1079" s="234" t="n">
        <v>28160</v>
      </c>
      <c r="M1079" s="234" t="n">
        <v>14620</v>
      </c>
      <c r="N1079" s="234" t="n">
        <v>13.5</v>
      </c>
      <c r="O1079" s="407" t="n">
        <v>13540</v>
      </c>
      <c r="P1079" s="407" t="n">
        <v>11712.1</v>
      </c>
      <c r="Q1079" s="234" t="n">
        <v>2025</v>
      </c>
      <c r="R1079" s="234"/>
      <c r="S1079" s="248" t="n">
        <v>45821</v>
      </c>
      <c r="T1079" s="407" t="n">
        <f aca="false">Таблица18[[#This Row],[Вес нетто]]-Таблица18[[#This Row],[Зачетный вес]]</f>
        <v>1827.9</v>
      </c>
      <c r="U1079" s="409" t="n">
        <f aca="false">Таблица18[[#This Row],[Отход]]/Таблица18[[#This Row],[Вес нетто]]</f>
        <v>0.135</v>
      </c>
      <c r="V1079" s="234" t="n">
        <f aca="false">MONTH(Таблица18[[#This Row],[Дата акта]])</f>
        <v>6</v>
      </c>
      <c r="W1079" s="234" t="n">
        <v>13</v>
      </c>
      <c r="X1079" s="248" t="n">
        <f aca="false">DATE(1900,Таблица18[[#This Row],[Месяц]],Таблица18[[#This Row],[Число]])</f>
        <v>165</v>
      </c>
      <c r="Y1079" s="234"/>
      <c r="AF1079" s="411"/>
      <c r="AG1079" s="412"/>
    </row>
    <row r="1080" s="410" customFormat="true" ht="15" hidden="true" customHeight="true" outlineLevel="0" collapsed="false">
      <c r="A1080" s="198" t="s">
        <v>2702</v>
      </c>
      <c r="B1080" s="199" t="s">
        <v>417</v>
      </c>
      <c r="C1080" s="198" t="n">
        <v>426</v>
      </c>
      <c r="D1080" s="198" t="s">
        <v>906</v>
      </c>
      <c r="E1080" s="198" t="s">
        <v>908</v>
      </c>
      <c r="F1080" s="198" t="s">
        <v>378</v>
      </c>
      <c r="G1080" s="198" t="s">
        <v>379</v>
      </c>
      <c r="H1080" s="198" t="n">
        <v>16</v>
      </c>
      <c r="I1080" s="199" t="n">
        <v>16</v>
      </c>
      <c r="J1080" s="198" t="s">
        <v>904</v>
      </c>
      <c r="K1080" s="198" t="s">
        <v>1435</v>
      </c>
      <c r="L1080" s="234" t="n">
        <v>9430</v>
      </c>
      <c r="M1080" s="234" t="n">
        <v>4590</v>
      </c>
      <c r="N1080" s="234" t="n">
        <v>20.5</v>
      </c>
      <c r="O1080" s="407" t="n">
        <v>4840</v>
      </c>
      <c r="P1080" s="407" t="n">
        <v>3847.8</v>
      </c>
      <c r="Q1080" s="234" t="n">
        <v>2025</v>
      </c>
      <c r="R1080" s="234"/>
      <c r="S1080" s="248" t="n">
        <v>45821</v>
      </c>
      <c r="T1080" s="407" t="n">
        <f aca="false">Таблица18[[#This Row],[Вес нетто]]-Таблица18[[#This Row],[Зачетный вес]]</f>
        <v>992.2</v>
      </c>
      <c r="U1080" s="409" t="n">
        <f aca="false">Таблица18[[#This Row],[Отход]]/Таблица18[[#This Row],[Вес нетто]]</f>
        <v>0.205</v>
      </c>
      <c r="V1080" s="234" t="n">
        <f aca="false">MONTH(Таблица18[[#This Row],[Дата акта]])</f>
        <v>6</v>
      </c>
      <c r="W1080" s="234" t="n">
        <v>13</v>
      </c>
      <c r="X1080" s="248" t="n">
        <f aca="false">DATE(1900,Таблица18[[#This Row],[Месяц]],Таблица18[[#This Row],[Число]])</f>
        <v>165</v>
      </c>
      <c r="Y1080" s="234"/>
      <c r="AF1080" s="411"/>
      <c r="AG1080" s="412"/>
    </row>
    <row r="1081" s="410" customFormat="true" ht="15" hidden="true" customHeight="true" outlineLevel="0" collapsed="false">
      <c r="A1081" s="198" t="s">
        <v>2703</v>
      </c>
      <c r="B1081" s="199" t="s">
        <v>417</v>
      </c>
      <c r="C1081" s="198" t="n">
        <v>425</v>
      </c>
      <c r="D1081" s="198" t="n">
        <v>38</v>
      </c>
      <c r="E1081" s="198" t="s">
        <v>899</v>
      </c>
      <c r="F1081" s="198" t="s">
        <v>363</v>
      </c>
      <c r="G1081" s="198" t="s">
        <v>364</v>
      </c>
      <c r="H1081" s="198" t="s">
        <v>628</v>
      </c>
      <c r="I1081" s="199" t="s">
        <v>628</v>
      </c>
      <c r="J1081" s="198" t="s">
        <v>904</v>
      </c>
      <c r="K1081" s="198" t="s">
        <v>1435</v>
      </c>
      <c r="L1081" s="234" t="n">
        <v>28330</v>
      </c>
      <c r="M1081" s="234" t="n">
        <v>14590</v>
      </c>
      <c r="N1081" s="234" t="n">
        <v>10.5</v>
      </c>
      <c r="O1081" s="407" t="n">
        <v>13740</v>
      </c>
      <c r="P1081" s="407" t="n">
        <v>12297.3</v>
      </c>
      <c r="Q1081" s="234" t="n">
        <v>2025</v>
      </c>
      <c r="R1081" s="234"/>
      <c r="S1081" s="248" t="n">
        <v>45821</v>
      </c>
      <c r="T1081" s="407" t="n">
        <f aca="false">Таблица18[[#This Row],[Вес нетто]]-Таблица18[[#This Row],[Зачетный вес]]</f>
        <v>1442.7</v>
      </c>
      <c r="U1081" s="409" t="n">
        <f aca="false">Таблица18[[#This Row],[Отход]]/Таблица18[[#This Row],[Вес нетто]]</f>
        <v>0.105</v>
      </c>
      <c r="V1081" s="234" t="n">
        <f aca="false">MONTH(Таблица18[[#This Row],[Дата акта]])</f>
        <v>6</v>
      </c>
      <c r="W1081" s="234" t="n">
        <v>13</v>
      </c>
      <c r="X1081" s="248" t="n">
        <f aca="false">DATE(1900,Таблица18[[#This Row],[Месяц]],Таблица18[[#This Row],[Число]])</f>
        <v>165</v>
      </c>
      <c r="Y1081" s="234"/>
      <c r="AF1081" s="411"/>
      <c r="AG1081" s="412"/>
    </row>
    <row r="1082" s="410" customFormat="true" ht="15" hidden="true" customHeight="true" outlineLevel="0" collapsed="false">
      <c r="A1082" s="198" t="s">
        <v>2704</v>
      </c>
      <c r="B1082" s="199" t="s">
        <v>417</v>
      </c>
      <c r="C1082" s="198" t="n">
        <v>427</v>
      </c>
      <c r="D1082" s="198" t="s">
        <v>906</v>
      </c>
      <c r="E1082" s="198" t="s">
        <v>908</v>
      </c>
      <c r="F1082" s="198" t="s">
        <v>374</v>
      </c>
      <c r="G1082" s="198" t="s">
        <v>375</v>
      </c>
      <c r="H1082" s="198" t="n">
        <v>16</v>
      </c>
      <c r="I1082" s="199" t="n">
        <v>16</v>
      </c>
      <c r="J1082" s="198" t="s">
        <v>904</v>
      </c>
      <c r="K1082" s="198" t="s">
        <v>1435</v>
      </c>
      <c r="L1082" s="234" t="n">
        <v>9160</v>
      </c>
      <c r="M1082" s="234" t="n">
        <v>4560</v>
      </c>
      <c r="N1082" s="234" t="n">
        <v>18.5</v>
      </c>
      <c r="O1082" s="407" t="n">
        <v>4600</v>
      </c>
      <c r="P1082" s="407" t="n">
        <v>3749</v>
      </c>
      <c r="Q1082" s="234" t="n">
        <v>2025</v>
      </c>
      <c r="R1082" s="234"/>
      <c r="S1082" s="248" t="n">
        <v>45821</v>
      </c>
      <c r="T1082" s="407" t="n">
        <f aca="false">Таблица18[[#This Row],[Вес нетто]]-Таблица18[[#This Row],[Зачетный вес]]</f>
        <v>851</v>
      </c>
      <c r="U1082" s="409" t="n">
        <f aca="false">Таблица18[[#This Row],[Отход]]/Таблица18[[#This Row],[Вес нетто]]</f>
        <v>0.185</v>
      </c>
      <c r="V1082" s="234" t="n">
        <f aca="false">MONTH(Таблица18[[#This Row],[Дата акта]])</f>
        <v>6</v>
      </c>
      <c r="W1082" s="234" t="n">
        <v>13</v>
      </c>
      <c r="X1082" s="248" t="n">
        <f aca="false">DATE(1900,Таблица18[[#This Row],[Месяц]],Таблица18[[#This Row],[Число]])</f>
        <v>165</v>
      </c>
      <c r="Y1082" s="234"/>
      <c r="AF1082" s="411"/>
      <c r="AG1082" s="412"/>
    </row>
    <row r="1083" s="410" customFormat="true" ht="15" hidden="true" customHeight="true" outlineLevel="0" collapsed="false">
      <c r="A1083" s="198" t="s">
        <v>2705</v>
      </c>
      <c r="B1083" s="199" t="s">
        <v>746</v>
      </c>
      <c r="C1083" s="198" t="n">
        <v>428</v>
      </c>
      <c r="D1083" s="198" t="n">
        <v>40</v>
      </c>
      <c r="E1083" s="198" t="s">
        <v>899</v>
      </c>
      <c r="F1083" s="198" t="s">
        <v>451</v>
      </c>
      <c r="G1083" s="198" t="s">
        <v>455</v>
      </c>
      <c r="H1083" s="198" t="s">
        <v>628</v>
      </c>
      <c r="I1083" s="199" t="s">
        <v>628</v>
      </c>
      <c r="J1083" s="198" t="s">
        <v>904</v>
      </c>
      <c r="K1083" s="198" t="s">
        <v>1435</v>
      </c>
      <c r="L1083" s="234" t="n">
        <v>28610</v>
      </c>
      <c r="M1083" s="234" t="n">
        <v>14940</v>
      </c>
      <c r="N1083" s="234" t="n">
        <v>9</v>
      </c>
      <c r="O1083" s="407" t="n">
        <v>13670</v>
      </c>
      <c r="P1083" s="407" t="n">
        <v>12439.7</v>
      </c>
      <c r="Q1083" s="234" t="n">
        <v>2025</v>
      </c>
      <c r="R1083" s="234"/>
      <c r="S1083" s="248" t="n">
        <v>45821</v>
      </c>
      <c r="T1083" s="407" t="n">
        <f aca="false">Таблица18[[#This Row],[Вес нетто]]-Таблица18[[#This Row],[Зачетный вес]]</f>
        <v>1230.3</v>
      </c>
      <c r="U1083" s="409" t="n">
        <f aca="false">Таблица18[[#This Row],[Отход]]/Таблица18[[#This Row],[Вес нетто]]</f>
        <v>0.0899999999999999</v>
      </c>
      <c r="V1083" s="234" t="n">
        <f aca="false">MONTH(Таблица18[[#This Row],[Дата акта]])</f>
        <v>6</v>
      </c>
      <c r="W1083" s="234" t="n">
        <v>13</v>
      </c>
      <c r="X1083" s="248" t="n">
        <f aca="false">DATE(1900,Таблица18[[#This Row],[Месяц]],Таблица18[[#This Row],[Число]])</f>
        <v>165</v>
      </c>
      <c r="Y1083" s="234"/>
      <c r="AF1083" s="411"/>
      <c r="AG1083" s="412"/>
    </row>
    <row r="1084" s="410" customFormat="true" ht="15" hidden="true" customHeight="true" outlineLevel="0" collapsed="false">
      <c r="A1084" s="198" t="s">
        <v>2706</v>
      </c>
      <c r="B1084" s="199" t="s">
        <v>417</v>
      </c>
      <c r="C1084" s="198" t="n">
        <v>430</v>
      </c>
      <c r="D1084" s="198" t="n">
        <v>41</v>
      </c>
      <c r="E1084" s="198" t="s">
        <v>899</v>
      </c>
      <c r="F1084" s="198" t="s">
        <v>361</v>
      </c>
      <c r="G1084" s="198" t="s">
        <v>362</v>
      </c>
      <c r="H1084" s="198" t="s">
        <v>628</v>
      </c>
      <c r="I1084" s="199" t="s">
        <v>628</v>
      </c>
      <c r="J1084" s="198" t="s">
        <v>904</v>
      </c>
      <c r="K1084" s="198" t="s">
        <v>1435</v>
      </c>
      <c r="L1084" s="234" t="n">
        <v>28710</v>
      </c>
      <c r="M1084" s="234" t="n">
        <v>14780</v>
      </c>
      <c r="N1084" s="234" t="n">
        <v>20</v>
      </c>
      <c r="O1084" s="407" t="n">
        <v>13930</v>
      </c>
      <c r="P1084" s="407" t="n">
        <v>11144</v>
      </c>
      <c r="Q1084" s="234" t="n">
        <v>2025</v>
      </c>
      <c r="R1084" s="234"/>
      <c r="S1084" s="248" t="n">
        <v>45821</v>
      </c>
      <c r="T1084" s="407" t="n">
        <f aca="false">Таблица18[[#This Row],[Вес нетто]]-Таблица18[[#This Row],[Зачетный вес]]</f>
        <v>2786</v>
      </c>
      <c r="U1084" s="409" t="n">
        <f aca="false">Таблица18[[#This Row],[Отход]]/Таблица18[[#This Row],[Вес нетто]]</f>
        <v>0.2</v>
      </c>
      <c r="V1084" s="234" t="n">
        <f aca="false">MONTH(Таблица18[[#This Row],[Дата акта]])</f>
        <v>6</v>
      </c>
      <c r="W1084" s="234" t="n">
        <v>13</v>
      </c>
      <c r="X1084" s="248" t="n">
        <f aca="false">DATE(1900,Таблица18[[#This Row],[Месяц]],Таблица18[[#This Row],[Число]])</f>
        <v>165</v>
      </c>
      <c r="Y1084" s="234"/>
      <c r="AF1084" s="411"/>
      <c r="AG1084" s="412"/>
    </row>
    <row r="1085" s="410" customFormat="true" ht="15" hidden="true" customHeight="true" outlineLevel="0" collapsed="false">
      <c r="A1085" s="198" t="s">
        <v>2707</v>
      </c>
      <c r="B1085" s="199" t="s">
        <v>417</v>
      </c>
      <c r="C1085" s="198" t="n">
        <v>431</v>
      </c>
      <c r="D1085" s="198" t="s">
        <v>906</v>
      </c>
      <c r="E1085" s="198" t="s">
        <v>908</v>
      </c>
      <c r="F1085" s="198" t="s">
        <v>378</v>
      </c>
      <c r="G1085" s="198" t="s">
        <v>379</v>
      </c>
      <c r="H1085" s="198" t="n">
        <v>16</v>
      </c>
      <c r="I1085" s="199" t="n">
        <v>16</v>
      </c>
      <c r="J1085" s="198" t="s">
        <v>904</v>
      </c>
      <c r="K1085" s="198" t="s">
        <v>1435</v>
      </c>
      <c r="L1085" s="234" t="n">
        <v>8810</v>
      </c>
      <c r="M1085" s="234" t="n">
        <v>4590</v>
      </c>
      <c r="N1085" s="234" t="n">
        <v>20.5</v>
      </c>
      <c r="O1085" s="407" t="n">
        <v>4220</v>
      </c>
      <c r="P1085" s="407" t="n">
        <v>3354.9</v>
      </c>
      <c r="Q1085" s="234" t="n">
        <v>2025</v>
      </c>
      <c r="R1085" s="234"/>
      <c r="S1085" s="248" t="n">
        <v>45822</v>
      </c>
      <c r="T1085" s="407" t="n">
        <f aca="false">Таблица18[[#This Row],[Вес нетто]]-Таблица18[[#This Row],[Зачетный вес]]</f>
        <v>865.1</v>
      </c>
      <c r="U1085" s="409" t="n">
        <f aca="false">Таблица18[[#This Row],[Отход]]/Таблица18[[#This Row],[Вес нетто]]</f>
        <v>0.205</v>
      </c>
      <c r="V1085" s="234" t="n">
        <f aca="false">MONTH(Таблица18[[#This Row],[Дата акта]])</f>
        <v>6</v>
      </c>
      <c r="W1085" s="234" t="n">
        <v>14</v>
      </c>
      <c r="X1085" s="248" t="n">
        <f aca="false">DATE(1900,Таблица18[[#This Row],[Месяц]],Таблица18[[#This Row],[Число]])</f>
        <v>166</v>
      </c>
      <c r="Y1085" s="234"/>
      <c r="AF1085" s="411"/>
      <c r="AG1085" s="412"/>
    </row>
    <row r="1086" s="410" customFormat="true" ht="15" hidden="true" customHeight="true" outlineLevel="0" collapsed="false">
      <c r="A1086" s="198" t="s">
        <v>2708</v>
      </c>
      <c r="B1086" s="199" t="s">
        <v>746</v>
      </c>
      <c r="C1086" s="198" t="n">
        <v>429</v>
      </c>
      <c r="D1086" s="198" t="n">
        <v>39</v>
      </c>
      <c r="E1086" s="198" t="s">
        <v>899</v>
      </c>
      <c r="F1086" s="198" t="s">
        <v>445</v>
      </c>
      <c r="G1086" s="198" t="s">
        <v>449</v>
      </c>
      <c r="H1086" s="198" t="s">
        <v>628</v>
      </c>
      <c r="I1086" s="199" t="s">
        <v>628</v>
      </c>
      <c r="J1086" s="198" t="s">
        <v>904</v>
      </c>
      <c r="K1086" s="198" t="s">
        <v>1435</v>
      </c>
      <c r="L1086" s="234" t="n">
        <v>29140</v>
      </c>
      <c r="M1086" s="234" t="n">
        <v>15600</v>
      </c>
      <c r="N1086" s="234" t="n">
        <v>9</v>
      </c>
      <c r="O1086" s="407" t="n">
        <v>13540</v>
      </c>
      <c r="P1086" s="407" t="n">
        <v>12321.4</v>
      </c>
      <c r="Q1086" s="234" t="n">
        <v>2025</v>
      </c>
      <c r="R1086" s="234"/>
      <c r="S1086" s="248" t="n">
        <v>45821</v>
      </c>
      <c r="T1086" s="407" t="n">
        <f aca="false">Таблица18[[#This Row],[Вес нетто]]-Таблица18[[#This Row],[Зачетный вес]]</f>
        <v>1218.6</v>
      </c>
      <c r="U1086" s="409" t="n">
        <f aca="false">Таблица18[[#This Row],[Отход]]/Таблица18[[#This Row],[Вес нетто]]</f>
        <v>0.09</v>
      </c>
      <c r="V1086" s="234" t="n">
        <f aca="false">MONTH(Таблица18[[#This Row],[Дата акта]])</f>
        <v>6</v>
      </c>
      <c r="W1086" s="234" t="n">
        <v>13</v>
      </c>
      <c r="X1086" s="248" t="n">
        <f aca="false">DATE(1900,Таблица18[[#This Row],[Месяц]],Таблица18[[#This Row],[Число]])</f>
        <v>165</v>
      </c>
      <c r="Y1086" s="234"/>
      <c r="AF1086" s="411"/>
      <c r="AG1086" s="412"/>
    </row>
    <row r="1087" s="410" customFormat="true" ht="15" hidden="true" customHeight="true" outlineLevel="0" collapsed="false">
      <c r="A1087" s="198" t="s">
        <v>2709</v>
      </c>
      <c r="B1087" s="199" t="s">
        <v>417</v>
      </c>
      <c r="C1087" s="198" t="n">
        <v>432</v>
      </c>
      <c r="D1087" s="198" t="n">
        <v>42</v>
      </c>
      <c r="E1087" s="198" t="s">
        <v>899</v>
      </c>
      <c r="F1087" s="198" t="s">
        <v>55</v>
      </c>
      <c r="G1087" s="198" t="s">
        <v>56</v>
      </c>
      <c r="H1087" s="198" t="s">
        <v>628</v>
      </c>
      <c r="I1087" s="199" t="s">
        <v>628</v>
      </c>
      <c r="J1087" s="198" t="s">
        <v>904</v>
      </c>
      <c r="K1087" s="198" t="s">
        <v>1435</v>
      </c>
      <c r="L1087" s="234" t="n">
        <v>28150</v>
      </c>
      <c r="M1087" s="234" t="n">
        <v>14560</v>
      </c>
      <c r="N1087" s="234" t="n">
        <v>17.5</v>
      </c>
      <c r="O1087" s="407" t="n">
        <v>13590</v>
      </c>
      <c r="P1087" s="407" t="n">
        <v>11211.7</v>
      </c>
      <c r="Q1087" s="234" t="n">
        <v>2025</v>
      </c>
      <c r="R1087" s="234"/>
      <c r="S1087" s="248" t="n">
        <v>45822</v>
      </c>
      <c r="T1087" s="407" t="n">
        <f aca="false">Таблица18[[#This Row],[Вес нетто]]-Таблица18[[#This Row],[Зачетный вес]]</f>
        <v>2378.3</v>
      </c>
      <c r="U1087" s="409" t="n">
        <f aca="false">Таблица18[[#This Row],[Отход]]/Таблица18[[#This Row],[Вес нетто]]</f>
        <v>0.175003679175865</v>
      </c>
      <c r="V1087" s="234" t="n">
        <f aca="false">MONTH(Таблица18[[#This Row],[Дата акта]])</f>
        <v>6</v>
      </c>
      <c r="W1087" s="234" t="n">
        <v>14</v>
      </c>
      <c r="X1087" s="248" t="n">
        <f aca="false">DATE(1900,Таблица18[[#This Row],[Месяц]],Таблица18[[#This Row],[Число]])</f>
        <v>166</v>
      </c>
      <c r="Y1087" s="234"/>
      <c r="AF1087" s="411"/>
      <c r="AG1087" s="412"/>
    </row>
    <row r="1088" s="410" customFormat="true" ht="15" hidden="true" customHeight="true" outlineLevel="0" collapsed="false">
      <c r="A1088" s="198" t="s">
        <v>2710</v>
      </c>
      <c r="B1088" s="199" t="s">
        <v>417</v>
      </c>
      <c r="C1088" s="198" t="n">
        <v>433</v>
      </c>
      <c r="D1088" s="198" t="s">
        <v>906</v>
      </c>
      <c r="E1088" s="198" t="s">
        <v>899</v>
      </c>
      <c r="F1088" s="198" t="s">
        <v>57</v>
      </c>
      <c r="G1088" s="198" t="s">
        <v>58</v>
      </c>
      <c r="H1088" s="198" t="s">
        <v>907</v>
      </c>
      <c r="I1088" s="199" t="s">
        <v>907</v>
      </c>
      <c r="J1088" s="198" t="s">
        <v>904</v>
      </c>
      <c r="K1088" s="198" t="s">
        <v>1435</v>
      </c>
      <c r="L1088" s="234" t="n">
        <v>28620</v>
      </c>
      <c r="M1088" s="234" t="n">
        <v>15420</v>
      </c>
      <c r="N1088" s="234" t="n">
        <v>19.5</v>
      </c>
      <c r="O1088" s="407" t="n">
        <v>13200</v>
      </c>
      <c r="P1088" s="407" t="n">
        <v>10626</v>
      </c>
      <c r="Q1088" s="234" t="n">
        <v>2025</v>
      </c>
      <c r="R1088" s="234"/>
      <c r="S1088" s="248" t="n">
        <v>45822</v>
      </c>
      <c r="T1088" s="407" t="n">
        <f aca="false">Таблица18[[#This Row],[Вес нетто]]-Таблица18[[#This Row],[Зачетный вес]]</f>
        <v>2574</v>
      </c>
      <c r="U1088" s="409" t="n">
        <f aca="false">Таблица18[[#This Row],[Отход]]/Таблица18[[#This Row],[Вес нетто]]</f>
        <v>0.195</v>
      </c>
      <c r="V1088" s="234" t="n">
        <f aca="false">MONTH(Таблица18[[#This Row],[Дата акта]])</f>
        <v>6</v>
      </c>
      <c r="W1088" s="234" t="n">
        <v>14</v>
      </c>
      <c r="X1088" s="248" t="n">
        <f aca="false">DATE(1900,Таблица18[[#This Row],[Месяц]],Таблица18[[#This Row],[Число]])</f>
        <v>166</v>
      </c>
      <c r="Y1088" s="234"/>
      <c r="AF1088" s="411"/>
      <c r="AG1088" s="412"/>
    </row>
    <row r="1089" s="410" customFormat="true" ht="15" hidden="true" customHeight="true" outlineLevel="0" collapsed="false">
      <c r="A1089" s="198" t="s">
        <v>2711</v>
      </c>
      <c r="B1089" s="199" t="s">
        <v>746</v>
      </c>
      <c r="C1089" s="198" t="n">
        <v>434</v>
      </c>
      <c r="D1089" s="198" t="s">
        <v>906</v>
      </c>
      <c r="E1089" s="198" t="s">
        <v>899</v>
      </c>
      <c r="F1089" s="198" t="s">
        <v>48</v>
      </c>
      <c r="G1089" s="198" t="s">
        <v>49</v>
      </c>
      <c r="H1089" s="198" t="n">
        <v>43</v>
      </c>
      <c r="I1089" s="199" t="n">
        <v>43</v>
      </c>
      <c r="J1089" s="198" t="s">
        <v>909</v>
      </c>
      <c r="K1089" s="198" t="s">
        <v>1435</v>
      </c>
      <c r="L1089" s="234" t="n">
        <v>27970</v>
      </c>
      <c r="M1089" s="234" t="n">
        <v>14950</v>
      </c>
      <c r="N1089" s="234" t="n">
        <v>14.5</v>
      </c>
      <c r="O1089" s="407" t="n">
        <v>13020</v>
      </c>
      <c r="P1089" s="407" t="n">
        <v>11132.1</v>
      </c>
      <c r="Q1089" s="234" t="n">
        <v>2025</v>
      </c>
      <c r="R1089" s="234"/>
      <c r="S1089" s="248" t="n">
        <v>45822</v>
      </c>
      <c r="T1089" s="407" t="n">
        <f aca="false">Таблица18[[#This Row],[Вес нетто]]-Таблица18[[#This Row],[Зачетный вес]]</f>
        <v>1887.9</v>
      </c>
      <c r="U1089" s="409" t="n">
        <f aca="false">Таблица18[[#This Row],[Отход]]/Таблица18[[#This Row],[Вес нетто]]</f>
        <v>0.145</v>
      </c>
      <c r="V1089" s="234" t="n">
        <f aca="false">MONTH(Таблица18[[#This Row],[Дата акта]])</f>
        <v>6</v>
      </c>
      <c r="W1089" s="234" t="n">
        <v>14</v>
      </c>
      <c r="X1089" s="248" t="n">
        <f aca="false">DATE(1900,Таблица18[[#This Row],[Месяц]],Таблица18[[#This Row],[Число]])</f>
        <v>166</v>
      </c>
      <c r="Y1089" s="234"/>
      <c r="AF1089" s="411"/>
      <c r="AG1089" s="412"/>
    </row>
    <row r="1090" s="410" customFormat="true" ht="15" hidden="true" customHeight="true" outlineLevel="0" collapsed="false">
      <c r="A1090" s="198" t="s">
        <v>2712</v>
      </c>
      <c r="B1090" s="199" t="s">
        <v>746</v>
      </c>
      <c r="C1090" s="198" t="n">
        <v>440</v>
      </c>
      <c r="D1090" s="198" t="s">
        <v>910</v>
      </c>
      <c r="E1090" s="198" t="s">
        <v>899</v>
      </c>
      <c r="F1090" s="198" t="s">
        <v>427</v>
      </c>
      <c r="G1090" s="198" t="s">
        <v>431</v>
      </c>
      <c r="H1090" s="198" t="n">
        <v>43</v>
      </c>
      <c r="I1090" s="199" t="n">
        <v>43</v>
      </c>
      <c r="J1090" s="198" t="s">
        <v>909</v>
      </c>
      <c r="K1090" s="198" t="s">
        <v>1435</v>
      </c>
      <c r="L1090" s="234" t="n">
        <v>27650</v>
      </c>
      <c r="M1090" s="234" t="n">
        <v>21060</v>
      </c>
      <c r="N1090" s="234" t="n">
        <v>6.5</v>
      </c>
      <c r="O1090" s="407" t="n">
        <v>6590</v>
      </c>
      <c r="P1090" s="407" t="n">
        <v>6161.6</v>
      </c>
      <c r="Q1090" s="234" t="n">
        <v>2025</v>
      </c>
      <c r="R1090" s="234"/>
      <c r="S1090" s="248" t="n">
        <v>45822</v>
      </c>
      <c r="T1090" s="407" t="n">
        <f aca="false">Таблица18[[#This Row],[Вес нетто]]-Таблица18[[#This Row],[Зачетный вес]]</f>
        <v>428.4</v>
      </c>
      <c r="U1090" s="409" t="n">
        <f aca="false">Таблица18[[#This Row],[Отход]]/Таблица18[[#This Row],[Вес нетто]]</f>
        <v>0.0650075872534142</v>
      </c>
      <c r="V1090" s="234" t="n">
        <f aca="false">MONTH(Таблица18[[#This Row],[Дата акта]])</f>
        <v>6</v>
      </c>
      <c r="W1090" s="234" t="n">
        <v>14</v>
      </c>
      <c r="X1090" s="248" t="n">
        <f aca="false">DATE(1900,Таблица18[[#This Row],[Месяц]],Таблица18[[#This Row],[Число]])</f>
        <v>166</v>
      </c>
      <c r="Y1090" s="234"/>
      <c r="AF1090" s="411"/>
      <c r="AG1090" s="412"/>
    </row>
    <row r="1091" s="410" customFormat="true" ht="15" hidden="true" customHeight="true" outlineLevel="0" collapsed="false">
      <c r="A1091" s="198" t="s">
        <v>2713</v>
      </c>
      <c r="B1091" s="199" t="s">
        <v>746</v>
      </c>
      <c r="C1091" s="198" t="n">
        <v>435</v>
      </c>
      <c r="D1091" s="198" t="s">
        <v>906</v>
      </c>
      <c r="E1091" s="198" t="s">
        <v>899</v>
      </c>
      <c r="F1091" s="198" t="s">
        <v>365</v>
      </c>
      <c r="G1091" s="198" t="s">
        <v>373</v>
      </c>
      <c r="H1091" s="198" t="n">
        <v>43</v>
      </c>
      <c r="I1091" s="199" t="n">
        <v>43</v>
      </c>
      <c r="J1091" s="198" t="s">
        <v>909</v>
      </c>
      <c r="K1091" s="198" t="s">
        <v>1435</v>
      </c>
      <c r="L1091" s="234" t="n">
        <v>31950</v>
      </c>
      <c r="M1091" s="234" t="n">
        <v>18710</v>
      </c>
      <c r="N1091" s="234" t="n">
        <v>9.5</v>
      </c>
      <c r="O1091" s="407" t="n">
        <v>13240</v>
      </c>
      <c r="P1091" s="407" t="n">
        <v>11982.2</v>
      </c>
      <c r="Q1091" s="234" t="n">
        <v>2025</v>
      </c>
      <c r="R1091" s="234"/>
      <c r="S1091" s="248" t="n">
        <v>45822</v>
      </c>
      <c r="T1091" s="407" t="n">
        <f aca="false">Таблица18[[#This Row],[Вес нетто]]-Таблица18[[#This Row],[Зачетный вес]]</f>
        <v>1257.8</v>
      </c>
      <c r="U1091" s="409" t="n">
        <f aca="false">Таблица18[[#This Row],[Отход]]/Таблица18[[#This Row],[Вес нетто]]</f>
        <v>0.095</v>
      </c>
      <c r="V1091" s="234" t="n">
        <f aca="false">MONTH(Таблица18[[#This Row],[Дата акта]])</f>
        <v>6</v>
      </c>
      <c r="W1091" s="234" t="n">
        <v>14</v>
      </c>
      <c r="X1091" s="248" t="n">
        <f aca="false">DATE(1900,Таблица18[[#This Row],[Месяц]],Таблица18[[#This Row],[Число]])</f>
        <v>166</v>
      </c>
      <c r="Y1091" s="234"/>
      <c r="AF1091" s="411"/>
      <c r="AG1091" s="412"/>
    </row>
    <row r="1092" s="410" customFormat="true" ht="15" hidden="true" customHeight="true" outlineLevel="0" collapsed="false">
      <c r="A1092" s="198" t="s">
        <v>2714</v>
      </c>
      <c r="B1092" s="199" t="s">
        <v>746</v>
      </c>
      <c r="C1092" s="198" t="n">
        <v>436</v>
      </c>
      <c r="D1092" s="198" t="s">
        <v>906</v>
      </c>
      <c r="E1092" s="198" t="s">
        <v>899</v>
      </c>
      <c r="F1092" s="198" t="s">
        <v>371</v>
      </c>
      <c r="G1092" s="198" t="s">
        <v>372</v>
      </c>
      <c r="H1092" s="198" t="n">
        <v>43</v>
      </c>
      <c r="I1092" s="199" t="n">
        <v>43</v>
      </c>
      <c r="J1092" s="198" t="s">
        <v>909</v>
      </c>
      <c r="K1092" s="198" t="s">
        <v>1435</v>
      </c>
      <c r="L1092" s="234" t="n">
        <v>28170</v>
      </c>
      <c r="M1092" s="234" t="n">
        <v>14970</v>
      </c>
      <c r="N1092" s="234" t="n">
        <v>6.5</v>
      </c>
      <c r="O1092" s="407" t="n">
        <v>13200</v>
      </c>
      <c r="P1092" s="407" t="n">
        <v>12342</v>
      </c>
      <c r="Q1092" s="234" t="n">
        <v>2025</v>
      </c>
      <c r="R1092" s="234"/>
      <c r="S1092" s="248" t="n">
        <v>45822</v>
      </c>
      <c r="T1092" s="407" t="n">
        <f aca="false">Таблица18[[#This Row],[Вес нетто]]-Таблица18[[#This Row],[Зачетный вес]]</f>
        <v>858</v>
      </c>
      <c r="U1092" s="409" t="n">
        <f aca="false">Таблица18[[#This Row],[Отход]]/Таблица18[[#This Row],[Вес нетто]]</f>
        <v>0.065</v>
      </c>
      <c r="V1092" s="234" t="n">
        <f aca="false">MONTH(Таблица18[[#This Row],[Дата акта]])</f>
        <v>6</v>
      </c>
      <c r="W1092" s="234" t="n">
        <v>14</v>
      </c>
      <c r="X1092" s="248" t="n">
        <f aca="false">DATE(1900,Таблица18[[#This Row],[Месяц]],Таблица18[[#This Row],[Число]])</f>
        <v>166</v>
      </c>
      <c r="Y1092" s="234"/>
      <c r="AF1092" s="411"/>
      <c r="AG1092" s="412"/>
    </row>
    <row r="1093" s="410" customFormat="true" ht="15" hidden="true" customHeight="true" outlineLevel="0" collapsed="false">
      <c r="A1093" s="198" t="s">
        <v>2715</v>
      </c>
      <c r="B1093" s="199" t="s">
        <v>746</v>
      </c>
      <c r="C1093" s="198" t="n">
        <v>438</v>
      </c>
      <c r="D1093" s="198" t="s">
        <v>906</v>
      </c>
      <c r="E1093" s="198" t="s">
        <v>899</v>
      </c>
      <c r="F1093" s="198" t="s">
        <v>439</v>
      </c>
      <c r="G1093" s="198" t="s">
        <v>443</v>
      </c>
      <c r="H1093" s="198" t="n">
        <v>43</v>
      </c>
      <c r="I1093" s="199" t="n">
        <v>43</v>
      </c>
      <c r="J1093" s="198" t="s">
        <v>909</v>
      </c>
      <c r="K1093" s="198" t="s">
        <v>1435</v>
      </c>
      <c r="L1093" s="234" t="n">
        <v>37310</v>
      </c>
      <c r="M1093" s="234" t="n">
        <v>24000</v>
      </c>
      <c r="N1093" s="234" t="n">
        <v>6.5</v>
      </c>
      <c r="O1093" s="407" t="n">
        <v>13310</v>
      </c>
      <c r="P1093" s="407" t="n">
        <v>12444.8</v>
      </c>
      <c r="Q1093" s="234" t="n">
        <v>2025</v>
      </c>
      <c r="R1093" s="234"/>
      <c r="S1093" s="248" t="n">
        <v>45822</v>
      </c>
      <c r="T1093" s="407" t="n">
        <f aca="false">Таблица18[[#This Row],[Вес нетто]]-Таблица18[[#This Row],[Зачетный вес]]</f>
        <v>865.200000000001</v>
      </c>
      <c r="U1093" s="409" t="n">
        <f aca="false">Таблица18[[#This Row],[Отход]]/Таблица18[[#This Row],[Вес нетто]]</f>
        <v>0.0650037565740046</v>
      </c>
      <c r="V1093" s="234" t="n">
        <f aca="false">MONTH(Таблица18[[#This Row],[Дата акта]])</f>
        <v>6</v>
      </c>
      <c r="W1093" s="234" t="n">
        <v>14</v>
      </c>
      <c r="X1093" s="248" t="n">
        <f aca="false">DATE(1900,Таблица18[[#This Row],[Месяц]],Таблица18[[#This Row],[Число]])</f>
        <v>166</v>
      </c>
      <c r="Y1093" s="234"/>
      <c r="AF1093" s="411"/>
      <c r="AG1093" s="412"/>
    </row>
    <row r="1094" s="410" customFormat="true" ht="15" hidden="true" customHeight="true" outlineLevel="0" collapsed="false">
      <c r="A1094" s="198" t="s">
        <v>2716</v>
      </c>
      <c r="B1094" s="199" t="s">
        <v>417</v>
      </c>
      <c r="C1094" s="198" t="n">
        <v>437</v>
      </c>
      <c r="D1094" s="198" t="s">
        <v>910</v>
      </c>
      <c r="E1094" s="198" t="s">
        <v>899</v>
      </c>
      <c r="F1094" s="198" t="s">
        <v>427</v>
      </c>
      <c r="G1094" s="198" t="s">
        <v>431</v>
      </c>
      <c r="H1094" s="198" t="n">
        <v>46</v>
      </c>
      <c r="I1094" s="199" t="n">
        <v>46</v>
      </c>
      <c r="J1094" s="198" t="s">
        <v>904</v>
      </c>
      <c r="K1094" s="198" t="s">
        <v>1435</v>
      </c>
      <c r="L1094" s="234" t="n">
        <v>34940</v>
      </c>
      <c r="M1094" s="234" t="n">
        <v>27670</v>
      </c>
      <c r="N1094" s="234" t="n">
        <v>18.5</v>
      </c>
      <c r="O1094" s="407" t="n">
        <v>7270</v>
      </c>
      <c r="P1094" s="407" t="n">
        <v>5925</v>
      </c>
      <c r="Q1094" s="234" t="n">
        <v>2025</v>
      </c>
      <c r="R1094" s="234"/>
      <c r="S1094" s="248" t="n">
        <v>45822</v>
      </c>
      <c r="T1094" s="407" t="n">
        <f aca="false">Таблица18[[#This Row],[Вес нетто]]-Таблица18[[#This Row],[Зачетный вес]]</f>
        <v>1345</v>
      </c>
      <c r="U1094" s="409" t="n">
        <f aca="false">Таблица18[[#This Row],[Отход]]/Таблица18[[#This Row],[Вес нетто]]</f>
        <v>0.185006877579092</v>
      </c>
      <c r="V1094" s="234" t="n">
        <f aca="false">MONTH(Таблица18[[#This Row],[Дата акта]])</f>
        <v>6</v>
      </c>
      <c r="W1094" s="234" t="n">
        <v>14</v>
      </c>
      <c r="X1094" s="248" t="n">
        <f aca="false">DATE(1900,Таблица18[[#This Row],[Месяц]],Таблица18[[#This Row],[Число]])</f>
        <v>166</v>
      </c>
      <c r="Y1094" s="234"/>
      <c r="AF1094" s="411"/>
      <c r="AG1094" s="412"/>
    </row>
    <row r="1095" s="410" customFormat="true" ht="15" hidden="true" customHeight="true" outlineLevel="0" collapsed="false">
      <c r="A1095" s="198" t="s">
        <v>2717</v>
      </c>
      <c r="B1095" s="199" t="s">
        <v>746</v>
      </c>
      <c r="C1095" s="198" t="n">
        <v>441</v>
      </c>
      <c r="D1095" s="198" t="s">
        <v>906</v>
      </c>
      <c r="E1095" s="198" t="s">
        <v>899</v>
      </c>
      <c r="F1095" s="198" t="s">
        <v>433</v>
      </c>
      <c r="G1095" s="198" t="s">
        <v>437</v>
      </c>
      <c r="H1095" s="198" t="n">
        <v>44</v>
      </c>
      <c r="I1095" s="199" t="n">
        <v>44</v>
      </c>
      <c r="J1095" s="198" t="s">
        <v>909</v>
      </c>
      <c r="K1095" s="198" t="s">
        <v>1435</v>
      </c>
      <c r="L1095" s="234" t="n">
        <v>28140</v>
      </c>
      <c r="M1095" s="234" t="n">
        <v>14940</v>
      </c>
      <c r="N1095" s="234" t="n">
        <v>10.5</v>
      </c>
      <c r="O1095" s="407" t="n">
        <v>13200</v>
      </c>
      <c r="P1095" s="407" t="n">
        <v>11814</v>
      </c>
      <c r="Q1095" s="234" t="n">
        <v>2025</v>
      </c>
      <c r="R1095" s="234"/>
      <c r="S1095" s="248" t="n">
        <v>45822</v>
      </c>
      <c r="T1095" s="407" t="n">
        <f aca="false">Таблица18[[#This Row],[Вес нетто]]-Таблица18[[#This Row],[Зачетный вес]]</f>
        <v>1386</v>
      </c>
      <c r="U1095" s="409" t="n">
        <f aca="false">Таблица18[[#This Row],[Отход]]/Таблица18[[#This Row],[Вес нетто]]</f>
        <v>0.105</v>
      </c>
      <c r="V1095" s="234" t="n">
        <f aca="false">MONTH(Таблица18[[#This Row],[Дата акта]])</f>
        <v>6</v>
      </c>
      <c r="W1095" s="234" t="n">
        <v>14</v>
      </c>
      <c r="X1095" s="248" t="n">
        <f aca="false">DATE(1900,Таблица18[[#This Row],[Месяц]],Таблица18[[#This Row],[Число]])</f>
        <v>166</v>
      </c>
      <c r="Y1095" s="234"/>
      <c r="AF1095" s="411"/>
      <c r="AG1095" s="412"/>
    </row>
    <row r="1096" s="410" customFormat="true" ht="15" hidden="true" customHeight="true" outlineLevel="0" collapsed="false">
      <c r="A1096" s="198" t="s">
        <v>2718</v>
      </c>
      <c r="B1096" s="199" t="s">
        <v>417</v>
      </c>
      <c r="C1096" s="198" t="n">
        <v>443</v>
      </c>
      <c r="D1096" s="198" t="s">
        <v>906</v>
      </c>
      <c r="E1096" s="198" t="s">
        <v>908</v>
      </c>
      <c r="F1096" s="198" t="s">
        <v>374</v>
      </c>
      <c r="G1096" s="198" t="s">
        <v>375</v>
      </c>
      <c r="H1096" s="198" t="n">
        <v>16</v>
      </c>
      <c r="I1096" s="199" t="n">
        <v>16</v>
      </c>
      <c r="J1096" s="198" t="s">
        <v>904</v>
      </c>
      <c r="K1096" s="198" t="s">
        <v>1435</v>
      </c>
      <c r="L1096" s="234" t="n">
        <v>9100</v>
      </c>
      <c r="M1096" s="234" t="n">
        <v>4590</v>
      </c>
      <c r="N1096" s="234" t="n">
        <v>18.5</v>
      </c>
      <c r="O1096" s="407" t="n">
        <v>4510</v>
      </c>
      <c r="P1096" s="407" t="n">
        <v>3675.6</v>
      </c>
      <c r="Q1096" s="234" t="n">
        <v>2025</v>
      </c>
      <c r="R1096" s="234"/>
      <c r="S1096" s="248" t="n">
        <v>45822</v>
      </c>
      <c r="T1096" s="407" t="n">
        <f aca="false">Таблица18[[#This Row],[Вес нетто]]-Таблица18[[#This Row],[Зачетный вес]]</f>
        <v>834.4</v>
      </c>
      <c r="U1096" s="409" t="n">
        <f aca="false">Таблица18[[#This Row],[Отход]]/Таблица18[[#This Row],[Вес нетто]]</f>
        <v>0.185011086474501</v>
      </c>
      <c r="V1096" s="234" t="n">
        <f aca="false">MONTH(Таблица18[[#This Row],[Дата акта]])</f>
        <v>6</v>
      </c>
      <c r="W1096" s="234" t="n">
        <v>14</v>
      </c>
      <c r="X1096" s="248" t="n">
        <f aca="false">DATE(1900,Таблица18[[#This Row],[Месяц]],Таблица18[[#This Row],[Число]])</f>
        <v>166</v>
      </c>
      <c r="Y1096" s="234"/>
      <c r="AF1096" s="411"/>
      <c r="AG1096" s="412"/>
    </row>
    <row r="1097" s="410" customFormat="true" ht="15" hidden="true" customHeight="true" outlineLevel="0" collapsed="false">
      <c r="A1097" s="198" t="s">
        <v>2719</v>
      </c>
      <c r="B1097" s="199" t="s">
        <v>746</v>
      </c>
      <c r="C1097" s="198" t="n">
        <v>444</v>
      </c>
      <c r="D1097" s="198" t="s">
        <v>906</v>
      </c>
      <c r="E1097" s="198" t="s">
        <v>899</v>
      </c>
      <c r="F1097" s="198" t="s">
        <v>359</v>
      </c>
      <c r="G1097" s="198" t="s">
        <v>426</v>
      </c>
      <c r="H1097" s="198" t="n">
        <v>44</v>
      </c>
      <c r="I1097" s="199" t="n">
        <v>44</v>
      </c>
      <c r="J1097" s="198" t="s">
        <v>909</v>
      </c>
      <c r="K1097" s="198" t="s">
        <v>1435</v>
      </c>
      <c r="L1097" s="234" t="n">
        <v>27130</v>
      </c>
      <c r="M1097" s="234" t="n">
        <v>13770</v>
      </c>
      <c r="N1097" s="234" t="n">
        <v>12</v>
      </c>
      <c r="O1097" s="407" t="n">
        <v>13360</v>
      </c>
      <c r="P1097" s="407" t="n">
        <v>11756.8</v>
      </c>
      <c r="Q1097" s="234" t="n">
        <v>2025</v>
      </c>
      <c r="R1097" s="234"/>
      <c r="S1097" s="248" t="n">
        <v>45822</v>
      </c>
      <c r="T1097" s="407" t="n">
        <f aca="false">Таблица18[[#This Row],[Вес нетто]]-Таблица18[[#This Row],[Зачетный вес]]</f>
        <v>1603.2</v>
      </c>
      <c r="U1097" s="409" t="n">
        <f aca="false">Таблица18[[#This Row],[Отход]]/Таблица18[[#This Row],[Вес нетто]]</f>
        <v>0.12</v>
      </c>
      <c r="V1097" s="234" t="n">
        <f aca="false">MONTH(Таблица18[[#This Row],[Дата акта]])</f>
        <v>6</v>
      </c>
      <c r="W1097" s="234" t="n">
        <v>14</v>
      </c>
      <c r="X1097" s="248" t="n">
        <f aca="false">DATE(1900,Таблица18[[#This Row],[Месяц]],Таблица18[[#This Row],[Число]])</f>
        <v>166</v>
      </c>
      <c r="Y1097" s="234"/>
      <c r="AF1097" s="411"/>
      <c r="AG1097" s="412"/>
    </row>
    <row r="1098" s="410" customFormat="true" ht="15" hidden="true" customHeight="true" outlineLevel="0" collapsed="false">
      <c r="A1098" s="198" t="s">
        <v>2720</v>
      </c>
      <c r="B1098" s="199" t="s">
        <v>746</v>
      </c>
      <c r="C1098" s="198" t="n">
        <v>445</v>
      </c>
      <c r="D1098" s="198" t="s">
        <v>906</v>
      </c>
      <c r="E1098" s="198" t="s">
        <v>899</v>
      </c>
      <c r="F1098" s="198" t="s">
        <v>457</v>
      </c>
      <c r="G1098" s="198" t="s">
        <v>366</v>
      </c>
      <c r="H1098" s="198" t="n">
        <v>43</v>
      </c>
      <c r="I1098" s="199" t="n">
        <v>43</v>
      </c>
      <c r="J1098" s="198" t="s">
        <v>909</v>
      </c>
      <c r="K1098" s="198" t="s">
        <v>1435</v>
      </c>
      <c r="L1098" s="234" t="n">
        <v>28050</v>
      </c>
      <c r="M1098" s="234" t="n">
        <v>14730</v>
      </c>
      <c r="N1098" s="234" t="n">
        <v>11</v>
      </c>
      <c r="O1098" s="407" t="n">
        <v>13320</v>
      </c>
      <c r="P1098" s="407" t="n">
        <v>11854.8</v>
      </c>
      <c r="Q1098" s="234" t="n">
        <v>2025</v>
      </c>
      <c r="R1098" s="234"/>
      <c r="S1098" s="248" t="n">
        <v>45822</v>
      </c>
      <c r="T1098" s="407" t="n">
        <f aca="false">Таблица18[[#This Row],[Вес нетто]]-Таблица18[[#This Row],[Зачетный вес]]</f>
        <v>1465.2</v>
      </c>
      <c r="U1098" s="409" t="n">
        <f aca="false">Таблица18[[#This Row],[Отход]]/Таблица18[[#This Row],[Вес нетто]]</f>
        <v>0.11</v>
      </c>
      <c r="V1098" s="234" t="n">
        <f aca="false">MONTH(Таблица18[[#This Row],[Дата акта]])</f>
        <v>6</v>
      </c>
      <c r="W1098" s="234" t="n">
        <v>14</v>
      </c>
      <c r="X1098" s="248" t="n">
        <f aca="false">DATE(1900,Таблица18[[#This Row],[Месяц]],Таблица18[[#This Row],[Число]])</f>
        <v>166</v>
      </c>
      <c r="Y1098" s="234"/>
      <c r="AF1098" s="411"/>
      <c r="AG1098" s="412"/>
    </row>
    <row r="1099" s="410" customFormat="true" ht="15" hidden="true" customHeight="true" outlineLevel="0" collapsed="false">
      <c r="A1099" s="198" t="s">
        <v>2721</v>
      </c>
      <c r="B1099" s="199" t="s">
        <v>746</v>
      </c>
      <c r="C1099" s="198" t="n">
        <v>447</v>
      </c>
      <c r="D1099" s="198" t="s">
        <v>906</v>
      </c>
      <c r="E1099" s="198" t="s">
        <v>899</v>
      </c>
      <c r="F1099" s="198" t="s">
        <v>547</v>
      </c>
      <c r="G1099" s="198" t="s">
        <v>551</v>
      </c>
      <c r="H1099" s="198" t="n">
        <v>43</v>
      </c>
      <c r="I1099" s="199" t="n">
        <v>43</v>
      </c>
      <c r="J1099" s="198" t="s">
        <v>909</v>
      </c>
      <c r="K1099" s="198" t="s">
        <v>1435</v>
      </c>
      <c r="L1099" s="234" t="n">
        <v>27780</v>
      </c>
      <c r="M1099" s="234" t="n">
        <v>14570</v>
      </c>
      <c r="N1099" s="234" t="n">
        <v>9</v>
      </c>
      <c r="O1099" s="407" t="n">
        <v>13210</v>
      </c>
      <c r="P1099" s="407" t="n">
        <v>12021.1</v>
      </c>
      <c r="Q1099" s="234" t="n">
        <v>2025</v>
      </c>
      <c r="R1099" s="234"/>
      <c r="S1099" s="248" t="n">
        <v>45822</v>
      </c>
      <c r="T1099" s="407" t="n">
        <f aca="false">Таблица18[[#This Row],[Вес нетто]]-Таблица18[[#This Row],[Зачетный вес]]</f>
        <v>1188.9</v>
      </c>
      <c r="U1099" s="409" t="n">
        <f aca="false">Таблица18[[#This Row],[Отход]]/Таблица18[[#This Row],[Вес нетто]]</f>
        <v>0.09</v>
      </c>
      <c r="V1099" s="234" t="n">
        <f aca="false">MONTH(Таблица18[[#This Row],[Дата акта]])</f>
        <v>6</v>
      </c>
      <c r="W1099" s="234" t="n">
        <v>14</v>
      </c>
      <c r="X1099" s="248" t="n">
        <f aca="false">DATE(1900,Таблица18[[#This Row],[Месяц]],Таблица18[[#This Row],[Число]])</f>
        <v>166</v>
      </c>
      <c r="Y1099" s="234"/>
      <c r="AF1099" s="411"/>
      <c r="AG1099" s="412"/>
    </row>
    <row r="1100" s="410" customFormat="true" ht="15" hidden="true" customHeight="true" outlineLevel="0" collapsed="false">
      <c r="A1100" s="198" t="s">
        <v>2722</v>
      </c>
      <c r="B1100" s="199" t="s">
        <v>417</v>
      </c>
      <c r="C1100" s="198" t="n">
        <v>446</v>
      </c>
      <c r="D1100" s="198" t="s">
        <v>906</v>
      </c>
      <c r="E1100" s="198" t="s">
        <v>899</v>
      </c>
      <c r="F1100" s="198" t="s">
        <v>553</v>
      </c>
      <c r="G1100" s="198" t="s">
        <v>557</v>
      </c>
      <c r="H1100" s="198" t="n">
        <v>43</v>
      </c>
      <c r="I1100" s="199" t="n">
        <v>43</v>
      </c>
      <c r="J1100" s="198" t="s">
        <v>909</v>
      </c>
      <c r="K1100" s="198" t="s">
        <v>1435</v>
      </c>
      <c r="L1100" s="234" t="n">
        <v>27970</v>
      </c>
      <c r="M1100" s="234" t="n">
        <v>14760</v>
      </c>
      <c r="N1100" s="234" t="n">
        <v>11.5</v>
      </c>
      <c r="O1100" s="407" t="n">
        <v>13210</v>
      </c>
      <c r="P1100" s="407" t="n">
        <v>11690.8</v>
      </c>
      <c r="Q1100" s="234" t="n">
        <v>2025</v>
      </c>
      <c r="R1100" s="234"/>
      <c r="S1100" s="248" t="n">
        <v>45822</v>
      </c>
      <c r="T1100" s="407" t="n">
        <f aca="false">Таблица18[[#This Row],[Вес нетто]]-Таблица18[[#This Row],[Зачетный вес]]</f>
        <v>1519.2</v>
      </c>
      <c r="U1100" s="409" t="n">
        <f aca="false">Таблица18[[#This Row],[Отход]]/Таблица18[[#This Row],[Вес нетто]]</f>
        <v>0.115003785011355</v>
      </c>
      <c r="V1100" s="234" t="n">
        <f aca="false">MONTH(Таблица18[[#This Row],[Дата акта]])</f>
        <v>6</v>
      </c>
      <c r="W1100" s="234" t="n">
        <v>14</v>
      </c>
      <c r="X1100" s="248" t="n">
        <f aca="false">DATE(1900,Таблица18[[#This Row],[Месяц]],Таблица18[[#This Row],[Число]])</f>
        <v>166</v>
      </c>
      <c r="Y1100" s="234"/>
      <c r="AF1100" s="411"/>
      <c r="AG1100" s="412"/>
    </row>
    <row r="1101" s="410" customFormat="true" ht="15" hidden="true" customHeight="true" outlineLevel="0" collapsed="false">
      <c r="A1101" s="198" t="s">
        <v>2723</v>
      </c>
      <c r="B1101" s="199" t="s">
        <v>746</v>
      </c>
      <c r="C1101" s="198" t="n">
        <v>448</v>
      </c>
      <c r="D1101" s="198" t="s">
        <v>906</v>
      </c>
      <c r="E1101" s="198" t="s">
        <v>899</v>
      </c>
      <c r="F1101" s="198" t="s">
        <v>363</v>
      </c>
      <c r="G1101" s="198" t="s">
        <v>364</v>
      </c>
      <c r="H1101" s="198" t="n">
        <v>43</v>
      </c>
      <c r="I1101" s="199" t="n">
        <v>43</v>
      </c>
      <c r="J1101" s="198" t="s">
        <v>909</v>
      </c>
      <c r="K1101" s="198" t="s">
        <v>1435</v>
      </c>
      <c r="L1101" s="234" t="n">
        <v>27860</v>
      </c>
      <c r="M1101" s="234" t="n">
        <v>14590</v>
      </c>
      <c r="N1101" s="234" t="n">
        <v>14.5</v>
      </c>
      <c r="O1101" s="407" t="n">
        <v>13270</v>
      </c>
      <c r="P1101" s="407" t="n">
        <v>11345.8</v>
      </c>
      <c r="Q1101" s="234" t="n">
        <v>2025</v>
      </c>
      <c r="R1101" s="234"/>
      <c r="S1101" s="248" t="n">
        <v>45822</v>
      </c>
      <c r="T1101" s="407" t="n">
        <f aca="false">Таблица18[[#This Row],[Вес нетто]]-Таблица18[[#This Row],[Зачетный вес]]</f>
        <v>1924.2</v>
      </c>
      <c r="U1101" s="409" t="n">
        <f aca="false">Таблица18[[#This Row],[Отход]]/Таблица18[[#This Row],[Вес нетто]]</f>
        <v>0.145003767897513</v>
      </c>
      <c r="V1101" s="234" t="n">
        <f aca="false">MONTH(Таблица18[[#This Row],[Дата акта]])</f>
        <v>6</v>
      </c>
      <c r="W1101" s="234" t="n">
        <v>14</v>
      </c>
      <c r="X1101" s="248" t="n">
        <f aca="false">DATE(1900,Таблица18[[#This Row],[Месяц]],Таблица18[[#This Row],[Число]])</f>
        <v>166</v>
      </c>
      <c r="Y1101" s="234"/>
      <c r="AF1101" s="411"/>
      <c r="AG1101" s="412"/>
    </row>
    <row r="1102" s="410" customFormat="true" ht="15" hidden="true" customHeight="true" outlineLevel="0" collapsed="false">
      <c r="A1102" s="198" t="s">
        <v>2724</v>
      </c>
      <c r="B1102" s="199" t="s">
        <v>417</v>
      </c>
      <c r="C1102" s="198" t="n">
        <v>449</v>
      </c>
      <c r="D1102" s="198" t="s">
        <v>906</v>
      </c>
      <c r="E1102" s="198" t="s">
        <v>899</v>
      </c>
      <c r="F1102" s="198" t="s">
        <v>361</v>
      </c>
      <c r="G1102" s="198" t="s">
        <v>362</v>
      </c>
      <c r="H1102" s="198" t="n">
        <v>43</v>
      </c>
      <c r="I1102" s="199" t="n">
        <v>43</v>
      </c>
      <c r="J1102" s="198" t="s">
        <v>909</v>
      </c>
      <c r="K1102" s="198" t="s">
        <v>1435</v>
      </c>
      <c r="L1102" s="234" t="n">
        <v>28040</v>
      </c>
      <c r="M1102" s="234" t="n">
        <v>14690</v>
      </c>
      <c r="N1102" s="234" t="n">
        <v>19.5</v>
      </c>
      <c r="O1102" s="407" t="n">
        <v>13350</v>
      </c>
      <c r="P1102" s="407" t="n">
        <v>10746.7</v>
      </c>
      <c r="Q1102" s="234" t="n">
        <v>2025</v>
      </c>
      <c r="R1102" s="234"/>
      <c r="S1102" s="248" t="n">
        <v>45822</v>
      </c>
      <c r="T1102" s="407" t="n">
        <f aca="false">Таблица18[[#This Row],[Вес нетто]]-Таблица18[[#This Row],[Зачетный вес]]</f>
        <v>2603.3</v>
      </c>
      <c r="U1102" s="409" t="n">
        <f aca="false">Таблица18[[#This Row],[Отход]]/Таблица18[[#This Row],[Вес нетто]]</f>
        <v>0.195003745318352</v>
      </c>
      <c r="V1102" s="234" t="n">
        <f aca="false">MONTH(Таблица18[[#This Row],[Дата акта]])</f>
        <v>6</v>
      </c>
      <c r="W1102" s="234" t="n">
        <v>14</v>
      </c>
      <c r="X1102" s="248" t="n">
        <f aca="false">DATE(1900,Таблица18[[#This Row],[Месяц]],Таблица18[[#This Row],[Число]])</f>
        <v>166</v>
      </c>
      <c r="Y1102" s="234"/>
      <c r="AF1102" s="411"/>
      <c r="AG1102" s="412"/>
    </row>
    <row r="1103" s="410" customFormat="true" ht="15" hidden="true" customHeight="true" outlineLevel="0" collapsed="false">
      <c r="A1103" s="198" t="s">
        <v>2725</v>
      </c>
      <c r="B1103" s="199" t="s">
        <v>746</v>
      </c>
      <c r="C1103" s="198" t="n">
        <v>450</v>
      </c>
      <c r="D1103" s="198" t="s">
        <v>906</v>
      </c>
      <c r="E1103" s="198" t="s">
        <v>899</v>
      </c>
      <c r="F1103" s="198" t="s">
        <v>451</v>
      </c>
      <c r="G1103" s="198" t="s">
        <v>455</v>
      </c>
      <c r="H1103" s="198" t="n">
        <v>43</v>
      </c>
      <c r="I1103" s="199" t="n">
        <v>43</v>
      </c>
      <c r="J1103" s="198" t="s">
        <v>909</v>
      </c>
      <c r="K1103" s="198" t="s">
        <v>1435</v>
      </c>
      <c r="L1103" s="234" t="n">
        <v>28180</v>
      </c>
      <c r="M1103" s="234" t="n">
        <v>14860</v>
      </c>
      <c r="N1103" s="234" t="n">
        <v>11</v>
      </c>
      <c r="O1103" s="407" t="n">
        <v>13320</v>
      </c>
      <c r="P1103" s="407" t="n">
        <v>11854.8</v>
      </c>
      <c r="Q1103" s="234" t="n">
        <v>2025</v>
      </c>
      <c r="R1103" s="234"/>
      <c r="S1103" s="248" t="n">
        <v>45822</v>
      </c>
      <c r="T1103" s="407" t="n">
        <f aca="false">Таблица18[[#This Row],[Вес нетто]]-Таблица18[[#This Row],[Зачетный вес]]</f>
        <v>1465.2</v>
      </c>
      <c r="U1103" s="409" t="n">
        <f aca="false">Таблица18[[#This Row],[Отход]]/Таблица18[[#This Row],[Вес нетто]]</f>
        <v>0.11</v>
      </c>
      <c r="V1103" s="234" t="n">
        <f aca="false">MONTH(Таблица18[[#This Row],[Дата акта]])</f>
        <v>6</v>
      </c>
      <c r="W1103" s="234" t="n">
        <v>14</v>
      </c>
      <c r="X1103" s="248" t="n">
        <f aca="false">DATE(1900,Таблица18[[#This Row],[Месяц]],Таблица18[[#This Row],[Число]])</f>
        <v>166</v>
      </c>
      <c r="Y1103" s="234"/>
      <c r="AF1103" s="411"/>
      <c r="AG1103" s="412"/>
    </row>
    <row r="1104" s="410" customFormat="true" ht="15" hidden="true" customHeight="true" outlineLevel="0" collapsed="false">
      <c r="A1104" s="198" t="s">
        <v>2726</v>
      </c>
      <c r="B1104" s="199" t="s">
        <v>417</v>
      </c>
      <c r="C1104" s="198" t="n">
        <v>451</v>
      </c>
      <c r="D1104" s="198" t="s">
        <v>906</v>
      </c>
      <c r="E1104" s="198" t="s">
        <v>899</v>
      </c>
      <c r="F1104" s="198" t="s">
        <v>445</v>
      </c>
      <c r="G1104" s="198" t="s">
        <v>449</v>
      </c>
      <c r="H1104" s="198" t="n">
        <v>44</v>
      </c>
      <c r="I1104" s="199" t="n">
        <v>44</v>
      </c>
      <c r="J1104" s="198" t="s">
        <v>909</v>
      </c>
      <c r="K1104" s="198" t="s">
        <v>1435</v>
      </c>
      <c r="L1104" s="234" t="n">
        <v>29070</v>
      </c>
      <c r="M1104" s="234" t="n">
        <v>15520</v>
      </c>
      <c r="N1104" s="234" t="n">
        <v>10</v>
      </c>
      <c r="O1104" s="407" t="n">
        <v>13550</v>
      </c>
      <c r="P1104" s="407" t="n">
        <v>12195</v>
      </c>
      <c r="Q1104" s="234" t="n">
        <v>2025</v>
      </c>
      <c r="R1104" s="234"/>
      <c r="S1104" s="248" t="n">
        <v>45822</v>
      </c>
      <c r="T1104" s="407" t="n">
        <f aca="false">Таблица18[[#This Row],[Вес нетто]]-Таблица18[[#This Row],[Зачетный вес]]</f>
        <v>1355</v>
      </c>
      <c r="U1104" s="409" t="n">
        <f aca="false">Таблица18[[#This Row],[Отход]]/Таблица18[[#This Row],[Вес нетто]]</f>
        <v>0.1</v>
      </c>
      <c r="V1104" s="234" t="n">
        <f aca="false">MONTH(Таблица18[[#This Row],[Дата акта]])</f>
        <v>6</v>
      </c>
      <c r="W1104" s="234" t="n">
        <v>14</v>
      </c>
      <c r="X1104" s="248" t="n">
        <f aca="false">DATE(1900,Таблица18[[#This Row],[Месяц]],Таблица18[[#This Row],[Число]])</f>
        <v>166</v>
      </c>
      <c r="Y1104" s="234"/>
      <c r="AF1104" s="411"/>
      <c r="AG1104" s="412"/>
    </row>
    <row r="1105" s="410" customFormat="true" ht="15" hidden="true" customHeight="true" outlineLevel="0" collapsed="false">
      <c r="A1105" s="198" t="s">
        <v>2727</v>
      </c>
      <c r="B1105" s="199" t="s">
        <v>746</v>
      </c>
      <c r="C1105" s="198" t="n">
        <v>452</v>
      </c>
      <c r="D1105" s="198" t="s">
        <v>906</v>
      </c>
      <c r="E1105" s="198" t="s">
        <v>899</v>
      </c>
      <c r="F1105" s="198" t="s">
        <v>395</v>
      </c>
      <c r="G1105" s="198" t="s">
        <v>566</v>
      </c>
      <c r="H1105" s="198" t="n">
        <v>43</v>
      </c>
      <c r="I1105" s="199" t="n">
        <v>43</v>
      </c>
      <c r="J1105" s="198" t="s">
        <v>909</v>
      </c>
      <c r="K1105" s="198" t="s">
        <v>1435</v>
      </c>
      <c r="L1105" s="234" t="n">
        <v>27420</v>
      </c>
      <c r="M1105" s="234" t="n">
        <v>14420</v>
      </c>
      <c r="N1105" s="234" t="n">
        <v>14</v>
      </c>
      <c r="O1105" s="407" t="n">
        <v>13000</v>
      </c>
      <c r="P1105" s="407" t="n">
        <v>11180</v>
      </c>
      <c r="Q1105" s="234" t="n">
        <v>2025</v>
      </c>
      <c r="R1105" s="234"/>
      <c r="S1105" s="248" t="n">
        <v>45822</v>
      </c>
      <c r="T1105" s="407" t="n">
        <f aca="false">Таблица18[[#This Row],[Вес нетто]]-Таблица18[[#This Row],[Зачетный вес]]</f>
        <v>1820</v>
      </c>
      <c r="U1105" s="409" t="n">
        <f aca="false">Таблица18[[#This Row],[Отход]]/Таблица18[[#This Row],[Вес нетто]]</f>
        <v>0.14</v>
      </c>
      <c r="V1105" s="234" t="n">
        <f aca="false">MONTH(Таблица18[[#This Row],[Дата акта]])</f>
        <v>6</v>
      </c>
      <c r="W1105" s="234" t="n">
        <v>14</v>
      </c>
      <c r="X1105" s="248" t="n">
        <f aca="false">DATE(1900,Таблица18[[#This Row],[Месяц]],Таблица18[[#This Row],[Число]])</f>
        <v>166</v>
      </c>
      <c r="Y1105" s="234"/>
      <c r="AF1105" s="411"/>
      <c r="AG1105" s="412"/>
    </row>
    <row r="1106" s="410" customFormat="true" ht="15" hidden="true" customHeight="true" outlineLevel="0" collapsed="false">
      <c r="A1106" s="198" t="s">
        <v>2728</v>
      </c>
      <c r="B1106" s="199" t="s">
        <v>746</v>
      </c>
      <c r="C1106" s="198" t="n">
        <v>453</v>
      </c>
      <c r="D1106" s="198" t="s">
        <v>906</v>
      </c>
      <c r="E1106" s="198" t="s">
        <v>899</v>
      </c>
      <c r="F1106" s="198" t="s">
        <v>48</v>
      </c>
      <c r="G1106" s="198" t="s">
        <v>49</v>
      </c>
      <c r="H1106" s="198" t="n">
        <v>44</v>
      </c>
      <c r="I1106" s="199" t="n">
        <v>44</v>
      </c>
      <c r="J1106" s="198" t="s">
        <v>909</v>
      </c>
      <c r="K1106" s="198" t="s">
        <v>1435</v>
      </c>
      <c r="L1106" s="234" t="n">
        <v>28390</v>
      </c>
      <c r="M1106" s="234" t="n">
        <v>14890</v>
      </c>
      <c r="N1106" s="234" t="n">
        <v>10</v>
      </c>
      <c r="O1106" s="407" t="n">
        <v>13500</v>
      </c>
      <c r="P1106" s="407" t="n">
        <v>12150</v>
      </c>
      <c r="Q1106" s="234" t="n">
        <v>2025</v>
      </c>
      <c r="R1106" s="234"/>
      <c r="S1106" s="248" t="n">
        <v>45822</v>
      </c>
      <c r="T1106" s="407" t="n">
        <f aca="false">Таблица18[[#This Row],[Вес нетто]]-Таблица18[[#This Row],[Зачетный вес]]</f>
        <v>1350</v>
      </c>
      <c r="U1106" s="409" t="n">
        <f aca="false">Таблица18[[#This Row],[Отход]]/Таблица18[[#This Row],[Вес нетто]]</f>
        <v>0.1</v>
      </c>
      <c r="V1106" s="234" t="n">
        <f aca="false">MONTH(Таблица18[[#This Row],[Дата акта]])</f>
        <v>6</v>
      </c>
      <c r="W1106" s="234" t="n">
        <v>14</v>
      </c>
      <c r="X1106" s="248" t="n">
        <f aca="false">DATE(1900,Таблица18[[#This Row],[Месяц]],Таблица18[[#This Row],[Число]])</f>
        <v>166</v>
      </c>
      <c r="Y1106" s="234"/>
      <c r="AF1106" s="411"/>
      <c r="AG1106" s="412"/>
    </row>
    <row r="1107" s="410" customFormat="true" ht="15" hidden="true" customHeight="true" outlineLevel="0" collapsed="false">
      <c r="A1107" s="198" t="s">
        <v>2729</v>
      </c>
      <c r="B1107" s="199" t="s">
        <v>746</v>
      </c>
      <c r="C1107" s="198" t="n">
        <v>454</v>
      </c>
      <c r="D1107" s="198" t="s">
        <v>906</v>
      </c>
      <c r="E1107" s="198" t="s">
        <v>899</v>
      </c>
      <c r="F1107" s="198" t="s">
        <v>55</v>
      </c>
      <c r="G1107" s="198" t="s">
        <v>56</v>
      </c>
      <c r="H1107" s="198" t="n">
        <v>43</v>
      </c>
      <c r="I1107" s="199" t="n">
        <v>43</v>
      </c>
      <c r="J1107" s="198" t="s">
        <v>909</v>
      </c>
      <c r="K1107" s="198" t="s">
        <v>1435</v>
      </c>
      <c r="L1107" s="234" t="n">
        <v>27550</v>
      </c>
      <c r="M1107" s="234" t="n">
        <v>14700</v>
      </c>
      <c r="N1107" s="234" t="n">
        <v>9</v>
      </c>
      <c r="O1107" s="407" t="n">
        <v>12850</v>
      </c>
      <c r="P1107" s="407" t="n">
        <v>11693.5</v>
      </c>
      <c r="Q1107" s="234" t="n">
        <v>2025</v>
      </c>
      <c r="R1107" s="234"/>
      <c r="S1107" s="248" t="n">
        <v>45822</v>
      </c>
      <c r="T1107" s="407" t="n">
        <f aca="false">Таблица18[[#This Row],[Вес нетто]]-Таблица18[[#This Row],[Зачетный вес]]</f>
        <v>1156.5</v>
      </c>
      <c r="U1107" s="409" t="n">
        <f aca="false">Таблица18[[#This Row],[Отход]]/Таблица18[[#This Row],[Вес нетто]]</f>
        <v>0.09</v>
      </c>
      <c r="V1107" s="234" t="n">
        <f aca="false">MONTH(Таблица18[[#This Row],[Дата акта]])</f>
        <v>6</v>
      </c>
      <c r="W1107" s="234" t="n">
        <v>14</v>
      </c>
      <c r="X1107" s="248" t="n">
        <f aca="false">DATE(1900,Таблица18[[#This Row],[Месяц]],Таблица18[[#This Row],[Число]])</f>
        <v>166</v>
      </c>
      <c r="Y1107" s="234"/>
      <c r="AF1107" s="411"/>
      <c r="AG1107" s="412"/>
    </row>
    <row r="1108" s="410" customFormat="true" ht="15" hidden="true" customHeight="true" outlineLevel="0" collapsed="false">
      <c r="A1108" s="198" t="s">
        <v>2730</v>
      </c>
      <c r="B1108" s="199" t="s">
        <v>746</v>
      </c>
      <c r="C1108" s="198" t="n">
        <v>455</v>
      </c>
      <c r="D1108" s="198" t="s">
        <v>906</v>
      </c>
      <c r="E1108" s="198" t="s">
        <v>899</v>
      </c>
      <c r="F1108" s="198" t="s">
        <v>365</v>
      </c>
      <c r="G1108" s="198" t="s">
        <v>373</v>
      </c>
      <c r="H1108" s="198" t="n">
        <v>44</v>
      </c>
      <c r="I1108" s="199" t="n">
        <v>44</v>
      </c>
      <c r="J1108" s="198" t="s">
        <v>909</v>
      </c>
      <c r="K1108" s="198" t="s">
        <v>1435</v>
      </c>
      <c r="L1108" s="234" t="n">
        <v>32500</v>
      </c>
      <c r="M1108" s="234" t="n">
        <v>18650</v>
      </c>
      <c r="N1108" s="234" t="n">
        <v>10.5</v>
      </c>
      <c r="O1108" s="407" t="n">
        <v>13850</v>
      </c>
      <c r="P1108" s="407" t="n">
        <v>12395.7</v>
      </c>
      <c r="Q1108" s="234" t="n">
        <v>2025</v>
      </c>
      <c r="R1108" s="234"/>
      <c r="S1108" s="248" t="n">
        <v>45822</v>
      </c>
      <c r="T1108" s="407" t="n">
        <f aca="false">Таблица18[[#This Row],[Вес нетто]]-Таблица18[[#This Row],[Зачетный вес]]</f>
        <v>1454.3</v>
      </c>
      <c r="U1108" s="409" t="n">
        <f aca="false">Таблица18[[#This Row],[Отход]]/Таблица18[[#This Row],[Вес нетто]]</f>
        <v>0.105003610108303</v>
      </c>
      <c r="V1108" s="234" t="n">
        <f aca="false">MONTH(Таблица18[[#This Row],[Дата акта]])</f>
        <v>6</v>
      </c>
      <c r="W1108" s="234" t="n">
        <v>14</v>
      </c>
      <c r="X1108" s="248" t="n">
        <f aca="false">DATE(1900,Таблица18[[#This Row],[Месяц]],Таблица18[[#This Row],[Число]])</f>
        <v>166</v>
      </c>
      <c r="Y1108" s="234"/>
      <c r="AF1108" s="411"/>
      <c r="AG1108" s="412"/>
    </row>
    <row r="1109" s="410" customFormat="true" ht="15" hidden="true" customHeight="true" outlineLevel="0" collapsed="false">
      <c r="A1109" s="198" t="s">
        <v>2731</v>
      </c>
      <c r="B1109" s="199" t="s">
        <v>746</v>
      </c>
      <c r="C1109" s="198" t="n">
        <v>457</v>
      </c>
      <c r="D1109" s="198" t="s">
        <v>906</v>
      </c>
      <c r="E1109" s="198" t="s">
        <v>899</v>
      </c>
      <c r="F1109" s="198" t="s">
        <v>371</v>
      </c>
      <c r="G1109" s="198" t="s">
        <v>372</v>
      </c>
      <c r="H1109" s="198" t="n">
        <v>44</v>
      </c>
      <c r="I1109" s="199" t="n">
        <v>44</v>
      </c>
      <c r="J1109" s="198" t="s">
        <v>909</v>
      </c>
      <c r="K1109" s="198" t="s">
        <v>1435</v>
      </c>
      <c r="L1109" s="234" t="n">
        <v>28590</v>
      </c>
      <c r="M1109" s="234" t="n">
        <v>14990</v>
      </c>
      <c r="N1109" s="234" t="n">
        <v>12.5</v>
      </c>
      <c r="O1109" s="407" t="n">
        <v>13600</v>
      </c>
      <c r="P1109" s="407" t="n">
        <v>11900</v>
      </c>
      <c r="Q1109" s="234" t="n">
        <v>2025</v>
      </c>
      <c r="R1109" s="234"/>
      <c r="S1109" s="248" t="n">
        <v>45823</v>
      </c>
      <c r="T1109" s="407" t="n">
        <f aca="false">Таблица18[[#This Row],[Вес нетто]]-Таблица18[[#This Row],[Зачетный вес]]</f>
        <v>1700</v>
      </c>
      <c r="U1109" s="409" t="n">
        <f aca="false">Таблица18[[#This Row],[Отход]]/Таблица18[[#This Row],[Вес нетто]]</f>
        <v>0.125</v>
      </c>
      <c r="V1109" s="234" t="n">
        <f aca="false">MONTH(Таблица18[[#This Row],[Дата акта]])</f>
        <v>6</v>
      </c>
      <c r="W1109" s="234" t="n">
        <v>15</v>
      </c>
      <c r="X1109" s="248" t="n">
        <f aca="false">DATE(1900,Таблица18[[#This Row],[Месяц]],Таблица18[[#This Row],[Число]])</f>
        <v>167</v>
      </c>
      <c r="Y1109" s="234"/>
      <c r="AF1109" s="411"/>
      <c r="AG1109" s="412"/>
    </row>
    <row r="1110" s="410" customFormat="true" ht="15" hidden="true" customHeight="true" outlineLevel="0" collapsed="false">
      <c r="A1110" s="198" t="s">
        <v>2732</v>
      </c>
      <c r="B1110" s="199" t="s">
        <v>746</v>
      </c>
      <c r="C1110" s="198" t="n">
        <v>456</v>
      </c>
      <c r="D1110" s="198" t="s">
        <v>906</v>
      </c>
      <c r="E1110" s="198" t="s">
        <v>899</v>
      </c>
      <c r="F1110" s="198" t="s">
        <v>57</v>
      </c>
      <c r="G1110" s="198" t="s">
        <v>58</v>
      </c>
      <c r="H1110" s="198" t="n">
        <v>43</v>
      </c>
      <c r="I1110" s="199" t="n">
        <v>43</v>
      </c>
      <c r="J1110" s="198" t="s">
        <v>909</v>
      </c>
      <c r="K1110" s="198" t="s">
        <v>1435</v>
      </c>
      <c r="L1110" s="234" t="n">
        <v>28720</v>
      </c>
      <c r="M1110" s="234" t="n">
        <v>15620</v>
      </c>
      <c r="N1110" s="234" t="n">
        <v>13.5</v>
      </c>
      <c r="O1110" s="407" t="n">
        <v>13100</v>
      </c>
      <c r="P1110" s="407" t="n">
        <v>11331.5</v>
      </c>
      <c r="Q1110" s="234" t="n">
        <v>2025</v>
      </c>
      <c r="R1110" s="234"/>
      <c r="S1110" s="248" t="n">
        <v>45822</v>
      </c>
      <c r="T1110" s="407" t="n">
        <f aca="false">Таблица18[[#This Row],[Вес нетто]]-Таблица18[[#This Row],[Зачетный вес]]</f>
        <v>1768.5</v>
      </c>
      <c r="U1110" s="409" t="n">
        <f aca="false">Таблица18[[#This Row],[Отход]]/Таблица18[[#This Row],[Вес нетто]]</f>
        <v>0.135</v>
      </c>
      <c r="V1110" s="234" t="n">
        <f aca="false">MONTH(Таблица18[[#This Row],[Дата акта]])</f>
        <v>6</v>
      </c>
      <c r="W1110" s="234" t="n">
        <v>14</v>
      </c>
      <c r="X1110" s="248" t="n">
        <f aca="false">DATE(1900,Таблица18[[#This Row],[Месяц]],Таблица18[[#This Row],[Число]])</f>
        <v>166</v>
      </c>
      <c r="Y1110" s="234"/>
      <c r="AF1110" s="411"/>
      <c r="AG1110" s="412"/>
    </row>
    <row r="1111" s="410" customFormat="true" ht="15" hidden="true" customHeight="true" outlineLevel="0" collapsed="false">
      <c r="A1111" s="198" t="s">
        <v>2733</v>
      </c>
      <c r="B1111" s="199" t="s">
        <v>746</v>
      </c>
      <c r="C1111" s="198" t="n">
        <v>458</v>
      </c>
      <c r="D1111" s="198" t="s">
        <v>906</v>
      </c>
      <c r="E1111" s="198" t="s">
        <v>899</v>
      </c>
      <c r="F1111" s="198" t="s">
        <v>511</v>
      </c>
      <c r="G1111" s="198" t="s">
        <v>515</v>
      </c>
      <c r="H1111" s="198" t="n">
        <v>43</v>
      </c>
      <c r="I1111" s="199" t="n">
        <v>43</v>
      </c>
      <c r="J1111" s="198" t="s">
        <v>909</v>
      </c>
      <c r="K1111" s="198" t="s">
        <v>1435</v>
      </c>
      <c r="L1111" s="234" t="n">
        <v>27660</v>
      </c>
      <c r="M1111" s="234" t="n">
        <v>14660</v>
      </c>
      <c r="N1111" s="234" t="n">
        <v>11</v>
      </c>
      <c r="O1111" s="407" t="n">
        <v>13000</v>
      </c>
      <c r="P1111" s="407" t="n">
        <v>11570</v>
      </c>
      <c r="Q1111" s="234" t="n">
        <v>2025</v>
      </c>
      <c r="R1111" s="234"/>
      <c r="S1111" s="248" t="n">
        <v>45823</v>
      </c>
      <c r="T1111" s="407" t="n">
        <f aca="false">Таблица18[[#This Row],[Вес нетто]]-Таблица18[[#This Row],[Зачетный вес]]</f>
        <v>1430</v>
      </c>
      <c r="U1111" s="409" t="n">
        <f aca="false">Таблица18[[#This Row],[Отход]]/Таблица18[[#This Row],[Вес нетто]]</f>
        <v>0.11</v>
      </c>
      <c r="V1111" s="234" t="n">
        <f aca="false">MONTH(Таблица18[[#This Row],[Дата акта]])</f>
        <v>6</v>
      </c>
      <c r="W1111" s="234" t="n">
        <v>15</v>
      </c>
      <c r="X1111" s="248" t="n">
        <f aca="false">DATE(1900,Таблица18[[#This Row],[Месяц]],Таблица18[[#This Row],[Число]])</f>
        <v>167</v>
      </c>
      <c r="Y1111" s="234"/>
      <c r="AF1111" s="411"/>
      <c r="AG1111" s="412"/>
    </row>
    <row r="1112" s="410" customFormat="true" ht="15" hidden="true" customHeight="true" outlineLevel="0" collapsed="false">
      <c r="A1112" s="198" t="s">
        <v>2734</v>
      </c>
      <c r="B1112" s="199" t="s">
        <v>746</v>
      </c>
      <c r="C1112" s="198" t="n">
        <v>459</v>
      </c>
      <c r="D1112" s="198" t="s">
        <v>906</v>
      </c>
      <c r="E1112" s="198" t="s">
        <v>899</v>
      </c>
      <c r="F1112" s="198" t="s">
        <v>439</v>
      </c>
      <c r="G1112" s="198" t="s">
        <v>443</v>
      </c>
      <c r="H1112" s="198" t="n">
        <v>44</v>
      </c>
      <c r="I1112" s="199" t="n">
        <v>44</v>
      </c>
      <c r="J1112" s="198" t="s">
        <v>909</v>
      </c>
      <c r="K1112" s="198" t="s">
        <v>1435</v>
      </c>
      <c r="L1112" s="234" t="n">
        <v>37400</v>
      </c>
      <c r="M1112" s="234" t="n">
        <v>23890</v>
      </c>
      <c r="N1112" s="234" t="n">
        <v>8.5</v>
      </c>
      <c r="O1112" s="407" t="n">
        <v>13510</v>
      </c>
      <c r="P1112" s="407" t="n">
        <v>12361.6</v>
      </c>
      <c r="Q1112" s="234" t="n">
        <v>2025</v>
      </c>
      <c r="R1112" s="234"/>
      <c r="S1112" s="248" t="n">
        <v>45823</v>
      </c>
      <c r="T1112" s="407" t="n">
        <f aca="false">Таблица18[[#This Row],[Вес нетто]]-Таблица18[[#This Row],[Зачетный вес]]</f>
        <v>1148.4</v>
      </c>
      <c r="U1112" s="409" t="n">
        <f aca="false">Таблица18[[#This Row],[Отход]]/Таблица18[[#This Row],[Вес нетто]]</f>
        <v>0.0850037009622502</v>
      </c>
      <c r="V1112" s="234" t="n">
        <f aca="false">MONTH(Таблица18[[#This Row],[Дата акта]])</f>
        <v>6</v>
      </c>
      <c r="W1112" s="234" t="n">
        <v>15</v>
      </c>
      <c r="X1112" s="248" t="n">
        <f aca="false">DATE(1900,Таблица18[[#This Row],[Месяц]],Таблица18[[#This Row],[Число]])</f>
        <v>167</v>
      </c>
      <c r="Y1112" s="234"/>
      <c r="AF1112" s="411"/>
      <c r="AG1112" s="412"/>
    </row>
    <row r="1113" s="410" customFormat="true" ht="15" hidden="true" customHeight="true" outlineLevel="0" collapsed="false">
      <c r="A1113" s="198" t="s">
        <v>2735</v>
      </c>
      <c r="B1113" s="199" t="s">
        <v>746</v>
      </c>
      <c r="C1113" s="198" t="n">
        <v>460</v>
      </c>
      <c r="D1113" s="198" t="s">
        <v>906</v>
      </c>
      <c r="E1113" s="198" t="s">
        <v>899</v>
      </c>
      <c r="F1113" s="198" t="s">
        <v>433</v>
      </c>
      <c r="G1113" s="198" t="s">
        <v>437</v>
      </c>
      <c r="H1113" s="198" t="n">
        <v>43</v>
      </c>
      <c r="I1113" s="199" t="n">
        <v>43</v>
      </c>
      <c r="J1113" s="198" t="s">
        <v>909</v>
      </c>
      <c r="K1113" s="198" t="s">
        <v>1435</v>
      </c>
      <c r="L1113" s="234" t="n">
        <v>28240</v>
      </c>
      <c r="M1113" s="234" t="n">
        <v>14940</v>
      </c>
      <c r="N1113" s="234" t="n">
        <v>9</v>
      </c>
      <c r="O1113" s="407" t="n">
        <v>13300</v>
      </c>
      <c r="P1113" s="407" t="n">
        <v>12103</v>
      </c>
      <c r="Q1113" s="234" t="n">
        <v>2025</v>
      </c>
      <c r="R1113" s="234"/>
      <c r="S1113" s="248" t="n">
        <v>45823</v>
      </c>
      <c r="T1113" s="407" t="n">
        <f aca="false">Таблица18[[#This Row],[Вес нетто]]-Таблица18[[#This Row],[Зачетный вес]]</f>
        <v>1197</v>
      </c>
      <c r="U1113" s="409" t="n">
        <f aca="false">Таблица18[[#This Row],[Отход]]/Таблица18[[#This Row],[Вес нетто]]</f>
        <v>0.09</v>
      </c>
      <c r="V1113" s="234" t="n">
        <f aca="false">MONTH(Таблица18[[#This Row],[Дата акта]])</f>
        <v>6</v>
      </c>
      <c r="W1113" s="234" t="n">
        <v>15</v>
      </c>
      <c r="X1113" s="248" t="n">
        <f aca="false">DATE(1900,Таблица18[[#This Row],[Месяц]],Таблица18[[#This Row],[Число]])</f>
        <v>167</v>
      </c>
      <c r="Y1113" s="234"/>
      <c r="AF1113" s="411"/>
      <c r="AG1113" s="412"/>
    </row>
    <row r="1114" s="410" customFormat="true" ht="15" hidden="true" customHeight="true" outlineLevel="0" collapsed="false">
      <c r="A1114" s="198" t="s">
        <v>2736</v>
      </c>
      <c r="B1114" s="199" t="s">
        <v>746</v>
      </c>
      <c r="C1114" s="198" t="n">
        <v>462</v>
      </c>
      <c r="D1114" s="198" t="n">
        <v>67</v>
      </c>
      <c r="E1114" s="198" t="s">
        <v>899</v>
      </c>
      <c r="F1114" s="198" t="s">
        <v>427</v>
      </c>
      <c r="G1114" s="198" t="s">
        <v>431</v>
      </c>
      <c r="H1114" s="198" t="n">
        <v>44</v>
      </c>
      <c r="I1114" s="199" t="n">
        <v>44</v>
      </c>
      <c r="J1114" s="198" t="s">
        <v>909</v>
      </c>
      <c r="K1114" s="198" t="s">
        <v>1435</v>
      </c>
      <c r="L1114" s="234" t="n">
        <v>34370</v>
      </c>
      <c r="M1114" s="234" t="n">
        <v>20950</v>
      </c>
      <c r="N1114" s="234" t="n">
        <v>13</v>
      </c>
      <c r="O1114" s="407" t="n">
        <v>13420</v>
      </c>
      <c r="P1114" s="407" t="n">
        <v>11675.4</v>
      </c>
      <c r="Q1114" s="234" t="n">
        <v>2025</v>
      </c>
      <c r="R1114" s="234"/>
      <c r="S1114" s="248" t="n">
        <v>45823</v>
      </c>
      <c r="T1114" s="407" t="n">
        <f aca="false">Таблица18[[#This Row],[Вес нетто]]-Таблица18[[#This Row],[Зачетный вес]]</f>
        <v>1744.6</v>
      </c>
      <c r="U1114" s="409" t="n">
        <f aca="false">Таблица18[[#This Row],[Отход]]/Таблица18[[#This Row],[Вес нетто]]</f>
        <v>0.13</v>
      </c>
      <c r="V1114" s="234" t="n">
        <f aca="false">MONTH(Таблица18[[#This Row],[Дата акта]])</f>
        <v>6</v>
      </c>
      <c r="W1114" s="234" t="n">
        <v>15</v>
      </c>
      <c r="X1114" s="248" t="n">
        <f aca="false">DATE(1900,Таблица18[[#This Row],[Месяц]],Таблица18[[#This Row],[Число]])</f>
        <v>167</v>
      </c>
      <c r="Y1114" s="234"/>
      <c r="AF1114" s="411"/>
      <c r="AG1114" s="412"/>
    </row>
    <row r="1115" s="410" customFormat="true" ht="15" hidden="true" customHeight="true" outlineLevel="0" collapsed="false">
      <c r="A1115" s="198" t="s">
        <v>2737</v>
      </c>
      <c r="B1115" s="199" t="s">
        <v>417</v>
      </c>
      <c r="C1115" s="198" t="n">
        <v>464</v>
      </c>
      <c r="D1115" s="198" t="n">
        <v>68</v>
      </c>
      <c r="E1115" s="198" t="s">
        <v>899</v>
      </c>
      <c r="F1115" s="198" t="s">
        <v>457</v>
      </c>
      <c r="G1115" s="198" t="s">
        <v>366</v>
      </c>
      <c r="H1115" s="198" t="n">
        <v>45</v>
      </c>
      <c r="I1115" s="199" t="n">
        <v>45</v>
      </c>
      <c r="J1115" s="198" t="s">
        <v>909</v>
      </c>
      <c r="K1115" s="198" t="s">
        <v>1435</v>
      </c>
      <c r="L1115" s="234" t="n">
        <v>27800</v>
      </c>
      <c r="M1115" s="234" t="n">
        <v>14820</v>
      </c>
      <c r="N1115" s="234" t="n">
        <v>15</v>
      </c>
      <c r="O1115" s="407" t="n">
        <v>12980</v>
      </c>
      <c r="P1115" s="407" t="n">
        <v>11033</v>
      </c>
      <c r="Q1115" s="234" t="n">
        <v>2025</v>
      </c>
      <c r="R1115" s="234"/>
      <c r="S1115" s="248" t="n">
        <v>45823</v>
      </c>
      <c r="T1115" s="407" t="n">
        <f aca="false">Таблица18[[#This Row],[Вес нетто]]-Таблица18[[#This Row],[Зачетный вес]]</f>
        <v>1947</v>
      </c>
      <c r="U1115" s="409" t="n">
        <f aca="false">Таблица18[[#This Row],[Отход]]/Таблица18[[#This Row],[Вес нетто]]</f>
        <v>0.15</v>
      </c>
      <c r="V1115" s="234" t="n">
        <f aca="false">MONTH(Таблица18[[#This Row],[Дата акта]])</f>
        <v>6</v>
      </c>
      <c r="W1115" s="234" t="n">
        <v>15</v>
      </c>
      <c r="X1115" s="248" t="n">
        <f aca="false">DATE(1900,Таблица18[[#This Row],[Месяц]],Таблица18[[#This Row],[Число]])</f>
        <v>167</v>
      </c>
      <c r="Y1115" s="234"/>
      <c r="AF1115" s="411"/>
      <c r="AG1115" s="412"/>
    </row>
    <row r="1116" s="410" customFormat="true" ht="15" hidden="true" customHeight="true" outlineLevel="0" collapsed="false">
      <c r="A1116" s="198" t="s">
        <v>2738</v>
      </c>
      <c r="B1116" s="199" t="s">
        <v>417</v>
      </c>
      <c r="C1116" s="198" t="n">
        <v>465</v>
      </c>
      <c r="D1116" s="198" t="n">
        <v>69</v>
      </c>
      <c r="E1116" s="198" t="s">
        <v>899</v>
      </c>
      <c r="F1116" s="198" t="s">
        <v>553</v>
      </c>
      <c r="G1116" s="198" t="s">
        <v>557</v>
      </c>
      <c r="H1116" s="198" t="n">
        <v>45</v>
      </c>
      <c r="I1116" s="199" t="n">
        <v>45</v>
      </c>
      <c r="J1116" s="198" t="s">
        <v>909</v>
      </c>
      <c r="K1116" s="198" t="s">
        <v>1435</v>
      </c>
      <c r="L1116" s="234" t="n">
        <v>28260</v>
      </c>
      <c r="M1116" s="234" t="n">
        <v>14770</v>
      </c>
      <c r="N1116" s="234" t="n">
        <v>14</v>
      </c>
      <c r="O1116" s="407" t="n">
        <v>13490</v>
      </c>
      <c r="P1116" s="407" t="n">
        <v>11601.4</v>
      </c>
      <c r="Q1116" s="234" t="n">
        <v>2025</v>
      </c>
      <c r="R1116" s="234"/>
      <c r="S1116" s="248" t="n">
        <v>45823</v>
      </c>
      <c r="T1116" s="407" t="n">
        <f aca="false">Таблица18[[#This Row],[Вес нетто]]-Таблица18[[#This Row],[Зачетный вес]]</f>
        <v>1888.6</v>
      </c>
      <c r="U1116" s="409" t="n">
        <f aca="false">Таблица18[[#This Row],[Отход]]/Таблица18[[#This Row],[Вес нетто]]</f>
        <v>0.14</v>
      </c>
      <c r="V1116" s="234" t="n">
        <f aca="false">MONTH(Таблица18[[#This Row],[Дата акта]])</f>
        <v>6</v>
      </c>
      <c r="W1116" s="234" t="n">
        <v>15</v>
      </c>
      <c r="X1116" s="248" t="n">
        <f aca="false">DATE(1900,Таблица18[[#This Row],[Месяц]],Таблица18[[#This Row],[Число]])</f>
        <v>167</v>
      </c>
      <c r="Y1116" s="234"/>
      <c r="AF1116" s="411"/>
      <c r="AG1116" s="412"/>
    </row>
    <row r="1117" s="410" customFormat="true" ht="15" hidden="true" customHeight="true" outlineLevel="0" collapsed="false">
      <c r="A1117" s="198" t="s">
        <v>2739</v>
      </c>
      <c r="B1117" s="199" t="s">
        <v>417</v>
      </c>
      <c r="C1117" s="198" t="n">
        <v>466</v>
      </c>
      <c r="D1117" s="198" t="n">
        <v>70</v>
      </c>
      <c r="E1117" s="198" t="s">
        <v>899</v>
      </c>
      <c r="F1117" s="198" t="s">
        <v>547</v>
      </c>
      <c r="G1117" s="198" t="s">
        <v>551</v>
      </c>
      <c r="H1117" s="198" t="n">
        <v>45</v>
      </c>
      <c r="I1117" s="199" t="n">
        <v>45</v>
      </c>
      <c r="J1117" s="198" t="s">
        <v>909</v>
      </c>
      <c r="K1117" s="198" t="s">
        <v>1435</v>
      </c>
      <c r="L1117" s="234" t="n">
        <v>27760</v>
      </c>
      <c r="M1117" s="234" t="n">
        <v>14670</v>
      </c>
      <c r="N1117" s="234" t="n">
        <v>18</v>
      </c>
      <c r="O1117" s="407" t="n">
        <v>13090</v>
      </c>
      <c r="P1117" s="407" t="n">
        <v>10733.8</v>
      </c>
      <c r="Q1117" s="234" t="n">
        <v>2025</v>
      </c>
      <c r="R1117" s="234"/>
      <c r="S1117" s="248" t="n">
        <v>45823</v>
      </c>
      <c r="T1117" s="407" t="n">
        <f aca="false">Таблица18[[#This Row],[Вес нетто]]-Таблица18[[#This Row],[Зачетный вес]]</f>
        <v>2356.2</v>
      </c>
      <c r="U1117" s="409" t="n">
        <f aca="false">Таблица18[[#This Row],[Отход]]/Таблица18[[#This Row],[Вес нетто]]</f>
        <v>0.18</v>
      </c>
      <c r="V1117" s="234" t="n">
        <f aca="false">MONTH(Таблица18[[#This Row],[Дата акта]])</f>
        <v>6</v>
      </c>
      <c r="W1117" s="234" t="n">
        <v>15</v>
      </c>
      <c r="X1117" s="248" t="n">
        <f aca="false">DATE(1900,Таблица18[[#This Row],[Месяц]],Таблица18[[#This Row],[Число]])</f>
        <v>167</v>
      </c>
      <c r="Y1117" s="234"/>
      <c r="AF1117" s="411"/>
      <c r="AG1117" s="412"/>
    </row>
    <row r="1118" s="410" customFormat="true" ht="15" hidden="true" customHeight="true" outlineLevel="0" collapsed="false">
      <c r="A1118" s="198" t="s">
        <v>2740</v>
      </c>
      <c r="B1118" s="199" t="s">
        <v>417</v>
      </c>
      <c r="C1118" s="198" t="n">
        <v>467</v>
      </c>
      <c r="D1118" s="198" t="n">
        <v>71</v>
      </c>
      <c r="E1118" s="198" t="s">
        <v>899</v>
      </c>
      <c r="F1118" s="198" t="s">
        <v>363</v>
      </c>
      <c r="G1118" s="198" t="s">
        <v>364</v>
      </c>
      <c r="H1118" s="198" t="n">
        <v>45</v>
      </c>
      <c r="I1118" s="199" t="n">
        <v>45</v>
      </c>
      <c r="J1118" s="198" t="s">
        <v>909</v>
      </c>
      <c r="K1118" s="198" t="s">
        <v>1435</v>
      </c>
      <c r="L1118" s="234" t="n">
        <v>27960</v>
      </c>
      <c r="M1118" s="234" t="n">
        <v>14600</v>
      </c>
      <c r="N1118" s="234" t="n">
        <v>17</v>
      </c>
      <c r="O1118" s="407" t="n">
        <v>13360</v>
      </c>
      <c r="P1118" s="407" t="n">
        <v>11088.8</v>
      </c>
      <c r="Q1118" s="234" t="n">
        <v>2025</v>
      </c>
      <c r="R1118" s="234"/>
      <c r="S1118" s="248" t="n">
        <v>45823</v>
      </c>
      <c r="T1118" s="407" t="n">
        <f aca="false">Таблица18[[#This Row],[Вес нетто]]-Таблица18[[#This Row],[Зачетный вес]]</f>
        <v>2271.2</v>
      </c>
      <c r="U1118" s="409" t="n">
        <f aca="false">Таблица18[[#This Row],[Отход]]/Таблица18[[#This Row],[Вес нетто]]</f>
        <v>0.17</v>
      </c>
      <c r="V1118" s="234" t="n">
        <f aca="false">MONTH(Таблица18[[#This Row],[Дата акта]])</f>
        <v>6</v>
      </c>
      <c r="W1118" s="234" t="n">
        <v>15</v>
      </c>
      <c r="X1118" s="248" t="n">
        <f aca="false">DATE(1900,Таблица18[[#This Row],[Месяц]],Таблица18[[#This Row],[Число]])</f>
        <v>167</v>
      </c>
      <c r="Y1118" s="234"/>
      <c r="AF1118" s="411"/>
      <c r="AG1118" s="412"/>
    </row>
    <row r="1119" s="410" customFormat="true" ht="15" hidden="true" customHeight="true" outlineLevel="0" collapsed="false">
      <c r="A1119" s="198" t="s">
        <v>2741</v>
      </c>
      <c r="B1119" s="199" t="s">
        <v>417</v>
      </c>
      <c r="C1119" s="198" t="n">
        <v>469</v>
      </c>
      <c r="D1119" s="198" t="n">
        <v>73</v>
      </c>
      <c r="E1119" s="198" t="s">
        <v>899</v>
      </c>
      <c r="F1119" s="198" t="s">
        <v>445</v>
      </c>
      <c r="G1119" s="198" t="s">
        <v>449</v>
      </c>
      <c r="H1119" s="198" t="n">
        <v>45</v>
      </c>
      <c r="I1119" s="199" t="n">
        <v>45</v>
      </c>
      <c r="J1119" s="198" t="s">
        <v>909</v>
      </c>
      <c r="K1119" s="198" t="s">
        <v>1435</v>
      </c>
      <c r="L1119" s="234" t="n">
        <v>29200</v>
      </c>
      <c r="M1119" s="234" t="n">
        <v>15610</v>
      </c>
      <c r="N1119" s="234" t="n">
        <v>8.5</v>
      </c>
      <c r="O1119" s="407" t="n">
        <v>13590</v>
      </c>
      <c r="P1119" s="407" t="n">
        <v>12434.8</v>
      </c>
      <c r="Q1119" s="234" t="n">
        <v>2025</v>
      </c>
      <c r="R1119" s="234"/>
      <c r="S1119" s="248" t="n">
        <v>45823</v>
      </c>
      <c r="T1119" s="407" t="n">
        <f aca="false">Таблица18[[#This Row],[Вес нетто]]-Таблица18[[#This Row],[Зачетный вес]]</f>
        <v>1155.2</v>
      </c>
      <c r="U1119" s="409" t="n">
        <f aca="false">Таблица18[[#This Row],[Отход]]/Таблица18[[#This Row],[Вес нетто]]</f>
        <v>0.0850036791758647</v>
      </c>
      <c r="V1119" s="234" t="n">
        <f aca="false">MONTH(Таблица18[[#This Row],[Дата акта]])</f>
        <v>6</v>
      </c>
      <c r="W1119" s="234" t="n">
        <v>15</v>
      </c>
      <c r="X1119" s="248" t="n">
        <f aca="false">DATE(1900,Таблица18[[#This Row],[Месяц]],Таблица18[[#This Row],[Число]])</f>
        <v>167</v>
      </c>
      <c r="Y1119" s="234"/>
      <c r="AF1119" s="411"/>
      <c r="AG1119" s="412"/>
    </row>
    <row r="1120" s="410" customFormat="true" ht="15" hidden="true" customHeight="true" outlineLevel="0" collapsed="false">
      <c r="A1120" s="198" t="s">
        <v>2742</v>
      </c>
      <c r="B1120" s="199" t="s">
        <v>417</v>
      </c>
      <c r="C1120" s="198" t="n">
        <v>468</v>
      </c>
      <c r="D1120" s="198" t="n">
        <v>72</v>
      </c>
      <c r="E1120" s="198" t="s">
        <v>899</v>
      </c>
      <c r="F1120" s="198" t="s">
        <v>451</v>
      </c>
      <c r="G1120" s="198" t="s">
        <v>455</v>
      </c>
      <c r="H1120" s="198" t="n">
        <v>45</v>
      </c>
      <c r="I1120" s="199" t="n">
        <v>45</v>
      </c>
      <c r="J1120" s="198" t="s">
        <v>909</v>
      </c>
      <c r="K1120" s="198" t="s">
        <v>1435</v>
      </c>
      <c r="L1120" s="234" t="n">
        <v>28230</v>
      </c>
      <c r="M1120" s="234" t="n">
        <v>14990</v>
      </c>
      <c r="N1120" s="234" t="n">
        <v>12.5</v>
      </c>
      <c r="O1120" s="407" t="n">
        <v>13240</v>
      </c>
      <c r="P1120" s="407" t="n">
        <v>11585</v>
      </c>
      <c r="Q1120" s="234" t="n">
        <v>2025</v>
      </c>
      <c r="R1120" s="234"/>
      <c r="S1120" s="248" t="n">
        <v>45823</v>
      </c>
      <c r="T1120" s="407" t="n">
        <f aca="false">Таблица18[[#This Row],[Вес нетто]]-Таблица18[[#This Row],[Зачетный вес]]</f>
        <v>1655</v>
      </c>
      <c r="U1120" s="409" t="n">
        <f aca="false">Таблица18[[#This Row],[Отход]]/Таблица18[[#This Row],[Вес нетто]]</f>
        <v>0.125</v>
      </c>
      <c r="V1120" s="234" t="n">
        <f aca="false">MONTH(Таблица18[[#This Row],[Дата акта]])</f>
        <v>6</v>
      </c>
      <c r="W1120" s="234" t="n">
        <v>15</v>
      </c>
      <c r="X1120" s="248" t="n">
        <f aca="false">DATE(1900,Таблица18[[#This Row],[Месяц]],Таблица18[[#This Row],[Число]])</f>
        <v>167</v>
      </c>
      <c r="Y1120" s="234"/>
      <c r="AF1120" s="411"/>
      <c r="AG1120" s="412"/>
    </row>
    <row r="1121" s="410" customFormat="true" ht="15" hidden="true" customHeight="true" outlineLevel="0" collapsed="false">
      <c r="A1121" s="198" t="s">
        <v>2743</v>
      </c>
      <c r="B1121" s="199" t="s">
        <v>746</v>
      </c>
      <c r="C1121" s="198" t="n">
        <v>471</v>
      </c>
      <c r="D1121" s="198" t="s">
        <v>906</v>
      </c>
      <c r="E1121" s="198" t="s">
        <v>899</v>
      </c>
      <c r="F1121" s="198" t="s">
        <v>395</v>
      </c>
      <c r="G1121" s="198" t="s">
        <v>566</v>
      </c>
      <c r="H1121" s="198" t="n">
        <v>45</v>
      </c>
      <c r="I1121" s="199" t="n">
        <v>45</v>
      </c>
      <c r="J1121" s="198" t="s">
        <v>909</v>
      </c>
      <c r="K1121" s="198" t="s">
        <v>1435</v>
      </c>
      <c r="L1121" s="234" t="n">
        <v>27820</v>
      </c>
      <c r="M1121" s="234" t="n">
        <v>14340</v>
      </c>
      <c r="N1121" s="234" t="n">
        <v>11</v>
      </c>
      <c r="O1121" s="407" t="n">
        <v>13480</v>
      </c>
      <c r="P1121" s="407" t="n">
        <v>11997.2</v>
      </c>
      <c r="Q1121" s="234" t="n">
        <v>2025</v>
      </c>
      <c r="R1121" s="234"/>
      <c r="S1121" s="248" t="n">
        <v>45823</v>
      </c>
      <c r="T1121" s="407" t="n">
        <f aca="false">Таблица18[[#This Row],[Вес нетто]]-Таблица18[[#This Row],[Зачетный вес]]</f>
        <v>1482.8</v>
      </c>
      <c r="U1121" s="409" t="n">
        <f aca="false">Таблица18[[#This Row],[Отход]]/Таблица18[[#This Row],[Вес нетто]]</f>
        <v>0.11</v>
      </c>
      <c r="V1121" s="234" t="n">
        <f aca="false">MONTH(Таблица18[[#This Row],[Дата акта]])</f>
        <v>6</v>
      </c>
      <c r="W1121" s="234" t="n">
        <v>15</v>
      </c>
      <c r="X1121" s="248" t="n">
        <f aca="false">DATE(1900,Таблица18[[#This Row],[Месяц]],Таблица18[[#This Row],[Число]])</f>
        <v>167</v>
      </c>
      <c r="Y1121" s="234"/>
      <c r="AF1121" s="411"/>
      <c r="AG1121" s="412"/>
    </row>
    <row r="1122" s="410" customFormat="true" ht="15" hidden="true" customHeight="true" outlineLevel="0" collapsed="false">
      <c r="A1122" s="198" t="s">
        <v>2744</v>
      </c>
      <c r="B1122" s="199" t="s">
        <v>746</v>
      </c>
      <c r="C1122" s="198" t="n">
        <v>472</v>
      </c>
      <c r="D1122" s="198" t="s">
        <v>906</v>
      </c>
      <c r="E1122" s="198" t="s">
        <v>899</v>
      </c>
      <c r="F1122" s="198" t="s">
        <v>48</v>
      </c>
      <c r="G1122" s="198" t="s">
        <v>49</v>
      </c>
      <c r="H1122" s="198" t="n">
        <v>44</v>
      </c>
      <c r="I1122" s="199" t="n">
        <v>44</v>
      </c>
      <c r="J1122" s="198" t="s">
        <v>909</v>
      </c>
      <c r="K1122" s="198" t="s">
        <v>1435</v>
      </c>
      <c r="L1122" s="234" t="n">
        <v>28360</v>
      </c>
      <c r="M1122" s="234" t="n">
        <v>21690</v>
      </c>
      <c r="N1122" s="234" t="n">
        <v>9</v>
      </c>
      <c r="O1122" s="407" t="n">
        <v>6670</v>
      </c>
      <c r="P1122" s="407" t="n">
        <v>6069.7</v>
      </c>
      <c r="Q1122" s="234" t="n">
        <v>2025</v>
      </c>
      <c r="R1122" s="234"/>
      <c r="S1122" s="248" t="n">
        <v>45823</v>
      </c>
      <c r="T1122" s="407" t="n">
        <f aca="false">Таблица18[[#This Row],[Вес нетто]]-Таблица18[[#This Row],[Зачетный вес]]</f>
        <v>600.3</v>
      </c>
      <c r="U1122" s="409" t="n">
        <f aca="false">Таблица18[[#This Row],[Отход]]/Таблица18[[#This Row],[Вес нетто]]</f>
        <v>0.09</v>
      </c>
      <c r="V1122" s="234" t="n">
        <f aca="false">MONTH(Таблица18[[#This Row],[Дата акта]])</f>
        <v>6</v>
      </c>
      <c r="W1122" s="234" t="n">
        <v>15</v>
      </c>
      <c r="X1122" s="248" t="n">
        <f aca="false">DATE(1900,Таблица18[[#This Row],[Месяц]],Таблица18[[#This Row],[Число]])</f>
        <v>167</v>
      </c>
      <c r="Y1122" s="234"/>
      <c r="AF1122" s="411"/>
      <c r="AG1122" s="412"/>
    </row>
    <row r="1123" s="410" customFormat="true" ht="15" hidden="true" customHeight="true" outlineLevel="0" collapsed="false">
      <c r="A1123" s="198" t="s">
        <v>2745</v>
      </c>
      <c r="B1123" s="199" t="s">
        <v>746</v>
      </c>
      <c r="C1123" s="198" t="n">
        <v>474</v>
      </c>
      <c r="D1123" s="198" t="s">
        <v>906</v>
      </c>
      <c r="E1123" s="198" t="s">
        <v>899</v>
      </c>
      <c r="F1123" s="198" t="s">
        <v>48</v>
      </c>
      <c r="G1123" s="198" t="s">
        <v>49</v>
      </c>
      <c r="H1123" s="198" t="n">
        <v>45</v>
      </c>
      <c r="I1123" s="199" t="n">
        <v>45</v>
      </c>
      <c r="J1123" s="198" t="s">
        <v>909</v>
      </c>
      <c r="K1123" s="198" t="s">
        <v>1435</v>
      </c>
      <c r="L1123" s="234" t="n">
        <v>21690</v>
      </c>
      <c r="M1123" s="234" t="n">
        <v>14970</v>
      </c>
      <c r="N1123" s="234" t="n">
        <v>8.5</v>
      </c>
      <c r="O1123" s="407" t="n">
        <v>6720</v>
      </c>
      <c r="P1123" s="407" t="n">
        <v>6148.8</v>
      </c>
      <c r="Q1123" s="234" t="n">
        <v>2025</v>
      </c>
      <c r="R1123" s="234"/>
      <c r="S1123" s="248" t="n">
        <v>45823</v>
      </c>
      <c r="T1123" s="407" t="n">
        <f aca="false">Таблица18[[#This Row],[Вес нетто]]-Таблица18[[#This Row],[Зачетный вес]]</f>
        <v>571.2</v>
      </c>
      <c r="U1123" s="409" t="n">
        <f aca="false">Таблица18[[#This Row],[Отход]]/Таблица18[[#This Row],[Вес нетто]]</f>
        <v>0.085</v>
      </c>
      <c r="V1123" s="234" t="n">
        <f aca="false">MONTH(Таблица18[[#This Row],[Дата акта]])</f>
        <v>6</v>
      </c>
      <c r="W1123" s="234" t="n">
        <v>15</v>
      </c>
      <c r="X1123" s="248" t="n">
        <f aca="false">DATE(1900,Таблица18[[#This Row],[Месяц]],Таблица18[[#This Row],[Число]])</f>
        <v>167</v>
      </c>
      <c r="Y1123" s="234"/>
      <c r="AF1123" s="411"/>
      <c r="AG1123" s="412"/>
    </row>
    <row r="1124" s="410" customFormat="true" ht="15" hidden="true" customHeight="true" outlineLevel="0" collapsed="false">
      <c r="A1124" s="198" t="s">
        <v>2746</v>
      </c>
      <c r="B1124" s="199" t="s">
        <v>746</v>
      </c>
      <c r="C1124" s="198" t="n">
        <v>473</v>
      </c>
      <c r="D1124" s="198" t="s">
        <v>906</v>
      </c>
      <c r="E1124" s="198" t="s">
        <v>899</v>
      </c>
      <c r="F1124" s="198" t="s">
        <v>511</v>
      </c>
      <c r="G1124" s="198" t="s">
        <v>515</v>
      </c>
      <c r="H1124" s="198" t="n">
        <v>44</v>
      </c>
      <c r="I1124" s="199" t="n">
        <v>44</v>
      </c>
      <c r="J1124" s="198" t="s">
        <v>909</v>
      </c>
      <c r="K1124" s="198" t="s">
        <v>1435</v>
      </c>
      <c r="L1124" s="234" t="n">
        <v>28140</v>
      </c>
      <c r="M1124" s="234" t="n">
        <v>14690</v>
      </c>
      <c r="N1124" s="234" t="n">
        <v>8</v>
      </c>
      <c r="O1124" s="407" t="n">
        <v>13450</v>
      </c>
      <c r="P1124" s="407" t="n">
        <v>12374</v>
      </c>
      <c r="Q1124" s="234" t="n">
        <v>2025</v>
      </c>
      <c r="R1124" s="234"/>
      <c r="S1124" s="248" t="n">
        <v>45823</v>
      </c>
      <c r="T1124" s="407" t="n">
        <f aca="false">Таблица18[[#This Row],[Вес нетто]]-Таблица18[[#This Row],[Зачетный вес]]</f>
        <v>1076</v>
      </c>
      <c r="U1124" s="409" t="n">
        <f aca="false">Таблица18[[#This Row],[Отход]]/Таблица18[[#This Row],[Вес нетто]]</f>
        <v>0.08</v>
      </c>
      <c r="V1124" s="234" t="n">
        <f aca="false">MONTH(Таблица18[[#This Row],[Дата акта]])</f>
        <v>6</v>
      </c>
      <c r="W1124" s="234" t="n">
        <v>15</v>
      </c>
      <c r="X1124" s="248" t="n">
        <f aca="false">DATE(1900,Таблица18[[#This Row],[Месяц]],Таблица18[[#This Row],[Число]])</f>
        <v>167</v>
      </c>
      <c r="Y1124" s="234"/>
      <c r="AF1124" s="411"/>
      <c r="AG1124" s="412"/>
    </row>
    <row r="1125" s="410" customFormat="true" ht="15" hidden="true" customHeight="true" outlineLevel="0" collapsed="false">
      <c r="A1125" s="198" t="s">
        <v>2747</v>
      </c>
      <c r="B1125" s="199" t="s">
        <v>746</v>
      </c>
      <c r="C1125" s="198" t="n">
        <v>475</v>
      </c>
      <c r="D1125" s="198" t="s">
        <v>906</v>
      </c>
      <c r="E1125" s="198" t="s">
        <v>899</v>
      </c>
      <c r="F1125" s="198" t="s">
        <v>371</v>
      </c>
      <c r="G1125" s="198" t="s">
        <v>372</v>
      </c>
      <c r="H1125" s="198" t="n">
        <v>44</v>
      </c>
      <c r="I1125" s="199" t="n">
        <v>44</v>
      </c>
      <c r="J1125" s="198" t="s">
        <v>909</v>
      </c>
      <c r="K1125" s="198" t="s">
        <v>1435</v>
      </c>
      <c r="L1125" s="234" t="n">
        <v>28130</v>
      </c>
      <c r="M1125" s="234" t="n">
        <v>15000</v>
      </c>
      <c r="N1125" s="234" t="n">
        <v>6.5</v>
      </c>
      <c r="O1125" s="407" t="n">
        <v>13130</v>
      </c>
      <c r="P1125" s="407" t="n">
        <v>12276.5</v>
      </c>
      <c r="Q1125" s="234" t="n">
        <v>2025</v>
      </c>
      <c r="R1125" s="234"/>
      <c r="S1125" s="248" t="n">
        <v>45823</v>
      </c>
      <c r="T1125" s="407" t="n">
        <f aca="false">Таблица18[[#This Row],[Вес нетто]]-Таблица18[[#This Row],[Зачетный вес]]</f>
        <v>853.5</v>
      </c>
      <c r="U1125" s="409" t="n">
        <f aca="false">Таблица18[[#This Row],[Отход]]/Таблица18[[#This Row],[Вес нетто]]</f>
        <v>0.065003808073115</v>
      </c>
      <c r="V1125" s="234" t="n">
        <f aca="false">MONTH(Таблица18[[#This Row],[Дата акта]])</f>
        <v>6</v>
      </c>
      <c r="W1125" s="234" t="n">
        <v>15</v>
      </c>
      <c r="X1125" s="248" t="n">
        <f aca="false">DATE(1900,Таблица18[[#This Row],[Месяц]],Таблица18[[#This Row],[Число]])</f>
        <v>167</v>
      </c>
      <c r="Y1125" s="234"/>
      <c r="AF1125" s="411"/>
      <c r="AG1125" s="412"/>
    </row>
    <row r="1126" s="410" customFormat="true" ht="15" hidden="true" customHeight="true" outlineLevel="0" collapsed="false">
      <c r="A1126" s="198" t="s">
        <v>2748</v>
      </c>
      <c r="B1126" s="199" t="s">
        <v>746</v>
      </c>
      <c r="C1126" s="198" t="n">
        <v>476</v>
      </c>
      <c r="D1126" s="198" t="s">
        <v>906</v>
      </c>
      <c r="E1126" s="198" t="s">
        <v>899</v>
      </c>
      <c r="F1126" s="198" t="s">
        <v>55</v>
      </c>
      <c r="G1126" s="198" t="s">
        <v>56</v>
      </c>
      <c r="H1126" s="198" t="n">
        <v>43</v>
      </c>
      <c r="I1126" s="199" t="n">
        <v>43</v>
      </c>
      <c r="J1126" s="198" t="s">
        <v>909</v>
      </c>
      <c r="K1126" s="198" t="s">
        <v>1435</v>
      </c>
      <c r="L1126" s="234" t="n">
        <v>27790</v>
      </c>
      <c r="M1126" s="234" t="n">
        <v>14620</v>
      </c>
      <c r="N1126" s="234" t="n">
        <v>7.5</v>
      </c>
      <c r="O1126" s="407" t="n">
        <v>13170</v>
      </c>
      <c r="P1126" s="407" t="n">
        <v>12182.2</v>
      </c>
      <c r="Q1126" s="234" t="n">
        <v>2025</v>
      </c>
      <c r="R1126" s="234"/>
      <c r="S1126" s="248" t="n">
        <v>45823</v>
      </c>
      <c r="T1126" s="407" t="n">
        <f aca="false">Таблица18[[#This Row],[Вес нетто]]-Таблица18[[#This Row],[Зачетный вес]]</f>
        <v>987.799999999999</v>
      </c>
      <c r="U1126" s="409" t="n">
        <f aca="false">Таблица18[[#This Row],[Отход]]/Таблица18[[#This Row],[Вес нетто]]</f>
        <v>0.0750037965072133</v>
      </c>
      <c r="V1126" s="234" t="n">
        <f aca="false">MONTH(Таблица18[[#This Row],[Дата акта]])</f>
        <v>6</v>
      </c>
      <c r="W1126" s="234" t="n">
        <v>15</v>
      </c>
      <c r="X1126" s="248" t="n">
        <f aca="false">DATE(1900,Таблица18[[#This Row],[Месяц]],Таблица18[[#This Row],[Число]])</f>
        <v>167</v>
      </c>
      <c r="Y1126" s="234"/>
      <c r="AF1126" s="411"/>
      <c r="AG1126" s="412"/>
    </row>
    <row r="1127" s="410" customFormat="true" ht="15" hidden="true" customHeight="true" outlineLevel="0" collapsed="false">
      <c r="A1127" s="198" t="s">
        <v>2749</v>
      </c>
      <c r="B1127" s="199" t="s">
        <v>746</v>
      </c>
      <c r="C1127" s="198" t="n">
        <v>477</v>
      </c>
      <c r="D1127" s="198" t="s">
        <v>906</v>
      </c>
      <c r="E1127" s="198" t="s">
        <v>899</v>
      </c>
      <c r="F1127" s="198" t="s">
        <v>57</v>
      </c>
      <c r="G1127" s="198" t="s">
        <v>58</v>
      </c>
      <c r="H1127" s="198" t="n">
        <v>43</v>
      </c>
      <c r="I1127" s="199" t="n">
        <v>43</v>
      </c>
      <c r="J1127" s="198" t="s">
        <v>909</v>
      </c>
      <c r="K1127" s="198" t="s">
        <v>1435</v>
      </c>
      <c r="L1127" s="234" t="n">
        <v>28530</v>
      </c>
      <c r="M1127" s="234" t="n">
        <v>15580</v>
      </c>
      <c r="N1127" s="234" t="n">
        <v>9</v>
      </c>
      <c r="O1127" s="407" t="n">
        <v>12950</v>
      </c>
      <c r="P1127" s="407" t="n">
        <v>11784.5</v>
      </c>
      <c r="Q1127" s="234" t="n">
        <v>2025</v>
      </c>
      <c r="R1127" s="234"/>
      <c r="S1127" s="248" t="n">
        <v>45823</v>
      </c>
      <c r="T1127" s="407" t="n">
        <f aca="false">Таблица18[[#This Row],[Вес нетто]]-Таблица18[[#This Row],[Зачетный вес]]</f>
        <v>1165.5</v>
      </c>
      <c r="U1127" s="409" t="n">
        <f aca="false">Таблица18[[#This Row],[Отход]]/Таблица18[[#This Row],[Вес нетто]]</f>
        <v>0.09</v>
      </c>
      <c r="V1127" s="234" t="n">
        <f aca="false">MONTH(Таблица18[[#This Row],[Дата акта]])</f>
        <v>6</v>
      </c>
      <c r="W1127" s="234" t="n">
        <v>15</v>
      </c>
      <c r="X1127" s="248" t="n">
        <f aca="false">DATE(1900,Таблица18[[#This Row],[Месяц]],Таблица18[[#This Row],[Число]])</f>
        <v>167</v>
      </c>
      <c r="Y1127" s="234"/>
      <c r="AF1127" s="411"/>
      <c r="AG1127" s="412"/>
    </row>
    <row r="1128" s="410" customFormat="true" ht="15" hidden="true" customHeight="true" outlineLevel="0" collapsed="false">
      <c r="A1128" s="198" t="s">
        <v>2750</v>
      </c>
      <c r="B1128" s="199" t="s">
        <v>746</v>
      </c>
      <c r="C1128" s="198" t="n">
        <v>478</v>
      </c>
      <c r="D1128" s="198" t="s">
        <v>906</v>
      </c>
      <c r="E1128" s="198" t="s">
        <v>899</v>
      </c>
      <c r="F1128" s="198" t="s">
        <v>382</v>
      </c>
      <c r="G1128" s="198" t="s">
        <v>383</v>
      </c>
      <c r="H1128" s="198" t="n">
        <v>43</v>
      </c>
      <c r="I1128" s="199" t="n">
        <v>43</v>
      </c>
      <c r="J1128" s="198" t="s">
        <v>909</v>
      </c>
      <c r="K1128" s="198" t="s">
        <v>1435</v>
      </c>
      <c r="L1128" s="234" t="n">
        <v>28040</v>
      </c>
      <c r="M1128" s="234" t="n">
        <v>14890</v>
      </c>
      <c r="N1128" s="234" t="n">
        <v>7</v>
      </c>
      <c r="O1128" s="407" t="n">
        <v>13150</v>
      </c>
      <c r="P1128" s="407" t="n">
        <v>12229.5</v>
      </c>
      <c r="Q1128" s="234" t="n">
        <v>2025</v>
      </c>
      <c r="R1128" s="234"/>
      <c r="S1128" s="248" t="n">
        <v>45823</v>
      </c>
      <c r="T1128" s="407" t="n">
        <f aca="false">Таблица18[[#This Row],[Вес нетто]]-Таблица18[[#This Row],[Зачетный вес]]</f>
        <v>920.5</v>
      </c>
      <c r="U1128" s="409" t="n">
        <f aca="false">Таблица18[[#This Row],[Отход]]/Таблица18[[#This Row],[Вес нетто]]</f>
        <v>0.07</v>
      </c>
      <c r="V1128" s="234" t="n">
        <f aca="false">MONTH(Таблица18[[#This Row],[Дата акта]])</f>
        <v>6</v>
      </c>
      <c r="W1128" s="234" t="n">
        <v>15</v>
      </c>
      <c r="X1128" s="248" t="n">
        <f aca="false">DATE(1900,Таблица18[[#This Row],[Месяц]],Таблица18[[#This Row],[Число]])</f>
        <v>167</v>
      </c>
      <c r="Y1128" s="234"/>
      <c r="AF1128" s="411"/>
      <c r="AG1128" s="412"/>
    </row>
    <row r="1129" s="410" customFormat="true" ht="15" hidden="true" customHeight="true" outlineLevel="0" collapsed="false">
      <c r="A1129" s="198" t="s">
        <v>2751</v>
      </c>
      <c r="B1129" s="199" t="s">
        <v>746</v>
      </c>
      <c r="C1129" s="198" t="n">
        <v>481</v>
      </c>
      <c r="D1129" s="198" t="s">
        <v>906</v>
      </c>
      <c r="E1129" s="198" t="s">
        <v>899</v>
      </c>
      <c r="F1129" s="198" t="s">
        <v>457</v>
      </c>
      <c r="G1129" s="198" t="s">
        <v>366</v>
      </c>
      <c r="H1129" s="198" t="n">
        <v>43</v>
      </c>
      <c r="I1129" s="199" t="n">
        <v>43</v>
      </c>
      <c r="J1129" s="198" t="s">
        <v>909</v>
      </c>
      <c r="K1129" s="198" t="s">
        <v>1435</v>
      </c>
      <c r="L1129" s="234" t="n">
        <v>27690</v>
      </c>
      <c r="M1129" s="234" t="n">
        <v>14700</v>
      </c>
      <c r="N1129" s="234" t="n">
        <v>9.5</v>
      </c>
      <c r="O1129" s="407" t="n">
        <v>12990</v>
      </c>
      <c r="P1129" s="407" t="n">
        <v>11755.9</v>
      </c>
      <c r="Q1129" s="234" t="n">
        <v>2025</v>
      </c>
      <c r="R1129" s="234"/>
      <c r="S1129" s="248" t="n">
        <v>45824</v>
      </c>
      <c r="T1129" s="407" t="n">
        <f aca="false">Таблица18[[#This Row],[Вес нетто]]-Таблица18[[#This Row],[Зачетный вес]]</f>
        <v>1234.1</v>
      </c>
      <c r="U1129" s="409" t="n">
        <f aca="false">Таблица18[[#This Row],[Отход]]/Таблица18[[#This Row],[Вес нетто]]</f>
        <v>0.0950038491147037</v>
      </c>
      <c r="V1129" s="234" t="n">
        <f aca="false">MONTH(Таблица18[[#This Row],[Дата акта]])</f>
        <v>6</v>
      </c>
      <c r="W1129" s="234" t="n">
        <v>16</v>
      </c>
      <c r="X1129" s="248" t="n">
        <f aca="false">DATE(1900,Таблица18[[#This Row],[Месяц]],Таблица18[[#This Row],[Число]])</f>
        <v>168</v>
      </c>
      <c r="Y1129" s="234"/>
      <c r="AF1129" s="411"/>
      <c r="AG1129" s="412"/>
    </row>
    <row r="1130" s="410" customFormat="true" ht="15" hidden="true" customHeight="true" outlineLevel="0" collapsed="false">
      <c r="A1130" s="198" t="s">
        <v>2752</v>
      </c>
      <c r="B1130" s="199" t="s">
        <v>746</v>
      </c>
      <c r="C1130" s="198" t="n">
        <v>479</v>
      </c>
      <c r="D1130" s="198" t="s">
        <v>906</v>
      </c>
      <c r="E1130" s="198" t="s">
        <v>899</v>
      </c>
      <c r="F1130" s="198" t="s">
        <v>384</v>
      </c>
      <c r="G1130" s="198" t="s">
        <v>385</v>
      </c>
      <c r="H1130" s="198" t="n">
        <v>43</v>
      </c>
      <c r="I1130" s="199" t="n">
        <v>43</v>
      </c>
      <c r="J1130" s="198" t="s">
        <v>909</v>
      </c>
      <c r="K1130" s="198" t="s">
        <v>1435</v>
      </c>
      <c r="L1130" s="234" t="n">
        <v>27340</v>
      </c>
      <c r="M1130" s="234" t="n">
        <v>14430</v>
      </c>
      <c r="N1130" s="234" t="n">
        <v>9.5</v>
      </c>
      <c r="O1130" s="407" t="n">
        <v>12910</v>
      </c>
      <c r="P1130" s="407" t="n">
        <v>11683.5</v>
      </c>
      <c r="Q1130" s="234" t="n">
        <v>2025</v>
      </c>
      <c r="R1130" s="234"/>
      <c r="S1130" s="248" t="n">
        <v>45824</v>
      </c>
      <c r="T1130" s="407" t="n">
        <f aca="false">Таблица18[[#This Row],[Вес нетто]]-Таблица18[[#This Row],[Зачетный вес]]</f>
        <v>1226.5</v>
      </c>
      <c r="U1130" s="409" t="n">
        <f aca="false">Таблица18[[#This Row],[Отход]]/Таблица18[[#This Row],[Вес нетто]]</f>
        <v>0.0950038729666925</v>
      </c>
      <c r="V1130" s="234" t="n">
        <f aca="false">MONTH(Таблица18[[#This Row],[Дата акта]])</f>
        <v>6</v>
      </c>
      <c r="W1130" s="234" t="n">
        <v>16</v>
      </c>
      <c r="X1130" s="248" t="n">
        <f aca="false">DATE(1900,Таблица18[[#This Row],[Месяц]],Таблица18[[#This Row],[Число]])</f>
        <v>168</v>
      </c>
      <c r="Y1130" s="234"/>
      <c r="AF1130" s="411"/>
      <c r="AG1130" s="412"/>
    </row>
    <row r="1131" s="410" customFormat="true" ht="15" hidden="true" customHeight="true" outlineLevel="0" collapsed="false">
      <c r="A1131" s="198" t="s">
        <v>2753</v>
      </c>
      <c r="B1131" s="199" t="s">
        <v>886</v>
      </c>
      <c r="C1131" s="198" t="n">
        <v>480</v>
      </c>
      <c r="D1131" s="198" t="s">
        <v>906</v>
      </c>
      <c r="E1131" s="198" t="s">
        <v>899</v>
      </c>
      <c r="F1131" s="198" t="s">
        <v>433</v>
      </c>
      <c r="G1131" s="198" t="s">
        <v>437</v>
      </c>
      <c r="H1131" s="198" t="n">
        <v>43</v>
      </c>
      <c r="I1131" s="199" t="n">
        <v>43</v>
      </c>
      <c r="J1131" s="198" t="s">
        <v>909</v>
      </c>
      <c r="K1131" s="198" t="s">
        <v>1435</v>
      </c>
      <c r="L1131" s="234" t="n">
        <v>28260</v>
      </c>
      <c r="M1131" s="234" t="n">
        <v>14930</v>
      </c>
      <c r="N1131" s="234" t="n">
        <v>8.5</v>
      </c>
      <c r="O1131" s="407" t="n">
        <v>13330</v>
      </c>
      <c r="P1131" s="407" t="n">
        <v>12196.9</v>
      </c>
      <c r="Q1131" s="234" t="n">
        <v>2025</v>
      </c>
      <c r="R1131" s="234"/>
      <c r="S1131" s="248" t="n">
        <v>45824</v>
      </c>
      <c r="T1131" s="407" t="n">
        <f aca="false">Таблица18[[#This Row],[Вес нетто]]-Таблица18[[#This Row],[Зачетный вес]]</f>
        <v>1133.1</v>
      </c>
      <c r="U1131" s="409" t="n">
        <f aca="false">Таблица18[[#This Row],[Отход]]/Таблица18[[#This Row],[Вес нетто]]</f>
        <v>0.0850037509377345</v>
      </c>
      <c r="V1131" s="234" t="n">
        <f aca="false">MONTH(Таблица18[[#This Row],[Дата акта]])</f>
        <v>6</v>
      </c>
      <c r="W1131" s="234" t="n">
        <v>16</v>
      </c>
      <c r="X1131" s="248" t="n">
        <f aca="false">DATE(1900,Таблица18[[#This Row],[Месяц]],Таблица18[[#This Row],[Число]])</f>
        <v>168</v>
      </c>
      <c r="Y1131" s="234"/>
      <c r="AF1131" s="411"/>
      <c r="AG1131" s="412"/>
    </row>
    <row r="1132" s="410" customFormat="true" ht="15" hidden="true" customHeight="true" outlineLevel="0" collapsed="false">
      <c r="A1132" s="198" t="s">
        <v>2754</v>
      </c>
      <c r="B1132" s="199" t="s">
        <v>886</v>
      </c>
      <c r="C1132" s="198" t="n">
        <v>482</v>
      </c>
      <c r="D1132" s="198" t="s">
        <v>906</v>
      </c>
      <c r="E1132" s="198" t="s">
        <v>899</v>
      </c>
      <c r="F1132" s="198" t="s">
        <v>365</v>
      </c>
      <c r="G1132" s="198" t="s">
        <v>373</v>
      </c>
      <c r="H1132" s="198" t="n">
        <v>43</v>
      </c>
      <c r="I1132" s="199" t="n">
        <v>43</v>
      </c>
      <c r="J1132" s="198" t="s">
        <v>909</v>
      </c>
      <c r="K1132" s="198" t="s">
        <v>1435</v>
      </c>
      <c r="L1132" s="234" t="n">
        <v>31920</v>
      </c>
      <c r="M1132" s="234" t="n">
        <v>18800</v>
      </c>
      <c r="N1132" s="234" t="n">
        <v>5.5</v>
      </c>
      <c r="O1132" s="407" t="n">
        <v>13120</v>
      </c>
      <c r="P1132" s="407" t="n">
        <v>12398.4</v>
      </c>
      <c r="Q1132" s="234" t="n">
        <v>2025</v>
      </c>
      <c r="R1132" s="234"/>
      <c r="S1132" s="248" t="n">
        <v>45824</v>
      </c>
      <c r="T1132" s="407" t="n">
        <f aca="false">Таблица18[[#This Row],[Вес нетто]]-Таблица18[[#This Row],[Зачетный вес]]</f>
        <v>721.6</v>
      </c>
      <c r="U1132" s="409" t="n">
        <f aca="false">Таблица18[[#This Row],[Отход]]/Таблица18[[#This Row],[Вес нетто]]</f>
        <v>0.055</v>
      </c>
      <c r="V1132" s="234" t="n">
        <f aca="false">MONTH(Таблица18[[#This Row],[Дата акта]])</f>
        <v>6</v>
      </c>
      <c r="W1132" s="234" t="n">
        <v>16</v>
      </c>
      <c r="X1132" s="248" t="n">
        <f aca="false">DATE(1900,Таблица18[[#This Row],[Месяц]],Таблица18[[#This Row],[Число]])</f>
        <v>168</v>
      </c>
      <c r="Y1132" s="234"/>
      <c r="AF1132" s="411"/>
      <c r="AG1132" s="412"/>
    </row>
    <row r="1133" s="410" customFormat="true" ht="15" hidden="true" customHeight="true" outlineLevel="0" collapsed="false">
      <c r="A1133" s="198" t="s">
        <v>2755</v>
      </c>
      <c r="B1133" s="199" t="s">
        <v>886</v>
      </c>
      <c r="C1133" s="198" t="n">
        <v>483</v>
      </c>
      <c r="D1133" s="198" t="s">
        <v>906</v>
      </c>
      <c r="E1133" s="198" t="s">
        <v>899</v>
      </c>
      <c r="F1133" s="198" t="s">
        <v>439</v>
      </c>
      <c r="G1133" s="198" t="s">
        <v>443</v>
      </c>
      <c r="H1133" s="198" t="n">
        <v>43</v>
      </c>
      <c r="I1133" s="199" t="n">
        <v>43</v>
      </c>
      <c r="J1133" s="198" t="s">
        <v>909</v>
      </c>
      <c r="K1133" s="198" t="s">
        <v>1435</v>
      </c>
      <c r="L1133" s="234" t="n">
        <v>37340</v>
      </c>
      <c r="M1133" s="234" t="n">
        <v>24030</v>
      </c>
      <c r="N1133" s="234" t="n">
        <v>8</v>
      </c>
      <c r="O1133" s="407" t="n">
        <v>13310</v>
      </c>
      <c r="P1133" s="407" t="n">
        <v>12245.2</v>
      </c>
      <c r="Q1133" s="234" t="n">
        <v>2025</v>
      </c>
      <c r="R1133" s="234"/>
      <c r="S1133" s="248" t="n">
        <v>45824</v>
      </c>
      <c r="T1133" s="407" t="n">
        <f aca="false">Таблица18[[#This Row],[Вес нетто]]-Таблица18[[#This Row],[Зачетный вес]]</f>
        <v>1064.8</v>
      </c>
      <c r="U1133" s="409" t="n">
        <f aca="false">Таблица18[[#This Row],[Отход]]/Таблица18[[#This Row],[Вес нетто]]</f>
        <v>0.08</v>
      </c>
      <c r="V1133" s="234" t="n">
        <f aca="false">MONTH(Таблица18[[#This Row],[Дата акта]])</f>
        <v>6</v>
      </c>
      <c r="W1133" s="234" t="n">
        <v>16</v>
      </c>
      <c r="X1133" s="248" t="n">
        <f aca="false">DATE(1900,Таблица18[[#This Row],[Месяц]],Таблица18[[#This Row],[Число]])</f>
        <v>168</v>
      </c>
      <c r="Y1133" s="234"/>
      <c r="AF1133" s="411"/>
      <c r="AG1133" s="412"/>
    </row>
    <row r="1134" s="410" customFormat="true" ht="15" hidden="true" customHeight="true" outlineLevel="0" collapsed="false">
      <c r="A1134" s="198" t="s">
        <v>2756</v>
      </c>
      <c r="B1134" s="199" t="s">
        <v>746</v>
      </c>
      <c r="C1134" s="198" t="n">
        <v>484</v>
      </c>
      <c r="D1134" s="198" t="s">
        <v>906</v>
      </c>
      <c r="E1134" s="198" t="s">
        <v>899</v>
      </c>
      <c r="F1134" s="198" t="s">
        <v>361</v>
      </c>
      <c r="G1134" s="198" t="s">
        <v>362</v>
      </c>
      <c r="H1134" s="198" t="s">
        <v>133</v>
      </c>
      <c r="I1134" s="199" t="s">
        <v>133</v>
      </c>
      <c r="J1134" s="198" t="s">
        <v>909</v>
      </c>
      <c r="K1134" s="198" t="s">
        <v>1435</v>
      </c>
      <c r="L1134" s="234" t="n">
        <v>28270</v>
      </c>
      <c r="M1134" s="234" t="n">
        <v>21420</v>
      </c>
      <c r="N1134" s="234" t="n">
        <v>10.5</v>
      </c>
      <c r="O1134" s="407" t="n">
        <v>6850</v>
      </c>
      <c r="P1134" s="407" t="n">
        <v>6130.7</v>
      </c>
      <c r="Q1134" s="234" t="n">
        <v>2025</v>
      </c>
      <c r="R1134" s="234"/>
      <c r="S1134" s="248" t="n">
        <v>45824</v>
      </c>
      <c r="T1134" s="407" t="n">
        <f aca="false">Таблица18[[#This Row],[Вес нетто]]-Таблица18[[#This Row],[Зачетный вес]]</f>
        <v>719.3</v>
      </c>
      <c r="U1134" s="409" t="n">
        <f aca="false">Таблица18[[#This Row],[Отход]]/Таблица18[[#This Row],[Вес нетто]]</f>
        <v>0.105007299270073</v>
      </c>
      <c r="V1134" s="234" t="n">
        <f aca="false">MONTH(Таблица18[[#This Row],[Дата акта]])</f>
        <v>6</v>
      </c>
      <c r="W1134" s="234" t="n">
        <v>16</v>
      </c>
      <c r="X1134" s="248" t="n">
        <f aca="false">DATE(1900,Таблица18[[#This Row],[Месяц]],Таблица18[[#This Row],[Число]])</f>
        <v>168</v>
      </c>
      <c r="Y1134" s="234"/>
      <c r="AF1134" s="411"/>
      <c r="AG1134" s="412"/>
    </row>
    <row r="1135" s="410" customFormat="true" ht="15" hidden="true" customHeight="true" outlineLevel="0" collapsed="false">
      <c r="A1135" s="198" t="s">
        <v>2757</v>
      </c>
      <c r="B1135" s="199" t="s">
        <v>746</v>
      </c>
      <c r="C1135" s="198" t="n">
        <v>491</v>
      </c>
      <c r="D1135" s="198" t="s">
        <v>906</v>
      </c>
      <c r="E1135" s="198" t="s">
        <v>899</v>
      </c>
      <c r="F1135" s="198" t="s">
        <v>361</v>
      </c>
      <c r="G1135" s="198" t="s">
        <v>362</v>
      </c>
      <c r="H1135" s="198" t="n">
        <v>43</v>
      </c>
      <c r="I1135" s="199" t="n">
        <v>43</v>
      </c>
      <c r="J1135" s="198" t="s">
        <v>909</v>
      </c>
      <c r="K1135" s="198" t="s">
        <v>1435</v>
      </c>
      <c r="L1135" s="234" t="n">
        <v>21420</v>
      </c>
      <c r="M1135" s="234" t="n">
        <v>14770</v>
      </c>
      <c r="N1135" s="234" t="n">
        <v>14.5</v>
      </c>
      <c r="O1135" s="407" t="n">
        <v>6650</v>
      </c>
      <c r="P1135" s="407" t="n">
        <v>5685.7</v>
      </c>
      <c r="Q1135" s="234" t="n">
        <v>2025</v>
      </c>
      <c r="R1135" s="234"/>
      <c r="S1135" s="248" t="n">
        <v>45824</v>
      </c>
      <c r="T1135" s="407" t="n">
        <f aca="false">Таблица18[[#This Row],[Вес нетто]]-Таблица18[[#This Row],[Зачетный вес]]</f>
        <v>964.3</v>
      </c>
      <c r="U1135" s="409" t="n">
        <f aca="false">Таблица18[[#This Row],[Отход]]/Таблица18[[#This Row],[Вес нетто]]</f>
        <v>0.145007518796993</v>
      </c>
      <c r="V1135" s="234" t="n">
        <f aca="false">MONTH(Таблица18[[#This Row],[Дата акта]])</f>
        <v>6</v>
      </c>
      <c r="W1135" s="234" t="n">
        <v>16</v>
      </c>
      <c r="X1135" s="248" t="n">
        <f aca="false">DATE(1900,Таблица18[[#This Row],[Месяц]],Таблица18[[#This Row],[Число]])</f>
        <v>168</v>
      </c>
      <c r="Y1135" s="234"/>
      <c r="AF1135" s="411"/>
      <c r="AG1135" s="412"/>
    </row>
    <row r="1136" s="410" customFormat="true" ht="15" hidden="true" customHeight="true" outlineLevel="0" collapsed="false">
      <c r="A1136" s="198" t="s">
        <v>2758</v>
      </c>
      <c r="B1136" s="199" t="s">
        <v>417</v>
      </c>
      <c r="C1136" s="198" t="n">
        <v>487</v>
      </c>
      <c r="D1136" s="198" t="s">
        <v>906</v>
      </c>
      <c r="E1136" s="198" t="s">
        <v>908</v>
      </c>
      <c r="F1136" s="198" t="s">
        <v>374</v>
      </c>
      <c r="G1136" s="198" t="s">
        <v>375</v>
      </c>
      <c r="H1136" s="198" t="n">
        <v>15</v>
      </c>
      <c r="I1136" s="199" t="n">
        <v>15</v>
      </c>
      <c r="J1136" s="198" t="s">
        <v>904</v>
      </c>
      <c r="K1136" s="198" t="s">
        <v>1435</v>
      </c>
      <c r="L1136" s="234" t="n">
        <v>6630</v>
      </c>
      <c r="M1136" s="234" t="n">
        <v>4560</v>
      </c>
      <c r="N1136" s="234" t="n">
        <v>14.5</v>
      </c>
      <c r="O1136" s="407" t="n">
        <v>2070</v>
      </c>
      <c r="P1136" s="407" t="n">
        <v>1769.8</v>
      </c>
      <c r="Q1136" s="234" t="n">
        <v>2025</v>
      </c>
      <c r="R1136" s="234"/>
      <c r="S1136" s="248" t="n">
        <v>45824</v>
      </c>
      <c r="T1136" s="407" t="n">
        <f aca="false">Таблица18[[#This Row],[Вес нетто]]-Таблица18[[#This Row],[Зачетный вес]]</f>
        <v>300.2</v>
      </c>
      <c r="U1136" s="409" t="n">
        <f aca="false">Таблица18[[#This Row],[Отход]]/Таблица18[[#This Row],[Вес нетто]]</f>
        <v>0.145024154589372</v>
      </c>
      <c r="V1136" s="234" t="n">
        <f aca="false">MONTH(Таблица18[[#This Row],[Дата акта]])</f>
        <v>6</v>
      </c>
      <c r="W1136" s="234" t="n">
        <v>16</v>
      </c>
      <c r="X1136" s="248" t="n">
        <f aca="false">DATE(1900,Таблица18[[#This Row],[Месяц]],Таблица18[[#This Row],[Число]])</f>
        <v>168</v>
      </c>
      <c r="Y1136" s="234"/>
      <c r="AF1136" s="411"/>
      <c r="AG1136" s="412"/>
    </row>
    <row r="1137" s="410" customFormat="true" ht="15" hidden="true" customHeight="true" outlineLevel="0" collapsed="false">
      <c r="A1137" s="198" t="s">
        <v>2759</v>
      </c>
      <c r="B1137" s="199" t="s">
        <v>746</v>
      </c>
      <c r="C1137" s="198" t="n">
        <v>489</v>
      </c>
      <c r="D1137" s="198" t="n">
        <v>87</v>
      </c>
      <c r="E1137" s="198" t="s">
        <v>899</v>
      </c>
      <c r="F1137" s="198" t="s">
        <v>553</v>
      </c>
      <c r="G1137" s="198" t="s">
        <v>557</v>
      </c>
      <c r="H1137" s="198" t="n">
        <v>44</v>
      </c>
      <c r="I1137" s="199" t="n">
        <v>44</v>
      </c>
      <c r="J1137" s="198" t="s">
        <v>909</v>
      </c>
      <c r="K1137" s="198" t="s">
        <v>1435</v>
      </c>
      <c r="L1137" s="234" t="n">
        <v>27820</v>
      </c>
      <c r="M1137" s="234" t="n">
        <v>21170</v>
      </c>
      <c r="N1137" s="234" t="n">
        <v>12.5</v>
      </c>
      <c r="O1137" s="407" t="n">
        <v>6650</v>
      </c>
      <c r="P1137" s="407" t="n">
        <v>5818.7</v>
      </c>
      <c r="Q1137" s="234" t="n">
        <v>2025</v>
      </c>
      <c r="R1137" s="234"/>
      <c r="S1137" s="248" t="n">
        <v>45824</v>
      </c>
      <c r="T1137" s="407" t="n">
        <f aca="false">Таблица18[[#This Row],[Вес нетто]]-Таблица18[[#This Row],[Зачетный вес]]</f>
        <v>831.3</v>
      </c>
      <c r="U1137" s="409" t="n">
        <f aca="false">Таблица18[[#This Row],[Отход]]/Таблица18[[#This Row],[Вес нетто]]</f>
        <v>0.125007518796993</v>
      </c>
      <c r="V1137" s="234" t="n">
        <f aca="false">MONTH(Таблица18[[#This Row],[Дата акта]])</f>
        <v>6</v>
      </c>
      <c r="W1137" s="234" t="n">
        <v>16</v>
      </c>
      <c r="X1137" s="248" t="n">
        <f aca="false">DATE(1900,Таблица18[[#This Row],[Месяц]],Таблица18[[#This Row],[Число]])</f>
        <v>168</v>
      </c>
      <c r="Y1137" s="234"/>
      <c r="AF1137" s="411"/>
      <c r="AG1137" s="412"/>
    </row>
    <row r="1138" s="410" customFormat="true" ht="15" hidden="true" customHeight="true" outlineLevel="0" collapsed="false">
      <c r="A1138" s="198" t="s">
        <v>2760</v>
      </c>
      <c r="B1138" s="199" t="s">
        <v>746</v>
      </c>
      <c r="C1138" s="198" t="n">
        <v>490</v>
      </c>
      <c r="D1138" s="198" t="n">
        <v>47</v>
      </c>
      <c r="E1138" s="198" t="s">
        <v>899</v>
      </c>
      <c r="F1138" s="198" t="s">
        <v>547</v>
      </c>
      <c r="G1138" s="198" t="s">
        <v>551</v>
      </c>
      <c r="H1138" s="198" t="n">
        <v>44</v>
      </c>
      <c r="I1138" s="199" t="n">
        <v>44</v>
      </c>
      <c r="J1138" s="198" t="s">
        <v>909</v>
      </c>
      <c r="K1138" s="198" t="s">
        <v>1435</v>
      </c>
      <c r="L1138" s="234" t="n">
        <v>27950</v>
      </c>
      <c r="M1138" s="234" t="n">
        <v>14670</v>
      </c>
      <c r="N1138" s="234" t="n">
        <v>10.5</v>
      </c>
      <c r="O1138" s="407" t="n">
        <v>13280</v>
      </c>
      <c r="P1138" s="407" t="n">
        <v>11885.6</v>
      </c>
      <c r="Q1138" s="234" t="n">
        <v>2025</v>
      </c>
      <c r="R1138" s="234"/>
      <c r="S1138" s="248" t="n">
        <v>45824</v>
      </c>
      <c r="T1138" s="407" t="n">
        <f aca="false">Таблица18[[#This Row],[Вес нетто]]-Таблица18[[#This Row],[Зачетный вес]]</f>
        <v>1394.4</v>
      </c>
      <c r="U1138" s="409" t="n">
        <f aca="false">Таблица18[[#This Row],[Отход]]/Таблица18[[#This Row],[Вес нетто]]</f>
        <v>0.105</v>
      </c>
      <c r="V1138" s="234" t="n">
        <f aca="false">MONTH(Таблица18[[#This Row],[Дата акта]])</f>
        <v>6</v>
      </c>
      <c r="W1138" s="234" t="n">
        <v>16</v>
      </c>
      <c r="X1138" s="248" t="n">
        <f aca="false">DATE(1900,Таблица18[[#This Row],[Месяц]],Таблица18[[#This Row],[Число]])</f>
        <v>168</v>
      </c>
      <c r="Y1138" s="234"/>
      <c r="AF1138" s="411"/>
      <c r="AG1138" s="412"/>
    </row>
    <row r="1139" s="410" customFormat="true" ht="15" hidden="true" customHeight="true" outlineLevel="0" collapsed="false">
      <c r="A1139" s="198" t="s">
        <v>2761</v>
      </c>
      <c r="B1139" s="199" t="s">
        <v>417</v>
      </c>
      <c r="C1139" s="198" t="n">
        <v>497</v>
      </c>
      <c r="D1139" s="198" t="s">
        <v>906</v>
      </c>
      <c r="E1139" s="198" t="s">
        <v>908</v>
      </c>
      <c r="F1139" s="198" t="s">
        <v>371</v>
      </c>
      <c r="G1139" s="198" t="s">
        <v>372</v>
      </c>
      <c r="H1139" s="198" t="n">
        <v>16</v>
      </c>
      <c r="I1139" s="199" t="n">
        <v>16</v>
      </c>
      <c r="J1139" s="198" t="s">
        <v>904</v>
      </c>
      <c r="K1139" s="198" t="s">
        <v>1435</v>
      </c>
      <c r="L1139" s="234" t="n">
        <v>16710</v>
      </c>
      <c r="M1139" s="234" t="n">
        <v>9700</v>
      </c>
      <c r="N1139" s="234" t="n">
        <v>19.5</v>
      </c>
      <c r="O1139" s="407" t="n">
        <v>7010</v>
      </c>
      <c r="P1139" s="407" t="n">
        <v>5643</v>
      </c>
      <c r="Q1139" s="234" t="n">
        <v>2025</v>
      </c>
      <c r="R1139" s="234"/>
      <c r="S1139" s="248" t="n">
        <v>45824</v>
      </c>
      <c r="T1139" s="407" t="n">
        <f aca="false">Таблица18[[#This Row],[Вес нетто]]-Таблица18[[#This Row],[Зачетный вес]]</f>
        <v>1367</v>
      </c>
      <c r="U1139" s="409" t="n">
        <f aca="false">Таблица18[[#This Row],[Отход]]/Таблица18[[#This Row],[Вес нетто]]</f>
        <v>0.195007132667618</v>
      </c>
      <c r="V1139" s="234" t="n">
        <f aca="false">MONTH(Таблица18[[#This Row],[Дата акта]])</f>
        <v>6</v>
      </c>
      <c r="W1139" s="234" t="n">
        <v>16</v>
      </c>
      <c r="X1139" s="248" t="n">
        <f aca="false">DATE(1900,Таблица18[[#This Row],[Месяц]],Таблица18[[#This Row],[Число]])</f>
        <v>168</v>
      </c>
      <c r="Y1139" s="234"/>
      <c r="AF1139" s="411"/>
      <c r="AG1139" s="412"/>
    </row>
    <row r="1140" s="410" customFormat="true" ht="15" hidden="true" customHeight="true" outlineLevel="0" collapsed="false">
      <c r="A1140" s="198" t="s">
        <v>2762</v>
      </c>
      <c r="B1140" s="199" t="s">
        <v>417</v>
      </c>
      <c r="C1140" s="198" t="n">
        <v>503</v>
      </c>
      <c r="D1140" s="198" t="n">
        <v>95</v>
      </c>
      <c r="E1140" s="198" t="s">
        <v>899</v>
      </c>
      <c r="F1140" s="198" t="s">
        <v>57</v>
      </c>
      <c r="G1140" s="198" t="s">
        <v>58</v>
      </c>
      <c r="H1140" s="198" t="n">
        <v>46</v>
      </c>
      <c r="I1140" s="199" t="n">
        <v>46</v>
      </c>
      <c r="J1140" s="198" t="s">
        <v>904</v>
      </c>
      <c r="K1140" s="198" t="s">
        <v>1435</v>
      </c>
      <c r="L1140" s="234" t="n">
        <v>29220</v>
      </c>
      <c r="M1140" s="234" t="n">
        <v>15490</v>
      </c>
      <c r="N1140" s="234" t="n">
        <v>15.5</v>
      </c>
      <c r="O1140" s="407" t="n">
        <v>13730</v>
      </c>
      <c r="P1140" s="407" t="n">
        <v>11601.8</v>
      </c>
      <c r="Q1140" s="234" t="n">
        <v>2025</v>
      </c>
      <c r="R1140" s="234"/>
      <c r="S1140" s="248" t="n">
        <v>45825</v>
      </c>
      <c r="T1140" s="407" t="n">
        <f aca="false">Таблица18[[#This Row],[Вес нетто]]-Таблица18[[#This Row],[Зачетный вес]]</f>
        <v>2128.2</v>
      </c>
      <c r="U1140" s="409" t="n">
        <f aca="false">Таблица18[[#This Row],[Отход]]/Таблица18[[#This Row],[Вес нетто]]</f>
        <v>0.155003641660597</v>
      </c>
      <c r="V1140" s="234" t="n">
        <f aca="false">MONTH(Таблица18[[#This Row],[Дата акта]])</f>
        <v>6</v>
      </c>
      <c r="W1140" s="234" t="n">
        <v>17</v>
      </c>
      <c r="X1140" s="248" t="n">
        <f aca="false">DATE(1900,Таблица18[[#This Row],[Месяц]],Таблица18[[#This Row],[Число]])</f>
        <v>169</v>
      </c>
      <c r="Y1140" s="234"/>
      <c r="AF1140" s="411"/>
      <c r="AG1140" s="412"/>
    </row>
    <row r="1141" s="410" customFormat="true" ht="15" hidden="true" customHeight="true" outlineLevel="0" collapsed="false">
      <c r="A1141" s="198" t="s">
        <v>2763</v>
      </c>
      <c r="B1141" s="199" t="s">
        <v>417</v>
      </c>
      <c r="C1141" s="198" t="n">
        <v>505</v>
      </c>
      <c r="D1141" s="198" t="s">
        <v>906</v>
      </c>
      <c r="E1141" s="198" t="s">
        <v>908</v>
      </c>
      <c r="F1141" s="198" t="s">
        <v>378</v>
      </c>
      <c r="G1141" s="198" t="s">
        <v>379</v>
      </c>
      <c r="H1141" s="198" t="n">
        <v>16</v>
      </c>
      <c r="I1141" s="199" t="n">
        <v>16</v>
      </c>
      <c r="J1141" s="198" t="s">
        <v>904</v>
      </c>
      <c r="K1141" s="198" t="s">
        <v>1435</v>
      </c>
      <c r="L1141" s="234" t="n">
        <v>9640</v>
      </c>
      <c r="M1141" s="234" t="n">
        <v>4650</v>
      </c>
      <c r="N1141" s="234" t="n">
        <v>8.5</v>
      </c>
      <c r="O1141" s="407" t="n">
        <v>4990</v>
      </c>
      <c r="P1141" s="407" t="n">
        <v>4565.8</v>
      </c>
      <c r="Q1141" s="234" t="n">
        <v>2025</v>
      </c>
      <c r="R1141" s="234"/>
      <c r="S1141" s="248" t="n">
        <v>45825</v>
      </c>
      <c r="T1141" s="407" t="n">
        <f aca="false">Таблица18[[#This Row],[Вес нетто]]-Таблица18[[#This Row],[Зачетный вес]]</f>
        <v>424.2</v>
      </c>
      <c r="U1141" s="409" t="n">
        <f aca="false">Таблица18[[#This Row],[Отход]]/Таблица18[[#This Row],[Вес нетто]]</f>
        <v>0.0850100200400801</v>
      </c>
      <c r="V1141" s="234" t="n">
        <f aca="false">MONTH(Таблица18[[#This Row],[Дата акта]])</f>
        <v>6</v>
      </c>
      <c r="W1141" s="234" t="n">
        <v>17</v>
      </c>
      <c r="X1141" s="248" t="n">
        <f aca="false">DATE(1900,Таблица18[[#This Row],[Месяц]],Таблица18[[#This Row],[Число]])</f>
        <v>169</v>
      </c>
      <c r="Y1141" s="234"/>
      <c r="AF1141" s="411"/>
      <c r="AG1141" s="412"/>
    </row>
    <row r="1142" s="410" customFormat="true" ht="15" hidden="true" customHeight="true" outlineLevel="0" collapsed="false">
      <c r="A1142" s="198" t="s">
        <v>2764</v>
      </c>
      <c r="B1142" s="199" t="s">
        <v>417</v>
      </c>
      <c r="C1142" s="198" t="n">
        <v>506</v>
      </c>
      <c r="D1142" s="198" t="s">
        <v>906</v>
      </c>
      <c r="E1142" s="198" t="s">
        <v>899</v>
      </c>
      <c r="F1142" s="198" t="s">
        <v>359</v>
      </c>
      <c r="G1142" s="198" t="s">
        <v>426</v>
      </c>
      <c r="H1142" s="198" t="n">
        <v>46</v>
      </c>
      <c r="I1142" s="199" t="n">
        <v>46</v>
      </c>
      <c r="J1142" s="198" t="s">
        <v>904</v>
      </c>
      <c r="K1142" s="198" t="s">
        <v>1435</v>
      </c>
      <c r="L1142" s="234" t="n">
        <v>27130</v>
      </c>
      <c r="M1142" s="234" t="n">
        <v>13820</v>
      </c>
      <c r="N1142" s="234" t="n">
        <v>21</v>
      </c>
      <c r="O1142" s="407" t="n">
        <v>13310</v>
      </c>
      <c r="P1142" s="407" t="n">
        <v>10514.9</v>
      </c>
      <c r="Q1142" s="234" t="n">
        <v>2025</v>
      </c>
      <c r="R1142" s="234"/>
      <c r="S1142" s="248" t="n">
        <v>45825</v>
      </c>
      <c r="T1142" s="407" t="n">
        <f aca="false">Таблица18[[#This Row],[Вес нетто]]-Таблица18[[#This Row],[Зачетный вес]]</f>
        <v>2795.1</v>
      </c>
      <c r="U1142" s="409" t="n">
        <f aca="false">Таблица18[[#This Row],[Отход]]/Таблица18[[#This Row],[Вес нетто]]</f>
        <v>0.21</v>
      </c>
      <c r="V1142" s="234" t="n">
        <f aca="false">MONTH(Таблица18[[#This Row],[Дата акта]])</f>
        <v>6</v>
      </c>
      <c r="W1142" s="234" t="n">
        <v>17</v>
      </c>
      <c r="X1142" s="248" t="n">
        <f aca="false">DATE(1900,Таблица18[[#This Row],[Месяц]],Таблица18[[#This Row],[Число]])</f>
        <v>169</v>
      </c>
      <c r="Y1142" s="234"/>
      <c r="AF1142" s="411"/>
      <c r="AG1142" s="412"/>
    </row>
    <row r="1143" s="410" customFormat="true" ht="15" hidden="true" customHeight="true" outlineLevel="0" collapsed="false">
      <c r="A1143" s="198" t="s">
        <v>2765</v>
      </c>
      <c r="B1143" s="199" t="s">
        <v>417</v>
      </c>
      <c r="C1143" s="198" t="n">
        <v>507</v>
      </c>
      <c r="D1143" s="198" t="s">
        <v>906</v>
      </c>
      <c r="E1143" s="198" t="s">
        <v>899</v>
      </c>
      <c r="F1143" s="198" t="s">
        <v>386</v>
      </c>
      <c r="G1143" s="198" t="s">
        <v>387</v>
      </c>
      <c r="H1143" s="198" t="n">
        <v>46</v>
      </c>
      <c r="I1143" s="199" t="n">
        <v>46</v>
      </c>
      <c r="J1143" s="198" t="s">
        <v>904</v>
      </c>
      <c r="K1143" s="198" t="s">
        <v>1435</v>
      </c>
      <c r="L1143" s="234" t="n">
        <v>30100</v>
      </c>
      <c r="M1143" s="234" t="n">
        <v>15310</v>
      </c>
      <c r="N1143" s="234" t="n">
        <v>14.5</v>
      </c>
      <c r="O1143" s="407" t="n">
        <v>14790</v>
      </c>
      <c r="P1143" s="407" t="n">
        <v>12645.4</v>
      </c>
      <c r="Q1143" s="234" t="n">
        <v>2025</v>
      </c>
      <c r="R1143" s="234"/>
      <c r="S1143" s="248" t="n">
        <v>45825</v>
      </c>
      <c r="T1143" s="407" t="n">
        <f aca="false">Таблица18[[#This Row],[Вес нетто]]-Таблица18[[#This Row],[Зачетный вес]]</f>
        <v>2144.6</v>
      </c>
      <c r="U1143" s="409" t="n">
        <f aca="false">Таблица18[[#This Row],[Отход]]/Таблица18[[#This Row],[Вес нетто]]</f>
        <v>0.14500338066261</v>
      </c>
      <c r="V1143" s="234" t="n">
        <f aca="false">MONTH(Таблица18[[#This Row],[Дата акта]])</f>
        <v>6</v>
      </c>
      <c r="W1143" s="234" t="n">
        <v>17</v>
      </c>
      <c r="X1143" s="248" t="n">
        <f aca="false">DATE(1900,Таблица18[[#This Row],[Месяц]],Таблица18[[#This Row],[Число]])</f>
        <v>169</v>
      </c>
      <c r="Y1143" s="234"/>
      <c r="AF1143" s="411"/>
      <c r="AG1143" s="412"/>
    </row>
    <row r="1144" s="410" customFormat="true" ht="15" hidden="true" customHeight="true" outlineLevel="0" collapsed="false">
      <c r="A1144" s="198" t="s">
        <v>2766</v>
      </c>
      <c r="B1144" s="199" t="s">
        <v>417</v>
      </c>
      <c r="C1144" s="198" t="n">
        <v>508</v>
      </c>
      <c r="D1144" s="198" t="s">
        <v>906</v>
      </c>
      <c r="E1144" s="198" t="s">
        <v>908</v>
      </c>
      <c r="F1144" s="198" t="s">
        <v>374</v>
      </c>
      <c r="G1144" s="198" t="s">
        <v>375</v>
      </c>
      <c r="H1144" s="198" t="n">
        <v>16</v>
      </c>
      <c r="I1144" s="199" t="n">
        <v>16</v>
      </c>
      <c r="J1144" s="198" t="s">
        <v>904</v>
      </c>
      <c r="K1144" s="198" t="s">
        <v>1435</v>
      </c>
      <c r="L1144" s="234" t="n">
        <v>8350</v>
      </c>
      <c r="M1144" s="234" t="n">
        <v>4580</v>
      </c>
      <c r="N1144" s="234" t="n">
        <v>9.5</v>
      </c>
      <c r="O1144" s="407" t="n">
        <v>3770</v>
      </c>
      <c r="P1144" s="407" t="n">
        <v>3411.8</v>
      </c>
      <c r="Q1144" s="234" t="n">
        <v>2025</v>
      </c>
      <c r="R1144" s="234"/>
      <c r="S1144" s="248" t="n">
        <v>45825</v>
      </c>
      <c r="T1144" s="407" t="n">
        <f aca="false">Таблица18[[#This Row],[Вес нетто]]-Таблица18[[#This Row],[Зачетный вес]]</f>
        <v>358.2</v>
      </c>
      <c r="U1144" s="409" t="n">
        <f aca="false">Таблица18[[#This Row],[Отход]]/Таблица18[[#This Row],[Вес нетто]]</f>
        <v>0.0950132625994695</v>
      </c>
      <c r="V1144" s="234" t="n">
        <f aca="false">MONTH(Таблица18[[#This Row],[Дата акта]])</f>
        <v>6</v>
      </c>
      <c r="W1144" s="234" t="n">
        <v>17</v>
      </c>
      <c r="X1144" s="248" t="n">
        <f aca="false">DATE(1900,Таблица18[[#This Row],[Месяц]],Таблица18[[#This Row],[Число]])</f>
        <v>169</v>
      </c>
      <c r="Y1144" s="234"/>
      <c r="AF1144" s="411"/>
      <c r="AG1144" s="412"/>
    </row>
    <row r="1145" s="410" customFormat="true" ht="15" hidden="true" customHeight="true" outlineLevel="0" collapsed="false">
      <c r="A1145" s="198" t="s">
        <v>2767</v>
      </c>
      <c r="B1145" s="199" t="s">
        <v>417</v>
      </c>
      <c r="C1145" s="198" t="n">
        <v>509</v>
      </c>
      <c r="D1145" s="198" t="s">
        <v>906</v>
      </c>
      <c r="E1145" s="198" t="s">
        <v>908</v>
      </c>
      <c r="F1145" s="198" t="s">
        <v>378</v>
      </c>
      <c r="G1145" s="198" t="s">
        <v>379</v>
      </c>
      <c r="H1145" s="198" t="n">
        <v>15</v>
      </c>
      <c r="I1145" s="199" t="n">
        <v>15</v>
      </c>
      <c r="J1145" s="198" t="s">
        <v>904</v>
      </c>
      <c r="K1145" s="198" t="s">
        <v>1435</v>
      </c>
      <c r="L1145" s="234" t="n">
        <v>6950</v>
      </c>
      <c r="M1145" s="234" t="n">
        <v>4600</v>
      </c>
      <c r="N1145" s="234" t="n">
        <v>12.5</v>
      </c>
      <c r="O1145" s="407" t="n">
        <v>2350</v>
      </c>
      <c r="P1145" s="407" t="n">
        <v>2056.2</v>
      </c>
      <c r="Q1145" s="234" t="n">
        <v>2025</v>
      </c>
      <c r="R1145" s="234"/>
      <c r="S1145" s="248" t="n">
        <v>45825</v>
      </c>
      <c r="T1145" s="407" t="n">
        <f aca="false">Таблица18[[#This Row],[Вес нетто]]-Таблица18[[#This Row],[Зачетный вес]]</f>
        <v>293.8</v>
      </c>
      <c r="U1145" s="409" t="n">
        <f aca="false">Таблица18[[#This Row],[Отход]]/Таблица18[[#This Row],[Вес нетто]]</f>
        <v>0.125021276595745</v>
      </c>
      <c r="V1145" s="234" t="n">
        <f aca="false">MONTH(Таблица18[[#This Row],[Дата акта]])</f>
        <v>6</v>
      </c>
      <c r="W1145" s="234" t="n">
        <v>17</v>
      </c>
      <c r="X1145" s="248" t="n">
        <f aca="false">DATE(1900,Таблица18[[#This Row],[Месяц]],Таблица18[[#This Row],[Число]])</f>
        <v>169</v>
      </c>
      <c r="Y1145" s="234"/>
      <c r="AF1145" s="411"/>
      <c r="AG1145" s="412"/>
    </row>
    <row r="1146" s="410" customFormat="true" ht="15" hidden="true" customHeight="true" outlineLevel="0" collapsed="false">
      <c r="A1146" s="198" t="s">
        <v>2768</v>
      </c>
      <c r="B1146" s="199" t="s">
        <v>417</v>
      </c>
      <c r="C1146" s="198" t="n">
        <v>510</v>
      </c>
      <c r="D1146" s="198" t="s">
        <v>906</v>
      </c>
      <c r="E1146" s="198" t="s">
        <v>908</v>
      </c>
      <c r="F1146" s="198" t="s">
        <v>374</v>
      </c>
      <c r="G1146" s="198" t="s">
        <v>375</v>
      </c>
      <c r="H1146" s="198" t="n">
        <v>15</v>
      </c>
      <c r="I1146" s="199" t="n">
        <v>15</v>
      </c>
      <c r="J1146" s="198" t="s">
        <v>904</v>
      </c>
      <c r="K1146" s="198" t="s">
        <v>1435</v>
      </c>
      <c r="L1146" s="234" t="n">
        <v>9060</v>
      </c>
      <c r="M1146" s="234" t="n">
        <v>4550</v>
      </c>
      <c r="N1146" s="234" t="n">
        <v>20.5</v>
      </c>
      <c r="O1146" s="407" t="n">
        <v>4510</v>
      </c>
      <c r="P1146" s="407" t="n">
        <v>3585.4</v>
      </c>
      <c r="Q1146" s="234" t="n">
        <v>2025</v>
      </c>
      <c r="R1146" s="234"/>
      <c r="S1146" s="248" t="n">
        <v>45825</v>
      </c>
      <c r="T1146" s="407" t="n">
        <f aca="false">Таблица18[[#This Row],[Вес нетто]]-Таблица18[[#This Row],[Зачетный вес]]</f>
        <v>924.6</v>
      </c>
      <c r="U1146" s="409" t="n">
        <f aca="false">Таблица18[[#This Row],[Отход]]/Таблица18[[#This Row],[Вес нетто]]</f>
        <v>0.205011086474501</v>
      </c>
      <c r="V1146" s="234" t="n">
        <f aca="false">MONTH(Таблица18[[#This Row],[Дата акта]])</f>
        <v>6</v>
      </c>
      <c r="W1146" s="234" t="n">
        <v>17</v>
      </c>
      <c r="X1146" s="248" t="n">
        <f aca="false">DATE(1900,Таблица18[[#This Row],[Месяц]],Таблица18[[#This Row],[Число]])</f>
        <v>169</v>
      </c>
      <c r="Y1146" s="234"/>
      <c r="AF1146" s="411"/>
      <c r="AG1146" s="412"/>
    </row>
    <row r="1147" s="410" customFormat="true" ht="15" hidden="true" customHeight="true" outlineLevel="0" collapsed="false">
      <c r="A1147" s="198" t="s">
        <v>2769</v>
      </c>
      <c r="B1147" s="199" t="s">
        <v>417</v>
      </c>
      <c r="C1147" s="198" t="n">
        <v>511</v>
      </c>
      <c r="D1147" s="198" t="s">
        <v>906</v>
      </c>
      <c r="E1147" s="198" t="s">
        <v>908</v>
      </c>
      <c r="F1147" s="198" t="s">
        <v>55</v>
      </c>
      <c r="G1147" s="198" t="s">
        <v>56</v>
      </c>
      <c r="H1147" s="198" t="n">
        <v>15</v>
      </c>
      <c r="I1147" s="199" t="n">
        <v>15</v>
      </c>
      <c r="J1147" s="198" t="s">
        <v>904</v>
      </c>
      <c r="K1147" s="198" t="s">
        <v>1435</v>
      </c>
      <c r="L1147" s="234" t="n">
        <v>28310</v>
      </c>
      <c r="M1147" s="234" t="n">
        <v>14750</v>
      </c>
      <c r="N1147" s="234" t="n">
        <v>14.5</v>
      </c>
      <c r="O1147" s="407" t="n">
        <v>13560</v>
      </c>
      <c r="P1147" s="407" t="n">
        <v>11593.8</v>
      </c>
      <c r="Q1147" s="234" t="n">
        <v>2025</v>
      </c>
      <c r="R1147" s="234"/>
      <c r="S1147" s="248" t="n">
        <v>45825</v>
      </c>
      <c r="T1147" s="407" t="n">
        <f aca="false">Таблица18[[#This Row],[Вес нетто]]-Таблица18[[#This Row],[Зачетный вес]]</f>
        <v>1966.2</v>
      </c>
      <c r="U1147" s="409" t="n">
        <f aca="false">Таблица18[[#This Row],[Отход]]/Таблица18[[#This Row],[Вес нетто]]</f>
        <v>0.145</v>
      </c>
      <c r="V1147" s="234" t="n">
        <f aca="false">MONTH(Таблица18[[#This Row],[Дата акта]])</f>
        <v>6</v>
      </c>
      <c r="W1147" s="234" t="n">
        <v>17</v>
      </c>
      <c r="X1147" s="248" t="n">
        <f aca="false">DATE(1900,Таблица18[[#This Row],[Месяц]],Таблица18[[#This Row],[Число]])</f>
        <v>169</v>
      </c>
      <c r="Y1147" s="234"/>
      <c r="AF1147" s="411"/>
      <c r="AG1147" s="412"/>
    </row>
    <row r="1148" s="410" customFormat="true" ht="15" hidden="true" customHeight="true" outlineLevel="0" collapsed="false">
      <c r="A1148" s="198" t="s">
        <v>2770</v>
      </c>
      <c r="B1148" s="199" t="s">
        <v>417</v>
      </c>
      <c r="C1148" s="198" t="n">
        <v>512</v>
      </c>
      <c r="D1148" s="198" t="s">
        <v>906</v>
      </c>
      <c r="E1148" s="198" t="s">
        <v>908</v>
      </c>
      <c r="F1148" s="198" t="s">
        <v>363</v>
      </c>
      <c r="G1148" s="198" t="s">
        <v>364</v>
      </c>
      <c r="H1148" s="198" t="n">
        <v>15</v>
      </c>
      <c r="I1148" s="199" t="n">
        <v>15</v>
      </c>
      <c r="J1148" s="198" t="s">
        <v>904</v>
      </c>
      <c r="K1148" s="198" t="s">
        <v>1435</v>
      </c>
      <c r="L1148" s="234" t="n">
        <v>28060</v>
      </c>
      <c r="M1148" s="234" t="n">
        <v>14670</v>
      </c>
      <c r="N1148" s="234" t="n">
        <v>13.5</v>
      </c>
      <c r="O1148" s="407" t="n">
        <v>13390</v>
      </c>
      <c r="P1148" s="407" t="n">
        <v>11582.3</v>
      </c>
      <c r="Q1148" s="234" t="n">
        <v>2025</v>
      </c>
      <c r="R1148" s="234"/>
      <c r="S1148" s="248" t="n">
        <v>45826</v>
      </c>
      <c r="T1148" s="407" t="n">
        <f aca="false">Таблица18[[#This Row],[Вес нетто]]-Таблица18[[#This Row],[Зачетный вес]]</f>
        <v>1807.7</v>
      </c>
      <c r="U1148" s="409" t="n">
        <f aca="false">Таблица18[[#This Row],[Отход]]/Таблица18[[#This Row],[Вес нетто]]</f>
        <v>0.135003734129948</v>
      </c>
      <c r="V1148" s="234" t="n">
        <f aca="false">MONTH(Таблица18[[#This Row],[Дата акта]])</f>
        <v>6</v>
      </c>
      <c r="W1148" s="234" t="n">
        <v>18</v>
      </c>
      <c r="X1148" s="248" t="n">
        <f aca="false">DATE(1900,Таблица18[[#This Row],[Месяц]],Таблица18[[#This Row],[Число]])</f>
        <v>170</v>
      </c>
      <c r="Y1148" s="234"/>
      <c r="AF1148" s="411"/>
      <c r="AG1148" s="412"/>
    </row>
    <row r="1149" s="410" customFormat="true" ht="15" hidden="true" customHeight="true" outlineLevel="0" collapsed="false">
      <c r="A1149" s="198" t="s">
        <v>2771</v>
      </c>
      <c r="B1149" s="199" t="s">
        <v>417</v>
      </c>
      <c r="C1149" s="198" t="n">
        <v>513</v>
      </c>
      <c r="D1149" s="198" t="s">
        <v>906</v>
      </c>
      <c r="E1149" s="198" t="s">
        <v>908</v>
      </c>
      <c r="F1149" s="198" t="s">
        <v>519</v>
      </c>
      <c r="G1149" s="198" t="s">
        <v>523</v>
      </c>
      <c r="H1149" s="198" t="n">
        <v>15</v>
      </c>
      <c r="I1149" s="199" t="n">
        <v>15</v>
      </c>
      <c r="J1149" s="198" t="s">
        <v>904</v>
      </c>
      <c r="K1149" s="198" t="s">
        <v>1435</v>
      </c>
      <c r="L1149" s="234" t="n">
        <v>29120</v>
      </c>
      <c r="M1149" s="234" t="n">
        <v>15650</v>
      </c>
      <c r="N1149" s="234" t="n">
        <v>13.5</v>
      </c>
      <c r="O1149" s="407" t="n">
        <v>13470</v>
      </c>
      <c r="P1149" s="407" t="n">
        <v>11651.5</v>
      </c>
      <c r="Q1149" s="234" t="n">
        <v>2025</v>
      </c>
      <c r="R1149" s="234"/>
      <c r="S1149" s="248" t="n">
        <v>45826</v>
      </c>
      <c r="T1149" s="407" t="n">
        <f aca="false">Таблица18[[#This Row],[Вес нетто]]-Таблица18[[#This Row],[Зачетный вес]]</f>
        <v>1818.5</v>
      </c>
      <c r="U1149" s="409" t="n">
        <f aca="false">Таблица18[[#This Row],[Отход]]/Таблица18[[#This Row],[Вес нетто]]</f>
        <v>0.135003711952487</v>
      </c>
      <c r="V1149" s="234" t="n">
        <f aca="false">MONTH(Таблица18[[#This Row],[Дата акта]])</f>
        <v>6</v>
      </c>
      <c r="W1149" s="234" t="n">
        <v>18</v>
      </c>
      <c r="X1149" s="248" t="n">
        <f aca="false">DATE(1900,Таблица18[[#This Row],[Месяц]],Таблица18[[#This Row],[Число]])</f>
        <v>170</v>
      </c>
      <c r="Y1149" s="234"/>
      <c r="AF1149" s="411"/>
      <c r="AG1149" s="412"/>
    </row>
    <row r="1150" s="410" customFormat="true" ht="15" hidden="true" customHeight="true" outlineLevel="0" collapsed="false">
      <c r="A1150" s="198" t="s">
        <v>2772</v>
      </c>
      <c r="B1150" s="199" t="s">
        <v>417</v>
      </c>
      <c r="C1150" s="198" t="n">
        <v>514</v>
      </c>
      <c r="D1150" s="198" t="s">
        <v>906</v>
      </c>
      <c r="E1150" s="198" t="s">
        <v>908</v>
      </c>
      <c r="F1150" s="198" t="s">
        <v>359</v>
      </c>
      <c r="G1150" s="198" t="s">
        <v>426</v>
      </c>
      <c r="H1150" s="198" t="n">
        <v>15</v>
      </c>
      <c r="I1150" s="199" t="n">
        <v>15</v>
      </c>
      <c r="J1150" s="198" t="s">
        <v>904</v>
      </c>
      <c r="K1150" s="198" t="s">
        <v>1435</v>
      </c>
      <c r="L1150" s="234" t="n">
        <v>27390</v>
      </c>
      <c r="M1150" s="234" t="n">
        <v>13870</v>
      </c>
      <c r="N1150" s="234" t="n">
        <v>12.5</v>
      </c>
      <c r="O1150" s="407" t="n">
        <v>13520</v>
      </c>
      <c r="P1150" s="407" t="n">
        <v>11830</v>
      </c>
      <c r="Q1150" s="234" t="n">
        <v>2025</v>
      </c>
      <c r="R1150" s="234"/>
      <c r="S1150" s="248" t="n">
        <v>45826</v>
      </c>
      <c r="T1150" s="407" t="n">
        <f aca="false">Таблица18[[#This Row],[Вес нетто]]-Таблица18[[#This Row],[Зачетный вес]]</f>
        <v>1690</v>
      </c>
      <c r="U1150" s="409" t="n">
        <f aca="false">Таблица18[[#This Row],[Отход]]/Таблица18[[#This Row],[Вес нетто]]</f>
        <v>0.125</v>
      </c>
      <c r="V1150" s="234" t="n">
        <f aca="false">MONTH(Таблица18[[#This Row],[Дата акта]])</f>
        <v>6</v>
      </c>
      <c r="W1150" s="234" t="n">
        <v>18</v>
      </c>
      <c r="X1150" s="248" t="n">
        <f aca="false">DATE(1900,Таблица18[[#This Row],[Месяц]],Таблица18[[#This Row],[Число]])</f>
        <v>170</v>
      </c>
      <c r="Y1150" s="234"/>
      <c r="AF1150" s="411"/>
      <c r="AG1150" s="412"/>
    </row>
    <row r="1151" s="410" customFormat="true" ht="15" hidden="true" customHeight="true" outlineLevel="0" collapsed="false">
      <c r="A1151" s="198" t="s">
        <v>2773</v>
      </c>
      <c r="B1151" s="199" t="s">
        <v>417</v>
      </c>
      <c r="C1151" s="198" t="n">
        <v>515</v>
      </c>
      <c r="D1151" s="198" t="s">
        <v>906</v>
      </c>
      <c r="E1151" s="198" t="s">
        <v>908</v>
      </c>
      <c r="F1151" s="198" t="s">
        <v>439</v>
      </c>
      <c r="G1151" s="198" t="s">
        <v>443</v>
      </c>
      <c r="H1151" s="198" t="n">
        <v>15</v>
      </c>
      <c r="I1151" s="199" t="n">
        <v>15</v>
      </c>
      <c r="J1151" s="198" t="s">
        <v>904</v>
      </c>
      <c r="K1151" s="198" t="s">
        <v>1435</v>
      </c>
      <c r="L1151" s="234" t="n">
        <v>37650</v>
      </c>
      <c r="M1151" s="234" t="n">
        <v>24170</v>
      </c>
      <c r="N1151" s="234" t="n">
        <v>11.5</v>
      </c>
      <c r="O1151" s="407" t="n">
        <v>13480</v>
      </c>
      <c r="P1151" s="407" t="n">
        <v>11929.8</v>
      </c>
      <c r="Q1151" s="234" t="n">
        <v>2025</v>
      </c>
      <c r="R1151" s="234"/>
      <c r="S1151" s="248" t="n">
        <v>45826</v>
      </c>
      <c r="T1151" s="407" t="n">
        <f aca="false">Таблица18[[#This Row],[Вес нетто]]-Таблица18[[#This Row],[Зачетный вес]]</f>
        <v>1550.2</v>
      </c>
      <c r="U1151" s="409" t="n">
        <f aca="false">Таблица18[[#This Row],[Отход]]/Таблица18[[#This Row],[Вес нетто]]</f>
        <v>0.115</v>
      </c>
      <c r="V1151" s="234" t="n">
        <f aca="false">MONTH(Таблица18[[#This Row],[Дата акта]])</f>
        <v>6</v>
      </c>
      <c r="W1151" s="234" t="n">
        <v>18</v>
      </c>
      <c r="X1151" s="248" t="n">
        <f aca="false">DATE(1900,Таблица18[[#This Row],[Месяц]],Таблица18[[#This Row],[Число]])</f>
        <v>170</v>
      </c>
      <c r="Y1151" s="234"/>
      <c r="AF1151" s="411"/>
      <c r="AG1151" s="412"/>
    </row>
    <row r="1152" s="410" customFormat="true" ht="15" hidden="true" customHeight="true" outlineLevel="0" collapsed="false">
      <c r="A1152" s="198" t="s">
        <v>2774</v>
      </c>
      <c r="B1152" s="199" t="s">
        <v>886</v>
      </c>
      <c r="C1152" s="198" t="n">
        <v>498</v>
      </c>
      <c r="D1152" s="198" t="s">
        <v>911</v>
      </c>
      <c r="E1152" s="198" t="s">
        <v>899</v>
      </c>
      <c r="F1152" s="198" t="s">
        <v>553</v>
      </c>
      <c r="G1152" s="198" t="s">
        <v>557</v>
      </c>
      <c r="H1152" s="198" t="s">
        <v>133</v>
      </c>
      <c r="I1152" s="199" t="s">
        <v>133</v>
      </c>
      <c r="J1152" s="198" t="s">
        <v>909</v>
      </c>
      <c r="K1152" s="198" t="s">
        <v>1435</v>
      </c>
      <c r="L1152" s="234" t="n">
        <v>21170</v>
      </c>
      <c r="M1152" s="234" t="n">
        <v>14840</v>
      </c>
      <c r="N1152" s="234"/>
      <c r="O1152" s="407" t="n">
        <v>6330</v>
      </c>
      <c r="P1152" s="407" t="n">
        <v>6330</v>
      </c>
      <c r="Q1152" s="234" t="n">
        <v>2025</v>
      </c>
      <c r="R1152" s="234"/>
      <c r="S1152" s="248" t="n">
        <v>45824</v>
      </c>
      <c r="T1152" s="407" t="n">
        <f aca="false">Таблица18[[#This Row],[Вес нетто]]-Таблица18[[#This Row],[Зачетный вес]]</f>
        <v>0</v>
      </c>
      <c r="U1152" s="409" t="n">
        <f aca="false">Таблица18[[#This Row],[Отход]]/Таблица18[[#This Row],[Вес нетто]]</f>
        <v>0</v>
      </c>
      <c r="V1152" s="234" t="n">
        <f aca="false">MONTH(Таблица18[[#This Row],[Дата акта]])</f>
        <v>6</v>
      </c>
      <c r="W1152" s="234" t="n">
        <v>16</v>
      </c>
      <c r="X1152" s="248" t="n">
        <f aca="false">DATE(1900,Таблица18[[#This Row],[Месяц]],Таблица18[[#This Row],[Число]])</f>
        <v>168</v>
      </c>
      <c r="Y1152" s="234"/>
      <c r="AF1152" s="411"/>
      <c r="AG1152" s="412"/>
    </row>
    <row r="1153" s="410" customFormat="true" ht="15" hidden="true" customHeight="true" outlineLevel="0" collapsed="false">
      <c r="A1153" s="198" t="s">
        <v>2775</v>
      </c>
      <c r="B1153" s="199" t="s">
        <v>886</v>
      </c>
      <c r="C1153" s="198" t="n">
        <v>499</v>
      </c>
      <c r="D1153" s="198" t="s">
        <v>912</v>
      </c>
      <c r="E1153" s="198" t="s">
        <v>899</v>
      </c>
      <c r="F1153" s="198" t="s">
        <v>363</v>
      </c>
      <c r="G1153" s="198" t="s">
        <v>364</v>
      </c>
      <c r="H1153" s="198" t="n">
        <v>44</v>
      </c>
      <c r="I1153" s="199" t="n">
        <v>44</v>
      </c>
      <c r="J1153" s="198" t="s">
        <v>909</v>
      </c>
      <c r="K1153" s="198" t="s">
        <v>1435</v>
      </c>
      <c r="L1153" s="234" t="n">
        <v>21160</v>
      </c>
      <c r="M1153" s="234" t="n">
        <v>14540</v>
      </c>
      <c r="N1153" s="234"/>
      <c r="O1153" s="407" t="n">
        <v>6620</v>
      </c>
      <c r="P1153" s="407" t="n">
        <v>6620</v>
      </c>
      <c r="Q1153" s="234" t="n">
        <v>2025</v>
      </c>
      <c r="R1153" s="234"/>
      <c r="S1153" s="248" t="n">
        <v>45824</v>
      </c>
      <c r="T1153" s="407" t="n">
        <f aca="false">Таблица18[[#This Row],[Вес нетто]]-Таблица18[[#This Row],[Зачетный вес]]</f>
        <v>0</v>
      </c>
      <c r="U1153" s="409" t="n">
        <f aca="false">Таблица18[[#This Row],[Отход]]/Таблица18[[#This Row],[Вес нетто]]</f>
        <v>0</v>
      </c>
      <c r="V1153" s="234" t="n">
        <f aca="false">MONTH(Таблица18[[#This Row],[Дата акта]])</f>
        <v>6</v>
      </c>
      <c r="W1153" s="234" t="n">
        <v>16</v>
      </c>
      <c r="X1153" s="248" t="n">
        <f aca="false">DATE(1900,Таблица18[[#This Row],[Месяц]],Таблица18[[#This Row],[Число]])</f>
        <v>168</v>
      </c>
      <c r="Y1153" s="234"/>
      <c r="AF1153" s="411"/>
      <c r="AG1153" s="412"/>
    </row>
    <row r="1154" s="410" customFormat="true" ht="15" hidden="true" customHeight="true" outlineLevel="0" collapsed="false">
      <c r="A1154" s="198" t="s">
        <v>2776</v>
      </c>
      <c r="B1154" s="199" t="s">
        <v>886</v>
      </c>
      <c r="C1154" s="198" t="n">
        <v>502</v>
      </c>
      <c r="D1154" s="198" t="s">
        <v>913</v>
      </c>
      <c r="E1154" s="198" t="s">
        <v>899</v>
      </c>
      <c r="F1154" s="198" t="s">
        <v>427</v>
      </c>
      <c r="G1154" s="198" t="s">
        <v>431</v>
      </c>
      <c r="H1154" s="198" t="n">
        <v>44</v>
      </c>
      <c r="I1154" s="199" t="n">
        <v>44</v>
      </c>
      <c r="J1154" s="198" t="s">
        <v>909</v>
      </c>
      <c r="K1154" s="198" t="s">
        <v>1435</v>
      </c>
      <c r="L1154" s="234" t="n">
        <v>27440</v>
      </c>
      <c r="M1154" s="234" t="n">
        <v>21030</v>
      </c>
      <c r="N1154" s="234"/>
      <c r="O1154" s="407" t="n">
        <v>6410</v>
      </c>
      <c r="P1154" s="407" t="n">
        <v>6410</v>
      </c>
      <c r="Q1154" s="234" t="n">
        <v>2025</v>
      </c>
      <c r="R1154" s="234"/>
      <c r="S1154" s="248" t="n">
        <v>45824</v>
      </c>
      <c r="T1154" s="407" t="n">
        <f aca="false">Таблица18[[#This Row],[Вес нетто]]-Таблица18[[#This Row],[Зачетный вес]]</f>
        <v>0</v>
      </c>
      <c r="U1154" s="409" t="n">
        <f aca="false">Таблица18[[#This Row],[Отход]]/Таблица18[[#This Row],[Вес нетто]]</f>
        <v>0</v>
      </c>
      <c r="V1154" s="234" t="n">
        <f aca="false">MONTH(Таблица18[[#This Row],[Дата акта]])</f>
        <v>6</v>
      </c>
      <c r="W1154" s="234" t="n">
        <v>16</v>
      </c>
      <c r="X1154" s="248" t="n">
        <f aca="false">DATE(1900,Таблица18[[#This Row],[Месяц]],Таблица18[[#This Row],[Число]])</f>
        <v>168</v>
      </c>
      <c r="Y1154" s="234"/>
      <c r="AF1154" s="411"/>
      <c r="AG1154" s="412"/>
    </row>
    <row r="1155" s="410" customFormat="true" ht="15" hidden="true" customHeight="true" outlineLevel="0" collapsed="false">
      <c r="A1155" s="198" t="s">
        <v>2777</v>
      </c>
      <c r="B1155" s="199" t="s">
        <v>886</v>
      </c>
      <c r="C1155" s="198" t="n">
        <v>496</v>
      </c>
      <c r="D1155" s="198" t="s">
        <v>914</v>
      </c>
      <c r="E1155" s="198" t="s">
        <v>899</v>
      </c>
      <c r="F1155" s="198" t="s">
        <v>445</v>
      </c>
      <c r="G1155" s="198" t="s">
        <v>449</v>
      </c>
      <c r="H1155" s="198" t="n">
        <v>44</v>
      </c>
      <c r="I1155" s="199" t="n">
        <v>44</v>
      </c>
      <c r="J1155" s="198" t="s">
        <v>909</v>
      </c>
      <c r="K1155" s="198" t="s">
        <v>1435</v>
      </c>
      <c r="L1155" s="234" t="n">
        <v>29040</v>
      </c>
      <c r="M1155" s="234" t="n">
        <v>15530</v>
      </c>
      <c r="N1155" s="234"/>
      <c r="O1155" s="407" t="n">
        <v>13510</v>
      </c>
      <c r="P1155" s="407" t="n">
        <v>13510</v>
      </c>
      <c r="Q1155" s="234" t="n">
        <v>2025</v>
      </c>
      <c r="R1155" s="234"/>
      <c r="S1155" s="248" t="n">
        <v>45824</v>
      </c>
      <c r="T1155" s="407" t="n">
        <f aca="false">Таблица18[[#This Row],[Вес нетто]]-Таблица18[[#This Row],[Зачетный вес]]</f>
        <v>0</v>
      </c>
      <c r="U1155" s="409" t="n">
        <f aca="false">Таблица18[[#This Row],[Отход]]/Таблица18[[#This Row],[Вес нетто]]</f>
        <v>0</v>
      </c>
      <c r="V1155" s="234" t="n">
        <f aca="false">MONTH(Таблица18[[#This Row],[Дата акта]])</f>
        <v>6</v>
      </c>
      <c r="W1155" s="234" t="n">
        <v>16</v>
      </c>
      <c r="X1155" s="248" t="n">
        <f aca="false">DATE(1900,Таблица18[[#This Row],[Месяц]],Таблица18[[#This Row],[Число]])</f>
        <v>168</v>
      </c>
      <c r="Y1155" s="234"/>
      <c r="AF1155" s="411"/>
      <c r="AG1155" s="412"/>
    </row>
    <row r="1156" s="410" customFormat="true" ht="15" hidden="true" customHeight="true" outlineLevel="0" collapsed="false">
      <c r="A1156" s="198" t="s">
        <v>2778</v>
      </c>
      <c r="B1156" s="199" t="s">
        <v>886</v>
      </c>
      <c r="C1156" s="198" t="n">
        <v>501</v>
      </c>
      <c r="D1156" s="198" t="s">
        <v>915</v>
      </c>
      <c r="E1156" s="198" t="s">
        <v>899</v>
      </c>
      <c r="F1156" s="198" t="s">
        <v>451</v>
      </c>
      <c r="G1156" s="198" t="s">
        <v>455</v>
      </c>
      <c r="H1156" s="198" t="n">
        <v>44</v>
      </c>
      <c r="I1156" s="199" t="n">
        <v>44</v>
      </c>
      <c r="J1156" s="198" t="s">
        <v>909</v>
      </c>
      <c r="K1156" s="198" t="s">
        <v>1435</v>
      </c>
      <c r="L1156" s="234" t="n">
        <v>21600</v>
      </c>
      <c r="M1156" s="234" t="n">
        <v>15080</v>
      </c>
      <c r="N1156" s="234"/>
      <c r="O1156" s="407" t="n">
        <v>6520</v>
      </c>
      <c r="P1156" s="407" t="n">
        <v>6520</v>
      </c>
      <c r="Q1156" s="234" t="n">
        <v>2025</v>
      </c>
      <c r="R1156" s="234"/>
      <c r="S1156" s="248" t="n">
        <v>45824</v>
      </c>
      <c r="T1156" s="407" t="n">
        <f aca="false">Таблица18[[#This Row],[Вес нетто]]-Таблица18[[#This Row],[Зачетный вес]]</f>
        <v>0</v>
      </c>
      <c r="U1156" s="409" t="n">
        <f aca="false">Таблица18[[#This Row],[Отход]]/Таблица18[[#This Row],[Вес нетто]]</f>
        <v>0</v>
      </c>
      <c r="V1156" s="234" t="n">
        <f aca="false">MONTH(Таблица18[[#This Row],[Дата акта]])</f>
        <v>6</v>
      </c>
      <c r="W1156" s="234" t="n">
        <v>16</v>
      </c>
      <c r="X1156" s="248" t="n">
        <f aca="false">DATE(1900,Таблица18[[#This Row],[Месяц]],Таблица18[[#This Row],[Число]])</f>
        <v>168</v>
      </c>
      <c r="Y1156" s="234"/>
      <c r="AF1156" s="411"/>
      <c r="AG1156" s="412"/>
    </row>
    <row r="1157" s="410" customFormat="true" ht="15" hidden="true" customHeight="true" outlineLevel="0" collapsed="false">
      <c r="A1157" s="198" t="s">
        <v>2779</v>
      </c>
      <c r="B1157" s="199" t="s">
        <v>417</v>
      </c>
      <c r="C1157" s="198" t="n">
        <v>516</v>
      </c>
      <c r="D1157" s="198" t="s">
        <v>906</v>
      </c>
      <c r="E1157" s="198" t="s">
        <v>908</v>
      </c>
      <c r="F1157" s="198" t="s">
        <v>433</v>
      </c>
      <c r="G1157" s="198" t="s">
        <v>437</v>
      </c>
      <c r="H1157" s="198" t="n">
        <v>15</v>
      </c>
      <c r="I1157" s="199" t="n">
        <v>15</v>
      </c>
      <c r="J1157" s="198" t="s">
        <v>904</v>
      </c>
      <c r="K1157" s="198" t="s">
        <v>1435</v>
      </c>
      <c r="L1157" s="234" t="n">
        <v>28510</v>
      </c>
      <c r="M1157" s="234" t="n">
        <v>14990</v>
      </c>
      <c r="N1157" s="234" t="n">
        <v>6.5</v>
      </c>
      <c r="O1157" s="407" t="n">
        <v>13520</v>
      </c>
      <c r="P1157" s="407" t="n">
        <v>12641.2</v>
      </c>
      <c r="Q1157" s="234" t="n">
        <v>2025</v>
      </c>
      <c r="R1157" s="234"/>
      <c r="S1157" s="248" t="n">
        <v>45826</v>
      </c>
      <c r="T1157" s="407" t="n">
        <f aca="false">Таблица18[[#This Row],[Вес нетто]]-Таблица18[[#This Row],[Зачетный вес]]</f>
        <v>878.799999999999</v>
      </c>
      <c r="U1157" s="409" t="n">
        <f aca="false">Таблица18[[#This Row],[Отход]]/Таблица18[[#This Row],[Вес нетто]]</f>
        <v>0.065</v>
      </c>
      <c r="V1157" s="234" t="n">
        <f aca="false">MONTH(Таблица18[[#This Row],[Дата акта]])</f>
        <v>6</v>
      </c>
      <c r="W1157" s="234" t="n">
        <v>18</v>
      </c>
      <c r="X1157" s="248" t="n">
        <f aca="false">DATE(1900,Таблица18[[#This Row],[Месяц]],Таблица18[[#This Row],[Число]])</f>
        <v>170</v>
      </c>
      <c r="Y1157" s="234"/>
      <c r="AF1157" s="411"/>
      <c r="AG1157" s="412"/>
    </row>
    <row r="1158" s="410" customFormat="true" ht="15" hidden="true" customHeight="true" outlineLevel="0" collapsed="false">
      <c r="A1158" s="198" t="s">
        <v>2780</v>
      </c>
      <c r="B1158" s="199" t="s">
        <v>746</v>
      </c>
      <c r="C1158" s="198" t="n">
        <v>492</v>
      </c>
      <c r="D1158" s="198" t="s">
        <v>906</v>
      </c>
      <c r="E1158" s="198" t="s">
        <v>899</v>
      </c>
      <c r="F1158" s="198" t="s">
        <v>363</v>
      </c>
      <c r="G1158" s="198" t="s">
        <v>364</v>
      </c>
      <c r="H1158" s="198" t="n">
        <v>44</v>
      </c>
      <c r="I1158" s="199" t="n">
        <v>44</v>
      </c>
      <c r="J1158" s="198" t="s">
        <v>909</v>
      </c>
      <c r="K1158" s="198" t="s">
        <v>1435</v>
      </c>
      <c r="L1158" s="234" t="n">
        <v>27790</v>
      </c>
      <c r="M1158" s="234" t="n">
        <v>21160</v>
      </c>
      <c r="N1158" s="234" t="n">
        <v>14.5</v>
      </c>
      <c r="O1158" s="407" t="n">
        <v>6630</v>
      </c>
      <c r="P1158" s="407" t="n">
        <v>5668.6</v>
      </c>
      <c r="Q1158" s="234" t="n">
        <v>2025</v>
      </c>
      <c r="R1158" s="234"/>
      <c r="S1158" s="248" t="n">
        <v>45824</v>
      </c>
      <c r="T1158" s="407" t="n">
        <f aca="false">Таблица18[[#This Row],[Вес нетто]]-Таблица18[[#This Row],[Зачетный вес]]</f>
        <v>961.4</v>
      </c>
      <c r="U1158" s="409" t="n">
        <f aca="false">Таблица18[[#This Row],[Отход]]/Таблица18[[#This Row],[Вес нетто]]</f>
        <v>0.14500754147813</v>
      </c>
      <c r="V1158" s="234" t="n">
        <f aca="false">MONTH(Таблица18[[#This Row],[Дата акта]])</f>
        <v>6</v>
      </c>
      <c r="W1158" s="234" t="n">
        <v>16</v>
      </c>
      <c r="X1158" s="248" t="n">
        <f aca="false">DATE(1900,Таблица18[[#This Row],[Месяц]],Таблица18[[#This Row],[Число]])</f>
        <v>168</v>
      </c>
      <c r="Y1158" s="234"/>
      <c r="AF1158" s="411"/>
      <c r="AG1158" s="412"/>
    </row>
    <row r="1159" s="410" customFormat="true" ht="15" hidden="true" customHeight="true" outlineLevel="0" collapsed="false">
      <c r="A1159" s="198" t="s">
        <v>2781</v>
      </c>
      <c r="B1159" s="199" t="s">
        <v>746</v>
      </c>
      <c r="C1159" s="198" t="n">
        <v>493</v>
      </c>
      <c r="D1159" s="198" t="n">
        <v>90</v>
      </c>
      <c r="E1159" s="198" t="s">
        <v>899</v>
      </c>
      <c r="F1159" s="198" t="s">
        <v>451</v>
      </c>
      <c r="G1159" s="198" t="s">
        <v>455</v>
      </c>
      <c r="H1159" s="198" t="n">
        <v>44</v>
      </c>
      <c r="I1159" s="199" t="n">
        <v>44</v>
      </c>
      <c r="J1159" s="198" t="s">
        <v>909</v>
      </c>
      <c r="K1159" s="198" t="s">
        <v>1435</v>
      </c>
      <c r="L1159" s="234" t="n">
        <v>28260</v>
      </c>
      <c r="M1159" s="234" t="n">
        <v>21610</v>
      </c>
      <c r="N1159" s="234" t="n">
        <v>7.5</v>
      </c>
      <c r="O1159" s="407" t="n">
        <v>6650</v>
      </c>
      <c r="P1159" s="407" t="n">
        <v>6151.2</v>
      </c>
      <c r="Q1159" s="234" t="n">
        <v>2025</v>
      </c>
      <c r="R1159" s="234"/>
      <c r="S1159" s="248" t="n">
        <v>45824</v>
      </c>
      <c r="T1159" s="407" t="n">
        <f aca="false">Таблица18[[#This Row],[Вес нетто]]-Таблица18[[#This Row],[Зачетный вес]]</f>
        <v>498.8</v>
      </c>
      <c r="U1159" s="409" t="n">
        <f aca="false">Таблица18[[#This Row],[Отход]]/Таблица18[[#This Row],[Вес нетто]]</f>
        <v>0.0750075187969925</v>
      </c>
      <c r="V1159" s="234" t="n">
        <f aca="false">MONTH(Таблица18[[#This Row],[Дата акта]])</f>
        <v>6</v>
      </c>
      <c r="W1159" s="234" t="n">
        <v>16</v>
      </c>
      <c r="X1159" s="248" t="n">
        <f aca="false">DATE(1900,Таблица18[[#This Row],[Месяц]],Таблица18[[#This Row],[Число]])</f>
        <v>168</v>
      </c>
      <c r="Y1159" s="234"/>
      <c r="AF1159" s="411"/>
      <c r="AG1159" s="412"/>
    </row>
    <row r="1160" s="410" customFormat="true" ht="15" hidden="true" customHeight="true" outlineLevel="0" collapsed="false">
      <c r="A1160" s="198" t="s">
        <v>2782</v>
      </c>
      <c r="B1160" s="199" t="s">
        <v>746</v>
      </c>
      <c r="C1160" s="198" t="n">
        <v>500</v>
      </c>
      <c r="D1160" s="198" t="n">
        <v>92</v>
      </c>
      <c r="E1160" s="198" t="s">
        <v>899</v>
      </c>
      <c r="F1160" s="198" t="s">
        <v>427</v>
      </c>
      <c r="G1160" s="198" t="s">
        <v>431</v>
      </c>
      <c r="H1160" s="198" t="n">
        <v>44</v>
      </c>
      <c r="I1160" s="199" t="n">
        <v>44</v>
      </c>
      <c r="J1160" s="198" t="s">
        <v>909</v>
      </c>
      <c r="K1160" s="198" t="s">
        <v>1435</v>
      </c>
      <c r="L1160" s="234" t="n">
        <v>34230</v>
      </c>
      <c r="M1160" s="234" t="n">
        <v>27490</v>
      </c>
      <c r="N1160" s="234" t="n">
        <v>13.5</v>
      </c>
      <c r="O1160" s="407" t="n">
        <v>6740</v>
      </c>
      <c r="P1160" s="407" t="n">
        <v>5830.1</v>
      </c>
      <c r="Q1160" s="234" t="n">
        <v>2025</v>
      </c>
      <c r="R1160" s="234"/>
      <c r="S1160" s="248" t="n">
        <v>45824</v>
      </c>
      <c r="T1160" s="407" t="n">
        <f aca="false">Таблица18[[#This Row],[Вес нетто]]-Таблица18[[#This Row],[Зачетный вес]]</f>
        <v>909.9</v>
      </c>
      <c r="U1160" s="409" t="n">
        <f aca="false">Таблица18[[#This Row],[Отход]]/Таблица18[[#This Row],[Вес нетто]]</f>
        <v>0.135</v>
      </c>
      <c r="V1160" s="234" t="n">
        <f aca="false">MONTH(Таблица18[[#This Row],[Дата акта]])</f>
        <v>6</v>
      </c>
      <c r="W1160" s="234" t="n">
        <v>16</v>
      </c>
      <c r="X1160" s="248" t="n">
        <f aca="false">DATE(1900,Таблица18[[#This Row],[Месяц]],Таблица18[[#This Row],[Число]])</f>
        <v>168</v>
      </c>
      <c r="Y1160" s="234"/>
      <c r="AF1160" s="411"/>
      <c r="AG1160" s="412"/>
    </row>
    <row r="1161" s="410" customFormat="true" ht="15" hidden="true" customHeight="true" outlineLevel="0" collapsed="false">
      <c r="A1161" s="198" t="s">
        <v>2783</v>
      </c>
      <c r="B1161" s="199" t="s">
        <v>417</v>
      </c>
      <c r="C1161" s="198" t="n">
        <v>520</v>
      </c>
      <c r="D1161" s="198" t="s">
        <v>906</v>
      </c>
      <c r="E1161" s="198" t="s">
        <v>908</v>
      </c>
      <c r="F1161" s="198" t="s">
        <v>371</v>
      </c>
      <c r="G1161" s="198" t="s">
        <v>372</v>
      </c>
      <c r="H1161" s="198" t="n">
        <v>15</v>
      </c>
      <c r="I1161" s="199" t="n">
        <v>15</v>
      </c>
      <c r="J1161" s="198" t="s">
        <v>904</v>
      </c>
      <c r="K1161" s="198" t="s">
        <v>1435</v>
      </c>
      <c r="L1161" s="234" t="n">
        <v>28350</v>
      </c>
      <c r="M1161" s="234" t="n">
        <v>15040</v>
      </c>
      <c r="N1161" s="234" t="n">
        <v>12.5</v>
      </c>
      <c r="O1161" s="407" t="n">
        <v>13310</v>
      </c>
      <c r="P1161" s="407" t="n">
        <v>11646.2</v>
      </c>
      <c r="Q1161" s="234" t="n">
        <v>2025</v>
      </c>
      <c r="R1161" s="234"/>
      <c r="S1161" s="248" t="n">
        <v>45826</v>
      </c>
      <c r="T1161" s="407" t="n">
        <f aca="false">Таблица18[[#This Row],[Вес нетто]]-Таблица18[[#This Row],[Зачетный вес]]</f>
        <v>1663.8</v>
      </c>
      <c r="U1161" s="409" t="n">
        <f aca="false">Таблица18[[#This Row],[Отход]]/Таблица18[[#This Row],[Вес нетто]]</f>
        <v>0.125003756574004</v>
      </c>
      <c r="V1161" s="234" t="n">
        <f aca="false">MONTH(Таблица18[[#This Row],[Дата акта]])</f>
        <v>6</v>
      </c>
      <c r="W1161" s="234" t="n">
        <v>18</v>
      </c>
      <c r="X1161" s="248" t="n">
        <f aca="false">DATE(1900,Таблица18[[#This Row],[Месяц]],Таблица18[[#This Row],[Число]])</f>
        <v>170</v>
      </c>
      <c r="Y1161" s="234"/>
      <c r="AF1161" s="411"/>
      <c r="AG1161" s="412"/>
    </row>
    <row r="1162" s="410" customFormat="true" ht="15" hidden="true" customHeight="true" outlineLevel="0" collapsed="false">
      <c r="A1162" s="198" t="s">
        <v>2784</v>
      </c>
      <c r="B1162" s="199" t="s">
        <v>886</v>
      </c>
      <c r="C1162" s="198" t="n">
        <v>496</v>
      </c>
      <c r="D1162" s="198" t="s">
        <v>917</v>
      </c>
      <c r="E1162" s="198" t="s">
        <v>899</v>
      </c>
      <c r="F1162" s="198" t="s">
        <v>395</v>
      </c>
      <c r="G1162" s="198" t="s">
        <v>566</v>
      </c>
      <c r="H1162" s="198" t="n">
        <v>44</v>
      </c>
      <c r="I1162" s="199" t="n">
        <v>44</v>
      </c>
      <c r="J1162" s="198" t="s">
        <v>909</v>
      </c>
      <c r="K1162" s="198" t="s">
        <v>1435</v>
      </c>
      <c r="L1162" s="234" t="n">
        <v>27700</v>
      </c>
      <c r="M1162" s="234" t="n">
        <v>14440</v>
      </c>
      <c r="N1162" s="234" t="n">
        <v>12</v>
      </c>
      <c r="O1162" s="407" t="n">
        <v>13260</v>
      </c>
      <c r="P1162" s="407" t="n">
        <v>11669</v>
      </c>
      <c r="Q1162" s="234" t="n">
        <v>2025</v>
      </c>
      <c r="R1162" s="234"/>
      <c r="S1162" s="248" t="n">
        <v>45824</v>
      </c>
      <c r="T1162" s="407" t="n">
        <f aca="false">Таблица18[[#This Row],[Вес нетто]]-Таблица18[[#This Row],[Зачетный вес]]</f>
        <v>1591</v>
      </c>
      <c r="U1162" s="409" t="n">
        <f aca="false">Таблица18[[#This Row],[Отход]]/Таблица18[[#This Row],[Вес нетто]]</f>
        <v>0.119984917043741</v>
      </c>
      <c r="V1162" s="234" t="n">
        <f aca="false">MONTH(Таблица18[[#This Row],[Дата акта]])</f>
        <v>6</v>
      </c>
      <c r="W1162" s="234" t="n">
        <v>16</v>
      </c>
      <c r="X1162" s="248" t="n">
        <f aca="false">DATE(1900,Таблица18[[#This Row],[Месяц]],Таблица18[[#This Row],[Число]])</f>
        <v>168</v>
      </c>
      <c r="Y1162" s="234"/>
      <c r="AF1162" s="411"/>
      <c r="AG1162" s="412"/>
    </row>
    <row r="1163" s="410" customFormat="true" ht="15" hidden="true" customHeight="true" outlineLevel="0" collapsed="false">
      <c r="A1163" s="198" t="s">
        <v>2785</v>
      </c>
      <c r="B1163" s="199" t="s">
        <v>886</v>
      </c>
      <c r="C1163" s="198" t="n">
        <v>496</v>
      </c>
      <c r="D1163" s="198" t="s">
        <v>919</v>
      </c>
      <c r="E1163" s="198" t="s">
        <v>899</v>
      </c>
      <c r="F1163" s="198" t="s">
        <v>48</v>
      </c>
      <c r="G1163" s="198" t="s">
        <v>918</v>
      </c>
      <c r="H1163" s="198" t="n">
        <v>44</v>
      </c>
      <c r="I1163" s="199" t="n">
        <v>44</v>
      </c>
      <c r="J1163" s="198" t="s">
        <v>909</v>
      </c>
      <c r="K1163" s="198" t="s">
        <v>1435</v>
      </c>
      <c r="L1163" s="234" t="n">
        <v>28260</v>
      </c>
      <c r="M1163" s="234" t="n">
        <v>15060</v>
      </c>
      <c r="N1163" s="234" t="n">
        <v>12.4</v>
      </c>
      <c r="O1163" s="407" t="n">
        <v>13200</v>
      </c>
      <c r="P1163" s="407" t="n">
        <v>11564</v>
      </c>
      <c r="Q1163" s="234" t="n">
        <v>2025</v>
      </c>
      <c r="R1163" s="234"/>
      <c r="S1163" s="248" t="n">
        <v>45824</v>
      </c>
      <c r="T1163" s="407" t="n">
        <f aca="false">Таблица18[[#This Row],[Вес нетто]]-Таблица18[[#This Row],[Зачетный вес]]</f>
        <v>1636</v>
      </c>
      <c r="U1163" s="409" t="n">
        <f aca="false">Таблица18[[#This Row],[Отход]]/Таблица18[[#This Row],[Вес нетто]]</f>
        <v>0.123939393939394</v>
      </c>
      <c r="V1163" s="234" t="n">
        <f aca="false">MONTH(Таблица18[[#This Row],[Дата акта]])</f>
        <v>6</v>
      </c>
      <c r="W1163" s="234" t="n">
        <v>16</v>
      </c>
      <c r="X1163" s="248" t="n">
        <f aca="false">DATE(1900,Таблица18[[#This Row],[Месяц]],Таблица18[[#This Row],[Число]])</f>
        <v>168</v>
      </c>
      <c r="Y1163" s="234"/>
      <c r="AF1163" s="411"/>
      <c r="AG1163" s="412"/>
    </row>
    <row r="1164" s="410" customFormat="true" ht="15" hidden="true" customHeight="true" outlineLevel="0" collapsed="false">
      <c r="A1164" s="198" t="s">
        <v>2786</v>
      </c>
      <c r="B1164" s="199" t="s">
        <v>886</v>
      </c>
      <c r="C1164" s="198" t="n">
        <v>496</v>
      </c>
      <c r="D1164" s="198" t="s">
        <v>920</v>
      </c>
      <c r="E1164" s="198" t="s">
        <v>899</v>
      </c>
      <c r="F1164" s="198" t="s">
        <v>395</v>
      </c>
      <c r="G1164" s="198" t="s">
        <v>566</v>
      </c>
      <c r="H1164" s="198" t="n">
        <v>44</v>
      </c>
      <c r="I1164" s="199" t="n">
        <v>44</v>
      </c>
      <c r="J1164" s="198" t="s">
        <v>909</v>
      </c>
      <c r="K1164" s="198" t="s">
        <v>1435</v>
      </c>
      <c r="L1164" s="234" t="n">
        <v>27900</v>
      </c>
      <c r="M1164" s="234" t="n">
        <v>14460</v>
      </c>
      <c r="N1164" s="234" t="n">
        <v>15.2</v>
      </c>
      <c r="O1164" s="407" t="n">
        <v>13440</v>
      </c>
      <c r="P1164" s="407" t="n">
        <v>11397</v>
      </c>
      <c r="Q1164" s="234" t="n">
        <v>2025</v>
      </c>
      <c r="R1164" s="234"/>
      <c r="S1164" s="248" t="n">
        <v>45825</v>
      </c>
      <c r="T1164" s="407" t="n">
        <f aca="false">Таблица18[[#This Row],[Вес нетто]]-Таблица18[[#This Row],[Зачетный вес]]</f>
        <v>2043</v>
      </c>
      <c r="U1164" s="409" t="n">
        <f aca="false">Таблица18[[#This Row],[Отход]]/Таблица18[[#This Row],[Вес нетто]]</f>
        <v>0.152008928571429</v>
      </c>
      <c r="V1164" s="234" t="n">
        <f aca="false">MONTH(Таблица18[[#This Row],[Дата акта]])</f>
        <v>6</v>
      </c>
      <c r="W1164" s="234" t="n">
        <v>17</v>
      </c>
      <c r="X1164" s="248" t="n">
        <f aca="false">DATE(1900,Таблица18[[#This Row],[Месяц]],Таблица18[[#This Row],[Число]])</f>
        <v>169</v>
      </c>
      <c r="Y1164" s="234"/>
      <c r="AF1164" s="411"/>
      <c r="AG1164" s="412"/>
    </row>
    <row r="1165" s="410" customFormat="true" ht="15" hidden="true" customHeight="true" outlineLevel="0" collapsed="false">
      <c r="A1165" s="198" t="s">
        <v>2787</v>
      </c>
      <c r="B1165" s="199" t="s">
        <v>417</v>
      </c>
      <c r="C1165" s="198" t="n">
        <v>521</v>
      </c>
      <c r="D1165" s="198" t="s">
        <v>906</v>
      </c>
      <c r="E1165" s="198" t="s">
        <v>908</v>
      </c>
      <c r="F1165" s="198" t="s">
        <v>384</v>
      </c>
      <c r="G1165" s="198" t="s">
        <v>385</v>
      </c>
      <c r="H1165" s="198" t="n">
        <v>15</v>
      </c>
      <c r="I1165" s="199" t="n">
        <v>15</v>
      </c>
      <c r="J1165" s="198" t="s">
        <v>904</v>
      </c>
      <c r="K1165" s="198" t="s">
        <v>1435</v>
      </c>
      <c r="L1165" s="234" t="n">
        <v>27510</v>
      </c>
      <c r="M1165" s="234" t="n">
        <v>14650</v>
      </c>
      <c r="N1165" s="234" t="n">
        <v>6.5</v>
      </c>
      <c r="O1165" s="407" t="n">
        <v>12860</v>
      </c>
      <c r="P1165" s="407" t="n">
        <v>12024.1</v>
      </c>
      <c r="Q1165" s="234" t="n">
        <v>2025</v>
      </c>
      <c r="R1165" s="234"/>
      <c r="S1165" s="248" t="n">
        <v>45826</v>
      </c>
      <c r="T1165" s="407" t="n">
        <f aca="false">Таблица18[[#This Row],[Вес нетто]]-Таблица18[[#This Row],[Зачетный вес]]</f>
        <v>835.9</v>
      </c>
      <c r="U1165" s="409" t="n">
        <f aca="false">Таблица18[[#This Row],[Отход]]/Таблица18[[#This Row],[Вес нетто]]</f>
        <v>0.065</v>
      </c>
      <c r="V1165" s="234" t="n">
        <f aca="false">MONTH(Таблица18[[#This Row],[Дата акта]])</f>
        <v>6</v>
      </c>
      <c r="W1165" s="234" t="n">
        <v>18</v>
      </c>
      <c r="X1165" s="248" t="n">
        <f aca="false">DATE(1900,Таблица18[[#This Row],[Месяц]],Таблица18[[#This Row],[Число]])</f>
        <v>170</v>
      </c>
      <c r="Y1165" s="234"/>
      <c r="AF1165" s="411"/>
      <c r="AG1165" s="412"/>
    </row>
    <row r="1166" s="410" customFormat="true" ht="15" hidden="true" customHeight="true" outlineLevel="0" collapsed="false">
      <c r="A1166" s="198" t="s">
        <v>2788</v>
      </c>
      <c r="B1166" s="199" t="s">
        <v>886</v>
      </c>
      <c r="C1166" s="198" t="n">
        <v>496</v>
      </c>
      <c r="D1166" s="198" t="s">
        <v>921</v>
      </c>
      <c r="E1166" s="198" t="s">
        <v>899</v>
      </c>
      <c r="F1166" s="198" t="s">
        <v>511</v>
      </c>
      <c r="G1166" s="198" t="s">
        <v>515</v>
      </c>
      <c r="H1166" s="198" t="n">
        <v>44</v>
      </c>
      <c r="I1166" s="199" t="n">
        <v>44</v>
      </c>
      <c r="J1166" s="198" t="s">
        <v>909</v>
      </c>
      <c r="K1166" s="198" t="s">
        <v>1435</v>
      </c>
      <c r="L1166" s="234" t="n">
        <v>27960</v>
      </c>
      <c r="M1166" s="234" t="n">
        <v>15040</v>
      </c>
      <c r="N1166" s="234" t="n">
        <v>11.2</v>
      </c>
      <c r="O1166" s="407" t="n">
        <v>12920</v>
      </c>
      <c r="P1166" s="407" t="n">
        <v>11479</v>
      </c>
      <c r="Q1166" s="234" t="n">
        <v>2025</v>
      </c>
      <c r="R1166" s="234"/>
      <c r="S1166" s="248" t="n">
        <v>45825</v>
      </c>
      <c r="T1166" s="407" t="n">
        <f aca="false">Таблица18[[#This Row],[Вес нетто]]-Таблица18[[#This Row],[Зачетный вес]]</f>
        <v>1441</v>
      </c>
      <c r="U1166" s="409" t="n">
        <f aca="false">Таблица18[[#This Row],[Отход]]/Таблица18[[#This Row],[Вес нетто]]</f>
        <v>0.111532507739938</v>
      </c>
      <c r="V1166" s="234" t="n">
        <f aca="false">MONTH(Таблица18[[#This Row],[Дата акта]])</f>
        <v>6</v>
      </c>
      <c r="W1166" s="234" t="n">
        <v>17</v>
      </c>
      <c r="X1166" s="248" t="n">
        <f aca="false">DATE(1900,Таблица18[[#This Row],[Месяц]],Таблица18[[#This Row],[Число]])</f>
        <v>169</v>
      </c>
      <c r="Y1166" s="234"/>
      <c r="AF1166" s="411"/>
      <c r="AG1166" s="412"/>
    </row>
    <row r="1167" s="410" customFormat="true" ht="15" hidden="true" customHeight="true" outlineLevel="0" collapsed="false">
      <c r="A1167" s="198" t="s">
        <v>2789</v>
      </c>
      <c r="B1167" s="199" t="s">
        <v>886</v>
      </c>
      <c r="C1167" s="198" t="n">
        <v>496</v>
      </c>
      <c r="D1167" s="198" t="s">
        <v>923</v>
      </c>
      <c r="E1167" s="198" t="s">
        <v>899</v>
      </c>
      <c r="F1167" s="198" t="s">
        <v>395</v>
      </c>
      <c r="G1167" s="198" t="s">
        <v>566</v>
      </c>
      <c r="H1167" s="198" t="n">
        <v>44</v>
      </c>
      <c r="I1167" s="199" t="n">
        <v>44</v>
      </c>
      <c r="J1167" s="198" t="s">
        <v>909</v>
      </c>
      <c r="K1167" s="198" t="s">
        <v>1435</v>
      </c>
      <c r="L1167" s="234" t="n">
        <v>27600</v>
      </c>
      <c r="M1167" s="234" t="n">
        <v>14580</v>
      </c>
      <c r="N1167" s="234" t="n">
        <v>12.4</v>
      </c>
      <c r="O1167" s="407" t="n">
        <v>13020</v>
      </c>
      <c r="P1167" s="407" t="n">
        <v>11406</v>
      </c>
      <c r="Q1167" s="234" t="n">
        <v>2025</v>
      </c>
      <c r="R1167" s="234"/>
      <c r="S1167" s="248" t="n">
        <v>45825</v>
      </c>
      <c r="T1167" s="407" t="n">
        <f aca="false">Таблица18[[#This Row],[Вес нетто]]-Таблица18[[#This Row],[Зачетный вес]]</f>
        <v>1614</v>
      </c>
      <c r="U1167" s="409" t="n">
        <f aca="false">Таблица18[[#This Row],[Отход]]/Таблица18[[#This Row],[Вес нетто]]</f>
        <v>0.123963133640553</v>
      </c>
      <c r="V1167" s="234" t="n">
        <f aca="false">MONTH(Таблица18[[#This Row],[Дата акта]])</f>
        <v>6</v>
      </c>
      <c r="W1167" s="234" t="n">
        <v>17</v>
      </c>
      <c r="X1167" s="248" t="n">
        <f aca="false">DATE(1900,Таблица18[[#This Row],[Месяц]],Таблица18[[#This Row],[Число]])</f>
        <v>169</v>
      </c>
      <c r="Y1167" s="234"/>
      <c r="AF1167" s="411"/>
      <c r="AG1167" s="412"/>
    </row>
    <row r="1168" s="410" customFormat="true" ht="15" hidden="true" customHeight="true" outlineLevel="0" collapsed="false">
      <c r="A1168" s="198" t="s">
        <v>2790</v>
      </c>
      <c r="B1168" s="199" t="s">
        <v>886</v>
      </c>
      <c r="C1168" s="198" t="n">
        <v>496</v>
      </c>
      <c r="D1168" s="198" t="s">
        <v>925</v>
      </c>
      <c r="E1168" s="198" t="s">
        <v>899</v>
      </c>
      <c r="F1168" s="198" t="s">
        <v>48</v>
      </c>
      <c r="G1168" s="198" t="s">
        <v>918</v>
      </c>
      <c r="H1168" s="198" t="n">
        <v>44</v>
      </c>
      <c r="I1168" s="199" t="n">
        <v>44</v>
      </c>
      <c r="J1168" s="198" t="s">
        <v>909</v>
      </c>
      <c r="K1168" s="198" t="s">
        <v>1435</v>
      </c>
      <c r="L1168" s="234" t="n">
        <v>28340</v>
      </c>
      <c r="M1168" s="234" t="n">
        <v>15100</v>
      </c>
      <c r="N1168" s="234" t="n">
        <v>10.1</v>
      </c>
      <c r="O1168" s="407" t="n">
        <v>13240</v>
      </c>
      <c r="P1168" s="407" t="n">
        <v>11907</v>
      </c>
      <c r="Q1168" s="234" t="n">
        <v>2025</v>
      </c>
      <c r="R1168" s="234"/>
      <c r="S1168" s="248" t="n">
        <v>45825</v>
      </c>
      <c r="T1168" s="407" t="n">
        <f aca="false">Таблица18[[#This Row],[Вес нетто]]-Таблица18[[#This Row],[Зачетный вес]]</f>
        <v>1333</v>
      </c>
      <c r="U1168" s="409" t="n">
        <f aca="false">Таблица18[[#This Row],[Отход]]/Таблица18[[#This Row],[Вес нетто]]</f>
        <v>0.100679758308157</v>
      </c>
      <c r="V1168" s="234" t="n">
        <f aca="false">MONTH(Таблица18[[#This Row],[Дата акта]])</f>
        <v>6</v>
      </c>
      <c r="W1168" s="234" t="n">
        <v>17</v>
      </c>
      <c r="X1168" s="248" t="n">
        <f aca="false">DATE(1900,Таблица18[[#This Row],[Месяц]],Таблица18[[#This Row],[Число]])</f>
        <v>169</v>
      </c>
      <c r="Y1168" s="234"/>
      <c r="AF1168" s="411"/>
      <c r="AG1168" s="412"/>
    </row>
    <row r="1169" s="410" customFormat="true" ht="15" hidden="true" customHeight="true" outlineLevel="0" collapsed="false">
      <c r="A1169" s="198" t="s">
        <v>2791</v>
      </c>
      <c r="B1169" s="199" t="s">
        <v>886</v>
      </c>
      <c r="C1169" s="198" t="n">
        <v>496</v>
      </c>
      <c r="D1169" s="198" t="s">
        <v>927</v>
      </c>
      <c r="E1169" s="198" t="s">
        <v>899</v>
      </c>
      <c r="F1169" s="198" t="s">
        <v>48</v>
      </c>
      <c r="G1169" s="198" t="s">
        <v>918</v>
      </c>
      <c r="H1169" s="198" t="n">
        <v>44</v>
      </c>
      <c r="I1169" s="199" t="n">
        <v>44</v>
      </c>
      <c r="J1169" s="198" t="s">
        <v>909</v>
      </c>
      <c r="K1169" s="198" t="s">
        <v>1435</v>
      </c>
      <c r="L1169" s="234" t="n">
        <v>28460</v>
      </c>
      <c r="M1169" s="234" t="n">
        <v>15120</v>
      </c>
      <c r="N1169" s="234" t="n">
        <v>17.7</v>
      </c>
      <c r="O1169" s="407" t="n">
        <v>13340</v>
      </c>
      <c r="P1169" s="407" t="n">
        <v>10979</v>
      </c>
      <c r="Q1169" s="234" t="n">
        <v>2025</v>
      </c>
      <c r="R1169" s="234"/>
      <c r="S1169" s="248" t="n">
        <v>45825</v>
      </c>
      <c r="T1169" s="407" t="n">
        <f aca="false">Таблица18[[#This Row],[Вес нетто]]-Таблица18[[#This Row],[Зачетный вес]]</f>
        <v>2361</v>
      </c>
      <c r="U1169" s="409" t="n">
        <f aca="false">Таблица18[[#This Row],[Отход]]/Таблица18[[#This Row],[Вес нетто]]</f>
        <v>0.176986506746627</v>
      </c>
      <c r="V1169" s="234" t="n">
        <f aca="false">MONTH(Таблица18[[#This Row],[Дата акта]])</f>
        <v>6</v>
      </c>
      <c r="W1169" s="234" t="n">
        <v>17</v>
      </c>
      <c r="X1169" s="248" t="n">
        <f aca="false">DATE(1900,Таблица18[[#This Row],[Месяц]],Таблица18[[#This Row],[Число]])</f>
        <v>169</v>
      </c>
      <c r="Y1169" s="234"/>
      <c r="AF1169" s="411"/>
      <c r="AG1169" s="412"/>
    </row>
    <row r="1170" s="410" customFormat="true" ht="15" hidden="true" customHeight="true" outlineLevel="0" collapsed="false">
      <c r="A1170" s="198" t="s">
        <v>2792</v>
      </c>
      <c r="B1170" s="199" t="s">
        <v>886</v>
      </c>
      <c r="C1170" s="198" t="n">
        <v>496</v>
      </c>
      <c r="D1170" s="198" t="s">
        <v>929</v>
      </c>
      <c r="E1170" s="198" t="s">
        <v>899</v>
      </c>
      <c r="F1170" s="198" t="s">
        <v>511</v>
      </c>
      <c r="G1170" s="198" t="s">
        <v>515</v>
      </c>
      <c r="H1170" s="198" t="n">
        <v>44</v>
      </c>
      <c r="I1170" s="199" t="n">
        <v>44</v>
      </c>
      <c r="J1170" s="198" t="s">
        <v>909</v>
      </c>
      <c r="K1170" s="198" t="s">
        <v>1435</v>
      </c>
      <c r="L1170" s="234" t="n">
        <v>32380</v>
      </c>
      <c r="M1170" s="234" t="n">
        <v>15000</v>
      </c>
      <c r="N1170" s="234" t="n">
        <v>11.4</v>
      </c>
      <c r="O1170" s="407" t="n">
        <v>17380</v>
      </c>
      <c r="P1170" s="407" t="n">
        <v>15396</v>
      </c>
      <c r="Q1170" s="234" t="n">
        <v>2025</v>
      </c>
      <c r="R1170" s="234"/>
      <c r="S1170" s="248" t="n">
        <v>45825</v>
      </c>
      <c r="T1170" s="407" t="n">
        <f aca="false">Таблица18[[#This Row],[Вес нетто]]-Таблица18[[#This Row],[Зачетный вес]]</f>
        <v>1984</v>
      </c>
      <c r="U1170" s="409" t="n">
        <f aca="false">Таблица18[[#This Row],[Отход]]/Таблица18[[#This Row],[Вес нетто]]</f>
        <v>0.11415420023015</v>
      </c>
      <c r="V1170" s="234" t="n">
        <f aca="false">MONTH(Таблица18[[#This Row],[Дата акта]])</f>
        <v>6</v>
      </c>
      <c r="W1170" s="234" t="n">
        <v>17</v>
      </c>
      <c r="X1170" s="248" t="n">
        <f aca="false">DATE(1900,Таблица18[[#This Row],[Месяц]],Таблица18[[#This Row],[Число]])</f>
        <v>169</v>
      </c>
      <c r="Y1170" s="234"/>
      <c r="AF1170" s="411"/>
      <c r="AG1170" s="412"/>
    </row>
    <row r="1171" s="410" customFormat="true" ht="15" hidden="true" customHeight="true" outlineLevel="0" collapsed="false">
      <c r="A1171" s="198" t="s">
        <v>2793</v>
      </c>
      <c r="B1171" s="199" t="s">
        <v>886</v>
      </c>
      <c r="C1171" s="198" t="n">
        <v>496</v>
      </c>
      <c r="D1171" s="198" t="s">
        <v>931</v>
      </c>
      <c r="E1171" s="198" t="s">
        <v>899</v>
      </c>
      <c r="F1171" s="198" t="s">
        <v>511</v>
      </c>
      <c r="G1171" s="198" t="s">
        <v>515</v>
      </c>
      <c r="H1171" s="198" t="n">
        <v>44</v>
      </c>
      <c r="I1171" s="199" t="n">
        <v>44</v>
      </c>
      <c r="J1171" s="198" t="s">
        <v>909</v>
      </c>
      <c r="K1171" s="198" t="s">
        <v>1435</v>
      </c>
      <c r="L1171" s="234" t="n">
        <v>28240</v>
      </c>
      <c r="M1171" s="234" t="n">
        <v>14740</v>
      </c>
      <c r="N1171" s="234" t="n">
        <v>13.8</v>
      </c>
      <c r="O1171" s="407" t="n">
        <v>13500</v>
      </c>
      <c r="P1171" s="407" t="n">
        <v>11634</v>
      </c>
      <c r="Q1171" s="234" t="n">
        <v>2025</v>
      </c>
      <c r="R1171" s="234"/>
      <c r="S1171" s="248" t="n">
        <v>45825</v>
      </c>
      <c r="T1171" s="407" t="n">
        <f aca="false">Таблица18[[#This Row],[Вес нетто]]-Таблица18[[#This Row],[Зачетный вес]]</f>
        <v>1866</v>
      </c>
      <c r="U1171" s="409" t="n">
        <f aca="false">Таблица18[[#This Row],[Отход]]/Таблица18[[#This Row],[Вес нетто]]</f>
        <v>0.138222222222222</v>
      </c>
      <c r="V1171" s="234" t="n">
        <f aca="false">MONTH(Таблица18[[#This Row],[Дата акта]])</f>
        <v>6</v>
      </c>
      <c r="W1171" s="234" t="n">
        <v>17</v>
      </c>
      <c r="X1171" s="248" t="n">
        <f aca="false">DATE(1900,Таблица18[[#This Row],[Месяц]],Таблица18[[#This Row],[Число]])</f>
        <v>169</v>
      </c>
      <c r="Y1171" s="234"/>
      <c r="AF1171" s="411"/>
      <c r="AG1171" s="412"/>
    </row>
    <row r="1172" s="410" customFormat="true" ht="15" hidden="true" customHeight="true" outlineLevel="0" collapsed="false">
      <c r="A1172" s="198" t="s">
        <v>2794</v>
      </c>
      <c r="B1172" s="199" t="s">
        <v>886</v>
      </c>
      <c r="C1172" s="198" t="n">
        <v>502</v>
      </c>
      <c r="D1172" s="198" t="s">
        <v>934</v>
      </c>
      <c r="E1172" s="198" t="s">
        <v>899</v>
      </c>
      <c r="F1172" s="198" t="s">
        <v>933</v>
      </c>
      <c r="G1172" s="198" t="s">
        <v>470</v>
      </c>
      <c r="H1172" s="198" t="n">
        <v>44</v>
      </c>
      <c r="I1172" s="199" t="n">
        <v>44</v>
      </c>
      <c r="J1172" s="198" t="s">
        <v>909</v>
      </c>
      <c r="K1172" s="198" t="s">
        <v>1435</v>
      </c>
      <c r="L1172" s="234" t="n">
        <v>27900</v>
      </c>
      <c r="M1172" s="234" t="n">
        <v>14940</v>
      </c>
      <c r="N1172" s="234" t="n">
        <v>15.9</v>
      </c>
      <c r="O1172" s="407" t="n">
        <v>12960</v>
      </c>
      <c r="P1172" s="407" t="n">
        <v>10897</v>
      </c>
      <c r="Q1172" s="234" t="n">
        <v>2025</v>
      </c>
      <c r="R1172" s="234"/>
      <c r="S1172" s="248" t="n">
        <v>45825</v>
      </c>
      <c r="T1172" s="407" t="n">
        <f aca="false">Таблица18[[#This Row],[Вес нетто]]-Таблица18[[#This Row],[Зачетный вес]]</f>
        <v>2063</v>
      </c>
      <c r="U1172" s="409" t="n">
        <f aca="false">Таблица18[[#This Row],[Отход]]/Таблица18[[#This Row],[Вес нетто]]</f>
        <v>0.159182098765432</v>
      </c>
      <c r="V1172" s="234" t="n">
        <f aca="false">MONTH(Таблица18[[#This Row],[Дата акта]])</f>
        <v>6</v>
      </c>
      <c r="W1172" s="234" t="n">
        <v>17</v>
      </c>
      <c r="X1172" s="248" t="n">
        <f aca="false">DATE(1900,Таблица18[[#This Row],[Месяц]],Таблица18[[#This Row],[Число]])</f>
        <v>169</v>
      </c>
      <c r="Y1172" s="234"/>
      <c r="AF1172" s="411"/>
      <c r="AG1172" s="412"/>
    </row>
    <row r="1173" s="410" customFormat="true" ht="15" hidden="true" customHeight="true" outlineLevel="0" collapsed="false">
      <c r="A1173" s="198" t="s">
        <v>2795</v>
      </c>
      <c r="B1173" s="199" t="s">
        <v>417</v>
      </c>
      <c r="C1173" s="198" t="n">
        <v>523</v>
      </c>
      <c r="D1173" s="198" t="s">
        <v>906</v>
      </c>
      <c r="E1173" s="198" t="s">
        <v>908</v>
      </c>
      <c r="F1173" s="198" t="s">
        <v>382</v>
      </c>
      <c r="G1173" s="198" t="s">
        <v>383</v>
      </c>
      <c r="H1173" s="198" t="n">
        <v>15</v>
      </c>
      <c r="I1173" s="199" t="n">
        <v>15</v>
      </c>
      <c r="J1173" s="198" t="s">
        <v>904</v>
      </c>
      <c r="K1173" s="198" t="s">
        <v>1435</v>
      </c>
      <c r="L1173" s="234" t="n">
        <v>28110</v>
      </c>
      <c r="M1173" s="234" t="n">
        <v>15120</v>
      </c>
      <c r="N1173" s="234" t="n">
        <v>13.5</v>
      </c>
      <c r="O1173" s="407" t="n">
        <v>12990</v>
      </c>
      <c r="P1173" s="407" t="n">
        <v>11236.3</v>
      </c>
      <c r="Q1173" s="234" t="n">
        <v>2025</v>
      </c>
      <c r="R1173" s="234"/>
      <c r="S1173" s="248" t="n">
        <v>45826</v>
      </c>
      <c r="T1173" s="407" t="n">
        <f aca="false">Таблица18[[#This Row],[Вес нетто]]-Таблица18[[#This Row],[Зачетный вес]]</f>
        <v>1753.7</v>
      </c>
      <c r="U1173" s="409" t="n">
        <f aca="false">Таблица18[[#This Row],[Отход]]/Таблица18[[#This Row],[Вес нетто]]</f>
        <v>0.135003849114704</v>
      </c>
      <c r="V1173" s="234" t="n">
        <f aca="false">MONTH(Таблица18[[#This Row],[Дата акта]])</f>
        <v>6</v>
      </c>
      <c r="W1173" s="234" t="n">
        <v>18</v>
      </c>
      <c r="X1173" s="248" t="n">
        <f aca="false">DATE(1900,Таблица18[[#This Row],[Месяц]],Таблица18[[#This Row],[Число]])</f>
        <v>170</v>
      </c>
      <c r="Y1173" s="234"/>
      <c r="AF1173" s="411"/>
      <c r="AG1173" s="412"/>
    </row>
    <row r="1174" s="410" customFormat="true" ht="15" hidden="true" customHeight="true" outlineLevel="0" collapsed="false">
      <c r="A1174" s="198" t="s">
        <v>2796</v>
      </c>
      <c r="B1174" s="199" t="s">
        <v>417</v>
      </c>
      <c r="C1174" s="198" t="n">
        <v>526</v>
      </c>
      <c r="D1174" s="198" t="s">
        <v>906</v>
      </c>
      <c r="E1174" s="198" t="s">
        <v>908</v>
      </c>
      <c r="F1174" s="198" t="s">
        <v>55</v>
      </c>
      <c r="G1174" s="198" t="s">
        <v>56</v>
      </c>
      <c r="H1174" s="198" t="n">
        <v>15</v>
      </c>
      <c r="I1174" s="199" t="n">
        <v>15</v>
      </c>
      <c r="J1174" s="198" t="s">
        <v>904</v>
      </c>
      <c r="K1174" s="198" t="s">
        <v>1435</v>
      </c>
      <c r="L1174" s="234" t="n">
        <v>27760</v>
      </c>
      <c r="M1174" s="234" t="n">
        <v>14690</v>
      </c>
      <c r="N1174" s="234" t="n">
        <v>9.5</v>
      </c>
      <c r="O1174" s="407" t="n">
        <v>13070</v>
      </c>
      <c r="P1174" s="407" t="n">
        <v>11828.3</v>
      </c>
      <c r="Q1174" s="234" t="n">
        <v>2025</v>
      </c>
      <c r="R1174" s="234"/>
      <c r="S1174" s="248" t="n">
        <v>45826</v>
      </c>
      <c r="T1174" s="407" t="n">
        <f aca="false">Таблица18[[#This Row],[Вес нетто]]-Таблица18[[#This Row],[Зачетный вес]]</f>
        <v>1241.7</v>
      </c>
      <c r="U1174" s="409" t="n">
        <f aca="false">Таблица18[[#This Row],[Отход]]/Таблица18[[#This Row],[Вес нетто]]</f>
        <v>0.0950038255547055</v>
      </c>
      <c r="V1174" s="234" t="n">
        <f aca="false">MONTH(Таблица18[[#This Row],[Дата акта]])</f>
        <v>6</v>
      </c>
      <c r="W1174" s="234" t="n">
        <v>18</v>
      </c>
      <c r="X1174" s="248" t="n">
        <f aca="false">DATE(1900,Таблица18[[#This Row],[Месяц]],Таблица18[[#This Row],[Число]])</f>
        <v>170</v>
      </c>
      <c r="Y1174" s="234"/>
      <c r="AF1174" s="411"/>
      <c r="AG1174" s="412"/>
    </row>
    <row r="1175" s="410" customFormat="true" ht="15" hidden="true" customHeight="true" outlineLevel="0" collapsed="false">
      <c r="A1175" s="198" t="s">
        <v>2797</v>
      </c>
      <c r="B1175" s="199" t="s">
        <v>417</v>
      </c>
      <c r="C1175" s="198" t="n">
        <v>527</v>
      </c>
      <c r="D1175" s="198" t="s">
        <v>906</v>
      </c>
      <c r="E1175" s="198" t="s">
        <v>908</v>
      </c>
      <c r="F1175" s="198" t="s">
        <v>363</v>
      </c>
      <c r="G1175" s="198" t="s">
        <v>364</v>
      </c>
      <c r="H1175" s="198" t="n">
        <v>15</v>
      </c>
      <c r="I1175" s="199" t="n">
        <v>15</v>
      </c>
      <c r="J1175" s="198" t="s">
        <v>904</v>
      </c>
      <c r="K1175" s="198" t="s">
        <v>1435</v>
      </c>
      <c r="L1175" s="234" t="n">
        <v>27890</v>
      </c>
      <c r="M1175" s="234" t="n">
        <v>14620</v>
      </c>
      <c r="N1175" s="234" t="n">
        <v>13</v>
      </c>
      <c r="O1175" s="407" t="n">
        <v>13270</v>
      </c>
      <c r="P1175" s="407" t="n">
        <v>11544.9</v>
      </c>
      <c r="Q1175" s="234" t="n">
        <v>2025</v>
      </c>
      <c r="R1175" s="234"/>
      <c r="S1175" s="248" t="n">
        <v>45826</v>
      </c>
      <c r="T1175" s="407" t="n">
        <f aca="false">Таблица18[[#This Row],[Вес нетто]]-Таблица18[[#This Row],[Зачетный вес]]</f>
        <v>1725.1</v>
      </c>
      <c r="U1175" s="409" t="n">
        <f aca="false">Таблица18[[#This Row],[Отход]]/Таблица18[[#This Row],[Вес нетто]]</f>
        <v>0.13</v>
      </c>
      <c r="V1175" s="234" t="n">
        <f aca="false">MONTH(Таблица18[[#This Row],[Дата акта]])</f>
        <v>6</v>
      </c>
      <c r="W1175" s="234" t="n">
        <v>18</v>
      </c>
      <c r="X1175" s="248" t="n">
        <f aca="false">DATE(1900,Таблица18[[#This Row],[Месяц]],Таблица18[[#This Row],[Число]])</f>
        <v>170</v>
      </c>
      <c r="Y1175" s="234"/>
      <c r="AF1175" s="411"/>
      <c r="AG1175" s="412"/>
    </row>
    <row r="1176" s="410" customFormat="true" ht="15" hidden="true" customHeight="true" outlineLevel="0" collapsed="false">
      <c r="A1176" s="198" t="s">
        <v>2798</v>
      </c>
      <c r="B1176" s="199" t="s">
        <v>417</v>
      </c>
      <c r="C1176" s="198" t="n">
        <v>528</v>
      </c>
      <c r="D1176" s="198" t="s">
        <v>906</v>
      </c>
      <c r="E1176" s="198" t="s">
        <v>908</v>
      </c>
      <c r="F1176" s="198" t="s">
        <v>519</v>
      </c>
      <c r="G1176" s="198" t="s">
        <v>523</v>
      </c>
      <c r="H1176" s="198" t="n">
        <v>15</v>
      </c>
      <c r="I1176" s="199" t="n">
        <v>15</v>
      </c>
      <c r="J1176" s="198" t="s">
        <v>904</v>
      </c>
      <c r="K1176" s="198" t="s">
        <v>1435</v>
      </c>
      <c r="L1176" s="234" t="n">
        <v>28770</v>
      </c>
      <c r="M1176" s="234" t="n">
        <v>15560</v>
      </c>
      <c r="N1176" s="234" t="n">
        <v>6.5</v>
      </c>
      <c r="O1176" s="407" t="n">
        <v>13210</v>
      </c>
      <c r="P1176" s="407" t="n">
        <v>12351.3</v>
      </c>
      <c r="Q1176" s="234" t="n">
        <v>2025</v>
      </c>
      <c r="R1176" s="234"/>
      <c r="S1176" s="248" t="n">
        <v>45826</v>
      </c>
      <c r="T1176" s="407" t="n">
        <f aca="false">Таблица18[[#This Row],[Вес нетто]]-Таблица18[[#This Row],[Зачетный вес]]</f>
        <v>858.700000000001</v>
      </c>
      <c r="U1176" s="409" t="n">
        <f aca="false">Таблица18[[#This Row],[Отход]]/Таблица18[[#This Row],[Вес нетто]]</f>
        <v>0.0650037850113551</v>
      </c>
      <c r="V1176" s="234" t="n">
        <f aca="false">MONTH(Таблица18[[#This Row],[Дата акта]])</f>
        <v>6</v>
      </c>
      <c r="W1176" s="234" t="n">
        <v>18</v>
      </c>
      <c r="X1176" s="248" t="n">
        <f aca="false">DATE(1900,Таблица18[[#This Row],[Месяц]],Таблица18[[#This Row],[Число]])</f>
        <v>170</v>
      </c>
      <c r="Y1176" s="234"/>
      <c r="AF1176" s="411"/>
      <c r="AG1176" s="412"/>
    </row>
    <row r="1177" s="410" customFormat="true" ht="15" hidden="true" customHeight="true" outlineLevel="0" collapsed="false">
      <c r="A1177" s="198" t="s">
        <v>2799</v>
      </c>
      <c r="B1177" s="199" t="s">
        <v>417</v>
      </c>
      <c r="C1177" s="198" t="n">
        <v>529</v>
      </c>
      <c r="D1177" s="198" t="s">
        <v>906</v>
      </c>
      <c r="E1177" s="198" t="s">
        <v>908</v>
      </c>
      <c r="F1177" s="198" t="s">
        <v>427</v>
      </c>
      <c r="G1177" s="198" t="s">
        <v>431</v>
      </c>
      <c r="H1177" s="198" t="n">
        <v>15</v>
      </c>
      <c r="I1177" s="199" t="n">
        <v>15</v>
      </c>
      <c r="J1177" s="198" t="s">
        <v>904</v>
      </c>
      <c r="K1177" s="198" t="s">
        <v>1435</v>
      </c>
      <c r="L1177" s="234" t="n">
        <v>34270</v>
      </c>
      <c r="M1177" s="234" t="n">
        <v>21010</v>
      </c>
      <c r="N1177" s="234" t="n">
        <v>11.5</v>
      </c>
      <c r="O1177" s="407" t="n">
        <v>13260</v>
      </c>
      <c r="P1177" s="407" t="n">
        <v>11735.1</v>
      </c>
      <c r="Q1177" s="234" t="n">
        <v>2025</v>
      </c>
      <c r="R1177" s="234"/>
      <c r="S1177" s="248" t="n">
        <v>45826</v>
      </c>
      <c r="T1177" s="407" t="n">
        <f aca="false">Таблица18[[#This Row],[Вес нетто]]-Таблица18[[#This Row],[Зачетный вес]]</f>
        <v>1524.9</v>
      </c>
      <c r="U1177" s="409" t="n">
        <f aca="false">Таблица18[[#This Row],[Отход]]/Таблица18[[#This Row],[Вес нетто]]</f>
        <v>0.115</v>
      </c>
      <c r="V1177" s="234" t="n">
        <f aca="false">MONTH(Таблица18[[#This Row],[Дата акта]])</f>
        <v>6</v>
      </c>
      <c r="W1177" s="234" t="n">
        <v>18</v>
      </c>
      <c r="X1177" s="248" t="n">
        <f aca="false">DATE(1900,Таблица18[[#This Row],[Месяц]],Таблица18[[#This Row],[Число]])</f>
        <v>170</v>
      </c>
      <c r="Y1177" s="234"/>
      <c r="AF1177" s="411"/>
      <c r="AG1177" s="412"/>
    </row>
    <row r="1178" s="410" customFormat="true" ht="15" hidden="true" customHeight="true" outlineLevel="0" collapsed="false">
      <c r="A1178" s="198" t="s">
        <v>2800</v>
      </c>
      <c r="B1178" s="199" t="s">
        <v>417</v>
      </c>
      <c r="C1178" s="198" t="n">
        <v>530</v>
      </c>
      <c r="D1178" s="198" t="s">
        <v>906</v>
      </c>
      <c r="E1178" s="198" t="s">
        <v>908</v>
      </c>
      <c r="F1178" s="198" t="s">
        <v>361</v>
      </c>
      <c r="G1178" s="198" t="s">
        <v>362</v>
      </c>
      <c r="H1178" s="198" t="n">
        <v>15</v>
      </c>
      <c r="I1178" s="199" t="n">
        <v>15</v>
      </c>
      <c r="J1178" s="198" t="s">
        <v>904</v>
      </c>
      <c r="K1178" s="198" t="s">
        <v>1435</v>
      </c>
      <c r="L1178" s="234" t="n">
        <v>28000</v>
      </c>
      <c r="M1178" s="234" t="n">
        <v>14720</v>
      </c>
      <c r="N1178" s="234" t="n">
        <v>6.5</v>
      </c>
      <c r="O1178" s="407" t="n">
        <v>13280</v>
      </c>
      <c r="P1178" s="407" t="n">
        <v>12416.8</v>
      </c>
      <c r="Q1178" s="234" t="n">
        <v>2025</v>
      </c>
      <c r="R1178" s="234"/>
      <c r="S1178" s="248" t="n">
        <v>45826</v>
      </c>
      <c r="T1178" s="407" t="n">
        <f aca="false">Таблица18[[#This Row],[Вес нетто]]-Таблица18[[#This Row],[Зачетный вес]]</f>
        <v>863.200000000001</v>
      </c>
      <c r="U1178" s="409" t="n">
        <f aca="false">Таблица18[[#This Row],[Отход]]/Таблица18[[#This Row],[Вес нетто]]</f>
        <v>0.0650000000000001</v>
      </c>
      <c r="V1178" s="234" t="n">
        <f aca="false">MONTH(Таблица18[[#This Row],[Дата акта]])</f>
        <v>6</v>
      </c>
      <c r="W1178" s="234" t="n">
        <v>18</v>
      </c>
      <c r="X1178" s="248" t="n">
        <f aca="false">DATE(1900,Таблица18[[#This Row],[Месяц]],Таблица18[[#This Row],[Число]])</f>
        <v>170</v>
      </c>
      <c r="Y1178" s="234"/>
      <c r="AF1178" s="411"/>
      <c r="AG1178" s="412"/>
    </row>
    <row r="1179" s="410" customFormat="true" ht="15" hidden="true" customHeight="true" outlineLevel="0" collapsed="false">
      <c r="A1179" s="198" t="s">
        <v>2801</v>
      </c>
      <c r="B1179" s="199" t="s">
        <v>417</v>
      </c>
      <c r="C1179" s="198" t="n">
        <v>531</v>
      </c>
      <c r="D1179" s="198" t="n">
        <v>54927</v>
      </c>
      <c r="E1179" s="198" t="s">
        <v>908</v>
      </c>
      <c r="F1179" s="198" t="s">
        <v>359</v>
      </c>
      <c r="G1179" s="198" t="s">
        <v>426</v>
      </c>
      <c r="H1179" s="198" t="n">
        <v>15</v>
      </c>
      <c r="I1179" s="199" t="n">
        <v>15</v>
      </c>
      <c r="J1179" s="198" t="s">
        <v>904</v>
      </c>
      <c r="K1179" s="198" t="s">
        <v>1435</v>
      </c>
      <c r="L1179" s="234" t="n">
        <v>27280</v>
      </c>
      <c r="M1179" s="234" t="n">
        <v>13870</v>
      </c>
      <c r="N1179" s="234" t="n">
        <v>9.5</v>
      </c>
      <c r="O1179" s="407" t="n">
        <v>13410</v>
      </c>
      <c r="P1179" s="407" t="n">
        <v>12136</v>
      </c>
      <c r="Q1179" s="234" t="n">
        <v>2025</v>
      </c>
      <c r="R1179" s="234"/>
      <c r="S1179" s="248" t="n">
        <v>45826</v>
      </c>
      <c r="T1179" s="407" t="n">
        <f aca="false">Таблица18[[#This Row],[Вес нетто]]-Таблица18[[#This Row],[Зачетный вес]]</f>
        <v>1274</v>
      </c>
      <c r="U1179" s="409" t="n">
        <f aca="false">Таблица18[[#This Row],[Отход]]/Таблица18[[#This Row],[Вес нетто]]</f>
        <v>0.0950037285607756</v>
      </c>
      <c r="V1179" s="234" t="n">
        <f aca="false">MONTH(Таблица18[[#This Row],[Дата акта]])</f>
        <v>6</v>
      </c>
      <c r="W1179" s="234" t="n">
        <v>18</v>
      </c>
      <c r="X1179" s="248" t="n">
        <f aca="false">DATE(1900,Таблица18[[#This Row],[Месяц]],Таблица18[[#This Row],[Число]])</f>
        <v>170</v>
      </c>
      <c r="Y1179" s="234"/>
      <c r="AF1179" s="411"/>
      <c r="AG1179" s="412"/>
    </row>
    <row r="1180" s="410" customFormat="true" ht="15" hidden="true" customHeight="true" outlineLevel="0" collapsed="false">
      <c r="A1180" s="198" t="s">
        <v>2802</v>
      </c>
      <c r="B1180" s="199" t="s">
        <v>417</v>
      </c>
      <c r="C1180" s="198" t="n">
        <v>532</v>
      </c>
      <c r="D1180" s="198" t="n">
        <v>54928</v>
      </c>
      <c r="E1180" s="198" t="s">
        <v>908</v>
      </c>
      <c r="F1180" s="198" t="s">
        <v>433</v>
      </c>
      <c r="G1180" s="198" t="s">
        <v>437</v>
      </c>
      <c r="H1180" s="198" t="n">
        <v>15</v>
      </c>
      <c r="I1180" s="199" t="n">
        <v>15</v>
      </c>
      <c r="J1180" s="198" t="s">
        <v>904</v>
      </c>
      <c r="K1180" s="198" t="s">
        <v>1435</v>
      </c>
      <c r="L1180" s="234" t="n">
        <v>28170</v>
      </c>
      <c r="M1180" s="234" t="n">
        <v>14930</v>
      </c>
      <c r="N1180" s="234" t="n">
        <v>7.5</v>
      </c>
      <c r="O1180" s="407" t="n">
        <v>13240</v>
      </c>
      <c r="P1180" s="407" t="n">
        <v>12247</v>
      </c>
      <c r="Q1180" s="234" t="n">
        <v>2025</v>
      </c>
      <c r="R1180" s="234"/>
      <c r="S1180" s="248" t="n">
        <v>45826</v>
      </c>
      <c r="T1180" s="407" t="n">
        <f aca="false">Таблица18[[#This Row],[Вес нетто]]-Таблица18[[#This Row],[Зачетный вес]]</f>
        <v>993</v>
      </c>
      <c r="U1180" s="409" t="n">
        <f aca="false">Таблица18[[#This Row],[Отход]]/Таблица18[[#This Row],[Вес нетто]]</f>
        <v>0.075</v>
      </c>
      <c r="V1180" s="234" t="n">
        <f aca="false">MONTH(Таблица18[[#This Row],[Дата акта]])</f>
        <v>6</v>
      </c>
      <c r="W1180" s="234" t="n">
        <v>18</v>
      </c>
      <c r="X1180" s="248" t="n">
        <f aca="false">DATE(1900,Таблица18[[#This Row],[Месяц]],Таблица18[[#This Row],[Число]])</f>
        <v>170</v>
      </c>
      <c r="Y1180" s="234"/>
      <c r="AF1180" s="411"/>
      <c r="AG1180" s="412"/>
    </row>
    <row r="1181" s="410" customFormat="true" ht="15" hidden="true" customHeight="true" outlineLevel="0" collapsed="false">
      <c r="A1181" s="198" t="s">
        <v>2803</v>
      </c>
      <c r="B1181" s="199" t="s">
        <v>417</v>
      </c>
      <c r="C1181" s="198" t="n">
        <v>533</v>
      </c>
      <c r="D1181" s="198" t="n">
        <v>54927</v>
      </c>
      <c r="E1181" s="198" t="s">
        <v>908</v>
      </c>
      <c r="F1181" s="198" t="s">
        <v>439</v>
      </c>
      <c r="G1181" s="198" t="s">
        <v>443</v>
      </c>
      <c r="H1181" s="198" t="n">
        <v>15</v>
      </c>
      <c r="I1181" s="199" t="n">
        <v>15</v>
      </c>
      <c r="J1181" s="198" t="s">
        <v>904</v>
      </c>
      <c r="K1181" s="198" t="s">
        <v>1435</v>
      </c>
      <c r="L1181" s="234" t="n">
        <v>36820</v>
      </c>
      <c r="M1181" s="234" t="n">
        <v>24060</v>
      </c>
      <c r="N1181" s="234" t="n">
        <v>7.5</v>
      </c>
      <c r="O1181" s="407" t="n">
        <v>12760</v>
      </c>
      <c r="P1181" s="407" t="n">
        <v>11803</v>
      </c>
      <c r="Q1181" s="234" t="n">
        <v>2025</v>
      </c>
      <c r="R1181" s="234"/>
      <c r="S1181" s="248" t="n">
        <v>45826</v>
      </c>
      <c r="T1181" s="407" t="n">
        <f aca="false">Таблица18[[#This Row],[Вес нетто]]-Таблица18[[#This Row],[Зачетный вес]]</f>
        <v>957</v>
      </c>
      <c r="U1181" s="409" t="n">
        <f aca="false">Таблица18[[#This Row],[Отход]]/Таблица18[[#This Row],[Вес нетто]]</f>
        <v>0.075</v>
      </c>
      <c r="V1181" s="234" t="n">
        <f aca="false">MONTH(Таблица18[[#This Row],[Дата акта]])</f>
        <v>6</v>
      </c>
      <c r="W1181" s="234" t="n">
        <v>18</v>
      </c>
      <c r="X1181" s="248" t="n">
        <f aca="false">DATE(1900,Таблица18[[#This Row],[Месяц]],Таблица18[[#This Row],[Число]])</f>
        <v>170</v>
      </c>
      <c r="Y1181" s="234"/>
      <c r="AF1181" s="411"/>
      <c r="AG1181" s="412"/>
    </row>
    <row r="1182" s="410" customFormat="true" ht="15" hidden="true" customHeight="true" outlineLevel="0" collapsed="false">
      <c r="A1182" s="198" t="s">
        <v>2804</v>
      </c>
      <c r="B1182" s="199" t="s">
        <v>417</v>
      </c>
      <c r="C1182" s="198" t="n">
        <v>534</v>
      </c>
      <c r="D1182" s="198" t="n">
        <v>54928</v>
      </c>
      <c r="E1182" s="198" t="s">
        <v>908</v>
      </c>
      <c r="F1182" s="198" t="s">
        <v>371</v>
      </c>
      <c r="G1182" s="198" t="s">
        <v>372</v>
      </c>
      <c r="H1182" s="198" t="n">
        <v>15</v>
      </c>
      <c r="I1182" s="199" t="n">
        <v>15</v>
      </c>
      <c r="J1182" s="198" t="s">
        <v>904</v>
      </c>
      <c r="K1182" s="198" t="s">
        <v>1435</v>
      </c>
      <c r="L1182" s="234" t="n">
        <v>27850</v>
      </c>
      <c r="M1182" s="234" t="n">
        <v>15040</v>
      </c>
      <c r="N1182" s="234" t="n">
        <v>6.5</v>
      </c>
      <c r="O1182" s="407" t="n">
        <v>12810</v>
      </c>
      <c r="P1182" s="407" t="n">
        <v>11977.3</v>
      </c>
      <c r="Q1182" s="234" t="n">
        <v>2025</v>
      </c>
      <c r="R1182" s="234"/>
      <c r="S1182" s="248" t="n">
        <v>45827</v>
      </c>
      <c r="T1182" s="407" t="n">
        <f aca="false">Таблица18[[#This Row],[Вес нетто]]-Таблица18[[#This Row],[Зачетный вес]]</f>
        <v>832.700000000001</v>
      </c>
      <c r="U1182" s="409" t="n">
        <f aca="false">Таблица18[[#This Row],[Отход]]/Таблица18[[#This Row],[Вес нетто]]</f>
        <v>0.0650039032006246</v>
      </c>
      <c r="V1182" s="234" t="n">
        <f aca="false">MONTH(Таблица18[[#This Row],[Дата акта]])</f>
        <v>6</v>
      </c>
      <c r="W1182" s="234" t="n">
        <v>19</v>
      </c>
      <c r="X1182" s="248" t="n">
        <f aca="false">DATE(1900,Таблица18[[#This Row],[Месяц]],Таблица18[[#This Row],[Число]])</f>
        <v>171</v>
      </c>
      <c r="Y1182" s="234"/>
      <c r="AF1182" s="411"/>
      <c r="AG1182" s="412"/>
    </row>
    <row r="1183" s="410" customFormat="true" ht="15" hidden="true" customHeight="true" outlineLevel="0" collapsed="false">
      <c r="A1183" s="198" t="s">
        <v>2805</v>
      </c>
      <c r="B1183" s="199" t="s">
        <v>417</v>
      </c>
      <c r="C1183" s="198" t="n">
        <v>535</v>
      </c>
      <c r="D1183" s="198" t="n">
        <v>54929</v>
      </c>
      <c r="E1183" s="198" t="s">
        <v>908</v>
      </c>
      <c r="F1183" s="198" t="s">
        <v>55</v>
      </c>
      <c r="G1183" s="198" t="s">
        <v>56</v>
      </c>
      <c r="H1183" s="198" t="n">
        <v>15</v>
      </c>
      <c r="I1183" s="199" t="n">
        <v>15</v>
      </c>
      <c r="J1183" s="198" t="s">
        <v>904</v>
      </c>
      <c r="K1183" s="198" t="s">
        <v>1435</v>
      </c>
      <c r="L1183" s="234" t="n">
        <v>27380</v>
      </c>
      <c r="M1183" s="234" t="n">
        <v>14650</v>
      </c>
      <c r="N1183" s="234" t="n">
        <v>5.5</v>
      </c>
      <c r="O1183" s="407" t="n">
        <v>12730</v>
      </c>
      <c r="P1183" s="407" t="n">
        <v>12029.8</v>
      </c>
      <c r="Q1183" s="234" t="n">
        <v>2025</v>
      </c>
      <c r="R1183" s="234"/>
      <c r="S1183" s="248" t="n">
        <v>45827</v>
      </c>
      <c r="T1183" s="407" t="n">
        <f aca="false">Таблица18[[#This Row],[Вес нетто]]-Таблица18[[#This Row],[Зачетный вес]]</f>
        <v>700.200000000001</v>
      </c>
      <c r="U1183" s="409" t="n">
        <f aca="false">Таблица18[[#This Row],[Отход]]/Таблица18[[#This Row],[Вес нетто]]</f>
        <v>0.0550039277297723</v>
      </c>
      <c r="V1183" s="234" t="n">
        <f aca="false">MONTH(Таблица18[[#This Row],[Дата акта]])</f>
        <v>6</v>
      </c>
      <c r="W1183" s="234" t="n">
        <v>19</v>
      </c>
      <c r="X1183" s="248" t="n">
        <f aca="false">DATE(1900,Таблица18[[#This Row],[Месяц]],Таблица18[[#This Row],[Число]])</f>
        <v>171</v>
      </c>
      <c r="Y1183" s="234"/>
      <c r="AF1183" s="411"/>
      <c r="AG1183" s="412"/>
    </row>
    <row r="1184" s="410" customFormat="true" ht="15" hidden="true" customHeight="true" outlineLevel="0" collapsed="false">
      <c r="A1184" s="198" t="s">
        <v>2806</v>
      </c>
      <c r="B1184" s="199" t="s">
        <v>417</v>
      </c>
      <c r="C1184" s="198" t="n">
        <v>536</v>
      </c>
      <c r="D1184" s="198" t="n">
        <v>54929</v>
      </c>
      <c r="E1184" s="198" t="s">
        <v>908</v>
      </c>
      <c r="F1184" s="198" t="s">
        <v>363</v>
      </c>
      <c r="G1184" s="198" t="s">
        <v>364</v>
      </c>
      <c r="H1184" s="198" t="n">
        <v>15</v>
      </c>
      <c r="I1184" s="199" t="n">
        <v>15</v>
      </c>
      <c r="J1184" s="198" t="s">
        <v>904</v>
      </c>
      <c r="K1184" s="198" t="s">
        <v>1435</v>
      </c>
      <c r="L1184" s="234" t="n">
        <v>27650</v>
      </c>
      <c r="M1184" s="234" t="n">
        <v>14660</v>
      </c>
      <c r="N1184" s="234" t="n">
        <v>6.5</v>
      </c>
      <c r="O1184" s="407" t="n">
        <v>12990</v>
      </c>
      <c r="P1184" s="407" t="n">
        <v>12145.6</v>
      </c>
      <c r="Q1184" s="234" t="n">
        <v>2025</v>
      </c>
      <c r="R1184" s="234"/>
      <c r="S1184" s="248" t="n">
        <v>45827</v>
      </c>
      <c r="T1184" s="407" t="n">
        <f aca="false">Таблица18[[#This Row],[Вес нетто]]-Таблица18[[#This Row],[Зачетный вес]]</f>
        <v>844.4</v>
      </c>
      <c r="U1184" s="409" t="n">
        <f aca="false">Таблица18[[#This Row],[Отход]]/Таблица18[[#This Row],[Вес нетто]]</f>
        <v>0.0650038491147036</v>
      </c>
      <c r="V1184" s="234" t="n">
        <f aca="false">MONTH(Таблица18[[#This Row],[Дата акта]])</f>
        <v>6</v>
      </c>
      <c r="W1184" s="234" t="n">
        <v>19</v>
      </c>
      <c r="X1184" s="248" t="n">
        <f aca="false">DATE(1900,Таблица18[[#This Row],[Месяц]],Таблица18[[#This Row],[Число]])</f>
        <v>171</v>
      </c>
      <c r="Y1184" s="234"/>
      <c r="AF1184" s="411"/>
      <c r="AG1184" s="412"/>
    </row>
    <row r="1185" s="410" customFormat="true" ht="15" hidden="true" customHeight="true" outlineLevel="0" collapsed="false">
      <c r="A1185" s="198" t="s">
        <v>2807</v>
      </c>
      <c r="B1185" s="199" t="s">
        <v>417</v>
      </c>
      <c r="C1185" s="198" t="n">
        <v>537</v>
      </c>
      <c r="D1185" s="198" t="n">
        <v>54930</v>
      </c>
      <c r="E1185" s="198" t="s">
        <v>908</v>
      </c>
      <c r="F1185" s="198" t="s">
        <v>382</v>
      </c>
      <c r="G1185" s="198" t="s">
        <v>383</v>
      </c>
      <c r="H1185" s="198" t="n">
        <v>15</v>
      </c>
      <c r="I1185" s="199" t="n">
        <v>15</v>
      </c>
      <c r="J1185" s="198" t="s">
        <v>904</v>
      </c>
      <c r="K1185" s="198" t="s">
        <v>1435</v>
      </c>
      <c r="L1185" s="234" t="n">
        <v>28680</v>
      </c>
      <c r="M1185" s="234" t="n">
        <v>14980</v>
      </c>
      <c r="N1185" s="234" t="n">
        <v>8.5</v>
      </c>
      <c r="O1185" s="407" t="n">
        <v>13700</v>
      </c>
      <c r="P1185" s="407" t="n">
        <v>12535.5</v>
      </c>
      <c r="Q1185" s="234" t="n">
        <v>2025</v>
      </c>
      <c r="R1185" s="234"/>
      <c r="S1185" s="248" t="n">
        <v>45827</v>
      </c>
      <c r="T1185" s="407" t="n">
        <f aca="false">Таблица18[[#This Row],[Вес нетто]]-Таблица18[[#This Row],[Зачетный вес]]</f>
        <v>1164.5</v>
      </c>
      <c r="U1185" s="409" t="n">
        <f aca="false">Таблица18[[#This Row],[Отход]]/Таблица18[[#This Row],[Вес нетто]]</f>
        <v>0.085</v>
      </c>
      <c r="V1185" s="234" t="n">
        <f aca="false">MONTH(Таблица18[[#This Row],[Дата акта]])</f>
        <v>6</v>
      </c>
      <c r="W1185" s="234" t="n">
        <v>19</v>
      </c>
      <c r="X1185" s="248" t="n">
        <f aca="false">DATE(1900,Таблица18[[#This Row],[Месяц]],Таблица18[[#This Row],[Число]])</f>
        <v>171</v>
      </c>
      <c r="Y1185" s="234"/>
      <c r="AF1185" s="411"/>
      <c r="AG1185" s="412"/>
    </row>
    <row r="1186" s="410" customFormat="true" ht="15" hidden="true" customHeight="true" outlineLevel="0" collapsed="false">
      <c r="A1186" s="198" t="s">
        <v>2808</v>
      </c>
      <c r="B1186" s="199" t="s">
        <v>417</v>
      </c>
      <c r="C1186" s="198" t="n">
        <v>538</v>
      </c>
      <c r="D1186" s="198" t="n">
        <v>54930</v>
      </c>
      <c r="E1186" s="198" t="s">
        <v>908</v>
      </c>
      <c r="F1186" s="198" t="s">
        <v>384</v>
      </c>
      <c r="G1186" s="198" t="s">
        <v>385</v>
      </c>
      <c r="H1186" s="198" t="n">
        <v>16</v>
      </c>
      <c r="I1186" s="199" t="n">
        <v>16</v>
      </c>
      <c r="J1186" s="198" t="s">
        <v>904</v>
      </c>
      <c r="K1186" s="198" t="s">
        <v>1435</v>
      </c>
      <c r="L1186" s="234" t="n">
        <v>27300</v>
      </c>
      <c r="M1186" s="234" t="n">
        <v>14510</v>
      </c>
      <c r="N1186" s="234" t="n">
        <v>6.5</v>
      </c>
      <c r="O1186" s="407" t="n">
        <v>12790</v>
      </c>
      <c r="P1186" s="407" t="n">
        <v>11958.6</v>
      </c>
      <c r="Q1186" s="234" t="n">
        <v>2025</v>
      </c>
      <c r="R1186" s="234"/>
      <c r="S1186" s="248" t="n">
        <v>45827</v>
      </c>
      <c r="T1186" s="407" t="n">
        <f aca="false">Таблица18[[#This Row],[Вес нетто]]-Таблица18[[#This Row],[Зачетный вес]]</f>
        <v>831.4</v>
      </c>
      <c r="U1186" s="409" t="n">
        <f aca="false">Таблица18[[#This Row],[Отход]]/Таблица18[[#This Row],[Вес нетто]]</f>
        <v>0.0650039093041438</v>
      </c>
      <c r="V1186" s="234" t="n">
        <f aca="false">MONTH(Таблица18[[#This Row],[Дата акта]])</f>
        <v>6</v>
      </c>
      <c r="W1186" s="234" t="n">
        <v>19</v>
      </c>
      <c r="X1186" s="248" t="n">
        <f aca="false">DATE(1900,Таблица18[[#This Row],[Месяц]],Таблица18[[#This Row],[Число]])</f>
        <v>171</v>
      </c>
      <c r="Y1186" s="234"/>
      <c r="AF1186" s="411"/>
      <c r="AG1186" s="412"/>
    </row>
    <row r="1187" s="410" customFormat="true" ht="15" hidden="true" customHeight="true" outlineLevel="0" collapsed="false">
      <c r="A1187" s="198" t="s">
        <v>2809</v>
      </c>
      <c r="B1187" s="199" t="s">
        <v>417</v>
      </c>
      <c r="C1187" s="198" t="n">
        <v>539</v>
      </c>
      <c r="D1187" s="198" t="n">
        <v>54931</v>
      </c>
      <c r="E1187" s="198" t="s">
        <v>908</v>
      </c>
      <c r="F1187" s="198" t="s">
        <v>519</v>
      </c>
      <c r="G1187" s="198" t="s">
        <v>523</v>
      </c>
      <c r="H1187" s="198" t="n">
        <v>16</v>
      </c>
      <c r="I1187" s="199" t="n">
        <v>16</v>
      </c>
      <c r="J1187" s="198" t="s">
        <v>904</v>
      </c>
      <c r="K1187" s="198" t="s">
        <v>1435</v>
      </c>
      <c r="L1187" s="234" t="n">
        <v>28560</v>
      </c>
      <c r="M1187" s="234" t="n">
        <v>15560</v>
      </c>
      <c r="N1187" s="234" t="n">
        <v>8.5</v>
      </c>
      <c r="O1187" s="407" t="n">
        <v>13000</v>
      </c>
      <c r="P1187" s="407" t="n">
        <v>11895</v>
      </c>
      <c r="Q1187" s="234" t="n">
        <v>2025</v>
      </c>
      <c r="R1187" s="234"/>
      <c r="S1187" s="248" t="n">
        <v>45827</v>
      </c>
      <c r="T1187" s="407" t="n">
        <f aca="false">Таблица18[[#This Row],[Вес нетто]]-Таблица18[[#This Row],[Зачетный вес]]</f>
        <v>1105</v>
      </c>
      <c r="U1187" s="409" t="n">
        <f aca="false">Таблица18[[#This Row],[Отход]]/Таблица18[[#This Row],[Вес нетто]]</f>
        <v>0.085</v>
      </c>
      <c r="V1187" s="234" t="n">
        <f aca="false">MONTH(Таблица18[[#This Row],[Дата акта]])</f>
        <v>6</v>
      </c>
      <c r="W1187" s="234" t="n">
        <v>19</v>
      </c>
      <c r="X1187" s="248" t="n">
        <f aca="false">DATE(1900,Таблица18[[#This Row],[Месяц]],Таблица18[[#This Row],[Число]])</f>
        <v>171</v>
      </c>
      <c r="Y1187" s="234"/>
      <c r="AF1187" s="411"/>
      <c r="AG1187" s="412"/>
    </row>
    <row r="1188" s="410" customFormat="true" ht="15" hidden="true" customHeight="true" outlineLevel="0" collapsed="false">
      <c r="A1188" s="198" t="s">
        <v>2810</v>
      </c>
      <c r="B1188" s="199" t="s">
        <v>417</v>
      </c>
      <c r="C1188" s="198" t="n">
        <v>541</v>
      </c>
      <c r="D1188" s="198" t="n">
        <v>54931</v>
      </c>
      <c r="E1188" s="198" t="s">
        <v>908</v>
      </c>
      <c r="F1188" s="198" t="s">
        <v>361</v>
      </c>
      <c r="G1188" s="198" t="s">
        <v>362</v>
      </c>
      <c r="H1188" s="198" t="n">
        <v>16</v>
      </c>
      <c r="I1188" s="199" t="n">
        <v>16</v>
      </c>
      <c r="J1188" s="198" t="s">
        <v>904</v>
      </c>
      <c r="K1188" s="198" t="s">
        <v>1435</v>
      </c>
      <c r="L1188" s="234" t="n">
        <v>27680</v>
      </c>
      <c r="M1188" s="234" t="n">
        <v>14660</v>
      </c>
      <c r="N1188" s="234" t="n">
        <v>7.5</v>
      </c>
      <c r="O1188" s="407" t="n">
        <v>13020</v>
      </c>
      <c r="P1188" s="407" t="n">
        <v>12043.5</v>
      </c>
      <c r="Q1188" s="234" t="n">
        <v>2025</v>
      </c>
      <c r="R1188" s="234"/>
      <c r="S1188" s="248" t="n">
        <v>45827</v>
      </c>
      <c r="T1188" s="407" t="n">
        <f aca="false">Таблица18[[#This Row],[Вес нетто]]-Таблица18[[#This Row],[Зачетный вес]]</f>
        <v>976.5</v>
      </c>
      <c r="U1188" s="409" t="n">
        <f aca="false">Таблица18[[#This Row],[Отход]]/Таблица18[[#This Row],[Вес нетто]]</f>
        <v>0.075</v>
      </c>
      <c r="V1188" s="234" t="n">
        <f aca="false">MONTH(Таблица18[[#This Row],[Дата акта]])</f>
        <v>6</v>
      </c>
      <c r="W1188" s="234" t="n">
        <v>19</v>
      </c>
      <c r="X1188" s="248" t="n">
        <f aca="false">DATE(1900,Таблица18[[#This Row],[Месяц]],Таблица18[[#This Row],[Число]])</f>
        <v>171</v>
      </c>
      <c r="Y1188" s="234"/>
      <c r="AF1188" s="411"/>
      <c r="AG1188" s="412"/>
    </row>
    <row r="1189" s="410" customFormat="true" ht="15" hidden="true" customHeight="true" outlineLevel="0" collapsed="false">
      <c r="A1189" s="198" t="s">
        <v>2811</v>
      </c>
      <c r="B1189" s="199" t="s">
        <v>417</v>
      </c>
      <c r="C1189" s="198" t="n">
        <v>543</v>
      </c>
      <c r="D1189" s="198" t="n">
        <v>54933</v>
      </c>
      <c r="E1189" s="198" t="s">
        <v>908</v>
      </c>
      <c r="F1189" s="198" t="s">
        <v>439</v>
      </c>
      <c r="G1189" s="198" t="s">
        <v>443</v>
      </c>
      <c r="H1189" s="198" t="n">
        <v>16</v>
      </c>
      <c r="I1189" s="199" t="n">
        <v>16</v>
      </c>
      <c r="J1189" s="198" t="s">
        <v>904</v>
      </c>
      <c r="K1189" s="198" t="s">
        <v>1435</v>
      </c>
      <c r="L1189" s="234" t="n">
        <v>37000</v>
      </c>
      <c r="M1189" s="234" t="n">
        <v>23960</v>
      </c>
      <c r="N1189" s="234" t="n">
        <v>6.5</v>
      </c>
      <c r="O1189" s="407" t="n">
        <v>13040</v>
      </c>
      <c r="P1189" s="407" t="n">
        <v>12192.4</v>
      </c>
      <c r="Q1189" s="234" t="n">
        <v>2025</v>
      </c>
      <c r="R1189" s="234"/>
      <c r="S1189" s="248" t="n">
        <v>45827</v>
      </c>
      <c r="T1189" s="407" t="n">
        <f aca="false">Таблица18[[#This Row],[Вес нетто]]-Таблица18[[#This Row],[Зачетный вес]]</f>
        <v>847.6</v>
      </c>
      <c r="U1189" s="409" t="n">
        <f aca="false">Таблица18[[#This Row],[Отход]]/Таблица18[[#This Row],[Вес нетто]]</f>
        <v>0.065</v>
      </c>
      <c r="V1189" s="234" t="n">
        <f aca="false">MONTH(Таблица18[[#This Row],[Дата акта]])</f>
        <v>6</v>
      </c>
      <c r="W1189" s="234" t="n">
        <v>19</v>
      </c>
      <c r="X1189" s="248" t="n">
        <f aca="false">DATE(1900,Таблица18[[#This Row],[Месяц]],Таблица18[[#This Row],[Число]])</f>
        <v>171</v>
      </c>
      <c r="Y1189" s="234"/>
      <c r="AF1189" s="411"/>
      <c r="AG1189" s="412"/>
    </row>
    <row r="1190" s="410" customFormat="true" ht="15" hidden="true" customHeight="true" outlineLevel="0" collapsed="false">
      <c r="A1190" s="198" t="s">
        <v>2812</v>
      </c>
      <c r="B1190" s="199" t="s">
        <v>417</v>
      </c>
      <c r="C1190" s="198" t="n">
        <v>544</v>
      </c>
      <c r="D1190" s="198" t="n">
        <v>54934</v>
      </c>
      <c r="E1190" s="198" t="s">
        <v>908</v>
      </c>
      <c r="F1190" s="198" t="s">
        <v>433</v>
      </c>
      <c r="G1190" s="198" t="s">
        <v>437</v>
      </c>
      <c r="H1190" s="198" t="n">
        <v>16</v>
      </c>
      <c r="I1190" s="199" t="n">
        <v>16</v>
      </c>
      <c r="J1190" s="198" t="s">
        <v>904</v>
      </c>
      <c r="K1190" s="198" t="s">
        <v>1435</v>
      </c>
      <c r="L1190" s="234" t="n">
        <v>28150</v>
      </c>
      <c r="M1190" s="234" t="n">
        <v>14960</v>
      </c>
      <c r="N1190" s="234" t="n">
        <v>8.5</v>
      </c>
      <c r="O1190" s="407" t="n">
        <v>13190</v>
      </c>
      <c r="P1190" s="407" t="n">
        <v>12068.8</v>
      </c>
      <c r="Q1190" s="234" t="n">
        <v>2025</v>
      </c>
      <c r="R1190" s="234"/>
      <c r="S1190" s="248" t="n">
        <v>45827</v>
      </c>
      <c r="T1190" s="407" t="n">
        <f aca="false">Таблица18[[#This Row],[Вес нетто]]-Таблица18[[#This Row],[Зачетный вес]]</f>
        <v>1121.2</v>
      </c>
      <c r="U1190" s="409" t="n">
        <f aca="false">Таблица18[[#This Row],[Отход]]/Таблица18[[#This Row],[Вес нетто]]</f>
        <v>0.0850037907505687</v>
      </c>
      <c r="V1190" s="234" t="n">
        <f aca="false">MONTH(Таблица18[[#This Row],[Дата акта]])</f>
        <v>6</v>
      </c>
      <c r="W1190" s="234" t="n">
        <v>19</v>
      </c>
      <c r="X1190" s="248" t="n">
        <f aca="false">DATE(1900,Таблица18[[#This Row],[Месяц]],Таблица18[[#This Row],[Число]])</f>
        <v>171</v>
      </c>
      <c r="Y1190" s="234"/>
      <c r="AF1190" s="411"/>
      <c r="AG1190" s="412"/>
    </row>
    <row r="1191" s="410" customFormat="true" ht="15" hidden="true" customHeight="true" outlineLevel="0" collapsed="false">
      <c r="A1191" s="198" t="s">
        <v>2813</v>
      </c>
      <c r="B1191" s="199" t="s">
        <v>417</v>
      </c>
      <c r="C1191" s="198" t="n">
        <v>547</v>
      </c>
      <c r="D1191" s="198" t="n">
        <v>54934</v>
      </c>
      <c r="E1191" s="198" t="s">
        <v>908</v>
      </c>
      <c r="F1191" s="198" t="s">
        <v>55</v>
      </c>
      <c r="G1191" s="198" t="s">
        <v>56</v>
      </c>
      <c r="H1191" s="198" t="n">
        <v>16</v>
      </c>
      <c r="I1191" s="199" t="n">
        <v>16</v>
      </c>
      <c r="J1191" s="198" t="s">
        <v>904</v>
      </c>
      <c r="K1191" s="198" t="s">
        <v>1435</v>
      </c>
      <c r="L1191" s="234" t="n">
        <v>27940</v>
      </c>
      <c r="M1191" s="234" t="n">
        <v>14570</v>
      </c>
      <c r="N1191" s="234" t="n">
        <v>9.5</v>
      </c>
      <c r="O1191" s="407" t="n">
        <v>13370</v>
      </c>
      <c r="P1191" s="407" t="n">
        <v>12099.8</v>
      </c>
      <c r="Q1191" s="234" t="n">
        <v>2025</v>
      </c>
      <c r="R1191" s="234"/>
      <c r="S1191" s="248" t="n">
        <v>45827</v>
      </c>
      <c r="T1191" s="407" t="n">
        <f aca="false">Таблица18[[#This Row],[Вес нетто]]-Таблица18[[#This Row],[Зачетный вес]]</f>
        <v>1270.2</v>
      </c>
      <c r="U1191" s="409" t="n">
        <f aca="false">Таблица18[[#This Row],[Отход]]/Таблица18[[#This Row],[Вес нетто]]</f>
        <v>0.0950037397157817</v>
      </c>
      <c r="V1191" s="234" t="n">
        <f aca="false">MONTH(Таблица18[[#This Row],[Дата акта]])</f>
        <v>6</v>
      </c>
      <c r="W1191" s="234" t="n">
        <v>19</v>
      </c>
      <c r="X1191" s="248" t="n">
        <f aca="false">DATE(1900,Таблица18[[#This Row],[Месяц]],Таблица18[[#This Row],[Число]])</f>
        <v>171</v>
      </c>
      <c r="Y1191" s="234"/>
      <c r="AF1191" s="411"/>
      <c r="AG1191" s="412"/>
    </row>
    <row r="1192" s="410" customFormat="true" ht="15" hidden="true" customHeight="true" outlineLevel="0" collapsed="false">
      <c r="A1192" s="198" t="s">
        <v>2814</v>
      </c>
      <c r="B1192" s="199" t="s">
        <v>417</v>
      </c>
      <c r="C1192" s="198" t="n">
        <v>549</v>
      </c>
      <c r="D1192" s="198" t="n">
        <v>54934</v>
      </c>
      <c r="E1192" s="198" t="s">
        <v>908</v>
      </c>
      <c r="F1192" s="198" t="s">
        <v>371</v>
      </c>
      <c r="G1192" s="198" t="s">
        <v>372</v>
      </c>
      <c r="H1192" s="198" t="n">
        <v>16</v>
      </c>
      <c r="I1192" s="199" t="n">
        <v>16</v>
      </c>
      <c r="J1192" s="198" t="s">
        <v>904</v>
      </c>
      <c r="K1192" s="198" t="s">
        <v>1435</v>
      </c>
      <c r="L1192" s="234" t="n">
        <v>28260</v>
      </c>
      <c r="M1192" s="234" t="n">
        <v>14960</v>
      </c>
      <c r="N1192" s="234" t="n">
        <v>13</v>
      </c>
      <c r="O1192" s="407" t="n">
        <v>13300</v>
      </c>
      <c r="P1192" s="407" t="n">
        <v>11571</v>
      </c>
      <c r="Q1192" s="234" t="n">
        <v>2025</v>
      </c>
      <c r="R1192" s="234"/>
      <c r="S1192" s="248" t="n">
        <v>45827</v>
      </c>
      <c r="T1192" s="407" t="n">
        <f aca="false">Таблица18[[#This Row],[Вес нетто]]-Таблица18[[#This Row],[Зачетный вес]]</f>
        <v>1729</v>
      </c>
      <c r="U1192" s="409" t="n">
        <f aca="false">Таблица18[[#This Row],[Отход]]/Таблица18[[#This Row],[Вес нетто]]</f>
        <v>0.13</v>
      </c>
      <c r="V1192" s="234" t="n">
        <f aca="false">MONTH(Таблица18[[#This Row],[Дата акта]])</f>
        <v>6</v>
      </c>
      <c r="W1192" s="234" t="n">
        <v>19</v>
      </c>
      <c r="X1192" s="248" t="n">
        <f aca="false">DATE(1900,Таблица18[[#This Row],[Месяц]],Таблица18[[#This Row],[Число]])</f>
        <v>171</v>
      </c>
      <c r="Y1192" s="234"/>
      <c r="AF1192" s="411"/>
      <c r="AG1192" s="412"/>
    </row>
    <row r="1193" s="410" customFormat="true" ht="15" hidden="true" customHeight="true" outlineLevel="0" collapsed="false">
      <c r="A1193" s="198" t="s">
        <v>2815</v>
      </c>
      <c r="B1193" s="199" t="s">
        <v>417</v>
      </c>
      <c r="C1193" s="198" t="n">
        <v>551</v>
      </c>
      <c r="D1193" s="198" t="n">
        <v>54936</v>
      </c>
      <c r="E1193" s="198" t="s">
        <v>908</v>
      </c>
      <c r="F1193" s="198" t="s">
        <v>427</v>
      </c>
      <c r="G1193" s="198" t="s">
        <v>431</v>
      </c>
      <c r="H1193" s="198" t="n">
        <v>16</v>
      </c>
      <c r="I1193" s="199" t="n">
        <v>16</v>
      </c>
      <c r="J1193" s="198" t="s">
        <v>904</v>
      </c>
      <c r="K1193" s="198" t="s">
        <v>1435</v>
      </c>
      <c r="L1193" s="234" t="n">
        <v>34460</v>
      </c>
      <c r="M1193" s="234" t="n">
        <v>21030</v>
      </c>
      <c r="N1193" s="234" t="n">
        <v>12.5</v>
      </c>
      <c r="O1193" s="407" t="n">
        <v>13430</v>
      </c>
      <c r="P1193" s="407" t="n">
        <v>11751.2</v>
      </c>
      <c r="Q1193" s="234" t="n">
        <v>2025</v>
      </c>
      <c r="R1193" s="234"/>
      <c r="S1193" s="248" t="n">
        <v>45827</v>
      </c>
      <c r="T1193" s="407" t="n">
        <f aca="false">Таблица18[[#This Row],[Вес нетто]]-Таблица18[[#This Row],[Зачетный вес]]</f>
        <v>1678.8</v>
      </c>
      <c r="U1193" s="409" t="n">
        <f aca="false">Таблица18[[#This Row],[Отход]]/Таблица18[[#This Row],[Вес нетто]]</f>
        <v>0.125003723008191</v>
      </c>
      <c r="V1193" s="234" t="n">
        <f aca="false">MONTH(Таблица18[[#This Row],[Дата акта]])</f>
        <v>6</v>
      </c>
      <c r="W1193" s="234" t="n">
        <v>19</v>
      </c>
      <c r="X1193" s="248" t="n">
        <f aca="false">DATE(1900,Таблица18[[#This Row],[Месяц]],Таблица18[[#This Row],[Число]])</f>
        <v>171</v>
      </c>
      <c r="Y1193" s="234"/>
      <c r="AF1193" s="411"/>
      <c r="AG1193" s="412"/>
    </row>
    <row r="1194" s="410" customFormat="true" ht="15" hidden="true" customHeight="true" outlineLevel="0" collapsed="false">
      <c r="A1194" s="198" t="s">
        <v>2816</v>
      </c>
      <c r="B1194" s="199" t="s">
        <v>417</v>
      </c>
      <c r="C1194" s="198" t="n">
        <v>550</v>
      </c>
      <c r="D1194" s="198" t="n">
        <v>54935</v>
      </c>
      <c r="E1194" s="198" t="s">
        <v>908</v>
      </c>
      <c r="F1194" s="198" t="s">
        <v>363</v>
      </c>
      <c r="G1194" s="198" t="s">
        <v>364</v>
      </c>
      <c r="H1194" s="198" t="n">
        <v>16</v>
      </c>
      <c r="I1194" s="199" t="n">
        <v>16</v>
      </c>
      <c r="J1194" s="198" t="s">
        <v>904</v>
      </c>
      <c r="K1194" s="198" t="s">
        <v>1435</v>
      </c>
      <c r="L1194" s="234" t="n">
        <v>27940</v>
      </c>
      <c r="M1194" s="234" t="n">
        <v>14590</v>
      </c>
      <c r="N1194" s="234" t="n">
        <v>9.5</v>
      </c>
      <c r="O1194" s="407" t="n">
        <v>13350</v>
      </c>
      <c r="P1194" s="407" t="n">
        <v>12081.7</v>
      </c>
      <c r="Q1194" s="234" t="n">
        <v>2025</v>
      </c>
      <c r="R1194" s="234"/>
      <c r="S1194" s="248" t="n">
        <v>45827</v>
      </c>
      <c r="T1194" s="407" t="n">
        <f aca="false">Таблица18[[#This Row],[Вес нетто]]-Таблица18[[#This Row],[Зачетный вес]]</f>
        <v>1268.3</v>
      </c>
      <c r="U1194" s="409" t="n">
        <f aca="false">Таблица18[[#This Row],[Отход]]/Таблица18[[#This Row],[Вес нетто]]</f>
        <v>0.095003745318352</v>
      </c>
      <c r="V1194" s="234" t="n">
        <f aca="false">MONTH(Таблица18[[#This Row],[Дата акта]])</f>
        <v>6</v>
      </c>
      <c r="W1194" s="234" t="n">
        <v>19</v>
      </c>
      <c r="X1194" s="248" t="n">
        <f aca="false">DATE(1900,Таблица18[[#This Row],[Месяц]],Таблица18[[#This Row],[Число]])</f>
        <v>171</v>
      </c>
      <c r="Y1194" s="234"/>
      <c r="AF1194" s="411"/>
      <c r="AG1194" s="412"/>
    </row>
    <row r="1195" s="410" customFormat="true" ht="15" hidden="true" customHeight="true" outlineLevel="0" collapsed="false">
      <c r="A1195" s="198" t="s">
        <v>2817</v>
      </c>
      <c r="B1195" s="199" t="s">
        <v>417</v>
      </c>
      <c r="C1195" s="198" t="n">
        <v>552</v>
      </c>
      <c r="D1195" s="198" t="n">
        <v>54936</v>
      </c>
      <c r="E1195" s="198" t="s">
        <v>908</v>
      </c>
      <c r="F1195" s="198" t="s">
        <v>359</v>
      </c>
      <c r="G1195" s="198" t="s">
        <v>426</v>
      </c>
      <c r="H1195" s="198" t="n">
        <v>16</v>
      </c>
      <c r="I1195" s="199" t="n">
        <v>16</v>
      </c>
      <c r="J1195" s="198" t="s">
        <v>904</v>
      </c>
      <c r="K1195" s="198" t="s">
        <v>1435</v>
      </c>
      <c r="L1195" s="234" t="n">
        <v>27200</v>
      </c>
      <c r="M1195" s="234" t="n">
        <v>13800</v>
      </c>
      <c r="N1195" s="234" t="n">
        <v>10.5</v>
      </c>
      <c r="O1195" s="407" t="n">
        <v>13400</v>
      </c>
      <c r="P1195" s="407" t="n">
        <v>11993</v>
      </c>
      <c r="Q1195" s="234" t="n">
        <v>2025</v>
      </c>
      <c r="R1195" s="234"/>
      <c r="S1195" s="248" t="n">
        <v>45827</v>
      </c>
      <c r="T1195" s="407" t="n">
        <f aca="false">Таблица18[[#This Row],[Вес нетто]]-Таблица18[[#This Row],[Зачетный вес]]</f>
        <v>1407</v>
      </c>
      <c r="U1195" s="409" t="n">
        <f aca="false">Таблица18[[#This Row],[Отход]]/Таблица18[[#This Row],[Вес нетто]]</f>
        <v>0.105</v>
      </c>
      <c r="V1195" s="234" t="n">
        <f aca="false">MONTH(Таблица18[[#This Row],[Дата акта]])</f>
        <v>6</v>
      </c>
      <c r="W1195" s="234" t="n">
        <v>19</v>
      </c>
      <c r="X1195" s="248" t="n">
        <f aca="false">DATE(1900,Таблица18[[#This Row],[Месяц]],Таблица18[[#This Row],[Число]])</f>
        <v>171</v>
      </c>
      <c r="Y1195" s="234"/>
      <c r="AF1195" s="411"/>
      <c r="AG1195" s="412"/>
    </row>
    <row r="1196" s="410" customFormat="true" ht="15" hidden="true" customHeight="true" outlineLevel="0" collapsed="false">
      <c r="A1196" s="198" t="s">
        <v>2818</v>
      </c>
      <c r="B1196" s="199" t="s">
        <v>417</v>
      </c>
      <c r="C1196" s="198" t="n">
        <v>553</v>
      </c>
      <c r="D1196" s="198" t="n">
        <v>54937</v>
      </c>
      <c r="E1196" s="198" t="s">
        <v>908</v>
      </c>
      <c r="F1196" s="198" t="s">
        <v>519</v>
      </c>
      <c r="G1196" s="198" t="s">
        <v>523</v>
      </c>
      <c r="H1196" s="198" t="n">
        <v>16</v>
      </c>
      <c r="I1196" s="199" t="n">
        <v>16</v>
      </c>
      <c r="J1196" s="198" t="s">
        <v>904</v>
      </c>
      <c r="K1196" s="198" t="s">
        <v>1435</v>
      </c>
      <c r="L1196" s="234" t="n">
        <v>29170</v>
      </c>
      <c r="M1196" s="234" t="n">
        <v>15500</v>
      </c>
      <c r="N1196" s="234" t="n">
        <v>7.5</v>
      </c>
      <c r="O1196" s="407" t="n">
        <v>13670</v>
      </c>
      <c r="P1196" s="407" t="n">
        <v>12644.7</v>
      </c>
      <c r="Q1196" s="234" t="n">
        <v>2025</v>
      </c>
      <c r="R1196" s="234"/>
      <c r="S1196" s="248" t="n">
        <v>45827</v>
      </c>
      <c r="T1196" s="407" t="n">
        <f aca="false">Таблица18[[#This Row],[Вес нетто]]-Таблица18[[#This Row],[Зачетный вес]]</f>
        <v>1025.3</v>
      </c>
      <c r="U1196" s="409" t="n">
        <f aca="false">Таблица18[[#This Row],[Отход]]/Таблица18[[#This Row],[Вес нетто]]</f>
        <v>0.0750036576444769</v>
      </c>
      <c r="V1196" s="234" t="n">
        <f aca="false">MONTH(Таблица18[[#This Row],[Дата акта]])</f>
        <v>6</v>
      </c>
      <c r="W1196" s="234" t="n">
        <v>19</v>
      </c>
      <c r="X1196" s="248" t="n">
        <f aca="false">DATE(1900,Таблица18[[#This Row],[Месяц]],Таблица18[[#This Row],[Число]])</f>
        <v>171</v>
      </c>
      <c r="Y1196" s="234"/>
      <c r="AF1196" s="411"/>
      <c r="AG1196" s="412"/>
    </row>
    <row r="1197" s="410" customFormat="true" ht="15" hidden="true" customHeight="true" outlineLevel="0" collapsed="false">
      <c r="A1197" s="198" t="s">
        <v>2819</v>
      </c>
      <c r="B1197" s="199" t="s">
        <v>417</v>
      </c>
      <c r="C1197" s="198" t="n">
        <v>555</v>
      </c>
      <c r="D1197" s="198" t="n">
        <v>54937</v>
      </c>
      <c r="E1197" s="198" t="s">
        <v>908</v>
      </c>
      <c r="F1197" s="198" t="s">
        <v>382</v>
      </c>
      <c r="G1197" s="198" t="s">
        <v>383</v>
      </c>
      <c r="H1197" s="198" t="n">
        <v>16</v>
      </c>
      <c r="I1197" s="199" t="n">
        <v>16</v>
      </c>
      <c r="J1197" s="198" t="s">
        <v>904</v>
      </c>
      <c r="K1197" s="198" t="s">
        <v>1435</v>
      </c>
      <c r="L1197" s="234" t="n">
        <v>28460</v>
      </c>
      <c r="M1197" s="234" t="n">
        <v>14900</v>
      </c>
      <c r="N1197" s="234" t="n">
        <v>6.5</v>
      </c>
      <c r="O1197" s="407" t="n">
        <v>13560</v>
      </c>
      <c r="P1197" s="407" t="n">
        <v>12678.6</v>
      </c>
      <c r="Q1197" s="234" t="n">
        <v>2025</v>
      </c>
      <c r="R1197" s="234"/>
      <c r="S1197" s="248" t="n">
        <v>45827</v>
      </c>
      <c r="T1197" s="407" t="n">
        <f aca="false">Таблица18[[#This Row],[Вес нетто]]-Таблица18[[#This Row],[Зачетный вес]]</f>
        <v>881.4</v>
      </c>
      <c r="U1197" s="409" t="n">
        <f aca="false">Таблица18[[#This Row],[Отход]]/Таблица18[[#This Row],[Вес нетто]]</f>
        <v>0.065</v>
      </c>
      <c r="V1197" s="234" t="n">
        <f aca="false">MONTH(Таблица18[[#This Row],[Дата акта]])</f>
        <v>6</v>
      </c>
      <c r="W1197" s="234" t="n">
        <v>19</v>
      </c>
      <c r="X1197" s="248" t="n">
        <f aca="false">DATE(1900,Таблица18[[#This Row],[Месяц]],Таблица18[[#This Row],[Число]])</f>
        <v>171</v>
      </c>
      <c r="Y1197" s="234"/>
      <c r="AF1197" s="411"/>
      <c r="AG1197" s="412"/>
    </row>
    <row r="1198" s="410" customFormat="true" ht="15" hidden="true" customHeight="true" outlineLevel="0" collapsed="false">
      <c r="A1198" s="198" t="s">
        <v>2820</v>
      </c>
      <c r="B1198" s="199" t="s">
        <v>417</v>
      </c>
      <c r="C1198" s="198" t="n">
        <v>554</v>
      </c>
      <c r="D1198" s="198" t="n">
        <v>54937</v>
      </c>
      <c r="E1198" s="198" t="s">
        <v>908</v>
      </c>
      <c r="F1198" s="198" t="s">
        <v>384</v>
      </c>
      <c r="G1198" s="198" t="s">
        <v>385</v>
      </c>
      <c r="H1198" s="198" t="n">
        <v>16</v>
      </c>
      <c r="I1198" s="199" t="n">
        <v>16</v>
      </c>
      <c r="J1198" s="198" t="s">
        <v>904</v>
      </c>
      <c r="K1198" s="198" t="s">
        <v>1435</v>
      </c>
      <c r="L1198" s="234" t="n">
        <v>27920</v>
      </c>
      <c r="M1198" s="234" t="n">
        <v>14400</v>
      </c>
      <c r="N1198" s="234" t="n">
        <v>9.5</v>
      </c>
      <c r="O1198" s="407" t="n">
        <v>13520</v>
      </c>
      <c r="P1198" s="407" t="n">
        <v>12235.6</v>
      </c>
      <c r="Q1198" s="234" t="n">
        <v>2025</v>
      </c>
      <c r="R1198" s="234"/>
      <c r="S1198" s="248" t="n">
        <v>45827</v>
      </c>
      <c r="T1198" s="407" t="n">
        <f aca="false">Таблица18[[#This Row],[Вес нетто]]-Таблица18[[#This Row],[Зачетный вес]]</f>
        <v>1284.4</v>
      </c>
      <c r="U1198" s="409" t="n">
        <f aca="false">Таблица18[[#This Row],[Отход]]/Таблица18[[#This Row],[Вес нетто]]</f>
        <v>0.095</v>
      </c>
      <c r="V1198" s="234" t="n">
        <f aca="false">MONTH(Таблица18[[#This Row],[Дата акта]])</f>
        <v>6</v>
      </c>
      <c r="W1198" s="234" t="n">
        <v>19</v>
      </c>
      <c r="X1198" s="248" t="n">
        <f aca="false">DATE(1900,Таблица18[[#This Row],[Месяц]],Таблица18[[#This Row],[Число]])</f>
        <v>171</v>
      </c>
      <c r="Y1198" s="234"/>
      <c r="AF1198" s="411"/>
      <c r="AG1198" s="412"/>
    </row>
    <row r="1199" s="410" customFormat="true" ht="15" hidden="true" customHeight="true" outlineLevel="0" collapsed="false">
      <c r="A1199" s="198" t="s">
        <v>2821</v>
      </c>
      <c r="B1199" s="199" t="s">
        <v>417</v>
      </c>
      <c r="C1199" s="198" t="n">
        <v>556</v>
      </c>
      <c r="D1199" s="198" t="n">
        <v>54938</v>
      </c>
      <c r="E1199" s="198" t="s">
        <v>908</v>
      </c>
      <c r="F1199" s="198" t="s">
        <v>361</v>
      </c>
      <c r="G1199" s="198" t="s">
        <v>362</v>
      </c>
      <c r="H1199" s="198" t="n">
        <v>16</v>
      </c>
      <c r="I1199" s="199" t="n">
        <v>16</v>
      </c>
      <c r="J1199" s="198" t="s">
        <v>904</v>
      </c>
      <c r="K1199" s="198" t="s">
        <v>1435</v>
      </c>
      <c r="L1199" s="234" t="n">
        <v>28110</v>
      </c>
      <c r="M1199" s="234" t="n">
        <v>14730</v>
      </c>
      <c r="N1199" s="234" t="n">
        <v>8.5</v>
      </c>
      <c r="O1199" s="407" t="n">
        <v>13380</v>
      </c>
      <c r="P1199" s="407" t="n">
        <v>12242.7</v>
      </c>
      <c r="Q1199" s="234" t="n">
        <v>2025</v>
      </c>
      <c r="R1199" s="234"/>
      <c r="S1199" s="248" t="n">
        <v>45827</v>
      </c>
      <c r="T1199" s="407" t="n">
        <f aca="false">Таблица18[[#This Row],[Вес нетто]]-Таблица18[[#This Row],[Зачетный вес]]</f>
        <v>1137.3</v>
      </c>
      <c r="U1199" s="409" t="n">
        <f aca="false">Таблица18[[#This Row],[Отход]]/Таблица18[[#This Row],[Вес нетто]]</f>
        <v>0.085</v>
      </c>
      <c r="V1199" s="234" t="n">
        <f aca="false">MONTH(Таблица18[[#This Row],[Дата акта]])</f>
        <v>6</v>
      </c>
      <c r="W1199" s="234" t="n">
        <v>19</v>
      </c>
      <c r="X1199" s="248" t="n">
        <f aca="false">DATE(1900,Таблица18[[#This Row],[Месяц]],Таблица18[[#This Row],[Число]])</f>
        <v>171</v>
      </c>
      <c r="Y1199" s="234"/>
      <c r="AF1199" s="411"/>
      <c r="AG1199" s="412"/>
    </row>
    <row r="1200" s="410" customFormat="true" ht="15" hidden="true" customHeight="true" outlineLevel="0" collapsed="false">
      <c r="A1200" s="198" t="s">
        <v>2822</v>
      </c>
      <c r="B1200" s="199" t="s">
        <v>746</v>
      </c>
      <c r="C1200" s="198" t="n">
        <v>557</v>
      </c>
      <c r="D1200" s="198" t="n">
        <v>54938</v>
      </c>
      <c r="E1200" s="198" t="s">
        <v>908</v>
      </c>
      <c r="F1200" s="198" t="s">
        <v>433</v>
      </c>
      <c r="G1200" s="198" t="s">
        <v>437</v>
      </c>
      <c r="H1200" s="198" t="n">
        <v>16</v>
      </c>
      <c r="I1200" s="199" t="n">
        <v>16</v>
      </c>
      <c r="J1200" s="198" t="s">
        <v>904</v>
      </c>
      <c r="K1200" s="198" t="s">
        <v>1435</v>
      </c>
      <c r="L1200" s="234" t="n">
        <v>28060</v>
      </c>
      <c r="M1200" s="234" t="n">
        <v>14890</v>
      </c>
      <c r="N1200" s="234" t="n">
        <v>6.5</v>
      </c>
      <c r="O1200" s="407" t="n">
        <v>13170</v>
      </c>
      <c r="P1200" s="407" t="n">
        <v>12313.9</v>
      </c>
      <c r="Q1200" s="234" t="n">
        <v>2025</v>
      </c>
      <c r="R1200" s="234"/>
      <c r="S1200" s="248" t="n">
        <v>45827</v>
      </c>
      <c r="T1200" s="407" t="n">
        <f aca="false">Таблица18[[#This Row],[Вес нетто]]-Таблица18[[#This Row],[Зачетный вес]]</f>
        <v>856.1</v>
      </c>
      <c r="U1200" s="409" t="n">
        <f aca="false">Таблица18[[#This Row],[Отход]]/Таблица18[[#This Row],[Вес нетто]]</f>
        <v>0.0650037965072134</v>
      </c>
      <c r="V1200" s="234" t="n">
        <f aca="false">MONTH(Таблица18[[#This Row],[Дата акта]])</f>
        <v>6</v>
      </c>
      <c r="W1200" s="234" t="n">
        <v>19</v>
      </c>
      <c r="X1200" s="248" t="n">
        <f aca="false">DATE(1900,Таблица18[[#This Row],[Месяц]],Таблица18[[#This Row],[Число]])</f>
        <v>171</v>
      </c>
      <c r="Y1200" s="234"/>
      <c r="AF1200" s="411"/>
      <c r="AG1200" s="412"/>
    </row>
    <row r="1201" s="410" customFormat="true" ht="15" hidden="true" customHeight="true" outlineLevel="0" collapsed="false">
      <c r="A1201" s="198" t="s">
        <v>2823</v>
      </c>
      <c r="B1201" s="199" t="s">
        <v>746</v>
      </c>
      <c r="C1201" s="198" t="n">
        <v>559</v>
      </c>
      <c r="D1201" s="198" t="n">
        <v>54939</v>
      </c>
      <c r="E1201" s="198" t="s">
        <v>908</v>
      </c>
      <c r="F1201" s="198" t="s">
        <v>371</v>
      </c>
      <c r="G1201" s="198" t="s">
        <v>372</v>
      </c>
      <c r="H1201" s="198" t="n">
        <v>16</v>
      </c>
      <c r="I1201" s="199" t="n">
        <v>16</v>
      </c>
      <c r="J1201" s="198" t="s">
        <v>904</v>
      </c>
      <c r="K1201" s="198" t="s">
        <v>1435</v>
      </c>
      <c r="L1201" s="234" t="n">
        <v>28140</v>
      </c>
      <c r="M1201" s="234" t="n">
        <v>15020</v>
      </c>
      <c r="N1201" s="234" t="n">
        <v>5.5</v>
      </c>
      <c r="O1201" s="407" t="n">
        <v>13120</v>
      </c>
      <c r="P1201" s="407" t="n">
        <v>12398.4</v>
      </c>
      <c r="Q1201" s="234" t="n">
        <v>2025</v>
      </c>
      <c r="R1201" s="234"/>
      <c r="S1201" s="248" t="n">
        <v>45827</v>
      </c>
      <c r="T1201" s="407" t="n">
        <f aca="false">Таблица18[[#This Row],[Вес нетто]]-Таблица18[[#This Row],[Зачетный вес]]</f>
        <v>721.6</v>
      </c>
      <c r="U1201" s="409" t="n">
        <f aca="false">Таблица18[[#This Row],[Отход]]/Таблица18[[#This Row],[Вес нетто]]</f>
        <v>0.055</v>
      </c>
      <c r="V1201" s="234" t="n">
        <f aca="false">MONTH(Таблица18[[#This Row],[Дата акта]])</f>
        <v>6</v>
      </c>
      <c r="W1201" s="234" t="n">
        <v>19</v>
      </c>
      <c r="X1201" s="248" t="n">
        <f aca="false">DATE(1900,Таблица18[[#This Row],[Месяц]],Таблица18[[#This Row],[Число]])</f>
        <v>171</v>
      </c>
      <c r="Y1201" s="234"/>
      <c r="AF1201" s="411"/>
      <c r="AG1201" s="412"/>
    </row>
    <row r="1202" s="410" customFormat="true" ht="15" hidden="true" customHeight="true" outlineLevel="0" collapsed="false">
      <c r="A1202" s="198" t="s">
        <v>2824</v>
      </c>
      <c r="B1202" s="199" t="s">
        <v>746</v>
      </c>
      <c r="C1202" s="198" t="n">
        <v>558</v>
      </c>
      <c r="D1202" s="198" t="n">
        <v>54939</v>
      </c>
      <c r="E1202" s="198" t="s">
        <v>908</v>
      </c>
      <c r="F1202" s="198" t="s">
        <v>439</v>
      </c>
      <c r="G1202" s="198" t="s">
        <v>443</v>
      </c>
      <c r="H1202" s="198" t="n">
        <v>16</v>
      </c>
      <c r="I1202" s="199" t="n">
        <v>16</v>
      </c>
      <c r="J1202" s="198" t="s">
        <v>904</v>
      </c>
      <c r="K1202" s="198" t="s">
        <v>1435</v>
      </c>
      <c r="L1202" s="234" t="n">
        <v>37150</v>
      </c>
      <c r="M1202" s="234" t="n">
        <v>24140</v>
      </c>
      <c r="N1202" s="234" t="n">
        <v>6.5</v>
      </c>
      <c r="O1202" s="407" t="n">
        <v>13010</v>
      </c>
      <c r="P1202" s="407" t="n">
        <v>12164.3</v>
      </c>
      <c r="Q1202" s="234" t="n">
        <v>2025</v>
      </c>
      <c r="R1202" s="234"/>
      <c r="S1202" s="248" t="n">
        <v>45827</v>
      </c>
      <c r="T1202" s="407" t="n">
        <f aca="false">Таблица18[[#This Row],[Вес нетто]]-Таблица18[[#This Row],[Зачетный вес]]</f>
        <v>845.700000000001</v>
      </c>
      <c r="U1202" s="409" t="n">
        <f aca="false">Таблица18[[#This Row],[Отход]]/Таблица18[[#This Row],[Вес нетто]]</f>
        <v>0.0650038431975404</v>
      </c>
      <c r="V1202" s="234" t="n">
        <f aca="false">MONTH(Таблица18[[#This Row],[Дата акта]])</f>
        <v>6</v>
      </c>
      <c r="W1202" s="234" t="n">
        <v>19</v>
      </c>
      <c r="X1202" s="248" t="n">
        <f aca="false">DATE(1900,Таблица18[[#This Row],[Месяц]],Таблица18[[#This Row],[Число]])</f>
        <v>171</v>
      </c>
      <c r="Y1202" s="234"/>
      <c r="AF1202" s="411"/>
      <c r="AG1202" s="412"/>
    </row>
    <row r="1203" s="410" customFormat="true" ht="15" hidden="true" customHeight="true" outlineLevel="0" collapsed="false">
      <c r="A1203" s="198" t="s">
        <v>2825</v>
      </c>
      <c r="B1203" s="199" t="s">
        <v>746</v>
      </c>
      <c r="C1203" s="198" t="n">
        <v>561</v>
      </c>
      <c r="D1203" s="198" t="n">
        <v>54940</v>
      </c>
      <c r="E1203" s="198" t="s">
        <v>908</v>
      </c>
      <c r="F1203" s="198" t="s">
        <v>365</v>
      </c>
      <c r="G1203" s="198" t="s">
        <v>373</v>
      </c>
      <c r="H1203" s="198" t="n">
        <v>16</v>
      </c>
      <c r="I1203" s="199" t="n">
        <v>16</v>
      </c>
      <c r="J1203" s="198" t="s">
        <v>904</v>
      </c>
      <c r="K1203" s="198" t="s">
        <v>1435</v>
      </c>
      <c r="L1203" s="234" t="n">
        <v>31800</v>
      </c>
      <c r="M1203" s="234" t="n">
        <v>18680</v>
      </c>
      <c r="N1203" s="234" t="n">
        <v>6.5</v>
      </c>
      <c r="O1203" s="407" t="n">
        <v>13120</v>
      </c>
      <c r="P1203" s="407" t="n">
        <v>12267.2</v>
      </c>
      <c r="Q1203" s="234" t="n">
        <v>2025</v>
      </c>
      <c r="R1203" s="234"/>
      <c r="S1203" s="248" t="n">
        <v>45828</v>
      </c>
      <c r="T1203" s="407" t="n">
        <f aca="false">Таблица18[[#This Row],[Вес нетто]]-Таблица18[[#This Row],[Зачетный вес]]</f>
        <v>852.799999999999</v>
      </c>
      <c r="U1203" s="409" t="n">
        <f aca="false">Таблица18[[#This Row],[Отход]]/Таблица18[[#This Row],[Вес нетто]]</f>
        <v>0.065</v>
      </c>
      <c r="V1203" s="234" t="n">
        <f aca="false">MONTH(Таблица18[[#This Row],[Дата акта]])</f>
        <v>6</v>
      </c>
      <c r="W1203" s="234" t="n">
        <v>20</v>
      </c>
      <c r="X1203" s="248" t="n">
        <f aca="false">DATE(1900,Таблица18[[#This Row],[Месяц]],Таблица18[[#This Row],[Число]])</f>
        <v>172</v>
      </c>
      <c r="Y1203" s="234"/>
      <c r="AF1203" s="411"/>
      <c r="AG1203" s="412"/>
    </row>
    <row r="1204" s="410" customFormat="true" ht="15" hidden="true" customHeight="true" outlineLevel="0" collapsed="false">
      <c r="A1204" s="198" t="s">
        <v>2826</v>
      </c>
      <c r="B1204" s="199" t="s">
        <v>746</v>
      </c>
      <c r="C1204" s="198" t="n">
        <v>560</v>
      </c>
      <c r="D1204" s="198" t="n">
        <v>54940</v>
      </c>
      <c r="E1204" s="198" t="s">
        <v>908</v>
      </c>
      <c r="F1204" s="198" t="s">
        <v>363</v>
      </c>
      <c r="G1204" s="198" t="s">
        <v>364</v>
      </c>
      <c r="H1204" s="198" t="n">
        <v>16</v>
      </c>
      <c r="I1204" s="199" t="n">
        <v>16</v>
      </c>
      <c r="J1204" s="198" t="s">
        <v>904</v>
      </c>
      <c r="K1204" s="198" t="s">
        <v>1435</v>
      </c>
      <c r="L1204" s="234" t="n">
        <v>27710</v>
      </c>
      <c r="M1204" s="234" t="n">
        <v>14530</v>
      </c>
      <c r="N1204" s="234" t="n">
        <v>5.5</v>
      </c>
      <c r="O1204" s="407" t="n">
        <v>13180</v>
      </c>
      <c r="P1204" s="407" t="n">
        <v>12455.1</v>
      </c>
      <c r="Q1204" s="234" t="n">
        <v>2025</v>
      </c>
      <c r="R1204" s="234"/>
      <c r="S1204" s="248" t="n">
        <v>45828</v>
      </c>
      <c r="T1204" s="407" t="n">
        <f aca="false">Таблица18[[#This Row],[Вес нетто]]-Таблица18[[#This Row],[Зачетный вес]]</f>
        <v>724.9</v>
      </c>
      <c r="U1204" s="409" t="n">
        <f aca="false">Таблица18[[#This Row],[Отход]]/Таблица18[[#This Row],[Вес нетто]]</f>
        <v>0.055</v>
      </c>
      <c r="V1204" s="234" t="n">
        <f aca="false">MONTH(Таблица18[[#This Row],[Дата акта]])</f>
        <v>6</v>
      </c>
      <c r="W1204" s="234" t="n">
        <v>20</v>
      </c>
      <c r="X1204" s="248" t="n">
        <f aca="false">DATE(1900,Таблица18[[#This Row],[Месяц]],Таблица18[[#This Row],[Число]])</f>
        <v>172</v>
      </c>
      <c r="Y1204" s="234"/>
      <c r="AF1204" s="411"/>
      <c r="AG1204" s="412"/>
    </row>
    <row r="1205" s="410" customFormat="true" ht="15" hidden="true" customHeight="true" outlineLevel="0" collapsed="false">
      <c r="A1205" s="198" t="s">
        <v>2827</v>
      </c>
      <c r="B1205" s="199" t="s">
        <v>746</v>
      </c>
      <c r="C1205" s="198" t="n">
        <v>562</v>
      </c>
      <c r="D1205" s="198" t="n">
        <v>54941</v>
      </c>
      <c r="E1205" s="198" t="s">
        <v>908</v>
      </c>
      <c r="F1205" s="198" t="s">
        <v>359</v>
      </c>
      <c r="G1205" s="198" t="s">
        <v>426</v>
      </c>
      <c r="H1205" s="198" t="n">
        <v>16</v>
      </c>
      <c r="I1205" s="199" t="n">
        <v>16</v>
      </c>
      <c r="J1205" s="198" t="s">
        <v>904</v>
      </c>
      <c r="K1205" s="198" t="s">
        <v>1435</v>
      </c>
      <c r="L1205" s="234" t="n">
        <v>27470</v>
      </c>
      <c r="M1205" s="234" t="n">
        <v>13870</v>
      </c>
      <c r="N1205" s="234" t="n">
        <v>5.5</v>
      </c>
      <c r="O1205" s="407" t="n">
        <v>13600</v>
      </c>
      <c r="P1205" s="407" t="n">
        <v>12852</v>
      </c>
      <c r="Q1205" s="234" t="n">
        <v>2025</v>
      </c>
      <c r="R1205" s="234"/>
      <c r="S1205" s="248" t="n">
        <v>45828</v>
      </c>
      <c r="T1205" s="407" t="n">
        <f aca="false">Таблица18[[#This Row],[Вес нетто]]-Таблица18[[#This Row],[Зачетный вес]]</f>
        <v>748</v>
      </c>
      <c r="U1205" s="409" t="n">
        <f aca="false">Таблица18[[#This Row],[Отход]]/Таблица18[[#This Row],[Вес нетто]]</f>
        <v>0.055</v>
      </c>
      <c r="V1205" s="234" t="n">
        <f aca="false">MONTH(Таблица18[[#This Row],[Дата акта]])</f>
        <v>6</v>
      </c>
      <c r="W1205" s="234" t="n">
        <v>20</v>
      </c>
      <c r="X1205" s="248" t="n">
        <f aca="false">DATE(1900,Таблица18[[#This Row],[Месяц]],Таблица18[[#This Row],[Число]])</f>
        <v>172</v>
      </c>
      <c r="Y1205" s="234"/>
      <c r="AF1205" s="411"/>
      <c r="AG1205" s="412"/>
    </row>
    <row r="1206" s="410" customFormat="true" ht="15" hidden="true" customHeight="true" outlineLevel="0" collapsed="false">
      <c r="A1206" s="198" t="s">
        <v>2828</v>
      </c>
      <c r="B1206" s="199" t="s">
        <v>746</v>
      </c>
      <c r="C1206" s="198" t="n">
        <v>564</v>
      </c>
      <c r="D1206" s="198" t="n">
        <v>54942</v>
      </c>
      <c r="E1206" s="198" t="s">
        <v>908</v>
      </c>
      <c r="F1206" s="198" t="s">
        <v>427</v>
      </c>
      <c r="G1206" s="198" t="s">
        <v>431</v>
      </c>
      <c r="H1206" s="198" t="n">
        <v>14</v>
      </c>
      <c r="I1206" s="199" t="n">
        <v>14</v>
      </c>
      <c r="J1206" s="198" t="s">
        <v>904</v>
      </c>
      <c r="K1206" s="198" t="s">
        <v>1435</v>
      </c>
      <c r="L1206" s="234" t="n">
        <v>34090</v>
      </c>
      <c r="M1206" s="234" t="n">
        <v>21010</v>
      </c>
      <c r="N1206" s="234" t="n">
        <v>5.5</v>
      </c>
      <c r="O1206" s="407" t="n">
        <v>13080</v>
      </c>
      <c r="P1206" s="407" t="n">
        <v>12360.6</v>
      </c>
      <c r="Q1206" s="234" t="n">
        <v>2025</v>
      </c>
      <c r="R1206" s="234"/>
      <c r="S1206" s="248" t="n">
        <v>45828</v>
      </c>
      <c r="T1206" s="407" t="n">
        <f aca="false">Таблица18[[#This Row],[Вес нетто]]-Таблица18[[#This Row],[Зачетный вес]]</f>
        <v>719.4</v>
      </c>
      <c r="U1206" s="409" t="n">
        <f aca="false">Таблица18[[#This Row],[Отход]]/Таблица18[[#This Row],[Вес нетто]]</f>
        <v>0.055</v>
      </c>
      <c r="V1206" s="234" t="n">
        <f aca="false">MONTH(Таблица18[[#This Row],[Дата акта]])</f>
        <v>6</v>
      </c>
      <c r="W1206" s="234" t="n">
        <v>20</v>
      </c>
      <c r="X1206" s="248" t="n">
        <f aca="false">DATE(1900,Таблица18[[#This Row],[Месяц]],Таблица18[[#This Row],[Число]])</f>
        <v>172</v>
      </c>
      <c r="Y1206" s="234"/>
      <c r="AF1206" s="411"/>
      <c r="AG1206" s="412"/>
    </row>
    <row r="1207" s="410" customFormat="true" ht="15" hidden="true" customHeight="true" outlineLevel="0" collapsed="false">
      <c r="A1207" s="198" t="s">
        <v>2829</v>
      </c>
      <c r="B1207" s="199" t="s">
        <v>886</v>
      </c>
      <c r="C1207" s="198" t="n">
        <v>563</v>
      </c>
      <c r="D1207" s="198" t="n">
        <v>54941</v>
      </c>
      <c r="E1207" s="198" t="s">
        <v>908</v>
      </c>
      <c r="F1207" s="198" t="s">
        <v>519</v>
      </c>
      <c r="G1207" s="198" t="s">
        <v>523</v>
      </c>
      <c r="H1207" s="198" t="n">
        <v>14</v>
      </c>
      <c r="I1207" s="199" t="n">
        <v>14</v>
      </c>
      <c r="J1207" s="198" t="s">
        <v>904</v>
      </c>
      <c r="K1207" s="198" t="s">
        <v>1435</v>
      </c>
      <c r="L1207" s="234" t="n">
        <v>28800</v>
      </c>
      <c r="M1207" s="234" t="n">
        <v>15600</v>
      </c>
      <c r="N1207" s="234" t="n">
        <v>5.5</v>
      </c>
      <c r="O1207" s="407" t="n">
        <v>13200</v>
      </c>
      <c r="P1207" s="407" t="n">
        <v>12474</v>
      </c>
      <c r="Q1207" s="234" t="n">
        <v>2025</v>
      </c>
      <c r="R1207" s="234"/>
      <c r="S1207" s="248" t="n">
        <v>45828</v>
      </c>
      <c r="T1207" s="407" t="n">
        <f aca="false">Таблица18[[#This Row],[Вес нетто]]-Таблица18[[#This Row],[Зачетный вес]]</f>
        <v>726</v>
      </c>
      <c r="U1207" s="409" t="n">
        <f aca="false">Таблица18[[#This Row],[Отход]]/Таблица18[[#This Row],[Вес нетто]]</f>
        <v>0.055</v>
      </c>
      <c r="V1207" s="234" t="n">
        <f aca="false">MONTH(Таблица18[[#This Row],[Дата акта]])</f>
        <v>6</v>
      </c>
      <c r="W1207" s="234" t="n">
        <v>20</v>
      </c>
      <c r="X1207" s="248" t="n">
        <f aca="false">DATE(1900,Таблица18[[#This Row],[Месяц]],Таблица18[[#This Row],[Число]])</f>
        <v>172</v>
      </c>
      <c r="Y1207" s="234"/>
      <c r="AF1207" s="411"/>
      <c r="AG1207" s="412"/>
    </row>
    <row r="1208" s="410" customFormat="true" ht="15" hidden="true" customHeight="true" outlineLevel="0" collapsed="false">
      <c r="A1208" s="198" t="s">
        <v>2830</v>
      </c>
      <c r="B1208" s="199" t="s">
        <v>746</v>
      </c>
      <c r="C1208" s="198" t="n">
        <v>566</v>
      </c>
      <c r="D1208" s="198" t="n">
        <v>54943</v>
      </c>
      <c r="E1208" s="198" t="s">
        <v>908</v>
      </c>
      <c r="F1208" s="198" t="s">
        <v>371</v>
      </c>
      <c r="G1208" s="198" t="s">
        <v>372</v>
      </c>
      <c r="H1208" s="198" t="n">
        <v>14</v>
      </c>
      <c r="I1208" s="199" t="n">
        <v>14</v>
      </c>
      <c r="J1208" s="198" t="s">
        <v>904</v>
      </c>
      <c r="K1208" s="198" t="s">
        <v>1435</v>
      </c>
      <c r="L1208" s="234" t="n">
        <v>28200</v>
      </c>
      <c r="M1208" s="234" t="n">
        <v>14990</v>
      </c>
      <c r="N1208" s="234" t="n">
        <v>6.5</v>
      </c>
      <c r="O1208" s="407" t="n">
        <v>13210</v>
      </c>
      <c r="P1208" s="407" t="n">
        <v>12351.3</v>
      </c>
      <c r="Q1208" s="234" t="n">
        <v>2025</v>
      </c>
      <c r="R1208" s="234"/>
      <c r="S1208" s="248" t="n">
        <v>45828</v>
      </c>
      <c r="T1208" s="407" t="n">
        <f aca="false">Таблица18[[#This Row],[Вес нетто]]-Таблица18[[#This Row],[Зачетный вес]]</f>
        <v>858.700000000001</v>
      </c>
      <c r="U1208" s="409" t="n">
        <f aca="false">Таблица18[[#This Row],[Отход]]/Таблица18[[#This Row],[Вес нетто]]</f>
        <v>0.0650037850113551</v>
      </c>
      <c r="V1208" s="234" t="n">
        <f aca="false">MONTH(Таблица18[[#This Row],[Дата акта]])</f>
        <v>6</v>
      </c>
      <c r="W1208" s="234" t="n">
        <v>20</v>
      </c>
      <c r="X1208" s="248" t="n">
        <f aca="false">DATE(1900,Таблица18[[#This Row],[Месяц]],Таблица18[[#This Row],[Число]])</f>
        <v>172</v>
      </c>
      <c r="Y1208" s="234"/>
      <c r="AF1208" s="411"/>
      <c r="AG1208" s="412"/>
    </row>
    <row r="1209" s="410" customFormat="true" ht="15" hidden="true" customHeight="true" outlineLevel="0" collapsed="false">
      <c r="A1209" s="198" t="s">
        <v>2831</v>
      </c>
      <c r="B1209" s="199" t="s">
        <v>746</v>
      </c>
      <c r="C1209" s="198" t="n">
        <v>565</v>
      </c>
      <c r="D1209" s="198" t="n">
        <v>54943</v>
      </c>
      <c r="E1209" s="198" t="s">
        <v>908</v>
      </c>
      <c r="F1209" s="198" t="s">
        <v>361</v>
      </c>
      <c r="G1209" s="198" t="s">
        <v>362</v>
      </c>
      <c r="H1209" s="198" t="n">
        <v>14</v>
      </c>
      <c r="I1209" s="199" t="n">
        <v>14</v>
      </c>
      <c r="J1209" s="198" t="s">
        <v>904</v>
      </c>
      <c r="K1209" s="198" t="s">
        <v>1435</v>
      </c>
      <c r="L1209" s="234" t="n">
        <v>27720</v>
      </c>
      <c r="M1209" s="234" t="n">
        <v>14720</v>
      </c>
      <c r="N1209" s="234" t="n">
        <v>6.5</v>
      </c>
      <c r="O1209" s="407" t="n">
        <v>13000</v>
      </c>
      <c r="P1209" s="407" t="n">
        <v>12155</v>
      </c>
      <c r="Q1209" s="234" t="n">
        <v>2025</v>
      </c>
      <c r="R1209" s="234"/>
      <c r="S1209" s="248" t="n">
        <v>45828</v>
      </c>
      <c r="T1209" s="407" t="n">
        <f aca="false">Таблица18[[#This Row],[Вес нетто]]-Таблица18[[#This Row],[Зачетный вес]]</f>
        <v>845</v>
      </c>
      <c r="U1209" s="409" t="n">
        <f aca="false">Таблица18[[#This Row],[Отход]]/Таблица18[[#This Row],[Вес нетто]]</f>
        <v>0.065</v>
      </c>
      <c r="V1209" s="234" t="n">
        <f aca="false">MONTH(Таблица18[[#This Row],[Дата акта]])</f>
        <v>6</v>
      </c>
      <c r="W1209" s="234" t="n">
        <v>20</v>
      </c>
      <c r="X1209" s="248" t="n">
        <f aca="false">DATE(1900,Таблица18[[#This Row],[Месяц]],Таблица18[[#This Row],[Число]])</f>
        <v>172</v>
      </c>
      <c r="Y1209" s="234"/>
      <c r="AF1209" s="411"/>
      <c r="AG1209" s="412"/>
    </row>
    <row r="1210" s="410" customFormat="true" ht="15" hidden="true" customHeight="true" outlineLevel="0" collapsed="false">
      <c r="A1210" s="198" t="s">
        <v>2832</v>
      </c>
      <c r="B1210" s="199" t="s">
        <v>746</v>
      </c>
      <c r="C1210" s="198" t="n">
        <v>573</v>
      </c>
      <c r="D1210" s="198" t="n">
        <v>54944</v>
      </c>
      <c r="E1210" s="198" t="s">
        <v>908</v>
      </c>
      <c r="F1210" s="198" t="s">
        <v>433</v>
      </c>
      <c r="G1210" s="198" t="s">
        <v>437</v>
      </c>
      <c r="H1210" s="198" t="n">
        <v>14</v>
      </c>
      <c r="I1210" s="199" t="n">
        <v>14</v>
      </c>
      <c r="J1210" s="198" t="s">
        <v>904</v>
      </c>
      <c r="K1210" s="198" t="s">
        <v>1435</v>
      </c>
      <c r="L1210" s="234" t="n">
        <v>27940</v>
      </c>
      <c r="M1210" s="234" t="n">
        <v>14850</v>
      </c>
      <c r="N1210" s="234" t="n">
        <v>6.5</v>
      </c>
      <c r="O1210" s="407" t="n">
        <v>13090</v>
      </c>
      <c r="P1210" s="407" t="n">
        <v>12239.1</v>
      </c>
      <c r="Q1210" s="234" t="n">
        <v>2025</v>
      </c>
      <c r="R1210" s="234"/>
      <c r="S1210" s="248" t="n">
        <v>45828</v>
      </c>
      <c r="T1210" s="407" t="n">
        <f aca="false">Таблица18[[#This Row],[Вес нетто]]-Таблица18[[#This Row],[Зачетный вес]]</f>
        <v>850.9</v>
      </c>
      <c r="U1210" s="409" t="n">
        <f aca="false">Таблица18[[#This Row],[Отход]]/Таблица18[[#This Row],[Вес нетто]]</f>
        <v>0.065003819709702</v>
      </c>
      <c r="V1210" s="234" t="n">
        <f aca="false">MONTH(Таблица18[[#This Row],[Дата акта]])</f>
        <v>6</v>
      </c>
      <c r="W1210" s="234" t="n">
        <v>20</v>
      </c>
      <c r="X1210" s="248" t="n">
        <f aca="false">DATE(1900,Таблица18[[#This Row],[Месяц]],Таблица18[[#This Row],[Число]])</f>
        <v>172</v>
      </c>
      <c r="Y1210" s="234"/>
      <c r="AF1210" s="411"/>
      <c r="AG1210" s="412"/>
    </row>
    <row r="1211" s="410" customFormat="true" ht="15" hidden="true" customHeight="true" outlineLevel="0" collapsed="false">
      <c r="A1211" s="198" t="s">
        <v>2833</v>
      </c>
      <c r="B1211" s="199" t="s">
        <v>886</v>
      </c>
      <c r="C1211" s="198" t="n">
        <v>570</v>
      </c>
      <c r="D1211" s="198" t="n">
        <v>54944</v>
      </c>
      <c r="E1211" s="198" t="s">
        <v>908</v>
      </c>
      <c r="F1211" s="198" t="s">
        <v>439</v>
      </c>
      <c r="G1211" s="198" t="s">
        <v>443</v>
      </c>
      <c r="H1211" s="198" t="n">
        <v>14</v>
      </c>
      <c r="I1211" s="199" t="n">
        <v>14</v>
      </c>
      <c r="J1211" s="198" t="s">
        <v>904</v>
      </c>
      <c r="K1211" s="198" t="s">
        <v>1435</v>
      </c>
      <c r="L1211" s="234" t="n">
        <v>37320</v>
      </c>
      <c r="M1211" s="234" t="n">
        <v>24060</v>
      </c>
      <c r="N1211" s="234" t="n">
        <v>4.5</v>
      </c>
      <c r="O1211" s="407" t="n">
        <v>13260</v>
      </c>
      <c r="P1211" s="407" t="n">
        <v>12663.3</v>
      </c>
      <c r="Q1211" s="234" t="n">
        <v>2025</v>
      </c>
      <c r="R1211" s="234"/>
      <c r="S1211" s="248" t="n">
        <v>45828</v>
      </c>
      <c r="T1211" s="407" t="n">
        <f aca="false">Таблица18[[#This Row],[Вес нетто]]-Таблица18[[#This Row],[Зачетный вес]]</f>
        <v>596.700000000001</v>
      </c>
      <c r="U1211" s="409" t="n">
        <f aca="false">Таблица18[[#This Row],[Отход]]/Таблица18[[#This Row],[Вес нетто]]</f>
        <v>0.0450000000000001</v>
      </c>
      <c r="V1211" s="234" t="n">
        <f aca="false">MONTH(Таблица18[[#This Row],[Дата акта]])</f>
        <v>6</v>
      </c>
      <c r="W1211" s="234" t="n">
        <v>20</v>
      </c>
      <c r="X1211" s="248" t="n">
        <f aca="false">DATE(1900,Таблица18[[#This Row],[Месяц]],Таблица18[[#This Row],[Число]])</f>
        <v>172</v>
      </c>
      <c r="Y1211" s="234"/>
      <c r="AF1211" s="411"/>
      <c r="AG1211" s="412"/>
    </row>
    <row r="1212" s="410" customFormat="true" ht="15" hidden="true" customHeight="true" outlineLevel="0" collapsed="false">
      <c r="A1212" s="198" t="s">
        <v>2834</v>
      </c>
      <c r="B1212" s="199" t="s">
        <v>746</v>
      </c>
      <c r="C1212" s="198" t="n">
        <v>577</v>
      </c>
      <c r="D1212" s="198" t="n">
        <v>54945</v>
      </c>
      <c r="E1212" s="198" t="s">
        <v>908</v>
      </c>
      <c r="F1212" s="198" t="s">
        <v>365</v>
      </c>
      <c r="G1212" s="198" t="s">
        <v>373</v>
      </c>
      <c r="H1212" s="198" t="n">
        <v>14</v>
      </c>
      <c r="I1212" s="199" t="n">
        <v>14</v>
      </c>
      <c r="J1212" s="198" t="s">
        <v>904</v>
      </c>
      <c r="K1212" s="198" t="s">
        <v>1435</v>
      </c>
      <c r="L1212" s="234" t="n">
        <v>31390</v>
      </c>
      <c r="M1212" s="234" t="n">
        <v>18620</v>
      </c>
      <c r="N1212" s="234" t="n">
        <v>5.5</v>
      </c>
      <c r="O1212" s="407" t="n">
        <v>12770</v>
      </c>
      <c r="P1212" s="407" t="n">
        <v>12067.6</v>
      </c>
      <c r="Q1212" s="234" t="n">
        <v>2025</v>
      </c>
      <c r="R1212" s="234"/>
      <c r="S1212" s="248" t="n">
        <v>45828</v>
      </c>
      <c r="T1212" s="407" t="n">
        <f aca="false">Таблица18[[#This Row],[Вес нетто]]-Таблица18[[#This Row],[Зачетный вес]]</f>
        <v>702.4</v>
      </c>
      <c r="U1212" s="409" t="n">
        <f aca="false">Таблица18[[#This Row],[Отход]]/Таблица18[[#This Row],[Вес нетто]]</f>
        <v>0.0550039154267815</v>
      </c>
      <c r="V1212" s="234" t="n">
        <f aca="false">MONTH(Таблица18[[#This Row],[Дата акта]])</f>
        <v>6</v>
      </c>
      <c r="W1212" s="234" t="n">
        <v>20</v>
      </c>
      <c r="X1212" s="248" t="n">
        <f aca="false">DATE(1900,Таблица18[[#This Row],[Месяц]],Таблица18[[#This Row],[Число]])</f>
        <v>172</v>
      </c>
      <c r="Y1212" s="234"/>
      <c r="AF1212" s="411"/>
      <c r="AG1212" s="412"/>
    </row>
    <row r="1213" s="410" customFormat="true" ht="15" hidden="true" customHeight="true" outlineLevel="0" collapsed="false">
      <c r="A1213" s="198" t="s">
        <v>2835</v>
      </c>
      <c r="B1213" s="199" t="s">
        <v>746</v>
      </c>
      <c r="C1213" s="198" t="n">
        <v>574</v>
      </c>
      <c r="D1213" s="198" t="n">
        <v>54944</v>
      </c>
      <c r="E1213" s="198" t="s">
        <v>908</v>
      </c>
      <c r="F1213" s="198" t="s">
        <v>55</v>
      </c>
      <c r="G1213" s="198" t="s">
        <v>56</v>
      </c>
      <c r="H1213" s="198" t="n">
        <v>14</v>
      </c>
      <c r="I1213" s="199" t="n">
        <v>14</v>
      </c>
      <c r="J1213" s="198" t="s">
        <v>904</v>
      </c>
      <c r="K1213" s="198" t="s">
        <v>1435</v>
      </c>
      <c r="L1213" s="234" t="n">
        <v>27580</v>
      </c>
      <c r="M1213" s="234" t="n">
        <v>14620</v>
      </c>
      <c r="N1213" s="234" t="n">
        <v>3.5</v>
      </c>
      <c r="O1213" s="407" t="n">
        <v>12960</v>
      </c>
      <c r="P1213" s="407" t="n">
        <v>12506.4</v>
      </c>
      <c r="Q1213" s="234" t="n">
        <v>2025</v>
      </c>
      <c r="R1213" s="234"/>
      <c r="S1213" s="248" t="n">
        <v>45828</v>
      </c>
      <c r="T1213" s="407" t="n">
        <f aca="false">Таблица18[[#This Row],[Вес нетто]]-Таблица18[[#This Row],[Зачетный вес]]</f>
        <v>453.6</v>
      </c>
      <c r="U1213" s="409" t="n">
        <f aca="false">Таблица18[[#This Row],[Отход]]/Таблица18[[#This Row],[Вес нетто]]</f>
        <v>0.035</v>
      </c>
      <c r="V1213" s="234" t="n">
        <f aca="false">MONTH(Таблица18[[#This Row],[Дата акта]])</f>
        <v>6</v>
      </c>
      <c r="W1213" s="234" t="n">
        <v>20</v>
      </c>
      <c r="X1213" s="248" t="n">
        <f aca="false">DATE(1900,Таблица18[[#This Row],[Месяц]],Таблица18[[#This Row],[Число]])</f>
        <v>172</v>
      </c>
      <c r="Y1213" s="234"/>
      <c r="AF1213" s="411"/>
      <c r="AG1213" s="412"/>
    </row>
    <row r="1214" s="410" customFormat="true" ht="15" hidden="true" customHeight="true" outlineLevel="0" collapsed="false">
      <c r="A1214" s="198" t="s">
        <v>2836</v>
      </c>
      <c r="B1214" s="199" t="s">
        <v>746</v>
      </c>
      <c r="C1214" s="198" t="n">
        <v>579</v>
      </c>
      <c r="D1214" s="198" t="n">
        <v>54945</v>
      </c>
      <c r="E1214" s="198" t="s">
        <v>908</v>
      </c>
      <c r="F1214" s="198" t="s">
        <v>359</v>
      </c>
      <c r="G1214" s="198" t="s">
        <v>426</v>
      </c>
      <c r="H1214" s="198" t="n">
        <v>14</v>
      </c>
      <c r="I1214" s="199" t="n">
        <v>14</v>
      </c>
      <c r="J1214" s="198" t="s">
        <v>904</v>
      </c>
      <c r="K1214" s="198" t="s">
        <v>1435</v>
      </c>
      <c r="L1214" s="234" t="n">
        <v>26510</v>
      </c>
      <c r="M1214" s="234" t="n">
        <v>13850</v>
      </c>
      <c r="N1214" s="234" t="n">
        <v>6.5</v>
      </c>
      <c r="O1214" s="407" t="n">
        <v>12660</v>
      </c>
      <c r="P1214" s="407" t="n">
        <v>11837.1</v>
      </c>
      <c r="Q1214" s="234" t="n">
        <v>2025</v>
      </c>
      <c r="R1214" s="234"/>
      <c r="S1214" s="248" t="n">
        <v>45828</v>
      </c>
      <c r="T1214" s="407" t="n">
        <f aca="false">Таблица18[[#This Row],[Вес нетто]]-Таблица18[[#This Row],[Зачетный вес]]</f>
        <v>822.9</v>
      </c>
      <c r="U1214" s="409" t="n">
        <f aca="false">Таблица18[[#This Row],[Отход]]/Таблица18[[#This Row],[Вес нетто]]</f>
        <v>0.065</v>
      </c>
      <c r="V1214" s="234" t="n">
        <f aca="false">MONTH(Таблица18[[#This Row],[Дата акта]])</f>
        <v>6</v>
      </c>
      <c r="W1214" s="234" t="n">
        <v>20</v>
      </c>
      <c r="X1214" s="248" t="n">
        <f aca="false">DATE(1900,Таблица18[[#This Row],[Месяц]],Таблица18[[#This Row],[Число]])</f>
        <v>172</v>
      </c>
      <c r="Y1214" s="234"/>
      <c r="AF1214" s="411"/>
      <c r="AG1214" s="412"/>
    </row>
    <row r="1215" s="410" customFormat="true" ht="15" hidden="true" customHeight="true" outlineLevel="0" collapsed="false">
      <c r="A1215" s="198" t="s">
        <v>2837</v>
      </c>
      <c r="B1215" s="199" t="s">
        <v>746</v>
      </c>
      <c r="C1215" s="198" t="n">
        <v>580</v>
      </c>
      <c r="D1215" s="198" t="n">
        <v>54946</v>
      </c>
      <c r="E1215" s="198" t="s">
        <v>908</v>
      </c>
      <c r="F1215" s="198" t="s">
        <v>363</v>
      </c>
      <c r="G1215" s="198" t="s">
        <v>364</v>
      </c>
      <c r="H1215" s="198" t="n">
        <v>14</v>
      </c>
      <c r="I1215" s="199" t="n">
        <v>14</v>
      </c>
      <c r="J1215" s="198" t="s">
        <v>904</v>
      </c>
      <c r="K1215" s="198" t="s">
        <v>1435</v>
      </c>
      <c r="L1215" s="234" t="n">
        <v>27160</v>
      </c>
      <c r="M1215" s="234" t="n">
        <v>14540</v>
      </c>
      <c r="N1215" s="234" t="n">
        <v>7.5</v>
      </c>
      <c r="O1215" s="407" t="n">
        <v>12620</v>
      </c>
      <c r="P1215" s="407" t="n">
        <v>11673.5</v>
      </c>
      <c r="Q1215" s="234" t="n">
        <v>2025</v>
      </c>
      <c r="R1215" s="234"/>
      <c r="S1215" s="248" t="n">
        <v>45828</v>
      </c>
      <c r="T1215" s="407" t="n">
        <f aca="false">Таблица18[[#This Row],[Вес нетто]]-Таблица18[[#This Row],[Зачетный вес]]</f>
        <v>946.5</v>
      </c>
      <c r="U1215" s="409" t="n">
        <f aca="false">Таблица18[[#This Row],[Отход]]/Таблица18[[#This Row],[Вес нетто]]</f>
        <v>0.075</v>
      </c>
      <c r="V1215" s="234" t="n">
        <f aca="false">MONTH(Таблица18[[#This Row],[Дата акта]])</f>
        <v>6</v>
      </c>
      <c r="W1215" s="234" t="n">
        <v>20</v>
      </c>
      <c r="X1215" s="248" t="n">
        <f aca="false">DATE(1900,Таблица18[[#This Row],[Месяц]],Таблица18[[#This Row],[Число]])</f>
        <v>172</v>
      </c>
      <c r="Y1215" s="234"/>
      <c r="AF1215" s="411"/>
      <c r="AG1215" s="412"/>
    </row>
    <row r="1216" s="410" customFormat="true" ht="15" hidden="true" customHeight="true" outlineLevel="0" collapsed="false">
      <c r="A1216" s="198" t="s">
        <v>2838</v>
      </c>
      <c r="B1216" s="199" t="s">
        <v>746</v>
      </c>
      <c r="C1216" s="198" t="n">
        <v>582</v>
      </c>
      <c r="D1216" s="198" t="n">
        <v>54947</v>
      </c>
      <c r="E1216" s="198" t="s">
        <v>908</v>
      </c>
      <c r="F1216" s="198" t="s">
        <v>519</v>
      </c>
      <c r="G1216" s="198" t="s">
        <v>523</v>
      </c>
      <c r="H1216" s="198" t="n">
        <v>14</v>
      </c>
      <c r="I1216" s="199" t="n">
        <v>14</v>
      </c>
      <c r="J1216" s="198" t="s">
        <v>904</v>
      </c>
      <c r="K1216" s="198" t="s">
        <v>1435</v>
      </c>
      <c r="L1216" s="234" t="n">
        <v>28420</v>
      </c>
      <c r="M1216" s="234" t="n">
        <v>15670</v>
      </c>
      <c r="N1216" s="234" t="n">
        <v>7.5</v>
      </c>
      <c r="O1216" s="407" t="n">
        <v>12750</v>
      </c>
      <c r="P1216" s="407" t="n">
        <v>11793.7</v>
      </c>
      <c r="Q1216" s="234" t="n">
        <v>2025</v>
      </c>
      <c r="R1216" s="234"/>
      <c r="S1216" s="248" t="n">
        <v>45828</v>
      </c>
      <c r="T1216" s="407" t="n">
        <f aca="false">Таблица18[[#This Row],[Вес нетто]]-Таблица18[[#This Row],[Зачетный вес]]</f>
        <v>956.299999999999</v>
      </c>
      <c r="U1216" s="409" t="n">
        <f aca="false">Таблица18[[#This Row],[Отход]]/Таблица18[[#This Row],[Вес нетто]]</f>
        <v>0.0750039215686274</v>
      </c>
      <c r="V1216" s="234" t="n">
        <f aca="false">MONTH(Таблица18[[#This Row],[Дата акта]])</f>
        <v>6</v>
      </c>
      <c r="W1216" s="234" t="n">
        <v>20</v>
      </c>
      <c r="X1216" s="248" t="n">
        <f aca="false">DATE(1900,Таблица18[[#This Row],[Месяц]],Таблица18[[#This Row],[Число]])</f>
        <v>172</v>
      </c>
      <c r="Y1216" s="234"/>
      <c r="AF1216" s="411"/>
      <c r="AG1216" s="412"/>
    </row>
    <row r="1217" s="410" customFormat="true" ht="15" hidden="true" customHeight="true" outlineLevel="0" collapsed="false">
      <c r="A1217" s="198" t="s">
        <v>2839</v>
      </c>
      <c r="B1217" s="199" t="s">
        <v>746</v>
      </c>
      <c r="C1217" s="198" t="n">
        <v>581</v>
      </c>
      <c r="D1217" s="198" t="n">
        <v>54947</v>
      </c>
      <c r="E1217" s="198" t="s">
        <v>908</v>
      </c>
      <c r="F1217" s="198" t="s">
        <v>427</v>
      </c>
      <c r="G1217" s="198" t="s">
        <v>431</v>
      </c>
      <c r="H1217" s="198" t="n">
        <v>14</v>
      </c>
      <c r="I1217" s="199" t="n">
        <v>14</v>
      </c>
      <c r="J1217" s="198" t="s">
        <v>904</v>
      </c>
      <c r="K1217" s="198" t="s">
        <v>1435</v>
      </c>
      <c r="L1217" s="234" t="n">
        <v>33730</v>
      </c>
      <c r="M1217" s="234" t="n">
        <v>21060</v>
      </c>
      <c r="N1217" s="234" t="n">
        <v>5.5</v>
      </c>
      <c r="O1217" s="407" t="n">
        <v>12670</v>
      </c>
      <c r="P1217" s="407" t="n">
        <v>11973.1</v>
      </c>
      <c r="Q1217" s="234" t="n">
        <v>2025</v>
      </c>
      <c r="R1217" s="234"/>
      <c r="S1217" s="248" t="n">
        <v>45828</v>
      </c>
      <c r="T1217" s="407" t="n">
        <f aca="false">Таблица18[[#This Row],[Вес нетто]]-Таблица18[[#This Row],[Зачетный вес]]</f>
        <v>696.9</v>
      </c>
      <c r="U1217" s="409" t="n">
        <f aca="false">Таблица18[[#This Row],[Отход]]/Таблица18[[#This Row],[Вес нетто]]</f>
        <v>0.0550039463299132</v>
      </c>
      <c r="V1217" s="234" t="n">
        <f aca="false">MONTH(Таблица18[[#This Row],[Дата акта]])</f>
        <v>6</v>
      </c>
      <c r="W1217" s="234" t="n">
        <v>20</v>
      </c>
      <c r="X1217" s="248" t="n">
        <f aca="false">DATE(1900,Таблица18[[#This Row],[Месяц]],Таблица18[[#This Row],[Число]])</f>
        <v>172</v>
      </c>
      <c r="Y1217" s="234"/>
      <c r="AF1217" s="411"/>
      <c r="AG1217" s="412"/>
    </row>
    <row r="1218" s="410" customFormat="true" ht="15" hidden="true" customHeight="true" outlineLevel="0" collapsed="false">
      <c r="A1218" s="198" t="s">
        <v>2840</v>
      </c>
      <c r="B1218" s="199" t="s">
        <v>746</v>
      </c>
      <c r="C1218" s="198" t="n">
        <v>583</v>
      </c>
      <c r="D1218" s="198" t="n">
        <v>54948</v>
      </c>
      <c r="E1218" s="198" t="s">
        <v>908</v>
      </c>
      <c r="F1218" s="198" t="s">
        <v>371</v>
      </c>
      <c r="G1218" s="198" t="s">
        <v>372</v>
      </c>
      <c r="H1218" s="198" t="n">
        <v>14</v>
      </c>
      <c r="I1218" s="199" t="n">
        <v>14</v>
      </c>
      <c r="J1218" s="198" t="s">
        <v>904</v>
      </c>
      <c r="K1218" s="198" t="s">
        <v>1435</v>
      </c>
      <c r="L1218" s="234" t="n">
        <v>28000</v>
      </c>
      <c r="M1218" s="234" t="n">
        <v>15180</v>
      </c>
      <c r="N1218" s="234" t="n">
        <v>8.5</v>
      </c>
      <c r="O1218" s="407" t="n">
        <v>12820</v>
      </c>
      <c r="P1218" s="407" t="n">
        <v>11730.3</v>
      </c>
      <c r="Q1218" s="234" t="n">
        <v>2025</v>
      </c>
      <c r="R1218" s="234"/>
      <c r="S1218" s="248" t="n">
        <v>45828</v>
      </c>
      <c r="T1218" s="407" t="n">
        <f aca="false">Таблица18[[#This Row],[Вес нетто]]-Таблица18[[#This Row],[Зачетный вес]]</f>
        <v>1089.7</v>
      </c>
      <c r="U1218" s="409" t="n">
        <f aca="false">Таблица18[[#This Row],[Отход]]/Таблица18[[#This Row],[Вес нетто]]</f>
        <v>0.0850000000000001</v>
      </c>
      <c r="V1218" s="234" t="n">
        <f aca="false">MONTH(Таблица18[[#This Row],[Дата акта]])</f>
        <v>6</v>
      </c>
      <c r="W1218" s="234" t="n">
        <v>20</v>
      </c>
      <c r="X1218" s="248" t="n">
        <f aca="false">DATE(1900,Таблица18[[#This Row],[Месяц]],Таблица18[[#This Row],[Число]])</f>
        <v>172</v>
      </c>
      <c r="Y1218" s="234"/>
      <c r="AF1218" s="411"/>
      <c r="AG1218" s="412"/>
    </row>
    <row r="1219" s="410" customFormat="true" ht="15" hidden="true" customHeight="true" outlineLevel="0" collapsed="false">
      <c r="A1219" s="198" t="s">
        <v>2841</v>
      </c>
      <c r="B1219" s="199" t="s">
        <v>746</v>
      </c>
      <c r="C1219" s="198" t="n">
        <v>584</v>
      </c>
      <c r="D1219" s="198" t="n">
        <v>54948</v>
      </c>
      <c r="E1219" s="198" t="s">
        <v>908</v>
      </c>
      <c r="F1219" s="198" t="s">
        <v>457</v>
      </c>
      <c r="G1219" s="198" t="s">
        <v>366</v>
      </c>
      <c r="H1219" s="198" t="n">
        <v>14</v>
      </c>
      <c r="I1219" s="199" t="n">
        <v>14</v>
      </c>
      <c r="J1219" s="198" t="s">
        <v>904</v>
      </c>
      <c r="K1219" s="198" t="s">
        <v>1435</v>
      </c>
      <c r="L1219" s="234" t="n">
        <v>28060</v>
      </c>
      <c r="M1219" s="234" t="n">
        <v>15250</v>
      </c>
      <c r="N1219" s="234" t="n">
        <v>8</v>
      </c>
      <c r="O1219" s="407" t="n">
        <v>12810</v>
      </c>
      <c r="P1219" s="407" t="n">
        <v>11785.2</v>
      </c>
      <c r="Q1219" s="234" t="n">
        <v>2025</v>
      </c>
      <c r="R1219" s="234"/>
      <c r="S1219" s="248" t="n">
        <v>45828</v>
      </c>
      <c r="T1219" s="407" t="n">
        <f aca="false">Таблица18[[#This Row],[Вес нетто]]-Таблица18[[#This Row],[Зачетный вес]]</f>
        <v>1024.8</v>
      </c>
      <c r="U1219" s="409" t="n">
        <f aca="false">Таблица18[[#This Row],[Отход]]/Таблица18[[#This Row],[Вес нетто]]</f>
        <v>0.08</v>
      </c>
      <c r="V1219" s="234" t="n">
        <f aca="false">MONTH(Таблица18[[#This Row],[Дата акта]])</f>
        <v>6</v>
      </c>
      <c r="W1219" s="234" t="n">
        <v>20</v>
      </c>
      <c r="X1219" s="248" t="n">
        <f aca="false">DATE(1900,Таблица18[[#This Row],[Месяц]],Таблица18[[#This Row],[Число]])</f>
        <v>172</v>
      </c>
      <c r="Y1219" s="234"/>
      <c r="AF1219" s="411"/>
      <c r="AG1219" s="412"/>
    </row>
    <row r="1220" s="410" customFormat="true" ht="15" hidden="true" customHeight="true" outlineLevel="0" collapsed="false">
      <c r="A1220" s="198" t="s">
        <v>2842</v>
      </c>
      <c r="B1220" s="199" t="s">
        <v>746</v>
      </c>
      <c r="C1220" s="198" t="n">
        <v>585</v>
      </c>
      <c r="D1220" s="198" t="n">
        <v>54951</v>
      </c>
      <c r="E1220" s="198" t="s">
        <v>908</v>
      </c>
      <c r="F1220" s="198" t="s">
        <v>433</v>
      </c>
      <c r="G1220" s="198" t="s">
        <v>437</v>
      </c>
      <c r="H1220" s="198" t="n">
        <v>14</v>
      </c>
      <c r="I1220" s="199" t="n">
        <v>14</v>
      </c>
      <c r="J1220" s="198" t="s">
        <v>904</v>
      </c>
      <c r="K1220" s="198" t="s">
        <v>1435</v>
      </c>
      <c r="L1220" s="234" t="n">
        <v>27900</v>
      </c>
      <c r="M1220" s="234" t="n">
        <v>15330</v>
      </c>
      <c r="N1220" s="234" t="n">
        <v>6.5</v>
      </c>
      <c r="O1220" s="407" t="n">
        <v>12570</v>
      </c>
      <c r="P1220" s="407" t="n">
        <v>11752.9</v>
      </c>
      <c r="Q1220" s="234" t="n">
        <v>2025</v>
      </c>
      <c r="R1220" s="234"/>
      <c r="S1220" s="248" t="n">
        <v>45829</v>
      </c>
      <c r="T1220" s="407" t="n">
        <f aca="false">Таблица18[[#This Row],[Вес нетто]]-Таблица18[[#This Row],[Зачетный вес]]</f>
        <v>817.1</v>
      </c>
      <c r="U1220" s="409" t="n">
        <f aca="false">Таблица18[[#This Row],[Отход]]/Таблица18[[#This Row],[Вес нетто]]</f>
        <v>0.0650039777247415</v>
      </c>
      <c r="V1220" s="234" t="n">
        <f aca="false">MONTH(Таблица18[[#This Row],[Дата акта]])</f>
        <v>6</v>
      </c>
      <c r="W1220" s="234" t="n">
        <v>21</v>
      </c>
      <c r="X1220" s="248" t="n">
        <f aca="false">DATE(1900,Таблица18[[#This Row],[Месяц]],Таблица18[[#This Row],[Число]])</f>
        <v>173</v>
      </c>
      <c r="Y1220" s="234"/>
      <c r="AF1220" s="411"/>
      <c r="AG1220" s="412"/>
    </row>
    <row r="1221" s="410" customFormat="true" ht="15" hidden="true" customHeight="true" outlineLevel="0" collapsed="false">
      <c r="A1221" s="198" t="s">
        <v>2843</v>
      </c>
      <c r="B1221" s="199" t="s">
        <v>746</v>
      </c>
      <c r="C1221" s="198" t="n">
        <v>586</v>
      </c>
      <c r="D1221" s="198" t="n">
        <v>54952</v>
      </c>
      <c r="E1221" s="198" t="s">
        <v>908</v>
      </c>
      <c r="F1221" s="198" t="s">
        <v>439</v>
      </c>
      <c r="G1221" s="198" t="s">
        <v>443</v>
      </c>
      <c r="H1221" s="198" t="n">
        <v>14</v>
      </c>
      <c r="I1221" s="199" t="n">
        <v>14</v>
      </c>
      <c r="J1221" s="198" t="s">
        <v>904</v>
      </c>
      <c r="K1221" s="198" t="s">
        <v>1435</v>
      </c>
      <c r="L1221" s="234" t="n">
        <v>37180</v>
      </c>
      <c r="M1221" s="234" t="n">
        <v>24450</v>
      </c>
      <c r="N1221" s="234" t="n">
        <v>11.5</v>
      </c>
      <c r="O1221" s="407" t="n">
        <v>12730</v>
      </c>
      <c r="P1221" s="407" t="n">
        <v>11266</v>
      </c>
      <c r="Q1221" s="234" t="n">
        <v>2025</v>
      </c>
      <c r="R1221" s="234"/>
      <c r="S1221" s="248" t="n">
        <v>45829</v>
      </c>
      <c r="T1221" s="407" t="n">
        <f aca="false">Таблица18[[#This Row],[Вес нетто]]-Таблица18[[#This Row],[Зачетный вес]]</f>
        <v>1464</v>
      </c>
      <c r="U1221" s="409" t="n">
        <f aca="false">Таблица18[[#This Row],[Отход]]/Таблица18[[#This Row],[Вес нетто]]</f>
        <v>0.115003927729772</v>
      </c>
      <c r="V1221" s="234" t="n">
        <f aca="false">MONTH(Таблица18[[#This Row],[Дата акта]])</f>
        <v>6</v>
      </c>
      <c r="W1221" s="234" t="n">
        <v>21</v>
      </c>
      <c r="X1221" s="248" t="n">
        <f aca="false">DATE(1900,Таблица18[[#This Row],[Месяц]],Таблица18[[#This Row],[Число]])</f>
        <v>173</v>
      </c>
      <c r="Y1221" s="234"/>
      <c r="AF1221" s="411"/>
      <c r="AG1221" s="412"/>
    </row>
    <row r="1222" s="410" customFormat="true" ht="15" hidden="true" customHeight="true" outlineLevel="0" collapsed="false">
      <c r="A1222" s="198" t="s">
        <v>2844</v>
      </c>
      <c r="B1222" s="199" t="s">
        <v>417</v>
      </c>
      <c r="C1222" s="198" t="n">
        <v>587</v>
      </c>
      <c r="D1222" s="198" t="n">
        <v>54952</v>
      </c>
      <c r="E1222" s="198" t="s">
        <v>908</v>
      </c>
      <c r="F1222" s="198" t="s">
        <v>365</v>
      </c>
      <c r="G1222" s="198" t="s">
        <v>373</v>
      </c>
      <c r="H1222" s="198" t="n">
        <v>14</v>
      </c>
      <c r="I1222" s="199" t="n">
        <v>14</v>
      </c>
      <c r="J1222" s="198" t="s">
        <v>904</v>
      </c>
      <c r="K1222" s="198" t="s">
        <v>1435</v>
      </c>
      <c r="L1222" s="234" t="n">
        <v>31680</v>
      </c>
      <c r="M1222" s="234" t="n">
        <v>18960</v>
      </c>
      <c r="N1222" s="234" t="n">
        <v>10</v>
      </c>
      <c r="O1222" s="407" t="n">
        <v>12720</v>
      </c>
      <c r="P1222" s="407" t="n">
        <v>11448</v>
      </c>
      <c r="Q1222" s="234" t="n">
        <v>2025</v>
      </c>
      <c r="R1222" s="234"/>
      <c r="S1222" s="248" t="n">
        <v>45829</v>
      </c>
      <c r="T1222" s="407" t="n">
        <f aca="false">Таблица18[[#This Row],[Вес нетто]]-Таблица18[[#This Row],[Зачетный вес]]</f>
        <v>1272</v>
      </c>
      <c r="U1222" s="409" t="n">
        <f aca="false">Таблица18[[#This Row],[Отход]]/Таблица18[[#This Row],[Вес нетто]]</f>
        <v>0.1</v>
      </c>
      <c r="V1222" s="234" t="n">
        <f aca="false">MONTH(Таблица18[[#This Row],[Дата акта]])</f>
        <v>6</v>
      </c>
      <c r="W1222" s="234" t="n">
        <v>21</v>
      </c>
      <c r="X1222" s="248" t="n">
        <f aca="false">DATE(1900,Таблица18[[#This Row],[Месяц]],Таблица18[[#This Row],[Число]])</f>
        <v>173</v>
      </c>
      <c r="Y1222" s="234"/>
      <c r="AF1222" s="411"/>
      <c r="AG1222" s="412"/>
    </row>
    <row r="1223" s="410" customFormat="true" ht="15" hidden="true" customHeight="true" outlineLevel="0" collapsed="false">
      <c r="A1223" s="198" t="s">
        <v>2845</v>
      </c>
      <c r="B1223" s="199" t="s">
        <v>746</v>
      </c>
      <c r="C1223" s="198" t="n">
        <v>588</v>
      </c>
      <c r="D1223" s="198" t="n">
        <v>54953</v>
      </c>
      <c r="E1223" s="198" t="s">
        <v>908</v>
      </c>
      <c r="F1223" s="198" t="s">
        <v>386</v>
      </c>
      <c r="G1223" s="198" t="s">
        <v>387</v>
      </c>
      <c r="H1223" s="198" t="n">
        <v>14</v>
      </c>
      <c r="I1223" s="199" t="n">
        <v>14</v>
      </c>
      <c r="J1223" s="198" t="s">
        <v>904</v>
      </c>
      <c r="K1223" s="198" t="s">
        <v>1435</v>
      </c>
      <c r="L1223" s="234" t="n">
        <v>28170</v>
      </c>
      <c r="M1223" s="234" t="n">
        <v>15480</v>
      </c>
      <c r="N1223" s="234" t="n">
        <v>8.5</v>
      </c>
      <c r="O1223" s="407" t="n">
        <v>12690</v>
      </c>
      <c r="P1223" s="407" t="n">
        <v>11611.3</v>
      </c>
      <c r="Q1223" s="234" t="n">
        <v>2025</v>
      </c>
      <c r="R1223" s="234"/>
      <c r="S1223" s="248" t="n">
        <v>45829</v>
      </c>
      <c r="T1223" s="407" t="n">
        <f aca="false">Таблица18[[#This Row],[Вес нетто]]-Таблица18[[#This Row],[Зачетный вес]]</f>
        <v>1078.7</v>
      </c>
      <c r="U1223" s="409" t="n">
        <f aca="false">Таблица18[[#This Row],[Отход]]/Таблица18[[#This Row],[Вес нетто]]</f>
        <v>0.0850039401103231</v>
      </c>
      <c r="V1223" s="234" t="n">
        <f aca="false">MONTH(Таблица18[[#This Row],[Дата акта]])</f>
        <v>6</v>
      </c>
      <c r="W1223" s="234" t="n">
        <v>21</v>
      </c>
      <c r="X1223" s="248" t="n">
        <f aca="false">DATE(1900,Таблица18[[#This Row],[Месяц]],Таблица18[[#This Row],[Число]])</f>
        <v>173</v>
      </c>
      <c r="Y1223" s="234"/>
      <c r="AF1223" s="411"/>
      <c r="AG1223" s="412"/>
    </row>
    <row r="1224" s="410" customFormat="true" ht="15" hidden="true" customHeight="true" outlineLevel="0" collapsed="false">
      <c r="A1224" s="198" t="s">
        <v>2846</v>
      </c>
      <c r="B1224" s="199" t="s">
        <v>746</v>
      </c>
      <c r="C1224" s="198" t="n">
        <v>589</v>
      </c>
      <c r="D1224" s="198" t="n">
        <v>54953</v>
      </c>
      <c r="E1224" s="198" t="s">
        <v>908</v>
      </c>
      <c r="F1224" s="198" t="s">
        <v>363</v>
      </c>
      <c r="G1224" s="198" t="s">
        <v>364</v>
      </c>
      <c r="H1224" s="198" t="n">
        <v>14</v>
      </c>
      <c r="I1224" s="199" t="n">
        <v>14</v>
      </c>
      <c r="J1224" s="198" t="s">
        <v>904</v>
      </c>
      <c r="K1224" s="198" t="s">
        <v>1435</v>
      </c>
      <c r="L1224" s="234" t="n">
        <v>27490</v>
      </c>
      <c r="M1224" s="234" t="n">
        <v>14740</v>
      </c>
      <c r="N1224" s="234" t="n">
        <v>8.5</v>
      </c>
      <c r="O1224" s="407" t="n">
        <v>12750</v>
      </c>
      <c r="P1224" s="407" t="n">
        <v>11666.2</v>
      </c>
      <c r="Q1224" s="234" t="n">
        <v>2025</v>
      </c>
      <c r="R1224" s="234"/>
      <c r="S1224" s="248" t="n">
        <v>45829</v>
      </c>
      <c r="T1224" s="407" t="n">
        <f aca="false">Таблица18[[#This Row],[Вес нетто]]-Таблица18[[#This Row],[Зачетный вес]]</f>
        <v>1083.8</v>
      </c>
      <c r="U1224" s="409" t="n">
        <f aca="false">Таблица18[[#This Row],[Отход]]/Таблица18[[#This Row],[Вес нетто]]</f>
        <v>0.0850039215686274</v>
      </c>
      <c r="V1224" s="234" t="n">
        <f aca="false">MONTH(Таблица18[[#This Row],[Дата акта]])</f>
        <v>6</v>
      </c>
      <c r="W1224" s="234" t="n">
        <v>21</v>
      </c>
      <c r="X1224" s="248" t="n">
        <f aca="false">DATE(1900,Таблица18[[#This Row],[Месяц]],Таблица18[[#This Row],[Число]])</f>
        <v>173</v>
      </c>
      <c r="Y1224" s="234"/>
      <c r="AF1224" s="411"/>
      <c r="AG1224" s="412"/>
    </row>
    <row r="1225" s="410" customFormat="true" ht="15" hidden="true" customHeight="true" outlineLevel="0" collapsed="false">
      <c r="A1225" s="198" t="s">
        <v>2847</v>
      </c>
      <c r="B1225" s="199" t="s">
        <v>746</v>
      </c>
      <c r="C1225" s="198" t="n">
        <v>590</v>
      </c>
      <c r="D1225" s="198" t="n">
        <v>54953</v>
      </c>
      <c r="E1225" s="198" t="s">
        <v>908</v>
      </c>
      <c r="F1225" s="198" t="s">
        <v>519</v>
      </c>
      <c r="G1225" s="198" t="s">
        <v>523</v>
      </c>
      <c r="H1225" s="198" t="n">
        <v>14</v>
      </c>
      <c r="I1225" s="199" t="n">
        <v>14</v>
      </c>
      <c r="J1225" s="198" t="s">
        <v>904</v>
      </c>
      <c r="K1225" s="198" t="s">
        <v>1435</v>
      </c>
      <c r="L1225" s="234" t="n">
        <v>28790</v>
      </c>
      <c r="M1225" s="234" t="n">
        <v>15820</v>
      </c>
      <c r="N1225" s="234" t="n">
        <v>10.5</v>
      </c>
      <c r="O1225" s="407" t="n">
        <v>12970</v>
      </c>
      <c r="P1225" s="407" t="n">
        <v>11608.1</v>
      </c>
      <c r="Q1225" s="234" t="n">
        <v>2025</v>
      </c>
      <c r="R1225" s="234"/>
      <c r="S1225" s="248" t="n">
        <v>45829</v>
      </c>
      <c r="T1225" s="407" t="n">
        <f aca="false">Таблица18[[#This Row],[Вес нетто]]-Таблица18[[#This Row],[Зачетный вес]]</f>
        <v>1361.9</v>
      </c>
      <c r="U1225" s="409" t="n">
        <f aca="false">Таблица18[[#This Row],[Отход]]/Таблица18[[#This Row],[Вес нетто]]</f>
        <v>0.105003855050116</v>
      </c>
      <c r="V1225" s="234" t="n">
        <f aca="false">MONTH(Таблица18[[#This Row],[Дата акта]])</f>
        <v>6</v>
      </c>
      <c r="W1225" s="234" t="n">
        <v>21</v>
      </c>
      <c r="X1225" s="248" t="n">
        <f aca="false">DATE(1900,Таблица18[[#This Row],[Месяц]],Таблица18[[#This Row],[Число]])</f>
        <v>173</v>
      </c>
      <c r="Y1225" s="234"/>
      <c r="AF1225" s="411"/>
      <c r="AG1225" s="412"/>
    </row>
    <row r="1226" s="410" customFormat="true" ht="15" hidden="true" customHeight="true" outlineLevel="0" collapsed="false">
      <c r="A1226" s="198" t="s">
        <v>2848</v>
      </c>
      <c r="B1226" s="199" t="s">
        <v>746</v>
      </c>
      <c r="C1226" s="198" t="n">
        <v>596</v>
      </c>
      <c r="D1226" s="198" t="n">
        <v>54954</v>
      </c>
      <c r="E1226" s="198" t="s">
        <v>908</v>
      </c>
      <c r="F1226" s="198" t="s">
        <v>371</v>
      </c>
      <c r="G1226" s="198" t="s">
        <v>372</v>
      </c>
      <c r="H1226" s="198" t="n">
        <v>14</v>
      </c>
      <c r="I1226" s="199" t="n">
        <v>14</v>
      </c>
      <c r="J1226" s="198" t="s">
        <v>904</v>
      </c>
      <c r="K1226" s="198" t="s">
        <v>1435</v>
      </c>
      <c r="L1226" s="234" t="n">
        <v>28030</v>
      </c>
      <c r="M1226" s="234" t="n">
        <v>15200</v>
      </c>
      <c r="N1226" s="234" t="n">
        <v>5.5</v>
      </c>
      <c r="O1226" s="407" t="n">
        <v>12830</v>
      </c>
      <c r="P1226" s="407" t="n">
        <v>12124.3</v>
      </c>
      <c r="Q1226" s="234" t="n">
        <v>2025</v>
      </c>
      <c r="R1226" s="234"/>
      <c r="S1226" s="248" t="n">
        <v>45829</v>
      </c>
      <c r="T1226" s="407" t="n">
        <f aca="false">Таблица18[[#This Row],[Вес нетто]]-Таблица18[[#This Row],[Зачетный вес]]</f>
        <v>705.700000000001</v>
      </c>
      <c r="U1226" s="409" t="n">
        <f aca="false">Таблица18[[#This Row],[Отход]]/Таблица18[[#This Row],[Вес нетто]]</f>
        <v>0.0550038971161341</v>
      </c>
      <c r="V1226" s="234" t="n">
        <f aca="false">MONTH(Таблица18[[#This Row],[Дата акта]])</f>
        <v>6</v>
      </c>
      <c r="W1226" s="234" t="n">
        <v>21</v>
      </c>
      <c r="X1226" s="248" t="n">
        <f aca="false">DATE(1900,Таблица18[[#This Row],[Месяц]],Таблица18[[#This Row],[Число]])</f>
        <v>173</v>
      </c>
      <c r="Y1226" s="234"/>
      <c r="AF1226" s="411"/>
      <c r="AG1226" s="412"/>
    </row>
    <row r="1227" s="410" customFormat="true" ht="15" hidden="true" customHeight="true" outlineLevel="0" collapsed="false">
      <c r="A1227" s="198" t="s">
        <v>2849</v>
      </c>
      <c r="B1227" s="199" t="s">
        <v>886</v>
      </c>
      <c r="C1227" s="198" t="n">
        <v>599</v>
      </c>
      <c r="D1227" s="198" t="n">
        <v>54955</v>
      </c>
      <c r="E1227" s="198" t="s">
        <v>908</v>
      </c>
      <c r="F1227" s="198" t="s">
        <v>427</v>
      </c>
      <c r="G1227" s="198" t="s">
        <v>431</v>
      </c>
      <c r="H1227" s="198" t="n">
        <v>14</v>
      </c>
      <c r="I1227" s="199" t="n">
        <v>14</v>
      </c>
      <c r="J1227" s="198" t="s">
        <v>904</v>
      </c>
      <c r="K1227" s="198" t="s">
        <v>1435</v>
      </c>
      <c r="L1227" s="234" t="n">
        <v>36230</v>
      </c>
      <c r="M1227" s="234" t="n">
        <v>21240</v>
      </c>
      <c r="N1227" s="234" t="n">
        <v>7</v>
      </c>
      <c r="O1227" s="407" t="n">
        <v>14990</v>
      </c>
      <c r="P1227" s="407" t="n">
        <v>13940.7</v>
      </c>
      <c r="Q1227" s="234" t="n">
        <v>2025</v>
      </c>
      <c r="R1227" s="234"/>
      <c r="S1227" s="248" t="n">
        <v>45829</v>
      </c>
      <c r="T1227" s="407" t="n">
        <f aca="false">Таблица18[[#This Row],[Вес нетто]]-Таблица18[[#This Row],[Зачетный вес]]</f>
        <v>1049.3</v>
      </c>
      <c r="U1227" s="409" t="n">
        <f aca="false">Таблица18[[#This Row],[Отход]]/Таблица18[[#This Row],[Вес нетто]]</f>
        <v>0.07</v>
      </c>
      <c r="V1227" s="234" t="n">
        <f aca="false">MONTH(Таблица18[[#This Row],[Дата акта]])</f>
        <v>6</v>
      </c>
      <c r="W1227" s="234" t="n">
        <v>21</v>
      </c>
      <c r="X1227" s="248" t="n">
        <f aca="false">DATE(1900,Таблица18[[#This Row],[Месяц]],Таблица18[[#This Row],[Число]])</f>
        <v>173</v>
      </c>
      <c r="Y1227" s="234"/>
      <c r="AF1227" s="411"/>
      <c r="AG1227" s="412"/>
    </row>
    <row r="1228" s="410" customFormat="true" ht="15" hidden="true" customHeight="true" outlineLevel="0" collapsed="false">
      <c r="A1228" s="198" t="s">
        <v>2850</v>
      </c>
      <c r="B1228" s="199" t="s">
        <v>886</v>
      </c>
      <c r="C1228" s="198" t="n">
        <v>600</v>
      </c>
      <c r="D1228" s="198" t="n">
        <v>54955</v>
      </c>
      <c r="E1228" s="198" t="s">
        <v>908</v>
      </c>
      <c r="F1228" s="198" t="s">
        <v>457</v>
      </c>
      <c r="G1228" s="198" t="s">
        <v>366</v>
      </c>
      <c r="H1228" s="198" t="n">
        <v>14</v>
      </c>
      <c r="I1228" s="199" t="n">
        <v>14</v>
      </c>
      <c r="J1228" s="198" t="s">
        <v>904</v>
      </c>
      <c r="K1228" s="198" t="s">
        <v>1435</v>
      </c>
      <c r="L1228" s="234" t="n">
        <v>30090</v>
      </c>
      <c r="M1228" s="234" t="n">
        <v>15100</v>
      </c>
      <c r="N1228" s="234" t="n">
        <v>7.5</v>
      </c>
      <c r="O1228" s="407" t="n">
        <v>14990</v>
      </c>
      <c r="P1228" s="407" t="n">
        <v>13865.7</v>
      </c>
      <c r="Q1228" s="234" t="n">
        <v>2025</v>
      </c>
      <c r="R1228" s="234"/>
      <c r="S1228" s="248" t="n">
        <v>45829</v>
      </c>
      <c r="T1228" s="407" t="n">
        <f aca="false">Таблица18[[#This Row],[Вес нетто]]-Таблица18[[#This Row],[Зачетный вес]]</f>
        <v>1124.3</v>
      </c>
      <c r="U1228" s="409" t="n">
        <f aca="false">Таблица18[[#This Row],[Отход]]/Таблица18[[#This Row],[Вес нетто]]</f>
        <v>0.075003335557038</v>
      </c>
      <c r="V1228" s="234" t="n">
        <f aca="false">MONTH(Таблица18[[#This Row],[Дата акта]])</f>
        <v>6</v>
      </c>
      <c r="W1228" s="234" t="n">
        <v>21</v>
      </c>
      <c r="X1228" s="248" t="n">
        <f aca="false">DATE(1900,Таблица18[[#This Row],[Месяц]],Таблица18[[#This Row],[Число]])</f>
        <v>173</v>
      </c>
      <c r="Y1228" s="234"/>
      <c r="AF1228" s="411"/>
      <c r="AG1228" s="412"/>
    </row>
    <row r="1229" s="410" customFormat="true" ht="15" hidden="true" customHeight="true" outlineLevel="0" collapsed="false">
      <c r="A1229" s="198" t="s">
        <v>2851</v>
      </c>
      <c r="B1229" s="199" t="s">
        <v>746</v>
      </c>
      <c r="C1229" s="198" t="n">
        <v>601</v>
      </c>
      <c r="D1229" s="198" t="n">
        <v>54956</v>
      </c>
      <c r="E1229" s="198" t="s">
        <v>908</v>
      </c>
      <c r="F1229" s="198" t="s">
        <v>433</v>
      </c>
      <c r="G1229" s="198" t="s">
        <v>437</v>
      </c>
      <c r="H1229" s="198" t="n">
        <v>14</v>
      </c>
      <c r="I1229" s="199" t="n">
        <v>14</v>
      </c>
      <c r="J1229" s="198" t="s">
        <v>904</v>
      </c>
      <c r="K1229" s="198" t="s">
        <v>1435</v>
      </c>
      <c r="L1229" s="234" t="n">
        <v>30360</v>
      </c>
      <c r="M1229" s="234" t="n">
        <v>15060</v>
      </c>
      <c r="N1229" s="234" t="n">
        <v>8.5</v>
      </c>
      <c r="O1229" s="407" t="n">
        <v>15300</v>
      </c>
      <c r="P1229" s="407" t="n">
        <v>13999.5</v>
      </c>
      <c r="Q1229" s="234" t="n">
        <v>2025</v>
      </c>
      <c r="R1229" s="234"/>
      <c r="S1229" s="248" t="n">
        <v>45829</v>
      </c>
      <c r="T1229" s="407" t="n">
        <f aca="false">Таблица18[[#This Row],[Вес нетто]]-Таблица18[[#This Row],[Зачетный вес]]</f>
        <v>1300.5</v>
      </c>
      <c r="U1229" s="409" t="n">
        <f aca="false">Таблица18[[#This Row],[Отход]]/Таблица18[[#This Row],[Вес нетто]]</f>
        <v>0.085</v>
      </c>
      <c r="V1229" s="234" t="n">
        <f aca="false">MONTH(Таблица18[[#This Row],[Дата акта]])</f>
        <v>6</v>
      </c>
      <c r="W1229" s="234" t="n">
        <v>21</v>
      </c>
      <c r="X1229" s="248" t="n">
        <f aca="false">DATE(1900,Таблица18[[#This Row],[Месяц]],Таблица18[[#This Row],[Число]])</f>
        <v>173</v>
      </c>
      <c r="Y1229" s="234"/>
      <c r="AF1229" s="411"/>
      <c r="AG1229" s="412"/>
    </row>
    <row r="1230" s="410" customFormat="true" ht="15" hidden="true" customHeight="true" outlineLevel="0" collapsed="false">
      <c r="A1230" s="198" t="s">
        <v>2852</v>
      </c>
      <c r="B1230" s="199" t="s">
        <v>886</v>
      </c>
      <c r="C1230" s="198" t="n">
        <v>602</v>
      </c>
      <c r="D1230" s="198" t="n">
        <v>54955</v>
      </c>
      <c r="E1230" s="198" t="s">
        <v>908</v>
      </c>
      <c r="F1230" s="198" t="s">
        <v>439</v>
      </c>
      <c r="G1230" s="198" t="s">
        <v>443</v>
      </c>
      <c r="H1230" s="198" t="n">
        <v>14</v>
      </c>
      <c r="I1230" s="199" t="n">
        <v>14</v>
      </c>
      <c r="J1230" s="198" t="s">
        <v>904</v>
      </c>
      <c r="K1230" s="198" t="s">
        <v>1435</v>
      </c>
      <c r="L1230" s="234" t="n">
        <v>37830</v>
      </c>
      <c r="M1230" s="234" t="n">
        <v>24220</v>
      </c>
      <c r="N1230" s="234" t="n">
        <v>8.5</v>
      </c>
      <c r="O1230" s="407" t="n">
        <v>13610</v>
      </c>
      <c r="P1230" s="407" t="n">
        <v>12453.1</v>
      </c>
      <c r="Q1230" s="234" t="n">
        <v>2025</v>
      </c>
      <c r="R1230" s="234"/>
      <c r="S1230" s="248" t="n">
        <v>45829</v>
      </c>
      <c r="T1230" s="407" t="n">
        <f aca="false">Таблица18[[#This Row],[Вес нетто]]-Таблица18[[#This Row],[Зачетный вес]]</f>
        <v>1156.9</v>
      </c>
      <c r="U1230" s="409" t="n">
        <f aca="false">Таблица18[[#This Row],[Отход]]/Таблица18[[#This Row],[Вес нетто]]</f>
        <v>0.0850036737692873</v>
      </c>
      <c r="V1230" s="234" t="n">
        <f aca="false">MONTH(Таблица18[[#This Row],[Дата акта]])</f>
        <v>6</v>
      </c>
      <c r="W1230" s="234" t="n">
        <v>21</v>
      </c>
      <c r="X1230" s="248" t="n">
        <f aca="false">DATE(1900,Таблица18[[#This Row],[Месяц]],Таблица18[[#This Row],[Число]])</f>
        <v>173</v>
      </c>
      <c r="Y1230" s="234"/>
      <c r="AF1230" s="411"/>
      <c r="AG1230" s="412"/>
    </row>
    <row r="1231" s="410" customFormat="true" ht="15" hidden="true" customHeight="true" outlineLevel="0" collapsed="false">
      <c r="A1231" s="198" t="s">
        <v>2853</v>
      </c>
      <c r="B1231" s="199" t="s">
        <v>417</v>
      </c>
      <c r="C1231" s="198" t="n">
        <v>603</v>
      </c>
      <c r="D1231" s="198" t="n">
        <v>1</v>
      </c>
      <c r="E1231" s="198" t="s">
        <v>994</v>
      </c>
      <c r="F1231" s="198" t="s">
        <v>445</v>
      </c>
      <c r="G1231" s="198" t="s">
        <v>449</v>
      </c>
      <c r="H1231" s="198" t="s">
        <v>995</v>
      </c>
      <c r="I1231" s="199" t="s">
        <v>995</v>
      </c>
      <c r="J1231" s="198" t="s">
        <v>900</v>
      </c>
      <c r="K1231" s="198" t="s">
        <v>1435</v>
      </c>
      <c r="L1231" s="234" t="n">
        <v>29100</v>
      </c>
      <c r="M1231" s="234" t="n">
        <v>15790</v>
      </c>
      <c r="N1231" s="234" t="n">
        <v>21.5</v>
      </c>
      <c r="O1231" s="407" t="n">
        <v>13310</v>
      </c>
      <c r="P1231" s="407" t="n">
        <v>10448.3</v>
      </c>
      <c r="Q1231" s="234" t="n">
        <v>2025</v>
      </c>
      <c r="R1231" s="234"/>
      <c r="S1231" s="248" t="n">
        <v>45830</v>
      </c>
      <c r="T1231" s="407" t="n">
        <f aca="false">Таблица18[[#This Row],[Вес нетто]]-Таблица18[[#This Row],[Зачетный вес]]</f>
        <v>2861.7</v>
      </c>
      <c r="U1231" s="409" t="n">
        <f aca="false">Таблица18[[#This Row],[Отход]]/Таблица18[[#This Row],[Вес нетто]]</f>
        <v>0.215003756574005</v>
      </c>
      <c r="V1231" s="234" t="n">
        <f aca="false">MONTH(Таблица18[[#This Row],[Дата акта]])</f>
        <v>6</v>
      </c>
      <c r="W1231" s="234" t="n">
        <v>22</v>
      </c>
      <c r="X1231" s="248" t="n">
        <f aca="false">DATE(1900,Таблица18[[#This Row],[Месяц]],Таблица18[[#This Row],[Число]])</f>
        <v>174</v>
      </c>
      <c r="Y1231" s="234"/>
      <c r="AF1231" s="411"/>
      <c r="AG1231" s="412"/>
    </row>
    <row r="1232" s="410" customFormat="true" ht="15" hidden="true" customHeight="true" outlineLevel="0" collapsed="false">
      <c r="A1232" s="198" t="s">
        <v>2854</v>
      </c>
      <c r="B1232" s="199" t="s">
        <v>417</v>
      </c>
      <c r="C1232" s="198" t="n">
        <v>604</v>
      </c>
      <c r="D1232" s="198" t="n">
        <v>3</v>
      </c>
      <c r="E1232" s="198" t="s">
        <v>994</v>
      </c>
      <c r="F1232" s="198" t="s">
        <v>553</v>
      </c>
      <c r="G1232" s="198" t="s">
        <v>557</v>
      </c>
      <c r="H1232" s="198" t="s">
        <v>995</v>
      </c>
      <c r="I1232" s="199" t="s">
        <v>995</v>
      </c>
      <c r="J1232" s="198" t="s">
        <v>900</v>
      </c>
      <c r="K1232" s="198" t="s">
        <v>1435</v>
      </c>
      <c r="L1232" s="234" t="n">
        <v>27970</v>
      </c>
      <c r="M1232" s="234" t="n">
        <v>14950</v>
      </c>
      <c r="N1232" s="234" t="n">
        <v>19.5</v>
      </c>
      <c r="O1232" s="407" t="n">
        <v>13020</v>
      </c>
      <c r="P1232" s="407" t="n">
        <v>10481.1</v>
      </c>
      <c r="Q1232" s="234" t="n">
        <v>2025</v>
      </c>
      <c r="R1232" s="234"/>
      <c r="S1232" s="248" t="n">
        <v>45830</v>
      </c>
      <c r="T1232" s="407" t="n">
        <f aca="false">Таблица18[[#This Row],[Вес нетто]]-Таблица18[[#This Row],[Зачетный вес]]</f>
        <v>2538.9</v>
      </c>
      <c r="U1232" s="409" t="n">
        <f aca="false">Таблица18[[#This Row],[Отход]]/Таблица18[[#This Row],[Вес нетто]]</f>
        <v>0.195</v>
      </c>
      <c r="V1232" s="234" t="n">
        <f aca="false">MONTH(Таблица18[[#This Row],[Дата акта]])</f>
        <v>6</v>
      </c>
      <c r="W1232" s="234" t="n">
        <v>22</v>
      </c>
      <c r="X1232" s="248" t="n">
        <f aca="false">DATE(1900,Таблица18[[#This Row],[Месяц]],Таблица18[[#This Row],[Число]])</f>
        <v>174</v>
      </c>
      <c r="Y1232" s="234"/>
      <c r="AF1232" s="411"/>
      <c r="AG1232" s="412"/>
    </row>
    <row r="1233" s="410" customFormat="true" ht="15" hidden="true" customHeight="true" outlineLevel="0" collapsed="false">
      <c r="A1233" s="198" t="s">
        <v>2855</v>
      </c>
      <c r="B1233" s="199" t="s">
        <v>417</v>
      </c>
      <c r="C1233" s="198" t="n">
        <v>606</v>
      </c>
      <c r="D1233" s="198" t="n">
        <v>2</v>
      </c>
      <c r="E1233" s="198" t="s">
        <v>994</v>
      </c>
      <c r="F1233" s="198" t="s">
        <v>451</v>
      </c>
      <c r="G1233" s="198" t="s">
        <v>455</v>
      </c>
      <c r="H1233" s="198" t="s">
        <v>995</v>
      </c>
      <c r="I1233" s="199" t="s">
        <v>995</v>
      </c>
      <c r="J1233" s="198" t="s">
        <v>900</v>
      </c>
      <c r="K1233" s="198" t="s">
        <v>1435</v>
      </c>
      <c r="L1233" s="234" t="n">
        <v>27740</v>
      </c>
      <c r="M1233" s="234" t="n">
        <v>15140</v>
      </c>
      <c r="N1233" s="234" t="n">
        <v>24</v>
      </c>
      <c r="O1233" s="407" t="n">
        <v>12600</v>
      </c>
      <c r="P1233" s="407" t="n">
        <v>9576</v>
      </c>
      <c r="Q1233" s="234" t="n">
        <v>2025</v>
      </c>
      <c r="R1233" s="234"/>
      <c r="S1233" s="248" t="n">
        <v>45830</v>
      </c>
      <c r="T1233" s="407" t="n">
        <f aca="false">Таблица18[[#This Row],[Вес нетто]]-Таблица18[[#This Row],[Зачетный вес]]</f>
        <v>3024</v>
      </c>
      <c r="U1233" s="409" t="n">
        <f aca="false">Таблица18[[#This Row],[Отход]]/Таблица18[[#This Row],[Вес нетто]]</f>
        <v>0.24</v>
      </c>
      <c r="V1233" s="234" t="n">
        <f aca="false">MONTH(Таблица18[[#This Row],[Дата акта]])</f>
        <v>6</v>
      </c>
      <c r="W1233" s="234" t="n">
        <v>22</v>
      </c>
      <c r="X1233" s="248" t="n">
        <f aca="false">DATE(1900,Таблица18[[#This Row],[Месяц]],Таблица18[[#This Row],[Число]])</f>
        <v>174</v>
      </c>
      <c r="Y1233" s="234"/>
      <c r="AF1233" s="411"/>
      <c r="AG1233" s="412"/>
    </row>
    <row r="1234" s="410" customFormat="true" ht="15" hidden="true" customHeight="true" outlineLevel="0" collapsed="false">
      <c r="A1234" s="198" t="s">
        <v>2856</v>
      </c>
      <c r="B1234" s="199" t="s">
        <v>417</v>
      </c>
      <c r="C1234" s="198" t="n">
        <v>607</v>
      </c>
      <c r="D1234" s="198" t="n">
        <v>4</v>
      </c>
      <c r="E1234" s="198" t="s">
        <v>994</v>
      </c>
      <c r="F1234" s="198" t="s">
        <v>547</v>
      </c>
      <c r="G1234" s="198" t="s">
        <v>551</v>
      </c>
      <c r="H1234" s="198" t="s">
        <v>995</v>
      </c>
      <c r="I1234" s="199" t="s">
        <v>995</v>
      </c>
      <c r="J1234" s="198" t="s">
        <v>900</v>
      </c>
      <c r="K1234" s="198" t="s">
        <v>1435</v>
      </c>
      <c r="L1234" s="234" t="n">
        <v>27470</v>
      </c>
      <c r="M1234" s="234" t="n">
        <v>14820</v>
      </c>
      <c r="N1234" s="234" t="n">
        <v>14.5</v>
      </c>
      <c r="O1234" s="407" t="n">
        <v>12650</v>
      </c>
      <c r="P1234" s="407" t="n">
        <v>10815.7</v>
      </c>
      <c r="Q1234" s="234" t="n">
        <v>2025</v>
      </c>
      <c r="R1234" s="234"/>
      <c r="S1234" s="248" t="n">
        <v>45830</v>
      </c>
      <c r="T1234" s="407" t="n">
        <f aca="false">Таблица18[[#This Row],[Вес нетто]]-Таблица18[[#This Row],[Зачетный вес]]</f>
        <v>1834.3</v>
      </c>
      <c r="U1234" s="409" t="n">
        <f aca="false">Таблица18[[#This Row],[Отход]]/Таблица18[[#This Row],[Вес нетто]]</f>
        <v>0.14500395256917</v>
      </c>
      <c r="V1234" s="234" t="n">
        <f aca="false">MONTH(Таблица18[[#This Row],[Дата акта]])</f>
        <v>6</v>
      </c>
      <c r="W1234" s="234" t="n">
        <v>22</v>
      </c>
      <c r="X1234" s="248" t="n">
        <f aca="false">DATE(1900,Таблица18[[#This Row],[Месяц]],Таблица18[[#This Row],[Число]])</f>
        <v>174</v>
      </c>
      <c r="Y1234" s="234"/>
      <c r="AF1234" s="411"/>
      <c r="AG1234" s="412"/>
    </row>
    <row r="1235" s="410" customFormat="true" ht="15" hidden="true" customHeight="true" outlineLevel="0" collapsed="false">
      <c r="A1235" s="198" t="s">
        <v>2857</v>
      </c>
      <c r="B1235" s="199" t="s">
        <v>417</v>
      </c>
      <c r="C1235" s="198" t="n">
        <v>608</v>
      </c>
      <c r="D1235" s="198" t="n">
        <v>6</v>
      </c>
      <c r="E1235" s="198" t="s">
        <v>994</v>
      </c>
      <c r="F1235" s="198" t="s">
        <v>382</v>
      </c>
      <c r="G1235" s="198" t="s">
        <v>383</v>
      </c>
      <c r="H1235" s="198" t="s">
        <v>995</v>
      </c>
      <c r="I1235" s="199" t="s">
        <v>995</v>
      </c>
      <c r="J1235" s="198" t="s">
        <v>900</v>
      </c>
      <c r="K1235" s="198" t="s">
        <v>1435</v>
      </c>
      <c r="L1235" s="234" t="n">
        <v>27940</v>
      </c>
      <c r="M1235" s="234" t="n">
        <v>14900</v>
      </c>
      <c r="N1235" s="234" t="n">
        <v>23.5</v>
      </c>
      <c r="O1235" s="407" t="n">
        <v>13040</v>
      </c>
      <c r="P1235" s="407" t="n">
        <v>9975.6</v>
      </c>
      <c r="Q1235" s="234" t="n">
        <v>2025</v>
      </c>
      <c r="R1235" s="234"/>
      <c r="S1235" s="248" t="n">
        <v>45830</v>
      </c>
      <c r="T1235" s="407" t="n">
        <f aca="false">Таблица18[[#This Row],[Вес нетто]]-Таблица18[[#This Row],[Зачетный вес]]</f>
        <v>3064.4</v>
      </c>
      <c r="U1235" s="409" t="n">
        <f aca="false">Таблица18[[#This Row],[Отход]]/Таблица18[[#This Row],[Вес нетто]]</f>
        <v>0.235</v>
      </c>
      <c r="V1235" s="234" t="n">
        <f aca="false">MONTH(Таблица18[[#This Row],[Дата акта]])</f>
        <v>6</v>
      </c>
      <c r="W1235" s="234" t="n">
        <v>22</v>
      </c>
      <c r="X1235" s="248" t="n">
        <f aca="false">DATE(1900,Таблица18[[#This Row],[Месяц]],Таблица18[[#This Row],[Число]])</f>
        <v>174</v>
      </c>
      <c r="Y1235" s="234"/>
      <c r="AF1235" s="411"/>
      <c r="AG1235" s="412"/>
    </row>
    <row r="1236" s="410" customFormat="true" ht="15" hidden="true" customHeight="true" outlineLevel="0" collapsed="false">
      <c r="A1236" s="198" t="s">
        <v>2858</v>
      </c>
      <c r="B1236" s="199" t="s">
        <v>417</v>
      </c>
      <c r="C1236" s="198" t="n">
        <v>609</v>
      </c>
      <c r="D1236" s="198" t="n">
        <v>5</v>
      </c>
      <c r="E1236" s="198" t="s">
        <v>994</v>
      </c>
      <c r="F1236" s="198" t="s">
        <v>384</v>
      </c>
      <c r="G1236" s="198" t="s">
        <v>385</v>
      </c>
      <c r="H1236" s="198" t="s">
        <v>995</v>
      </c>
      <c r="I1236" s="199" t="s">
        <v>995</v>
      </c>
      <c r="J1236" s="198" t="s">
        <v>900</v>
      </c>
      <c r="K1236" s="198" t="s">
        <v>1435</v>
      </c>
      <c r="L1236" s="234" t="n">
        <v>27840</v>
      </c>
      <c r="M1236" s="234" t="n">
        <v>14400</v>
      </c>
      <c r="N1236" s="234" t="n">
        <v>20.5</v>
      </c>
      <c r="O1236" s="407" t="n">
        <v>13440</v>
      </c>
      <c r="P1236" s="407" t="n">
        <v>10684.8</v>
      </c>
      <c r="Q1236" s="234" t="n">
        <v>2025</v>
      </c>
      <c r="R1236" s="234"/>
      <c r="S1236" s="248" t="n">
        <v>45830</v>
      </c>
      <c r="T1236" s="407" t="n">
        <f aca="false">Таблица18[[#This Row],[Вес нетто]]-Таблица18[[#This Row],[Зачетный вес]]</f>
        <v>2755.2</v>
      </c>
      <c r="U1236" s="409" t="n">
        <f aca="false">Таблица18[[#This Row],[Отход]]/Таблица18[[#This Row],[Вес нетто]]</f>
        <v>0.205</v>
      </c>
      <c r="V1236" s="234" t="n">
        <f aca="false">MONTH(Таблица18[[#This Row],[Дата акта]])</f>
        <v>6</v>
      </c>
      <c r="W1236" s="234" t="n">
        <v>22</v>
      </c>
      <c r="X1236" s="248" t="n">
        <f aca="false">DATE(1900,Таблица18[[#This Row],[Месяц]],Таблица18[[#This Row],[Число]])</f>
        <v>174</v>
      </c>
      <c r="Y1236" s="234"/>
      <c r="AF1236" s="411"/>
      <c r="AG1236" s="412"/>
    </row>
    <row r="1237" s="410" customFormat="true" ht="15" hidden="true" customHeight="true" outlineLevel="0" collapsed="false">
      <c r="A1237" s="198" t="s">
        <v>2859</v>
      </c>
      <c r="B1237" s="199" t="s">
        <v>417</v>
      </c>
      <c r="C1237" s="198" t="n">
        <v>610</v>
      </c>
      <c r="D1237" s="198" t="n">
        <v>7</v>
      </c>
      <c r="E1237" s="198" t="s">
        <v>994</v>
      </c>
      <c r="F1237" s="198" t="s">
        <v>427</v>
      </c>
      <c r="G1237" s="198" t="s">
        <v>431</v>
      </c>
      <c r="H1237" s="198" t="s">
        <v>995</v>
      </c>
      <c r="I1237" s="199" t="s">
        <v>995</v>
      </c>
      <c r="J1237" s="198" t="s">
        <v>900</v>
      </c>
      <c r="K1237" s="198" t="s">
        <v>1435</v>
      </c>
      <c r="L1237" s="234" t="n">
        <v>35160</v>
      </c>
      <c r="M1237" s="234" t="n">
        <v>21150</v>
      </c>
      <c r="N1237" s="234" t="n">
        <v>21.5</v>
      </c>
      <c r="O1237" s="407" t="n">
        <v>14010</v>
      </c>
      <c r="P1237" s="407" t="n">
        <v>10997.8</v>
      </c>
      <c r="Q1237" s="234" t="n">
        <v>2025</v>
      </c>
      <c r="R1237" s="234"/>
      <c r="S1237" s="248" t="n">
        <v>45830</v>
      </c>
      <c r="T1237" s="407" t="n">
        <f aca="false">Таблица18[[#This Row],[Вес нетто]]-Таблица18[[#This Row],[Зачетный вес]]</f>
        <v>3012.2</v>
      </c>
      <c r="U1237" s="409" t="n">
        <f aca="false">Таблица18[[#This Row],[Отход]]/Таблица18[[#This Row],[Вес нетто]]</f>
        <v>0.215003568879372</v>
      </c>
      <c r="V1237" s="234" t="n">
        <f aca="false">MONTH(Таблица18[[#This Row],[Дата акта]])</f>
        <v>6</v>
      </c>
      <c r="W1237" s="234" t="n">
        <v>22</v>
      </c>
      <c r="X1237" s="248" t="n">
        <f aca="false">DATE(1900,Таблица18[[#This Row],[Месяц]],Таблица18[[#This Row],[Число]])</f>
        <v>174</v>
      </c>
      <c r="Y1237" s="234"/>
      <c r="AF1237" s="411"/>
      <c r="AG1237" s="412"/>
    </row>
    <row r="1238" s="410" customFormat="true" ht="15" hidden="true" customHeight="true" outlineLevel="0" collapsed="false">
      <c r="A1238" s="198" t="s">
        <v>2860</v>
      </c>
      <c r="B1238" s="199" t="s">
        <v>417</v>
      </c>
      <c r="C1238" s="198" t="n">
        <v>611</v>
      </c>
      <c r="D1238" s="198" t="n">
        <v>8</v>
      </c>
      <c r="E1238" s="198" t="s">
        <v>994</v>
      </c>
      <c r="F1238" s="198" t="s">
        <v>439</v>
      </c>
      <c r="G1238" s="198" t="s">
        <v>443</v>
      </c>
      <c r="H1238" s="198" t="s">
        <v>996</v>
      </c>
      <c r="I1238" s="199" t="s">
        <v>996</v>
      </c>
      <c r="J1238" s="198" t="s">
        <v>997</v>
      </c>
      <c r="K1238" s="198" t="s">
        <v>1435</v>
      </c>
      <c r="L1238" s="234" t="n">
        <v>38170</v>
      </c>
      <c r="M1238" s="234" t="n">
        <v>24060</v>
      </c>
      <c r="N1238" s="234" t="n">
        <v>15</v>
      </c>
      <c r="O1238" s="407" t="n">
        <v>14110</v>
      </c>
      <c r="P1238" s="407" t="n">
        <v>11993.5</v>
      </c>
      <c r="Q1238" s="234" t="n">
        <v>2025</v>
      </c>
      <c r="R1238" s="234"/>
      <c r="S1238" s="248" t="n">
        <v>45830</v>
      </c>
      <c r="T1238" s="407" t="n">
        <f aca="false">Таблица18[[#This Row],[Вес нетто]]-Таблица18[[#This Row],[Зачетный вес]]</f>
        <v>2116.5</v>
      </c>
      <c r="U1238" s="409" t="n">
        <f aca="false">Таблица18[[#This Row],[Отход]]/Таблица18[[#This Row],[Вес нетто]]</f>
        <v>0.15</v>
      </c>
      <c r="V1238" s="234" t="n">
        <f aca="false">MONTH(Таблица18[[#This Row],[Дата акта]])</f>
        <v>6</v>
      </c>
      <c r="W1238" s="234" t="n">
        <v>22</v>
      </c>
      <c r="X1238" s="248" t="n">
        <f aca="false">DATE(1900,Таблица18[[#This Row],[Месяц]],Таблица18[[#This Row],[Число]])</f>
        <v>174</v>
      </c>
      <c r="Y1238" s="234"/>
      <c r="AF1238" s="411"/>
      <c r="AG1238" s="412"/>
    </row>
    <row r="1239" s="410" customFormat="true" ht="15" hidden="true" customHeight="true" outlineLevel="0" collapsed="false">
      <c r="A1239" s="198" t="s">
        <v>2861</v>
      </c>
      <c r="B1239" s="199" t="s">
        <v>417</v>
      </c>
      <c r="C1239" s="198" t="n">
        <v>612</v>
      </c>
      <c r="D1239" s="198" t="n">
        <v>9</v>
      </c>
      <c r="E1239" s="198" t="s">
        <v>994</v>
      </c>
      <c r="F1239" s="198" t="s">
        <v>433</v>
      </c>
      <c r="G1239" s="198" t="s">
        <v>437</v>
      </c>
      <c r="H1239" s="198" t="s">
        <v>996</v>
      </c>
      <c r="I1239" s="199" t="s">
        <v>996</v>
      </c>
      <c r="J1239" s="198" t="s">
        <v>997</v>
      </c>
      <c r="K1239" s="198" t="s">
        <v>1435</v>
      </c>
      <c r="L1239" s="234" t="n">
        <v>29040</v>
      </c>
      <c r="M1239" s="234" t="n">
        <v>14950</v>
      </c>
      <c r="N1239" s="234" t="n">
        <v>15</v>
      </c>
      <c r="O1239" s="407" t="n">
        <v>14090</v>
      </c>
      <c r="P1239" s="407" t="n">
        <v>11976.5</v>
      </c>
      <c r="Q1239" s="234" t="n">
        <v>2025</v>
      </c>
      <c r="R1239" s="234"/>
      <c r="S1239" s="248" t="n">
        <v>45830</v>
      </c>
      <c r="T1239" s="407" t="n">
        <f aca="false">Таблица18[[#This Row],[Вес нетто]]-Таблица18[[#This Row],[Зачетный вес]]</f>
        <v>2113.5</v>
      </c>
      <c r="U1239" s="409" t="n">
        <f aca="false">Таблица18[[#This Row],[Отход]]/Таблица18[[#This Row],[Вес нетто]]</f>
        <v>0.15</v>
      </c>
      <c r="V1239" s="234" t="n">
        <f aca="false">MONTH(Таблица18[[#This Row],[Дата акта]])</f>
        <v>6</v>
      </c>
      <c r="W1239" s="234" t="n">
        <v>22</v>
      </c>
      <c r="X1239" s="248" t="n">
        <f aca="false">DATE(1900,Таблица18[[#This Row],[Месяц]],Таблица18[[#This Row],[Число]])</f>
        <v>174</v>
      </c>
      <c r="Y1239" s="234"/>
      <c r="AF1239" s="411"/>
      <c r="AG1239" s="412"/>
    </row>
    <row r="1240" s="410" customFormat="true" ht="15" hidden="true" customHeight="true" outlineLevel="0" collapsed="false">
      <c r="A1240" s="198" t="s">
        <v>2862</v>
      </c>
      <c r="B1240" s="199" t="s">
        <v>417</v>
      </c>
      <c r="C1240" s="198" t="n">
        <v>613</v>
      </c>
      <c r="D1240" s="198" t="n">
        <v>10</v>
      </c>
      <c r="E1240" s="198" t="s">
        <v>994</v>
      </c>
      <c r="F1240" s="198" t="s">
        <v>363</v>
      </c>
      <c r="G1240" s="198" t="s">
        <v>364</v>
      </c>
      <c r="H1240" s="198" t="s">
        <v>996</v>
      </c>
      <c r="I1240" s="199" t="s">
        <v>996</v>
      </c>
      <c r="J1240" s="198" t="s">
        <v>997</v>
      </c>
      <c r="K1240" s="198" t="s">
        <v>1435</v>
      </c>
      <c r="L1240" s="234" t="n">
        <v>28400</v>
      </c>
      <c r="M1240" s="234" t="n">
        <v>14600</v>
      </c>
      <c r="N1240" s="234" t="n">
        <v>23</v>
      </c>
      <c r="O1240" s="407" t="n">
        <v>13800</v>
      </c>
      <c r="P1240" s="407" t="n">
        <v>10626</v>
      </c>
      <c r="Q1240" s="234" t="n">
        <v>2025</v>
      </c>
      <c r="R1240" s="234"/>
      <c r="S1240" s="248" t="n">
        <v>45830</v>
      </c>
      <c r="T1240" s="407" t="n">
        <f aca="false">Таблица18[[#This Row],[Вес нетто]]-Таблица18[[#This Row],[Зачетный вес]]</f>
        <v>3174</v>
      </c>
      <c r="U1240" s="409" t="n">
        <f aca="false">Таблица18[[#This Row],[Отход]]/Таблица18[[#This Row],[Вес нетто]]</f>
        <v>0.23</v>
      </c>
      <c r="V1240" s="234" t="n">
        <f aca="false">MONTH(Таблица18[[#This Row],[Дата акта]])</f>
        <v>6</v>
      </c>
      <c r="W1240" s="234" t="n">
        <v>22</v>
      </c>
      <c r="X1240" s="248" t="n">
        <f aca="false">DATE(1900,Таблица18[[#This Row],[Месяц]],Таблица18[[#This Row],[Число]])</f>
        <v>174</v>
      </c>
      <c r="Y1240" s="234"/>
      <c r="AF1240" s="411"/>
      <c r="AG1240" s="412"/>
    </row>
    <row r="1241" s="410" customFormat="true" ht="15" hidden="true" customHeight="true" outlineLevel="0" collapsed="false">
      <c r="A1241" s="198" t="s">
        <v>2863</v>
      </c>
      <c r="B1241" s="199" t="s">
        <v>417</v>
      </c>
      <c r="C1241" s="198" t="n">
        <v>615</v>
      </c>
      <c r="D1241" s="198" t="n">
        <v>11</v>
      </c>
      <c r="E1241" s="198" t="s">
        <v>994</v>
      </c>
      <c r="F1241" s="198" t="s">
        <v>445</v>
      </c>
      <c r="G1241" s="198" t="s">
        <v>449</v>
      </c>
      <c r="H1241" s="198" t="s">
        <v>996</v>
      </c>
      <c r="I1241" s="199" t="s">
        <v>996</v>
      </c>
      <c r="J1241" s="198" t="s">
        <v>997</v>
      </c>
      <c r="K1241" s="198" t="s">
        <v>1435</v>
      </c>
      <c r="L1241" s="234" t="n">
        <v>29840</v>
      </c>
      <c r="M1241" s="234" t="n">
        <v>15720</v>
      </c>
      <c r="N1241" s="234" t="n">
        <v>19</v>
      </c>
      <c r="O1241" s="407" t="n">
        <v>14120</v>
      </c>
      <c r="P1241" s="407" t="n">
        <v>11437.2</v>
      </c>
      <c r="Q1241" s="234" t="n">
        <v>2025</v>
      </c>
      <c r="R1241" s="234"/>
      <c r="S1241" s="248" t="n">
        <v>45830</v>
      </c>
      <c r="T1241" s="407" t="n">
        <f aca="false">Таблица18[[#This Row],[Вес нетто]]-Таблица18[[#This Row],[Зачетный вес]]</f>
        <v>2682.8</v>
      </c>
      <c r="U1241" s="409" t="n">
        <f aca="false">Таблица18[[#This Row],[Отход]]/Таблица18[[#This Row],[Вес нетто]]</f>
        <v>0.19</v>
      </c>
      <c r="V1241" s="234" t="n">
        <f aca="false">MONTH(Таблица18[[#This Row],[Дата акта]])</f>
        <v>6</v>
      </c>
      <c r="W1241" s="234" t="n">
        <v>22</v>
      </c>
      <c r="X1241" s="248" t="n">
        <f aca="false">DATE(1900,Таблица18[[#This Row],[Месяц]],Таблица18[[#This Row],[Число]])</f>
        <v>174</v>
      </c>
      <c r="Y1241" s="234"/>
      <c r="AF1241" s="411"/>
      <c r="AG1241" s="412"/>
    </row>
    <row r="1242" s="410" customFormat="true" ht="15" hidden="true" customHeight="true" outlineLevel="0" collapsed="false">
      <c r="A1242" s="198" t="s">
        <v>2864</v>
      </c>
      <c r="B1242" s="199" t="s">
        <v>417</v>
      </c>
      <c r="C1242" s="198" t="n">
        <v>616</v>
      </c>
      <c r="D1242" s="198" t="n">
        <v>12</v>
      </c>
      <c r="E1242" s="198" t="s">
        <v>994</v>
      </c>
      <c r="F1242" s="198" t="s">
        <v>359</v>
      </c>
      <c r="G1242" s="198" t="s">
        <v>426</v>
      </c>
      <c r="H1242" s="198" t="s">
        <v>996</v>
      </c>
      <c r="I1242" s="199" t="s">
        <v>996</v>
      </c>
      <c r="J1242" s="198" t="s">
        <v>997</v>
      </c>
      <c r="K1242" s="198" t="s">
        <v>1435</v>
      </c>
      <c r="L1242" s="234" t="n">
        <v>27720</v>
      </c>
      <c r="M1242" s="234" t="n">
        <v>13850</v>
      </c>
      <c r="N1242" s="234" t="n">
        <v>16</v>
      </c>
      <c r="O1242" s="407" t="n">
        <v>13870</v>
      </c>
      <c r="P1242" s="407" t="n">
        <v>11650.8</v>
      </c>
      <c r="Q1242" s="234" t="n">
        <v>2025</v>
      </c>
      <c r="R1242" s="234"/>
      <c r="S1242" s="248" t="n">
        <v>45830</v>
      </c>
      <c r="T1242" s="407" t="n">
        <f aca="false">Таблица18[[#This Row],[Вес нетто]]-Таблица18[[#This Row],[Зачетный вес]]</f>
        <v>2219.2</v>
      </c>
      <c r="U1242" s="409" t="n">
        <f aca="false">Таблица18[[#This Row],[Отход]]/Таблица18[[#This Row],[Вес нетто]]</f>
        <v>0.16</v>
      </c>
      <c r="V1242" s="234" t="n">
        <f aca="false">MONTH(Таблица18[[#This Row],[Дата акта]])</f>
        <v>6</v>
      </c>
      <c r="W1242" s="234" t="n">
        <v>22</v>
      </c>
      <c r="X1242" s="248" t="n">
        <f aca="false">DATE(1900,Таблица18[[#This Row],[Месяц]],Таблица18[[#This Row],[Число]])</f>
        <v>174</v>
      </c>
      <c r="Y1242" s="234"/>
      <c r="AF1242" s="411"/>
      <c r="AG1242" s="412"/>
    </row>
    <row r="1243" s="410" customFormat="true" ht="15" hidden="true" customHeight="true" outlineLevel="0" collapsed="false">
      <c r="A1243" s="198" t="s">
        <v>2865</v>
      </c>
      <c r="B1243" s="199" t="s">
        <v>417</v>
      </c>
      <c r="C1243" s="198" t="n">
        <v>617</v>
      </c>
      <c r="D1243" s="198" t="n">
        <v>13</v>
      </c>
      <c r="E1243" s="198" t="s">
        <v>994</v>
      </c>
      <c r="F1243" s="198" t="s">
        <v>371</v>
      </c>
      <c r="G1243" s="198" t="s">
        <v>372</v>
      </c>
      <c r="H1243" s="198" t="s">
        <v>996</v>
      </c>
      <c r="I1243" s="199" t="s">
        <v>996</v>
      </c>
      <c r="J1243" s="198" t="s">
        <v>997</v>
      </c>
      <c r="K1243" s="198" t="s">
        <v>1435</v>
      </c>
      <c r="L1243" s="234" t="n">
        <v>29210</v>
      </c>
      <c r="M1243" s="234" t="n">
        <v>15070</v>
      </c>
      <c r="N1243" s="234" t="n">
        <v>16.5</v>
      </c>
      <c r="O1243" s="407" t="n">
        <v>14140</v>
      </c>
      <c r="P1243" s="407" t="n">
        <v>11806.9</v>
      </c>
      <c r="Q1243" s="234" t="n">
        <v>2025</v>
      </c>
      <c r="R1243" s="234"/>
      <c r="S1243" s="248" t="n">
        <v>45830</v>
      </c>
      <c r="T1243" s="407" t="n">
        <f aca="false">Таблица18[[#This Row],[Вес нетто]]-Таблица18[[#This Row],[Зачетный вес]]</f>
        <v>2333.1</v>
      </c>
      <c r="U1243" s="409" t="n">
        <f aca="false">Таблица18[[#This Row],[Отход]]/Таблица18[[#This Row],[Вес нетто]]</f>
        <v>0.165</v>
      </c>
      <c r="V1243" s="234" t="n">
        <f aca="false">MONTH(Таблица18[[#This Row],[Дата акта]])</f>
        <v>6</v>
      </c>
      <c r="W1243" s="234" t="n">
        <v>22</v>
      </c>
      <c r="X1243" s="248" t="n">
        <f aca="false">DATE(1900,Таблица18[[#This Row],[Месяц]],Таблица18[[#This Row],[Число]])</f>
        <v>174</v>
      </c>
      <c r="Y1243" s="234"/>
      <c r="AF1243" s="411"/>
      <c r="AG1243" s="412"/>
    </row>
    <row r="1244" s="410" customFormat="true" ht="15" hidden="true" customHeight="true" outlineLevel="0" collapsed="false">
      <c r="A1244" s="198" t="s">
        <v>2866</v>
      </c>
      <c r="B1244" s="199" t="s">
        <v>417</v>
      </c>
      <c r="C1244" s="198" t="n">
        <v>618</v>
      </c>
      <c r="D1244" s="198" t="n">
        <v>14</v>
      </c>
      <c r="E1244" s="198" t="s">
        <v>994</v>
      </c>
      <c r="F1244" s="198" t="s">
        <v>553</v>
      </c>
      <c r="G1244" s="198" t="s">
        <v>557</v>
      </c>
      <c r="H1244" s="198" t="s">
        <v>996</v>
      </c>
      <c r="I1244" s="199" t="s">
        <v>996</v>
      </c>
      <c r="J1244" s="198" t="s">
        <v>997</v>
      </c>
      <c r="K1244" s="198" t="s">
        <v>1435</v>
      </c>
      <c r="L1244" s="234" t="n">
        <v>29280</v>
      </c>
      <c r="M1244" s="234" t="n">
        <v>14830</v>
      </c>
      <c r="N1244" s="234" t="n">
        <v>14.5</v>
      </c>
      <c r="O1244" s="407" t="n">
        <v>14450</v>
      </c>
      <c r="P1244" s="407" t="n">
        <v>12354.7</v>
      </c>
      <c r="Q1244" s="234" t="n">
        <v>2025</v>
      </c>
      <c r="R1244" s="234"/>
      <c r="S1244" s="248" t="n">
        <v>45830</v>
      </c>
      <c r="T1244" s="407" t="n">
        <f aca="false">Таблица18[[#This Row],[Вес нетто]]-Таблица18[[#This Row],[Зачетный вес]]</f>
        <v>2095.3</v>
      </c>
      <c r="U1244" s="409" t="n">
        <f aca="false">Таблица18[[#This Row],[Отход]]/Таблица18[[#This Row],[Вес нетто]]</f>
        <v>0.145003460207612</v>
      </c>
      <c r="V1244" s="234" t="n">
        <f aca="false">MONTH(Таблица18[[#This Row],[Дата акта]])</f>
        <v>6</v>
      </c>
      <c r="W1244" s="234" t="n">
        <v>22</v>
      </c>
      <c r="X1244" s="248" t="n">
        <f aca="false">DATE(1900,Таблица18[[#This Row],[Месяц]],Таблица18[[#This Row],[Число]])</f>
        <v>174</v>
      </c>
      <c r="Y1244" s="234"/>
      <c r="AF1244" s="411"/>
      <c r="AG1244" s="412"/>
    </row>
    <row r="1245" s="410" customFormat="true" ht="15" hidden="true" customHeight="true" outlineLevel="0" collapsed="false">
      <c r="A1245" s="198" t="s">
        <v>2867</v>
      </c>
      <c r="B1245" s="199" t="s">
        <v>417</v>
      </c>
      <c r="C1245" s="198" t="n">
        <v>619</v>
      </c>
      <c r="D1245" s="198" t="n">
        <v>15</v>
      </c>
      <c r="E1245" s="198" t="s">
        <v>994</v>
      </c>
      <c r="F1245" s="198" t="s">
        <v>451</v>
      </c>
      <c r="G1245" s="198" t="s">
        <v>455</v>
      </c>
      <c r="H1245" s="198" t="s">
        <v>996</v>
      </c>
      <c r="I1245" s="199" t="s">
        <v>996</v>
      </c>
      <c r="J1245" s="198" t="s">
        <v>997</v>
      </c>
      <c r="K1245" s="198" t="s">
        <v>1435</v>
      </c>
      <c r="L1245" s="234" t="n">
        <v>29070</v>
      </c>
      <c r="M1245" s="234" t="n">
        <v>15010</v>
      </c>
      <c r="N1245" s="234" t="n">
        <v>12.5</v>
      </c>
      <c r="O1245" s="407" t="n">
        <v>14060</v>
      </c>
      <c r="P1245" s="407" t="n">
        <v>12302.5</v>
      </c>
      <c r="Q1245" s="234" t="n">
        <v>2025</v>
      </c>
      <c r="R1245" s="234"/>
      <c r="S1245" s="248" t="n">
        <v>45830</v>
      </c>
      <c r="T1245" s="407" t="n">
        <f aca="false">Таблица18[[#This Row],[Вес нетто]]-Таблица18[[#This Row],[Зачетный вес]]</f>
        <v>1757.5</v>
      </c>
      <c r="U1245" s="409" t="n">
        <f aca="false">Таблица18[[#This Row],[Отход]]/Таблица18[[#This Row],[Вес нетто]]</f>
        <v>0.125</v>
      </c>
      <c r="V1245" s="234" t="n">
        <f aca="false">MONTH(Таблица18[[#This Row],[Дата акта]])</f>
        <v>6</v>
      </c>
      <c r="W1245" s="234" t="n">
        <v>22</v>
      </c>
      <c r="X1245" s="248" t="n">
        <f aca="false">DATE(1900,Таблица18[[#This Row],[Месяц]],Таблица18[[#This Row],[Число]])</f>
        <v>174</v>
      </c>
      <c r="Y1245" s="234"/>
      <c r="AF1245" s="411"/>
      <c r="AG1245" s="412"/>
    </row>
    <row r="1246" s="410" customFormat="true" ht="15" hidden="true" customHeight="true" outlineLevel="0" collapsed="false">
      <c r="A1246" s="198" t="s">
        <v>2868</v>
      </c>
      <c r="B1246" s="199" t="s">
        <v>417</v>
      </c>
      <c r="C1246" s="198" t="n">
        <v>620</v>
      </c>
      <c r="D1246" s="198" t="n">
        <v>16</v>
      </c>
      <c r="E1246" s="198" t="s">
        <v>994</v>
      </c>
      <c r="F1246" s="198" t="s">
        <v>361</v>
      </c>
      <c r="G1246" s="198" t="s">
        <v>362</v>
      </c>
      <c r="H1246" s="198" t="s">
        <v>996</v>
      </c>
      <c r="I1246" s="199" t="s">
        <v>996</v>
      </c>
      <c r="J1246" s="198" t="s">
        <v>997</v>
      </c>
      <c r="K1246" s="198" t="s">
        <v>1435</v>
      </c>
      <c r="L1246" s="234" t="n">
        <v>27990</v>
      </c>
      <c r="M1246" s="234" t="n">
        <v>14700</v>
      </c>
      <c r="N1246" s="234" t="n">
        <v>15</v>
      </c>
      <c r="O1246" s="407" t="n">
        <v>13290</v>
      </c>
      <c r="P1246" s="407" t="n">
        <v>11296.5</v>
      </c>
      <c r="Q1246" s="234" t="n">
        <v>2025</v>
      </c>
      <c r="R1246" s="234"/>
      <c r="S1246" s="248" t="n">
        <v>45831</v>
      </c>
      <c r="T1246" s="407" t="n">
        <f aca="false">Таблица18[[#This Row],[Вес нетто]]-Таблица18[[#This Row],[Зачетный вес]]</f>
        <v>1993.5</v>
      </c>
      <c r="U1246" s="409" t="n">
        <f aca="false">Таблица18[[#This Row],[Отход]]/Таблица18[[#This Row],[Вес нетто]]</f>
        <v>0.15</v>
      </c>
      <c r="V1246" s="234" t="n">
        <f aca="false">MONTH(Таблица18[[#This Row],[Дата акта]])</f>
        <v>6</v>
      </c>
      <c r="W1246" s="234" t="n">
        <v>23</v>
      </c>
      <c r="X1246" s="248" t="n">
        <f aca="false">DATE(1900,Таблица18[[#This Row],[Месяц]],Таблица18[[#This Row],[Число]])</f>
        <v>175</v>
      </c>
      <c r="Y1246" s="234"/>
      <c r="AF1246" s="411"/>
      <c r="AG1246" s="412"/>
    </row>
    <row r="1247" s="410" customFormat="true" ht="15" hidden="true" customHeight="true" outlineLevel="0" collapsed="false">
      <c r="A1247" s="198" t="s">
        <v>2869</v>
      </c>
      <c r="B1247" s="199" t="s">
        <v>417</v>
      </c>
      <c r="C1247" s="198" t="n">
        <v>621</v>
      </c>
      <c r="D1247" s="198" t="n">
        <v>17</v>
      </c>
      <c r="E1247" s="198" t="s">
        <v>994</v>
      </c>
      <c r="F1247" s="198" t="s">
        <v>547</v>
      </c>
      <c r="G1247" s="198" t="s">
        <v>551</v>
      </c>
      <c r="H1247" s="198" t="s">
        <v>996</v>
      </c>
      <c r="I1247" s="199" t="s">
        <v>996</v>
      </c>
      <c r="J1247" s="198" t="s">
        <v>997</v>
      </c>
      <c r="K1247" s="198" t="s">
        <v>1435</v>
      </c>
      <c r="L1247" s="234" t="n">
        <v>28110</v>
      </c>
      <c r="M1247" s="234" t="n">
        <v>14730</v>
      </c>
      <c r="N1247" s="234" t="n">
        <v>20</v>
      </c>
      <c r="O1247" s="407" t="n">
        <v>13380</v>
      </c>
      <c r="P1247" s="407" t="n">
        <v>10704</v>
      </c>
      <c r="Q1247" s="234" t="n">
        <v>2025</v>
      </c>
      <c r="R1247" s="234"/>
      <c r="S1247" s="248" t="n">
        <v>45831</v>
      </c>
      <c r="T1247" s="407" t="n">
        <f aca="false">Таблица18[[#This Row],[Вес нетто]]-Таблица18[[#This Row],[Зачетный вес]]</f>
        <v>2676</v>
      </c>
      <c r="U1247" s="409" t="n">
        <f aca="false">Таблица18[[#This Row],[Отход]]/Таблица18[[#This Row],[Вес нетто]]</f>
        <v>0.2</v>
      </c>
      <c r="V1247" s="234" t="n">
        <f aca="false">MONTH(Таблица18[[#This Row],[Дата акта]])</f>
        <v>6</v>
      </c>
      <c r="W1247" s="234" t="n">
        <v>23</v>
      </c>
      <c r="X1247" s="248" t="n">
        <f aca="false">DATE(1900,Таблица18[[#This Row],[Месяц]],Таблица18[[#This Row],[Число]])</f>
        <v>175</v>
      </c>
      <c r="Y1247" s="234"/>
      <c r="AF1247" s="411"/>
      <c r="AG1247" s="412"/>
    </row>
    <row r="1248" s="410" customFormat="true" ht="15" hidden="true" customHeight="true" outlineLevel="0" collapsed="false">
      <c r="A1248" s="198" t="s">
        <v>2870</v>
      </c>
      <c r="B1248" s="199" t="s">
        <v>417</v>
      </c>
      <c r="C1248" s="198" t="n">
        <v>622</v>
      </c>
      <c r="D1248" s="198" t="n">
        <v>18</v>
      </c>
      <c r="E1248" s="198" t="s">
        <v>994</v>
      </c>
      <c r="F1248" s="198" t="s">
        <v>365</v>
      </c>
      <c r="G1248" s="198" t="s">
        <v>373</v>
      </c>
      <c r="H1248" s="198" t="s">
        <v>996</v>
      </c>
      <c r="I1248" s="199" t="s">
        <v>996</v>
      </c>
      <c r="J1248" s="198" t="s">
        <v>997</v>
      </c>
      <c r="K1248" s="198" t="s">
        <v>1435</v>
      </c>
      <c r="L1248" s="234" t="n">
        <v>31970</v>
      </c>
      <c r="M1248" s="234" t="n">
        <v>18740</v>
      </c>
      <c r="N1248" s="234" t="n">
        <v>17</v>
      </c>
      <c r="O1248" s="407" t="n">
        <v>13230</v>
      </c>
      <c r="P1248" s="407" t="n">
        <v>10980.9</v>
      </c>
      <c r="Q1248" s="234" t="n">
        <v>2025</v>
      </c>
      <c r="R1248" s="234"/>
      <c r="S1248" s="248" t="n">
        <v>45831</v>
      </c>
      <c r="T1248" s="407" t="n">
        <f aca="false">Таблица18[[#This Row],[Вес нетто]]-Таблица18[[#This Row],[Зачетный вес]]</f>
        <v>2249.1</v>
      </c>
      <c r="U1248" s="409" t="n">
        <f aca="false">Таблица18[[#This Row],[Отход]]/Таблица18[[#This Row],[Вес нетто]]</f>
        <v>0.17</v>
      </c>
      <c r="V1248" s="234" t="n">
        <f aca="false">MONTH(Таблица18[[#This Row],[Дата акта]])</f>
        <v>6</v>
      </c>
      <c r="W1248" s="234" t="n">
        <v>23</v>
      </c>
      <c r="X1248" s="248" t="n">
        <f aca="false">DATE(1900,Таблица18[[#This Row],[Месяц]],Таблица18[[#This Row],[Число]])</f>
        <v>175</v>
      </c>
      <c r="Y1248" s="234"/>
      <c r="AF1248" s="411"/>
      <c r="AG1248" s="412"/>
    </row>
    <row r="1249" s="410" customFormat="true" ht="15" hidden="true" customHeight="true" outlineLevel="0" collapsed="false">
      <c r="A1249" s="198" t="s">
        <v>2871</v>
      </c>
      <c r="B1249" s="199" t="s">
        <v>417</v>
      </c>
      <c r="C1249" s="198" t="n">
        <v>623</v>
      </c>
      <c r="D1249" s="198" t="n">
        <v>19</v>
      </c>
      <c r="E1249" s="198" t="s">
        <v>994</v>
      </c>
      <c r="F1249" s="198" t="s">
        <v>457</v>
      </c>
      <c r="G1249" s="198" t="s">
        <v>366</v>
      </c>
      <c r="H1249" s="198" t="s">
        <v>996</v>
      </c>
      <c r="I1249" s="199" t="s">
        <v>996</v>
      </c>
      <c r="J1249" s="198" t="s">
        <v>997</v>
      </c>
      <c r="K1249" s="198" t="s">
        <v>1435</v>
      </c>
      <c r="L1249" s="234" t="n">
        <v>28090</v>
      </c>
      <c r="M1249" s="234" t="n">
        <v>14860</v>
      </c>
      <c r="N1249" s="234" t="n">
        <v>14</v>
      </c>
      <c r="O1249" s="407" t="n">
        <v>13230</v>
      </c>
      <c r="P1249" s="407" t="n">
        <v>11377.8</v>
      </c>
      <c r="Q1249" s="234" t="n">
        <v>2025</v>
      </c>
      <c r="R1249" s="234"/>
      <c r="S1249" s="248" t="n">
        <v>45831</v>
      </c>
      <c r="T1249" s="407" t="n">
        <f aca="false">Таблица18[[#This Row],[Вес нетто]]-Таблица18[[#This Row],[Зачетный вес]]</f>
        <v>1852.2</v>
      </c>
      <c r="U1249" s="409" t="n">
        <f aca="false">Таблица18[[#This Row],[Отход]]/Таблица18[[#This Row],[Вес нетто]]</f>
        <v>0.14</v>
      </c>
      <c r="V1249" s="234" t="n">
        <f aca="false">MONTH(Таблица18[[#This Row],[Дата акта]])</f>
        <v>6</v>
      </c>
      <c r="W1249" s="234" t="n">
        <v>23</v>
      </c>
      <c r="X1249" s="248" t="n">
        <f aca="false">DATE(1900,Таблица18[[#This Row],[Месяц]],Таблица18[[#This Row],[Число]])</f>
        <v>175</v>
      </c>
      <c r="Y1249" s="234"/>
      <c r="AF1249" s="411"/>
      <c r="AG1249" s="412"/>
    </row>
    <row r="1250" s="410" customFormat="true" ht="15" hidden="true" customHeight="true" outlineLevel="0" collapsed="false">
      <c r="A1250" s="198" t="s">
        <v>2872</v>
      </c>
      <c r="B1250" s="199" t="s">
        <v>417</v>
      </c>
      <c r="C1250" s="198" t="n">
        <v>624</v>
      </c>
      <c r="D1250" s="198" t="n">
        <v>20</v>
      </c>
      <c r="E1250" s="198" t="s">
        <v>994</v>
      </c>
      <c r="F1250" s="198" t="s">
        <v>395</v>
      </c>
      <c r="G1250" s="198" t="s">
        <v>566</v>
      </c>
      <c r="H1250" s="198" t="s">
        <v>996</v>
      </c>
      <c r="I1250" s="199" t="s">
        <v>996</v>
      </c>
      <c r="J1250" s="198" t="s">
        <v>997</v>
      </c>
      <c r="K1250" s="198" t="s">
        <v>1435</v>
      </c>
      <c r="L1250" s="234" t="n">
        <v>27740</v>
      </c>
      <c r="M1250" s="234" t="n">
        <v>14420</v>
      </c>
      <c r="N1250" s="234" t="n">
        <v>11.5</v>
      </c>
      <c r="O1250" s="407" t="n">
        <v>13320</v>
      </c>
      <c r="P1250" s="407" t="n">
        <v>11788.2</v>
      </c>
      <c r="Q1250" s="234" t="n">
        <v>2025</v>
      </c>
      <c r="R1250" s="234"/>
      <c r="S1250" s="248" t="n">
        <v>45831</v>
      </c>
      <c r="T1250" s="407" t="n">
        <f aca="false">Таблица18[[#This Row],[Вес нетто]]-Таблица18[[#This Row],[Зачетный вес]]</f>
        <v>1531.8</v>
      </c>
      <c r="U1250" s="409" t="n">
        <f aca="false">Таблица18[[#This Row],[Отход]]/Таблица18[[#This Row],[Вес нетто]]</f>
        <v>0.115</v>
      </c>
      <c r="V1250" s="234" t="n">
        <f aca="false">MONTH(Таблица18[[#This Row],[Дата акта]])</f>
        <v>6</v>
      </c>
      <c r="W1250" s="234" t="n">
        <v>23</v>
      </c>
      <c r="X1250" s="248" t="n">
        <f aca="false">DATE(1900,Таблица18[[#This Row],[Месяц]],Таблица18[[#This Row],[Число]])</f>
        <v>175</v>
      </c>
      <c r="Y1250" s="234"/>
      <c r="AF1250" s="411"/>
      <c r="AG1250" s="412"/>
    </row>
    <row r="1251" s="410" customFormat="true" ht="15" hidden="true" customHeight="true" outlineLevel="0" collapsed="false">
      <c r="A1251" s="198" t="s">
        <v>2873</v>
      </c>
      <c r="B1251" s="199" t="s">
        <v>417</v>
      </c>
      <c r="C1251" s="198" t="n">
        <v>625</v>
      </c>
      <c r="D1251" s="198" t="n">
        <v>21</v>
      </c>
      <c r="E1251" s="198" t="s">
        <v>994</v>
      </c>
      <c r="F1251" s="198" t="s">
        <v>48</v>
      </c>
      <c r="G1251" s="198" t="s">
        <v>49</v>
      </c>
      <c r="H1251" s="198" t="s">
        <v>996</v>
      </c>
      <c r="I1251" s="199" t="s">
        <v>996</v>
      </c>
      <c r="J1251" s="198" t="s">
        <v>997</v>
      </c>
      <c r="K1251" s="198" t="s">
        <v>1435</v>
      </c>
      <c r="L1251" s="234" t="n">
        <v>28190</v>
      </c>
      <c r="M1251" s="234" t="n">
        <v>15100</v>
      </c>
      <c r="N1251" s="234" t="n">
        <v>14.5</v>
      </c>
      <c r="O1251" s="407" t="n">
        <v>13090</v>
      </c>
      <c r="P1251" s="407" t="n">
        <v>11191.9</v>
      </c>
      <c r="Q1251" s="234" t="n">
        <v>2025</v>
      </c>
      <c r="R1251" s="234"/>
      <c r="S1251" s="248" t="n">
        <v>45831</v>
      </c>
      <c r="T1251" s="407" t="n">
        <f aca="false">Таблица18[[#This Row],[Вес нетто]]-Таблица18[[#This Row],[Зачетный вес]]</f>
        <v>1898.1</v>
      </c>
      <c r="U1251" s="409" t="n">
        <f aca="false">Таблица18[[#This Row],[Отход]]/Таблица18[[#This Row],[Вес нетто]]</f>
        <v>0.145003819709702</v>
      </c>
      <c r="V1251" s="234" t="n">
        <f aca="false">MONTH(Таблица18[[#This Row],[Дата акта]])</f>
        <v>6</v>
      </c>
      <c r="W1251" s="234" t="n">
        <v>23</v>
      </c>
      <c r="X1251" s="248" t="n">
        <f aca="false">DATE(1900,Таблица18[[#This Row],[Месяц]],Таблица18[[#This Row],[Число]])</f>
        <v>175</v>
      </c>
      <c r="Y1251" s="234"/>
      <c r="AF1251" s="411"/>
      <c r="AG1251" s="412"/>
    </row>
    <row r="1252" s="410" customFormat="true" ht="15" hidden="true" customHeight="true" outlineLevel="0" collapsed="false">
      <c r="A1252" s="198" t="s">
        <v>2874</v>
      </c>
      <c r="B1252" s="199" t="s">
        <v>417</v>
      </c>
      <c r="C1252" s="198" t="n">
        <v>626</v>
      </c>
      <c r="D1252" s="198" t="n">
        <v>22</v>
      </c>
      <c r="E1252" s="198" t="s">
        <v>994</v>
      </c>
      <c r="F1252" s="198" t="s">
        <v>466</v>
      </c>
      <c r="G1252" s="198" t="s">
        <v>470</v>
      </c>
      <c r="H1252" s="198" t="s">
        <v>996</v>
      </c>
      <c r="I1252" s="199" t="s">
        <v>996</v>
      </c>
      <c r="J1252" s="198" t="s">
        <v>997</v>
      </c>
      <c r="K1252" s="198" t="s">
        <v>1435</v>
      </c>
      <c r="L1252" s="234" t="n">
        <v>28370</v>
      </c>
      <c r="M1252" s="234" t="n">
        <v>15120</v>
      </c>
      <c r="N1252" s="234" t="n">
        <v>18.5</v>
      </c>
      <c r="O1252" s="407" t="n">
        <v>13250</v>
      </c>
      <c r="P1252" s="407" t="n">
        <v>10798.7</v>
      </c>
      <c r="Q1252" s="234" t="n">
        <v>2025</v>
      </c>
      <c r="R1252" s="234"/>
      <c r="S1252" s="248" t="n">
        <v>45831</v>
      </c>
      <c r="T1252" s="407" t="n">
        <f aca="false">Таблица18[[#This Row],[Вес нетто]]-Таблица18[[#This Row],[Зачетный вес]]</f>
        <v>2451.3</v>
      </c>
      <c r="U1252" s="409" t="n">
        <f aca="false">Таблица18[[#This Row],[Отход]]/Таблица18[[#This Row],[Вес нетто]]</f>
        <v>0.185003773584906</v>
      </c>
      <c r="V1252" s="234" t="n">
        <f aca="false">MONTH(Таблица18[[#This Row],[Дата акта]])</f>
        <v>6</v>
      </c>
      <c r="W1252" s="234" t="n">
        <v>23</v>
      </c>
      <c r="X1252" s="248" t="n">
        <f aca="false">DATE(1900,Таблица18[[#This Row],[Месяц]],Таблица18[[#This Row],[Число]])</f>
        <v>175</v>
      </c>
      <c r="Y1252" s="234"/>
      <c r="AF1252" s="411"/>
      <c r="AG1252" s="412"/>
    </row>
    <row r="1253" s="410" customFormat="true" ht="15" hidden="true" customHeight="true" outlineLevel="0" collapsed="false">
      <c r="A1253" s="198" t="s">
        <v>2875</v>
      </c>
      <c r="B1253" s="199" t="s">
        <v>417</v>
      </c>
      <c r="C1253" s="198" t="n">
        <v>627</v>
      </c>
      <c r="D1253" s="198" t="n">
        <v>23</v>
      </c>
      <c r="E1253" s="198" t="s">
        <v>994</v>
      </c>
      <c r="F1253" s="198" t="s">
        <v>384</v>
      </c>
      <c r="G1253" s="198" t="s">
        <v>385</v>
      </c>
      <c r="H1253" s="198" t="s">
        <v>996</v>
      </c>
      <c r="I1253" s="199" t="s">
        <v>996</v>
      </c>
      <c r="J1253" s="198" t="s">
        <v>997</v>
      </c>
      <c r="K1253" s="198" t="s">
        <v>1435</v>
      </c>
      <c r="L1253" s="234" t="n">
        <v>27640</v>
      </c>
      <c r="M1253" s="234" t="n">
        <v>14440</v>
      </c>
      <c r="N1253" s="234" t="n">
        <v>23.5</v>
      </c>
      <c r="O1253" s="407" t="n">
        <v>13200</v>
      </c>
      <c r="P1253" s="407" t="n">
        <v>10098</v>
      </c>
      <c r="Q1253" s="234" t="n">
        <v>2025</v>
      </c>
      <c r="R1253" s="234"/>
      <c r="S1253" s="248" t="n">
        <v>45831</v>
      </c>
      <c r="T1253" s="407" t="n">
        <f aca="false">Таблица18[[#This Row],[Вес нетто]]-Таблица18[[#This Row],[Зачетный вес]]</f>
        <v>3102</v>
      </c>
      <c r="U1253" s="409" t="n">
        <f aca="false">Таблица18[[#This Row],[Отход]]/Таблица18[[#This Row],[Вес нетто]]</f>
        <v>0.235</v>
      </c>
      <c r="V1253" s="234" t="n">
        <f aca="false">MONTH(Таблица18[[#This Row],[Дата акта]])</f>
        <v>6</v>
      </c>
      <c r="W1253" s="234" t="n">
        <v>23</v>
      </c>
      <c r="X1253" s="248" t="n">
        <f aca="false">DATE(1900,Таблица18[[#This Row],[Месяц]],Таблица18[[#This Row],[Число]])</f>
        <v>175</v>
      </c>
      <c r="Y1253" s="234"/>
      <c r="AF1253" s="411"/>
      <c r="AG1253" s="412"/>
    </row>
    <row r="1254" s="410" customFormat="true" ht="15" hidden="true" customHeight="true" outlineLevel="0" collapsed="false">
      <c r="A1254" s="198" t="s">
        <v>2876</v>
      </c>
      <c r="B1254" s="199" t="s">
        <v>417</v>
      </c>
      <c r="C1254" s="198" t="n">
        <v>629</v>
      </c>
      <c r="D1254" s="198" t="n">
        <v>24</v>
      </c>
      <c r="E1254" s="198" t="s">
        <v>994</v>
      </c>
      <c r="F1254" s="198" t="s">
        <v>382</v>
      </c>
      <c r="G1254" s="198" t="s">
        <v>383</v>
      </c>
      <c r="H1254" s="198" t="s">
        <v>996</v>
      </c>
      <c r="I1254" s="199" t="s">
        <v>996</v>
      </c>
      <c r="J1254" s="198" t="s">
        <v>997</v>
      </c>
      <c r="K1254" s="198" t="s">
        <v>1435</v>
      </c>
      <c r="L1254" s="234" t="n">
        <v>28240</v>
      </c>
      <c r="M1254" s="234" t="n">
        <v>14940</v>
      </c>
      <c r="N1254" s="234" t="n">
        <v>16.5</v>
      </c>
      <c r="O1254" s="407" t="n">
        <v>13300</v>
      </c>
      <c r="P1254" s="407" t="n">
        <v>11105.5</v>
      </c>
      <c r="Q1254" s="234" t="n">
        <v>2025</v>
      </c>
      <c r="R1254" s="234"/>
      <c r="S1254" s="248" t="n">
        <v>45831</v>
      </c>
      <c r="T1254" s="407" t="n">
        <f aca="false">Таблица18[[#This Row],[Вес нетто]]-Таблица18[[#This Row],[Зачетный вес]]</f>
        <v>2194.5</v>
      </c>
      <c r="U1254" s="409" t="n">
        <f aca="false">Таблица18[[#This Row],[Отход]]/Таблица18[[#This Row],[Вес нетто]]</f>
        <v>0.165</v>
      </c>
      <c r="V1254" s="234" t="n">
        <f aca="false">MONTH(Таблица18[[#This Row],[Дата акта]])</f>
        <v>6</v>
      </c>
      <c r="W1254" s="234" t="n">
        <v>23</v>
      </c>
      <c r="X1254" s="248" t="n">
        <f aca="false">DATE(1900,Таблица18[[#This Row],[Месяц]],Таблица18[[#This Row],[Число]])</f>
        <v>175</v>
      </c>
      <c r="Y1254" s="234"/>
      <c r="AF1254" s="411"/>
      <c r="AG1254" s="412"/>
    </row>
    <row r="1255" s="410" customFormat="true" ht="15" hidden="true" customHeight="true" outlineLevel="0" collapsed="false">
      <c r="A1255" s="198" t="s">
        <v>2877</v>
      </c>
      <c r="B1255" s="199" t="s">
        <v>417</v>
      </c>
      <c r="C1255" s="198" t="n">
        <v>633</v>
      </c>
      <c r="D1255" s="198" t="n">
        <v>25</v>
      </c>
      <c r="E1255" s="198" t="s">
        <v>994</v>
      </c>
      <c r="F1255" s="198" t="s">
        <v>445</v>
      </c>
      <c r="G1255" s="198" t="s">
        <v>449</v>
      </c>
      <c r="H1255" s="198" t="s">
        <v>996</v>
      </c>
      <c r="I1255" s="199" t="s">
        <v>996</v>
      </c>
      <c r="J1255" s="198" t="s">
        <v>997</v>
      </c>
      <c r="K1255" s="198" t="s">
        <v>1435</v>
      </c>
      <c r="L1255" s="234" t="n">
        <v>29240</v>
      </c>
      <c r="M1255" s="234" t="n">
        <v>15610</v>
      </c>
      <c r="N1255" s="234" t="n">
        <v>16.5</v>
      </c>
      <c r="O1255" s="407" t="n">
        <v>13630</v>
      </c>
      <c r="P1255" s="407" t="n">
        <v>11381</v>
      </c>
      <c r="Q1255" s="234" t="n">
        <v>2025</v>
      </c>
      <c r="R1255" s="234"/>
      <c r="S1255" s="248" t="n">
        <v>45831</v>
      </c>
      <c r="T1255" s="407" t="n">
        <f aca="false">Таблица18[[#This Row],[Вес нетто]]-Таблица18[[#This Row],[Зачетный вес]]</f>
        <v>2249</v>
      </c>
      <c r="U1255" s="409" t="n">
        <f aca="false">Таблица18[[#This Row],[Отход]]/Таблица18[[#This Row],[Вес нетто]]</f>
        <v>0.165003668378577</v>
      </c>
      <c r="V1255" s="234" t="n">
        <f aca="false">MONTH(Таблица18[[#This Row],[Дата акта]])</f>
        <v>6</v>
      </c>
      <c r="W1255" s="234" t="n">
        <v>23</v>
      </c>
      <c r="X1255" s="248" t="n">
        <f aca="false">DATE(1900,Таблица18[[#This Row],[Месяц]],Таблица18[[#This Row],[Число]])</f>
        <v>175</v>
      </c>
      <c r="Y1255" s="234"/>
      <c r="AF1255" s="411"/>
      <c r="AG1255" s="412"/>
    </row>
    <row r="1256" s="410" customFormat="true" ht="15" hidden="true" customHeight="true" outlineLevel="0" collapsed="false">
      <c r="A1256" s="198" t="s">
        <v>2878</v>
      </c>
      <c r="B1256" s="199" t="s">
        <v>886</v>
      </c>
      <c r="C1256" s="198" t="n">
        <v>496</v>
      </c>
      <c r="D1256" s="198" t="s">
        <v>1026</v>
      </c>
      <c r="E1256" s="198" t="s">
        <v>908</v>
      </c>
      <c r="F1256" s="198" t="s">
        <v>57</v>
      </c>
      <c r="G1256" s="198" t="s">
        <v>1025</v>
      </c>
      <c r="H1256" s="198" t="n">
        <v>14</v>
      </c>
      <c r="I1256" s="199" t="n">
        <v>14</v>
      </c>
      <c r="J1256" s="198" t="s">
        <v>904</v>
      </c>
      <c r="K1256" s="198" t="s">
        <v>1435</v>
      </c>
      <c r="L1256" s="234" t="n">
        <v>32320</v>
      </c>
      <c r="M1256" s="234" t="n">
        <v>15660</v>
      </c>
      <c r="N1256" s="234" t="n">
        <v>17.5</v>
      </c>
      <c r="O1256" s="407" t="n">
        <v>16660</v>
      </c>
      <c r="P1256" s="407" t="n">
        <v>13744</v>
      </c>
      <c r="Q1256" s="234" t="n">
        <v>2025</v>
      </c>
      <c r="R1256" s="234"/>
      <c r="S1256" s="248" t="n">
        <v>45828</v>
      </c>
      <c r="T1256" s="407" t="n">
        <f aca="false">Таблица18[[#This Row],[Вес нетто]]-Таблица18[[#This Row],[Зачетный вес]]</f>
        <v>2916</v>
      </c>
      <c r="U1256" s="409" t="n">
        <f aca="false">Таблица18[[#This Row],[Отход]]/Таблица18[[#This Row],[Вес нетто]]</f>
        <v>0.175030012004802</v>
      </c>
      <c r="V1256" s="234" t="n">
        <f aca="false">MONTH(Таблица18[[#This Row],[Дата акта]])</f>
        <v>6</v>
      </c>
      <c r="W1256" s="234" t="n">
        <v>20</v>
      </c>
      <c r="X1256" s="248" t="n">
        <f aca="false">DATE(1900,Таблица18[[#This Row],[Месяц]],Таблица18[[#This Row],[Число]])</f>
        <v>172</v>
      </c>
      <c r="Y1256" s="234"/>
      <c r="AF1256" s="411"/>
      <c r="AG1256" s="412"/>
    </row>
    <row r="1257" s="410" customFormat="true" ht="15" hidden="true" customHeight="true" outlineLevel="0" collapsed="false">
      <c r="A1257" s="198" t="s">
        <v>2879</v>
      </c>
      <c r="B1257" s="199" t="s">
        <v>886</v>
      </c>
      <c r="C1257" s="198" t="n">
        <v>496</v>
      </c>
      <c r="D1257" s="198" t="s">
        <v>1028</v>
      </c>
      <c r="E1257" s="198" t="s">
        <v>908</v>
      </c>
      <c r="F1257" s="198" t="s">
        <v>511</v>
      </c>
      <c r="G1257" s="198" t="s">
        <v>515</v>
      </c>
      <c r="H1257" s="198" t="n">
        <v>14</v>
      </c>
      <c r="I1257" s="199" t="n">
        <v>14</v>
      </c>
      <c r="J1257" s="198" t="s">
        <v>904</v>
      </c>
      <c r="K1257" s="198" t="s">
        <v>1435</v>
      </c>
      <c r="L1257" s="234" t="n">
        <v>30280</v>
      </c>
      <c r="M1257" s="234" t="n">
        <v>15000</v>
      </c>
      <c r="N1257" s="234" t="n">
        <v>13.8</v>
      </c>
      <c r="O1257" s="407" t="n">
        <v>15280</v>
      </c>
      <c r="P1257" s="407" t="n">
        <v>13168</v>
      </c>
      <c r="Q1257" s="234" t="n">
        <v>2025</v>
      </c>
      <c r="R1257" s="234"/>
      <c r="S1257" s="248" t="n">
        <v>45828</v>
      </c>
      <c r="T1257" s="407" t="n">
        <f aca="false">Таблица18[[#This Row],[Вес нетто]]-Таблица18[[#This Row],[Зачетный вес]]</f>
        <v>2112</v>
      </c>
      <c r="U1257" s="409" t="n">
        <f aca="false">Таблица18[[#This Row],[Отход]]/Таблица18[[#This Row],[Вес нетто]]</f>
        <v>0.138219895287958</v>
      </c>
      <c r="V1257" s="234" t="n">
        <f aca="false">MONTH(Таблица18[[#This Row],[Дата акта]])</f>
        <v>6</v>
      </c>
      <c r="W1257" s="234" t="n">
        <v>20</v>
      </c>
      <c r="X1257" s="248" t="n">
        <f aca="false">DATE(1900,Таблица18[[#This Row],[Месяц]],Таблица18[[#This Row],[Число]])</f>
        <v>172</v>
      </c>
      <c r="Y1257" s="234"/>
      <c r="AF1257" s="411"/>
      <c r="AG1257" s="412"/>
    </row>
    <row r="1258" s="410" customFormat="true" ht="15" hidden="true" customHeight="true" outlineLevel="0" collapsed="false">
      <c r="A1258" s="198" t="s">
        <v>2880</v>
      </c>
      <c r="B1258" s="199" t="s">
        <v>886</v>
      </c>
      <c r="C1258" s="198" t="n">
        <v>496</v>
      </c>
      <c r="D1258" s="198" t="s">
        <v>1030</v>
      </c>
      <c r="E1258" s="198" t="s">
        <v>908</v>
      </c>
      <c r="F1258" s="198" t="s">
        <v>472</v>
      </c>
      <c r="G1258" s="198" t="s">
        <v>476</v>
      </c>
      <c r="H1258" s="198" t="n">
        <v>14</v>
      </c>
      <c r="I1258" s="199" t="n">
        <v>14</v>
      </c>
      <c r="J1258" s="198" t="s">
        <v>904</v>
      </c>
      <c r="K1258" s="198" t="s">
        <v>1435</v>
      </c>
      <c r="L1258" s="234" t="n">
        <v>31760</v>
      </c>
      <c r="M1258" s="234" t="n">
        <v>15600</v>
      </c>
      <c r="N1258" s="234" t="n">
        <v>19.9</v>
      </c>
      <c r="O1258" s="407" t="n">
        <v>16160</v>
      </c>
      <c r="P1258" s="407" t="n">
        <v>12949</v>
      </c>
      <c r="Q1258" s="234" t="n">
        <v>2025</v>
      </c>
      <c r="R1258" s="234"/>
      <c r="S1258" s="248" t="n">
        <v>45828</v>
      </c>
      <c r="T1258" s="407" t="n">
        <f aca="false">Таблица18[[#This Row],[Вес нетто]]-Таблица18[[#This Row],[Зачетный вес]]</f>
        <v>3211</v>
      </c>
      <c r="U1258" s="409" t="n">
        <f aca="false">Таблица18[[#This Row],[Отход]]/Таблица18[[#This Row],[Вес нетто]]</f>
        <v>0.198700495049505</v>
      </c>
      <c r="V1258" s="234" t="n">
        <f aca="false">MONTH(Таблица18[[#This Row],[Дата акта]])</f>
        <v>6</v>
      </c>
      <c r="W1258" s="234" t="n">
        <v>20</v>
      </c>
      <c r="X1258" s="248" t="n">
        <f aca="false">DATE(1900,Таблица18[[#This Row],[Месяц]],Таблица18[[#This Row],[Число]])</f>
        <v>172</v>
      </c>
      <c r="Y1258" s="234"/>
      <c r="AF1258" s="411"/>
      <c r="AG1258" s="412"/>
    </row>
    <row r="1259" s="410" customFormat="true" ht="15" hidden="true" customHeight="true" outlineLevel="0" collapsed="false">
      <c r="A1259" s="198" t="s">
        <v>2881</v>
      </c>
      <c r="B1259" s="199" t="s">
        <v>417</v>
      </c>
      <c r="C1259" s="198" t="n">
        <v>637</v>
      </c>
      <c r="D1259" s="198" t="n">
        <v>26</v>
      </c>
      <c r="E1259" s="198" t="s">
        <v>994</v>
      </c>
      <c r="F1259" s="198" t="s">
        <v>359</v>
      </c>
      <c r="G1259" s="198" t="s">
        <v>426</v>
      </c>
      <c r="H1259" s="198" t="s">
        <v>996</v>
      </c>
      <c r="I1259" s="199" t="s">
        <v>996</v>
      </c>
      <c r="J1259" s="198" t="s">
        <v>997</v>
      </c>
      <c r="K1259" s="198" t="s">
        <v>1435</v>
      </c>
      <c r="L1259" s="234" t="n">
        <v>27950</v>
      </c>
      <c r="M1259" s="234" t="n">
        <v>14000</v>
      </c>
      <c r="N1259" s="234" t="n">
        <v>19.5</v>
      </c>
      <c r="O1259" s="407" t="n">
        <v>13950</v>
      </c>
      <c r="P1259" s="407" t="n">
        <v>11229.7</v>
      </c>
      <c r="Q1259" s="234" t="n">
        <v>2025</v>
      </c>
      <c r="R1259" s="234"/>
      <c r="S1259" s="248" t="n">
        <v>45831</v>
      </c>
      <c r="T1259" s="407" t="n">
        <f aca="false">Таблица18[[#This Row],[Вес нетто]]-Таблица18[[#This Row],[Зачетный вес]]</f>
        <v>2720.3</v>
      </c>
      <c r="U1259" s="409" t="n">
        <f aca="false">Таблица18[[#This Row],[Отход]]/Таблица18[[#This Row],[Вес нетто]]</f>
        <v>0.195003584229391</v>
      </c>
      <c r="V1259" s="234" t="n">
        <f aca="false">MONTH(Таблица18[[#This Row],[Дата акта]])</f>
        <v>6</v>
      </c>
      <c r="W1259" s="234" t="n">
        <v>23</v>
      </c>
      <c r="X1259" s="248" t="n">
        <f aca="false">DATE(1900,Таблица18[[#This Row],[Месяц]],Таблица18[[#This Row],[Число]])</f>
        <v>175</v>
      </c>
      <c r="Y1259" s="234"/>
      <c r="AF1259" s="411"/>
      <c r="AG1259" s="412"/>
    </row>
    <row r="1260" s="410" customFormat="true" ht="15" hidden="true" customHeight="true" outlineLevel="0" collapsed="false">
      <c r="A1260" s="198" t="s">
        <v>2882</v>
      </c>
      <c r="B1260" s="199" t="s">
        <v>417</v>
      </c>
      <c r="C1260" s="198" t="n">
        <v>638</v>
      </c>
      <c r="D1260" s="198" t="n">
        <v>28</v>
      </c>
      <c r="E1260" s="198" t="s">
        <v>994</v>
      </c>
      <c r="F1260" s="198" t="s">
        <v>427</v>
      </c>
      <c r="G1260" s="198" t="s">
        <v>431</v>
      </c>
      <c r="H1260" s="198" t="s">
        <v>995</v>
      </c>
      <c r="I1260" s="199" t="s">
        <v>995</v>
      </c>
      <c r="J1260" s="198" t="s">
        <v>997</v>
      </c>
      <c r="K1260" s="198" t="s">
        <v>1435</v>
      </c>
      <c r="L1260" s="234" t="n">
        <v>35190</v>
      </c>
      <c r="M1260" s="234" t="n">
        <v>21180</v>
      </c>
      <c r="N1260" s="234" t="n">
        <v>22.5</v>
      </c>
      <c r="O1260" s="407" t="n">
        <v>14010</v>
      </c>
      <c r="P1260" s="407" t="n">
        <v>10857.7</v>
      </c>
      <c r="Q1260" s="234" t="n">
        <v>2025</v>
      </c>
      <c r="R1260" s="234"/>
      <c r="S1260" s="248" t="n">
        <v>45831</v>
      </c>
      <c r="T1260" s="407" t="n">
        <f aca="false">Таблица18[[#This Row],[Вес нетто]]-Таблица18[[#This Row],[Зачетный вес]]</f>
        <v>3152.3</v>
      </c>
      <c r="U1260" s="409" t="n">
        <f aca="false">Таблица18[[#This Row],[Отход]]/Таблица18[[#This Row],[Вес нетто]]</f>
        <v>0.225003568879372</v>
      </c>
      <c r="V1260" s="234" t="n">
        <f aca="false">MONTH(Таблица18[[#This Row],[Дата акта]])</f>
        <v>6</v>
      </c>
      <c r="W1260" s="234" t="n">
        <v>23</v>
      </c>
      <c r="X1260" s="248" t="n">
        <f aca="false">DATE(1900,Таблица18[[#This Row],[Месяц]],Таблица18[[#This Row],[Число]])</f>
        <v>175</v>
      </c>
      <c r="Y1260" s="234"/>
      <c r="AF1260" s="411"/>
      <c r="AG1260" s="412"/>
    </row>
    <row r="1261" s="410" customFormat="true" ht="15" hidden="true" customHeight="true" outlineLevel="0" collapsed="false">
      <c r="A1261" s="198" t="s">
        <v>2883</v>
      </c>
      <c r="B1261" s="199" t="s">
        <v>417</v>
      </c>
      <c r="C1261" s="198" t="n">
        <v>639</v>
      </c>
      <c r="D1261" s="198" t="n">
        <v>27</v>
      </c>
      <c r="E1261" s="198" t="s">
        <v>994</v>
      </c>
      <c r="F1261" s="198" t="s">
        <v>433</v>
      </c>
      <c r="G1261" s="198" t="s">
        <v>437</v>
      </c>
      <c r="H1261" s="198" t="s">
        <v>995</v>
      </c>
      <c r="I1261" s="199" t="s">
        <v>995</v>
      </c>
      <c r="J1261" s="198" t="s">
        <v>997</v>
      </c>
      <c r="K1261" s="198" t="s">
        <v>1435</v>
      </c>
      <c r="L1261" s="234" t="n">
        <v>28910</v>
      </c>
      <c r="M1261" s="234" t="n">
        <v>14960</v>
      </c>
      <c r="N1261" s="234" t="n">
        <v>15</v>
      </c>
      <c r="O1261" s="407" t="n">
        <v>13950</v>
      </c>
      <c r="P1261" s="407" t="n">
        <v>11857.5</v>
      </c>
      <c r="Q1261" s="234" t="n">
        <v>2025</v>
      </c>
      <c r="R1261" s="234"/>
      <c r="S1261" s="248" t="n">
        <v>45831</v>
      </c>
      <c r="T1261" s="407" t="n">
        <f aca="false">Таблица18[[#This Row],[Вес нетто]]-Таблица18[[#This Row],[Зачетный вес]]</f>
        <v>2092.5</v>
      </c>
      <c r="U1261" s="409" t="n">
        <f aca="false">Таблица18[[#This Row],[Отход]]/Таблица18[[#This Row],[Вес нетто]]</f>
        <v>0.15</v>
      </c>
      <c r="V1261" s="234" t="n">
        <f aca="false">MONTH(Таблица18[[#This Row],[Дата акта]])</f>
        <v>6</v>
      </c>
      <c r="W1261" s="234" t="n">
        <v>23</v>
      </c>
      <c r="X1261" s="248" t="n">
        <f aca="false">DATE(1900,Таблица18[[#This Row],[Месяц]],Таблица18[[#This Row],[Число]])</f>
        <v>175</v>
      </c>
      <c r="Y1261" s="234"/>
      <c r="AF1261" s="411"/>
      <c r="AG1261" s="412"/>
    </row>
    <row r="1262" s="410" customFormat="true" ht="15" hidden="true" customHeight="true" outlineLevel="0" collapsed="false">
      <c r="A1262" s="198" t="s">
        <v>2884</v>
      </c>
      <c r="B1262" s="199" t="s">
        <v>417</v>
      </c>
      <c r="C1262" s="198" t="n">
        <v>640</v>
      </c>
      <c r="D1262" s="198" t="n">
        <v>29</v>
      </c>
      <c r="E1262" s="198" t="s">
        <v>994</v>
      </c>
      <c r="F1262" s="198" t="s">
        <v>439</v>
      </c>
      <c r="G1262" s="198" t="s">
        <v>443</v>
      </c>
      <c r="H1262" s="198" t="s">
        <v>995</v>
      </c>
      <c r="I1262" s="199" t="s">
        <v>995</v>
      </c>
      <c r="J1262" s="198" t="s">
        <v>997</v>
      </c>
      <c r="K1262" s="198" t="s">
        <v>1435</v>
      </c>
      <c r="L1262" s="234" t="n">
        <v>37910</v>
      </c>
      <c r="M1262" s="234" t="n">
        <v>24140</v>
      </c>
      <c r="N1262" s="234" t="n">
        <v>15.5</v>
      </c>
      <c r="O1262" s="407" t="n">
        <v>13770</v>
      </c>
      <c r="P1262" s="407" t="n">
        <v>11635.6</v>
      </c>
      <c r="Q1262" s="234" t="n">
        <v>2025</v>
      </c>
      <c r="R1262" s="234"/>
      <c r="S1262" s="248" t="n">
        <v>45831</v>
      </c>
      <c r="T1262" s="407" t="n">
        <f aca="false">Таблица18[[#This Row],[Вес нетто]]-Таблица18[[#This Row],[Зачетный вес]]</f>
        <v>2134.4</v>
      </c>
      <c r="U1262" s="409" t="n">
        <f aca="false">Таблица18[[#This Row],[Отход]]/Таблица18[[#This Row],[Вес нетто]]</f>
        <v>0.155003631082062</v>
      </c>
      <c r="V1262" s="234" t="n">
        <f aca="false">MONTH(Таблица18[[#This Row],[Дата акта]])</f>
        <v>6</v>
      </c>
      <c r="W1262" s="234" t="n">
        <v>23</v>
      </c>
      <c r="X1262" s="248" t="n">
        <f aca="false">DATE(1900,Таблица18[[#This Row],[Месяц]],Таблица18[[#This Row],[Число]])</f>
        <v>175</v>
      </c>
      <c r="Y1262" s="234"/>
      <c r="AF1262" s="411"/>
      <c r="AG1262" s="412"/>
    </row>
    <row r="1263" s="410" customFormat="true" ht="15" hidden="true" customHeight="true" outlineLevel="0" collapsed="false">
      <c r="A1263" s="198" t="s">
        <v>2885</v>
      </c>
      <c r="B1263" s="199" t="s">
        <v>417</v>
      </c>
      <c r="C1263" s="198" t="n">
        <v>641</v>
      </c>
      <c r="D1263" s="198" t="n">
        <v>30</v>
      </c>
      <c r="E1263" s="198" t="s">
        <v>994</v>
      </c>
      <c r="F1263" s="198" t="s">
        <v>371</v>
      </c>
      <c r="G1263" s="198" t="s">
        <v>372</v>
      </c>
      <c r="H1263" s="198" t="s">
        <v>995</v>
      </c>
      <c r="I1263" s="199" t="s">
        <v>995</v>
      </c>
      <c r="J1263" s="198" t="s">
        <v>997</v>
      </c>
      <c r="K1263" s="198" t="s">
        <v>1435</v>
      </c>
      <c r="L1263" s="234" t="n">
        <v>28840</v>
      </c>
      <c r="M1263" s="234" t="n">
        <v>15080</v>
      </c>
      <c r="N1263" s="234" t="n">
        <v>18.5</v>
      </c>
      <c r="O1263" s="407" t="n">
        <v>13760</v>
      </c>
      <c r="P1263" s="407" t="n">
        <v>11214.4</v>
      </c>
      <c r="Q1263" s="234" t="n">
        <v>2025</v>
      </c>
      <c r="R1263" s="234"/>
      <c r="S1263" s="248" t="n">
        <v>45831</v>
      </c>
      <c r="T1263" s="407" t="n">
        <f aca="false">Таблица18[[#This Row],[Вес нетто]]-Таблица18[[#This Row],[Зачетный вес]]</f>
        <v>2545.6</v>
      </c>
      <c r="U1263" s="409" t="n">
        <f aca="false">Таблица18[[#This Row],[Отход]]/Таблица18[[#This Row],[Вес нетто]]</f>
        <v>0.185</v>
      </c>
      <c r="V1263" s="234" t="n">
        <f aca="false">MONTH(Таблица18[[#This Row],[Дата акта]])</f>
        <v>6</v>
      </c>
      <c r="W1263" s="234" t="n">
        <v>23</v>
      </c>
      <c r="X1263" s="248" t="n">
        <f aca="false">DATE(1900,Таблица18[[#This Row],[Месяц]],Таблица18[[#This Row],[Число]])</f>
        <v>175</v>
      </c>
      <c r="Y1263" s="234"/>
      <c r="AF1263" s="411"/>
      <c r="AG1263" s="412"/>
    </row>
    <row r="1264" s="410" customFormat="true" ht="15" hidden="true" customHeight="true" outlineLevel="0" collapsed="false">
      <c r="A1264" s="198" t="s">
        <v>2886</v>
      </c>
      <c r="B1264" s="199" t="s">
        <v>417</v>
      </c>
      <c r="C1264" s="198" t="n">
        <v>642</v>
      </c>
      <c r="D1264" s="198" t="n">
        <v>31</v>
      </c>
      <c r="E1264" s="198" t="s">
        <v>994</v>
      </c>
      <c r="F1264" s="198" t="s">
        <v>553</v>
      </c>
      <c r="G1264" s="198" t="s">
        <v>557</v>
      </c>
      <c r="H1264" s="198" t="s">
        <v>995</v>
      </c>
      <c r="I1264" s="199" t="s">
        <v>995</v>
      </c>
      <c r="J1264" s="198" t="s">
        <v>997</v>
      </c>
      <c r="K1264" s="198" t="s">
        <v>1435</v>
      </c>
      <c r="L1264" s="234" t="n">
        <v>28290</v>
      </c>
      <c r="M1264" s="234" t="n">
        <v>14910</v>
      </c>
      <c r="N1264" s="234" t="n">
        <v>18.5</v>
      </c>
      <c r="O1264" s="407" t="n">
        <v>13380</v>
      </c>
      <c r="P1264" s="407" t="n">
        <v>10904.7</v>
      </c>
      <c r="Q1264" s="234" t="n">
        <v>2025</v>
      </c>
      <c r="R1264" s="234"/>
      <c r="S1264" s="248" t="n">
        <v>45831</v>
      </c>
      <c r="T1264" s="407" t="n">
        <f aca="false">Таблица18[[#This Row],[Вес нетто]]-Таблица18[[#This Row],[Зачетный вес]]</f>
        <v>2475.3</v>
      </c>
      <c r="U1264" s="409" t="n">
        <f aca="false">Таблица18[[#This Row],[Отход]]/Таблица18[[#This Row],[Вес нетто]]</f>
        <v>0.185</v>
      </c>
      <c r="V1264" s="234" t="n">
        <f aca="false">MONTH(Таблица18[[#This Row],[Дата акта]])</f>
        <v>6</v>
      </c>
      <c r="W1264" s="234" t="n">
        <v>23</v>
      </c>
      <c r="X1264" s="248" t="n">
        <f aca="false">DATE(1900,Таблица18[[#This Row],[Месяц]],Таблица18[[#This Row],[Число]])</f>
        <v>175</v>
      </c>
      <c r="Y1264" s="234"/>
      <c r="AF1264" s="411"/>
      <c r="AG1264" s="412"/>
    </row>
    <row r="1265" s="410" customFormat="true" ht="15" hidden="true" customHeight="true" outlineLevel="0" collapsed="false">
      <c r="A1265" s="198" t="s">
        <v>2887</v>
      </c>
      <c r="B1265" s="199" t="s">
        <v>417</v>
      </c>
      <c r="C1265" s="198" t="n">
        <v>643</v>
      </c>
      <c r="D1265" s="198" t="n">
        <v>32</v>
      </c>
      <c r="E1265" s="198" t="s">
        <v>994</v>
      </c>
      <c r="F1265" s="198" t="s">
        <v>57</v>
      </c>
      <c r="G1265" s="198" t="s">
        <v>58</v>
      </c>
      <c r="H1265" s="198" t="s">
        <v>995</v>
      </c>
      <c r="I1265" s="199" t="s">
        <v>995</v>
      </c>
      <c r="J1265" s="198" t="s">
        <v>997</v>
      </c>
      <c r="K1265" s="198" t="s">
        <v>1435</v>
      </c>
      <c r="L1265" s="234" t="n">
        <v>28630</v>
      </c>
      <c r="M1265" s="234" t="n">
        <v>15800</v>
      </c>
      <c r="N1265" s="234" t="n">
        <v>17.5</v>
      </c>
      <c r="O1265" s="407" t="n">
        <v>12830</v>
      </c>
      <c r="P1265" s="407" t="n">
        <v>10584.7</v>
      </c>
      <c r="Q1265" s="234" t="n">
        <v>2025</v>
      </c>
      <c r="R1265" s="234"/>
      <c r="S1265" s="248" t="n">
        <v>45831</v>
      </c>
      <c r="T1265" s="407" t="n">
        <f aca="false">Таблица18[[#This Row],[Вес нетто]]-Таблица18[[#This Row],[Зачетный вес]]</f>
        <v>2245.3</v>
      </c>
      <c r="U1265" s="409" t="n">
        <f aca="false">Таблица18[[#This Row],[Отход]]/Таблица18[[#This Row],[Вес нетто]]</f>
        <v>0.175003897116134</v>
      </c>
      <c r="V1265" s="234" t="n">
        <f aca="false">MONTH(Таблица18[[#This Row],[Дата акта]])</f>
        <v>6</v>
      </c>
      <c r="W1265" s="234" t="n">
        <v>23</v>
      </c>
      <c r="X1265" s="248" t="n">
        <f aca="false">DATE(1900,Таблица18[[#This Row],[Месяц]],Таблица18[[#This Row],[Число]])</f>
        <v>175</v>
      </c>
      <c r="Y1265" s="234"/>
      <c r="AF1265" s="411"/>
      <c r="AG1265" s="412"/>
    </row>
    <row r="1266" s="410" customFormat="true" ht="15" hidden="true" customHeight="true" outlineLevel="0" collapsed="false">
      <c r="A1266" s="198" t="s">
        <v>2888</v>
      </c>
      <c r="B1266" s="199" t="s">
        <v>417</v>
      </c>
      <c r="C1266" s="198" t="n">
        <v>647</v>
      </c>
      <c r="D1266" s="198" t="n">
        <v>33</v>
      </c>
      <c r="E1266" s="198" t="s">
        <v>994</v>
      </c>
      <c r="F1266" s="198" t="s">
        <v>451</v>
      </c>
      <c r="G1266" s="198" t="s">
        <v>455</v>
      </c>
      <c r="H1266" s="198" t="s">
        <v>995</v>
      </c>
      <c r="I1266" s="199" t="s">
        <v>995</v>
      </c>
      <c r="J1266" s="198" t="s">
        <v>997</v>
      </c>
      <c r="K1266" s="198" t="s">
        <v>1435</v>
      </c>
      <c r="L1266" s="234" t="n">
        <v>28570</v>
      </c>
      <c r="M1266" s="234" t="n">
        <v>15040</v>
      </c>
      <c r="N1266" s="234" t="n">
        <v>16</v>
      </c>
      <c r="O1266" s="407" t="n">
        <v>13530</v>
      </c>
      <c r="P1266" s="407" t="n">
        <v>11365.2</v>
      </c>
      <c r="Q1266" s="234" t="n">
        <v>2025</v>
      </c>
      <c r="R1266" s="234"/>
      <c r="S1266" s="248" t="n">
        <v>45832</v>
      </c>
      <c r="T1266" s="407" t="n">
        <f aca="false">Таблица18[[#This Row],[Вес нетто]]-Таблица18[[#This Row],[Зачетный вес]]</f>
        <v>2164.8</v>
      </c>
      <c r="U1266" s="409" t="n">
        <f aca="false">Таблица18[[#This Row],[Отход]]/Таблица18[[#This Row],[Вес нетто]]</f>
        <v>0.16</v>
      </c>
      <c r="V1266" s="234" t="n">
        <f aca="false">MONTH(Таблица18[[#This Row],[Дата акта]])</f>
        <v>6</v>
      </c>
      <c r="W1266" s="234" t="n">
        <v>24</v>
      </c>
      <c r="X1266" s="248" t="n">
        <f aca="false">DATE(1900,Таблица18[[#This Row],[Месяц]],Таблица18[[#This Row],[Число]])</f>
        <v>176</v>
      </c>
      <c r="Y1266" s="234"/>
      <c r="AF1266" s="411"/>
      <c r="AG1266" s="412"/>
    </row>
    <row r="1267" s="410" customFormat="true" ht="15" hidden="true" customHeight="true" outlineLevel="0" collapsed="false">
      <c r="A1267" s="198" t="s">
        <v>2889</v>
      </c>
      <c r="B1267" s="199" t="s">
        <v>417</v>
      </c>
      <c r="C1267" s="198" t="n">
        <v>648</v>
      </c>
      <c r="D1267" s="198" t="n">
        <v>34</v>
      </c>
      <c r="E1267" s="198" t="s">
        <v>994</v>
      </c>
      <c r="F1267" s="198" t="s">
        <v>361</v>
      </c>
      <c r="G1267" s="198" t="s">
        <v>362</v>
      </c>
      <c r="H1267" s="198" t="s">
        <v>995</v>
      </c>
      <c r="I1267" s="199" t="s">
        <v>995</v>
      </c>
      <c r="J1267" s="198" t="s">
        <v>900</v>
      </c>
      <c r="K1267" s="198" t="s">
        <v>1435</v>
      </c>
      <c r="L1267" s="234" t="n">
        <v>28260</v>
      </c>
      <c r="M1267" s="234" t="n">
        <v>21400</v>
      </c>
      <c r="N1267" s="234" t="n">
        <v>14</v>
      </c>
      <c r="O1267" s="407" t="n">
        <v>6860</v>
      </c>
      <c r="P1267" s="407" t="n">
        <v>5899.6</v>
      </c>
      <c r="Q1267" s="234" t="n">
        <v>2025</v>
      </c>
      <c r="R1267" s="234"/>
      <c r="S1267" s="248" t="n">
        <v>45832</v>
      </c>
      <c r="T1267" s="407" t="n">
        <f aca="false">Таблица18[[#This Row],[Вес нетто]]-Таблица18[[#This Row],[Зачетный вес]]</f>
        <v>960.4</v>
      </c>
      <c r="U1267" s="409" t="n">
        <f aca="false">Таблица18[[#This Row],[Отход]]/Таблица18[[#This Row],[Вес нетто]]</f>
        <v>0.14</v>
      </c>
      <c r="V1267" s="234" t="n">
        <f aca="false">MONTH(Таблица18[[#This Row],[Дата акта]])</f>
        <v>6</v>
      </c>
      <c r="W1267" s="234" t="n">
        <v>24</v>
      </c>
      <c r="X1267" s="248" t="n">
        <f aca="false">DATE(1900,Таблица18[[#This Row],[Месяц]],Таблица18[[#This Row],[Число]])</f>
        <v>176</v>
      </c>
      <c r="Y1267" s="234"/>
      <c r="AF1267" s="411"/>
      <c r="AG1267" s="412"/>
    </row>
    <row r="1268" s="410" customFormat="true" ht="15" hidden="true" customHeight="true" outlineLevel="0" collapsed="false">
      <c r="A1268" s="198" t="s">
        <v>2890</v>
      </c>
      <c r="B1268" s="199" t="s">
        <v>417</v>
      </c>
      <c r="C1268" s="198" t="n">
        <v>649</v>
      </c>
      <c r="D1268" s="198" t="n">
        <v>34</v>
      </c>
      <c r="E1268" s="198" t="s">
        <v>994</v>
      </c>
      <c r="F1268" s="198" t="s">
        <v>361</v>
      </c>
      <c r="G1268" s="198" t="s">
        <v>362</v>
      </c>
      <c r="H1268" s="198" t="s">
        <v>995</v>
      </c>
      <c r="I1268" s="199" t="s">
        <v>995</v>
      </c>
      <c r="J1268" s="198" t="s">
        <v>997</v>
      </c>
      <c r="K1268" s="198" t="s">
        <v>1435</v>
      </c>
      <c r="L1268" s="234" t="n">
        <v>21400</v>
      </c>
      <c r="M1268" s="234" t="n">
        <v>14780</v>
      </c>
      <c r="N1268" s="234" t="n">
        <v>12</v>
      </c>
      <c r="O1268" s="407" t="n">
        <v>6620</v>
      </c>
      <c r="P1268" s="407" t="n">
        <v>5825.6</v>
      </c>
      <c r="Q1268" s="234" t="n">
        <v>2025</v>
      </c>
      <c r="R1268" s="234"/>
      <c r="S1268" s="248" t="n">
        <v>45832</v>
      </c>
      <c r="T1268" s="407" t="n">
        <f aca="false">Таблица18[[#This Row],[Вес нетто]]-Таблица18[[#This Row],[Зачетный вес]]</f>
        <v>794.4</v>
      </c>
      <c r="U1268" s="409" t="n">
        <f aca="false">Таблица18[[#This Row],[Отход]]/Таблица18[[#This Row],[Вес нетто]]</f>
        <v>0.12</v>
      </c>
      <c r="V1268" s="234" t="n">
        <f aca="false">MONTH(Таблица18[[#This Row],[Дата акта]])</f>
        <v>6</v>
      </c>
      <c r="W1268" s="234" t="n">
        <v>24</v>
      </c>
      <c r="X1268" s="248" t="n">
        <f aca="false">DATE(1900,Таблица18[[#This Row],[Месяц]],Таблица18[[#This Row],[Число]])</f>
        <v>176</v>
      </c>
      <c r="Y1268" s="234"/>
      <c r="AF1268" s="411"/>
      <c r="AG1268" s="412"/>
    </row>
    <row r="1269" s="410" customFormat="true" ht="15" hidden="true" customHeight="true" outlineLevel="0" collapsed="false">
      <c r="A1269" s="198" t="s">
        <v>2891</v>
      </c>
      <c r="B1269" s="199" t="s">
        <v>417</v>
      </c>
      <c r="C1269" s="198" t="n">
        <v>650</v>
      </c>
      <c r="D1269" s="198" t="n">
        <v>35</v>
      </c>
      <c r="E1269" s="198" t="s">
        <v>994</v>
      </c>
      <c r="F1269" s="198" t="s">
        <v>547</v>
      </c>
      <c r="G1269" s="198" t="s">
        <v>551</v>
      </c>
      <c r="H1269" s="198" t="s">
        <v>995</v>
      </c>
      <c r="I1269" s="199" t="s">
        <v>995</v>
      </c>
      <c r="J1269" s="198" t="s">
        <v>900</v>
      </c>
      <c r="K1269" s="198" t="s">
        <v>1435</v>
      </c>
      <c r="L1269" s="234" t="n">
        <v>28550</v>
      </c>
      <c r="M1269" s="234" t="n">
        <v>14990</v>
      </c>
      <c r="N1269" s="234" t="n">
        <v>16.5</v>
      </c>
      <c r="O1269" s="407" t="n">
        <v>13560</v>
      </c>
      <c r="P1269" s="407" t="n">
        <v>11322.6</v>
      </c>
      <c r="Q1269" s="234" t="n">
        <v>2025</v>
      </c>
      <c r="R1269" s="234"/>
      <c r="S1269" s="248" t="n">
        <v>45832</v>
      </c>
      <c r="T1269" s="407" t="n">
        <f aca="false">Таблица18[[#This Row],[Вес нетто]]-Таблица18[[#This Row],[Зачетный вес]]</f>
        <v>2237.4</v>
      </c>
      <c r="U1269" s="409" t="n">
        <f aca="false">Таблица18[[#This Row],[Отход]]/Таблица18[[#This Row],[Вес нетто]]</f>
        <v>0.165</v>
      </c>
      <c r="V1269" s="234" t="n">
        <f aca="false">MONTH(Таблица18[[#This Row],[Дата акта]])</f>
        <v>6</v>
      </c>
      <c r="W1269" s="234" t="n">
        <v>24</v>
      </c>
      <c r="X1269" s="248" t="n">
        <f aca="false">DATE(1900,Таблица18[[#This Row],[Месяц]],Таблица18[[#This Row],[Число]])</f>
        <v>176</v>
      </c>
      <c r="Y1269" s="234"/>
      <c r="AF1269" s="411"/>
      <c r="AG1269" s="412"/>
    </row>
    <row r="1270" s="410" customFormat="true" ht="15" hidden="true" customHeight="true" outlineLevel="0" collapsed="false">
      <c r="A1270" s="198" t="s">
        <v>2892</v>
      </c>
      <c r="B1270" s="199" t="s">
        <v>417</v>
      </c>
      <c r="C1270" s="198" t="n">
        <v>651</v>
      </c>
      <c r="D1270" s="198" t="n">
        <v>36</v>
      </c>
      <c r="E1270" s="198" t="s">
        <v>994</v>
      </c>
      <c r="F1270" s="198" t="s">
        <v>363</v>
      </c>
      <c r="G1270" s="198" t="s">
        <v>364</v>
      </c>
      <c r="H1270" s="198" t="s">
        <v>995</v>
      </c>
      <c r="I1270" s="199" t="s">
        <v>995</v>
      </c>
      <c r="J1270" s="198" t="s">
        <v>900</v>
      </c>
      <c r="K1270" s="198" t="s">
        <v>1435</v>
      </c>
      <c r="L1270" s="234" t="n">
        <v>28120</v>
      </c>
      <c r="M1270" s="234" t="n">
        <v>14700</v>
      </c>
      <c r="N1270" s="234" t="n">
        <v>15.5</v>
      </c>
      <c r="O1270" s="407" t="n">
        <v>13420</v>
      </c>
      <c r="P1270" s="407" t="n">
        <v>11339.9</v>
      </c>
      <c r="Q1270" s="234" t="n">
        <v>2025</v>
      </c>
      <c r="R1270" s="234"/>
      <c r="S1270" s="248" t="n">
        <v>45832</v>
      </c>
      <c r="T1270" s="407" t="n">
        <f aca="false">Таблица18[[#This Row],[Вес нетто]]-Таблица18[[#This Row],[Зачетный вес]]</f>
        <v>2080.1</v>
      </c>
      <c r="U1270" s="409" t="n">
        <f aca="false">Таблица18[[#This Row],[Отход]]/Таблица18[[#This Row],[Вес нетто]]</f>
        <v>0.155</v>
      </c>
      <c r="V1270" s="234" t="n">
        <f aca="false">MONTH(Таблица18[[#This Row],[Дата акта]])</f>
        <v>6</v>
      </c>
      <c r="W1270" s="234" t="n">
        <v>24</v>
      </c>
      <c r="X1270" s="248" t="n">
        <f aca="false">DATE(1900,Таблица18[[#This Row],[Месяц]],Таблица18[[#This Row],[Число]])</f>
        <v>176</v>
      </c>
      <c r="Y1270" s="234"/>
      <c r="AF1270" s="411"/>
      <c r="AG1270" s="412"/>
    </row>
    <row r="1271" s="410" customFormat="true" ht="15" hidden="true" customHeight="true" outlineLevel="0" collapsed="false">
      <c r="A1271" s="198" t="s">
        <v>2893</v>
      </c>
      <c r="B1271" s="199" t="s">
        <v>417</v>
      </c>
      <c r="C1271" s="198" t="n">
        <v>652</v>
      </c>
      <c r="D1271" s="198" t="n">
        <v>36</v>
      </c>
      <c r="E1271" s="198" t="s">
        <v>994</v>
      </c>
      <c r="F1271" s="198" t="s">
        <v>365</v>
      </c>
      <c r="G1271" s="198" t="s">
        <v>373</v>
      </c>
      <c r="H1271" s="198" t="s">
        <v>995</v>
      </c>
      <c r="I1271" s="199" t="s">
        <v>995</v>
      </c>
      <c r="J1271" s="198" t="s">
        <v>900</v>
      </c>
      <c r="K1271" s="198" t="s">
        <v>1435</v>
      </c>
      <c r="L1271" s="234" t="n">
        <v>32280</v>
      </c>
      <c r="M1271" s="234" t="n">
        <v>18780</v>
      </c>
      <c r="N1271" s="234" t="n">
        <v>13.5</v>
      </c>
      <c r="O1271" s="407" t="n">
        <v>13500</v>
      </c>
      <c r="P1271" s="407" t="n">
        <v>11677.5</v>
      </c>
      <c r="Q1271" s="234" t="n">
        <v>2025</v>
      </c>
      <c r="R1271" s="234"/>
      <c r="S1271" s="248" t="n">
        <v>45832</v>
      </c>
      <c r="T1271" s="407" t="n">
        <f aca="false">Таблица18[[#This Row],[Вес нетто]]-Таблица18[[#This Row],[Зачетный вес]]</f>
        <v>1822.5</v>
      </c>
      <c r="U1271" s="409" t="n">
        <f aca="false">Таблица18[[#This Row],[Отход]]/Таблица18[[#This Row],[Вес нетто]]</f>
        <v>0.135</v>
      </c>
      <c r="V1271" s="234" t="n">
        <f aca="false">MONTH(Таблица18[[#This Row],[Дата акта]])</f>
        <v>6</v>
      </c>
      <c r="W1271" s="234" t="n">
        <v>24</v>
      </c>
      <c r="X1271" s="248" t="n">
        <f aca="false">DATE(1900,Таблица18[[#This Row],[Месяц]],Таблица18[[#This Row],[Число]])</f>
        <v>176</v>
      </c>
      <c r="Y1271" s="234"/>
      <c r="AF1271" s="411"/>
      <c r="AG1271" s="412"/>
    </row>
    <row r="1272" s="410" customFormat="true" ht="15" hidden="true" customHeight="true" outlineLevel="0" collapsed="false">
      <c r="A1272" s="198" t="s">
        <v>2894</v>
      </c>
      <c r="B1272" s="199" t="s">
        <v>417</v>
      </c>
      <c r="C1272" s="198" t="n">
        <v>653</v>
      </c>
      <c r="D1272" s="198" t="n">
        <v>37</v>
      </c>
      <c r="E1272" s="198" t="s">
        <v>994</v>
      </c>
      <c r="F1272" s="198" t="s">
        <v>457</v>
      </c>
      <c r="G1272" s="198" t="s">
        <v>366</v>
      </c>
      <c r="H1272" s="198" t="s">
        <v>995</v>
      </c>
      <c r="I1272" s="199" t="s">
        <v>995</v>
      </c>
      <c r="J1272" s="198" t="s">
        <v>900</v>
      </c>
      <c r="K1272" s="198" t="s">
        <v>1435</v>
      </c>
      <c r="L1272" s="234" t="n">
        <v>27870</v>
      </c>
      <c r="M1272" s="234" t="n">
        <v>14970</v>
      </c>
      <c r="N1272" s="234" t="n">
        <v>15.5</v>
      </c>
      <c r="O1272" s="407" t="n">
        <v>12900</v>
      </c>
      <c r="P1272" s="407" t="n">
        <v>10900.5</v>
      </c>
      <c r="Q1272" s="234" t="n">
        <v>2025</v>
      </c>
      <c r="R1272" s="234"/>
      <c r="S1272" s="248" t="n">
        <v>45832</v>
      </c>
      <c r="T1272" s="407" t="n">
        <f aca="false">Таблица18[[#This Row],[Вес нетто]]-Таблица18[[#This Row],[Зачетный вес]]</f>
        <v>1999.5</v>
      </c>
      <c r="U1272" s="409" t="n">
        <f aca="false">Таблица18[[#This Row],[Отход]]/Таблица18[[#This Row],[Вес нетто]]</f>
        <v>0.155</v>
      </c>
      <c r="V1272" s="234" t="n">
        <f aca="false">MONTH(Таблица18[[#This Row],[Дата акта]])</f>
        <v>6</v>
      </c>
      <c r="W1272" s="234" t="n">
        <v>24</v>
      </c>
      <c r="X1272" s="248" t="n">
        <f aca="false">DATE(1900,Таблица18[[#This Row],[Месяц]],Таблица18[[#This Row],[Число]])</f>
        <v>176</v>
      </c>
      <c r="Y1272" s="234"/>
      <c r="AF1272" s="411"/>
      <c r="AG1272" s="412"/>
    </row>
    <row r="1273" s="410" customFormat="true" ht="15" hidden="true" customHeight="true" outlineLevel="0" collapsed="false">
      <c r="A1273" s="198" t="s">
        <v>2895</v>
      </c>
      <c r="B1273" s="199" t="s">
        <v>417</v>
      </c>
      <c r="C1273" s="198" t="n">
        <v>654</v>
      </c>
      <c r="D1273" s="198" t="n">
        <v>38</v>
      </c>
      <c r="E1273" s="198" t="s">
        <v>994</v>
      </c>
      <c r="F1273" s="198" t="s">
        <v>371</v>
      </c>
      <c r="G1273" s="198" t="s">
        <v>372</v>
      </c>
      <c r="H1273" s="198" t="s">
        <v>995</v>
      </c>
      <c r="I1273" s="199" t="s">
        <v>995</v>
      </c>
      <c r="J1273" s="198" t="s">
        <v>900</v>
      </c>
      <c r="K1273" s="198" t="s">
        <v>1435</v>
      </c>
      <c r="L1273" s="234" t="n">
        <v>28890</v>
      </c>
      <c r="M1273" s="234" t="n">
        <v>15200</v>
      </c>
      <c r="N1273" s="234" t="n">
        <v>18</v>
      </c>
      <c r="O1273" s="407" t="n">
        <v>13690</v>
      </c>
      <c r="P1273" s="407" t="n">
        <v>11225.8</v>
      </c>
      <c r="Q1273" s="234" t="n">
        <v>2025</v>
      </c>
      <c r="R1273" s="234"/>
      <c r="S1273" s="248" t="n">
        <v>45832</v>
      </c>
      <c r="T1273" s="407" t="n">
        <f aca="false">Таблица18[[#This Row],[Вес нетто]]-Таблица18[[#This Row],[Зачетный вес]]</f>
        <v>2464.2</v>
      </c>
      <c r="U1273" s="409" t="n">
        <f aca="false">Таблица18[[#This Row],[Отход]]/Таблица18[[#This Row],[Вес нетто]]</f>
        <v>0.18</v>
      </c>
      <c r="V1273" s="234" t="n">
        <f aca="false">MONTH(Таблица18[[#This Row],[Дата акта]])</f>
        <v>6</v>
      </c>
      <c r="W1273" s="234" t="n">
        <v>24</v>
      </c>
      <c r="X1273" s="248" t="n">
        <f aca="false">DATE(1900,Таблица18[[#This Row],[Месяц]],Таблица18[[#This Row],[Число]])</f>
        <v>176</v>
      </c>
      <c r="Y1273" s="234"/>
      <c r="AF1273" s="411"/>
      <c r="AG1273" s="412"/>
    </row>
    <row r="1274" s="410" customFormat="true" ht="15" hidden="true" customHeight="true" outlineLevel="0" collapsed="false">
      <c r="A1274" s="198" t="s">
        <v>2896</v>
      </c>
      <c r="B1274" s="199" t="s">
        <v>417</v>
      </c>
      <c r="C1274" s="198" t="n">
        <v>655</v>
      </c>
      <c r="D1274" s="198" t="n">
        <v>39</v>
      </c>
      <c r="E1274" s="198" t="s">
        <v>994</v>
      </c>
      <c r="F1274" s="198" t="s">
        <v>466</v>
      </c>
      <c r="G1274" s="198" t="s">
        <v>470</v>
      </c>
      <c r="H1274" s="198" t="s">
        <v>995</v>
      </c>
      <c r="I1274" s="199" t="s">
        <v>995</v>
      </c>
      <c r="J1274" s="198" t="s">
        <v>900</v>
      </c>
      <c r="K1274" s="198" t="s">
        <v>1435</v>
      </c>
      <c r="L1274" s="234" t="n">
        <v>28640</v>
      </c>
      <c r="M1274" s="234" t="n">
        <v>15210</v>
      </c>
      <c r="N1274" s="234" t="n">
        <v>16.5</v>
      </c>
      <c r="O1274" s="407" t="n">
        <v>13430</v>
      </c>
      <c r="P1274" s="407" t="n">
        <v>11214</v>
      </c>
      <c r="Q1274" s="234" t="n">
        <v>2025</v>
      </c>
      <c r="R1274" s="234"/>
      <c r="S1274" s="248" t="n">
        <v>45833</v>
      </c>
      <c r="T1274" s="407" t="n">
        <f aca="false">Таблица18[[#This Row],[Вес нетто]]-Таблица18[[#This Row],[Зачетный вес]]</f>
        <v>2216</v>
      </c>
      <c r="U1274" s="409" t="n">
        <f aca="false">Таблица18[[#This Row],[Отход]]/Таблица18[[#This Row],[Вес нетто]]</f>
        <v>0.165003723008191</v>
      </c>
      <c r="V1274" s="234" t="n">
        <f aca="false">MONTH(Таблица18[[#This Row],[Дата акта]])</f>
        <v>6</v>
      </c>
      <c r="W1274" s="234" t="n">
        <v>25</v>
      </c>
      <c r="X1274" s="248" t="n">
        <f aca="false">DATE(1900,Таблица18[[#This Row],[Месяц]],Таблица18[[#This Row],[Число]])</f>
        <v>177</v>
      </c>
      <c r="Y1274" s="234"/>
      <c r="AF1274" s="411"/>
      <c r="AG1274" s="412"/>
    </row>
    <row r="1275" s="410" customFormat="true" ht="15" hidden="true" customHeight="true" outlineLevel="0" collapsed="false">
      <c r="A1275" s="198" t="s">
        <v>2897</v>
      </c>
      <c r="B1275" s="199" t="s">
        <v>417</v>
      </c>
      <c r="C1275" s="198" t="n">
        <v>656</v>
      </c>
      <c r="D1275" s="198" t="n">
        <v>40</v>
      </c>
      <c r="E1275" s="198" t="s">
        <v>994</v>
      </c>
      <c r="F1275" s="198" t="s">
        <v>48</v>
      </c>
      <c r="G1275" s="198" t="s">
        <v>49</v>
      </c>
      <c r="H1275" s="198" t="s">
        <v>995</v>
      </c>
      <c r="I1275" s="199" t="s">
        <v>995</v>
      </c>
      <c r="J1275" s="198" t="s">
        <v>900</v>
      </c>
      <c r="K1275" s="198" t="s">
        <v>1435</v>
      </c>
      <c r="L1275" s="234" t="n">
        <v>28540</v>
      </c>
      <c r="M1275" s="234" t="n">
        <v>15200</v>
      </c>
      <c r="N1275" s="234" t="n">
        <v>17</v>
      </c>
      <c r="O1275" s="407" t="n">
        <v>13340</v>
      </c>
      <c r="P1275" s="407" t="n">
        <v>11072.2</v>
      </c>
      <c r="Q1275" s="234" t="n">
        <v>2025</v>
      </c>
      <c r="R1275" s="234"/>
      <c r="S1275" s="248" t="n">
        <v>45833</v>
      </c>
      <c r="T1275" s="407" t="n">
        <f aca="false">Таблица18[[#This Row],[Вес нетто]]-Таблица18[[#This Row],[Зачетный вес]]</f>
        <v>2267.8</v>
      </c>
      <c r="U1275" s="409" t="n">
        <f aca="false">Таблица18[[#This Row],[Отход]]/Таблица18[[#This Row],[Вес нетто]]</f>
        <v>0.17</v>
      </c>
      <c r="V1275" s="234" t="n">
        <f aca="false">MONTH(Таблица18[[#This Row],[Дата акта]])</f>
        <v>6</v>
      </c>
      <c r="W1275" s="234" t="n">
        <v>25</v>
      </c>
      <c r="X1275" s="248" t="n">
        <f aca="false">DATE(1900,Таблица18[[#This Row],[Месяц]],Таблица18[[#This Row],[Число]])</f>
        <v>177</v>
      </c>
      <c r="Y1275" s="234"/>
      <c r="AF1275" s="411"/>
      <c r="AG1275" s="412"/>
    </row>
    <row r="1276" s="410" customFormat="true" ht="15" hidden="true" customHeight="true" outlineLevel="0" collapsed="false">
      <c r="A1276" s="198" t="s">
        <v>2898</v>
      </c>
      <c r="B1276" s="199" t="s">
        <v>417</v>
      </c>
      <c r="C1276" s="198" t="n">
        <v>657</v>
      </c>
      <c r="D1276" s="198" t="n">
        <v>41</v>
      </c>
      <c r="E1276" s="198" t="s">
        <v>994</v>
      </c>
      <c r="F1276" s="198" t="s">
        <v>445</v>
      </c>
      <c r="G1276" s="198" t="s">
        <v>449</v>
      </c>
      <c r="H1276" s="198" t="s">
        <v>995</v>
      </c>
      <c r="I1276" s="199" t="s">
        <v>995</v>
      </c>
      <c r="J1276" s="198" t="s">
        <v>900</v>
      </c>
      <c r="K1276" s="198" t="s">
        <v>1435</v>
      </c>
      <c r="L1276" s="234" t="n">
        <v>28910</v>
      </c>
      <c r="M1276" s="234" t="n">
        <v>15730</v>
      </c>
      <c r="N1276" s="234" t="n">
        <v>14.5</v>
      </c>
      <c r="O1276" s="407" t="n">
        <v>13180</v>
      </c>
      <c r="P1276" s="407" t="n">
        <v>11268.9</v>
      </c>
      <c r="Q1276" s="234" t="n">
        <v>2025</v>
      </c>
      <c r="R1276" s="234"/>
      <c r="S1276" s="248" t="n">
        <v>45833</v>
      </c>
      <c r="T1276" s="407" t="n">
        <f aca="false">Таблица18[[#This Row],[Вес нетто]]-Таблица18[[#This Row],[Зачетный вес]]</f>
        <v>1911.1</v>
      </c>
      <c r="U1276" s="409" t="n">
        <f aca="false">Таблица18[[#This Row],[Отход]]/Таблица18[[#This Row],[Вес нетто]]</f>
        <v>0.145</v>
      </c>
      <c r="V1276" s="234" t="n">
        <f aca="false">MONTH(Таблица18[[#This Row],[Дата акта]])</f>
        <v>6</v>
      </c>
      <c r="W1276" s="234" t="n">
        <v>25</v>
      </c>
      <c r="X1276" s="248" t="n">
        <f aca="false">DATE(1900,Таблица18[[#This Row],[Месяц]],Таблица18[[#This Row],[Число]])</f>
        <v>177</v>
      </c>
      <c r="Y1276" s="234"/>
      <c r="AF1276" s="411"/>
      <c r="AG1276" s="412"/>
    </row>
    <row r="1277" s="410" customFormat="true" ht="15" hidden="true" customHeight="true" outlineLevel="0" collapsed="false">
      <c r="A1277" s="198" t="s">
        <v>2899</v>
      </c>
      <c r="B1277" s="199" t="s">
        <v>417</v>
      </c>
      <c r="C1277" s="198" t="n">
        <v>658</v>
      </c>
      <c r="D1277" s="198" t="n">
        <v>42</v>
      </c>
      <c r="E1277" s="198" t="s">
        <v>994</v>
      </c>
      <c r="F1277" s="198" t="s">
        <v>553</v>
      </c>
      <c r="G1277" s="198" t="s">
        <v>557</v>
      </c>
      <c r="H1277" s="198" t="s">
        <v>995</v>
      </c>
      <c r="I1277" s="199" t="s">
        <v>995</v>
      </c>
      <c r="J1277" s="198" t="s">
        <v>900</v>
      </c>
      <c r="K1277" s="198" t="s">
        <v>1435</v>
      </c>
      <c r="L1277" s="234" t="n">
        <v>28650</v>
      </c>
      <c r="M1277" s="234" t="n">
        <v>15100</v>
      </c>
      <c r="N1277" s="234" t="n">
        <v>16.5</v>
      </c>
      <c r="O1277" s="407" t="n">
        <v>13550</v>
      </c>
      <c r="P1277" s="407" t="n">
        <v>11314.2</v>
      </c>
      <c r="Q1277" s="234" t="n">
        <v>2025</v>
      </c>
      <c r="R1277" s="234"/>
      <c r="S1277" s="248" t="n">
        <v>45833</v>
      </c>
      <c r="T1277" s="407" t="n">
        <f aca="false">Таблица18[[#This Row],[Вес нетто]]-Таблица18[[#This Row],[Зачетный вес]]</f>
        <v>2235.8</v>
      </c>
      <c r="U1277" s="409" t="n">
        <f aca="false">Таблица18[[#This Row],[Отход]]/Таблица18[[#This Row],[Вес нетто]]</f>
        <v>0.1650036900369</v>
      </c>
      <c r="V1277" s="234" t="n">
        <f aca="false">MONTH(Таблица18[[#This Row],[Дата акта]])</f>
        <v>6</v>
      </c>
      <c r="W1277" s="234" t="n">
        <v>25</v>
      </c>
      <c r="X1277" s="248" t="n">
        <f aca="false">DATE(1900,Таблица18[[#This Row],[Месяц]],Таблица18[[#This Row],[Число]])</f>
        <v>177</v>
      </c>
      <c r="Y1277" s="234"/>
      <c r="AF1277" s="411"/>
      <c r="AG1277" s="412"/>
    </row>
    <row r="1278" s="410" customFormat="true" ht="15" hidden="true" customHeight="true" outlineLevel="0" collapsed="false">
      <c r="A1278" s="198" t="s">
        <v>2900</v>
      </c>
      <c r="B1278" s="199" t="s">
        <v>417</v>
      </c>
      <c r="C1278" s="198" t="n">
        <v>659</v>
      </c>
      <c r="D1278" s="198" t="n">
        <v>43</v>
      </c>
      <c r="E1278" s="198" t="s">
        <v>994</v>
      </c>
      <c r="F1278" s="198" t="s">
        <v>433</v>
      </c>
      <c r="G1278" s="198" t="s">
        <v>437</v>
      </c>
      <c r="H1278" s="198" t="s">
        <v>995</v>
      </c>
      <c r="I1278" s="199" t="s">
        <v>995</v>
      </c>
      <c r="J1278" s="198" t="s">
        <v>900</v>
      </c>
      <c r="K1278" s="198" t="s">
        <v>1435</v>
      </c>
      <c r="L1278" s="234" t="n">
        <v>28180</v>
      </c>
      <c r="M1278" s="234" t="n">
        <v>15020</v>
      </c>
      <c r="N1278" s="234" t="n">
        <v>19.5</v>
      </c>
      <c r="O1278" s="407" t="n">
        <v>13160</v>
      </c>
      <c r="P1278" s="407" t="n">
        <v>10593.8</v>
      </c>
      <c r="Q1278" s="234" t="n">
        <v>2025</v>
      </c>
      <c r="R1278" s="234"/>
      <c r="S1278" s="248" t="n">
        <v>45833</v>
      </c>
      <c r="T1278" s="407" t="n">
        <f aca="false">Таблица18[[#This Row],[Вес нетто]]-Таблица18[[#This Row],[Зачетный вес]]</f>
        <v>2566.2</v>
      </c>
      <c r="U1278" s="409" t="n">
        <f aca="false">Таблица18[[#This Row],[Отход]]/Таблица18[[#This Row],[Вес нетто]]</f>
        <v>0.195</v>
      </c>
      <c r="V1278" s="234" t="n">
        <f aca="false">MONTH(Таблица18[[#This Row],[Дата акта]])</f>
        <v>6</v>
      </c>
      <c r="W1278" s="234" t="n">
        <v>25</v>
      </c>
      <c r="X1278" s="248" t="n">
        <f aca="false">DATE(1900,Таблица18[[#This Row],[Месяц]],Таблица18[[#This Row],[Число]])</f>
        <v>177</v>
      </c>
      <c r="Y1278" s="234"/>
      <c r="AF1278" s="411"/>
      <c r="AG1278" s="412"/>
    </row>
    <row r="1279" s="410" customFormat="true" ht="15" hidden="true" customHeight="true" outlineLevel="0" collapsed="false">
      <c r="A1279" s="198" t="s">
        <v>2901</v>
      </c>
      <c r="B1279" s="199" t="s">
        <v>417</v>
      </c>
      <c r="C1279" s="198" t="n">
        <v>660</v>
      </c>
      <c r="D1279" s="198" t="n">
        <v>44</v>
      </c>
      <c r="E1279" s="198" t="s">
        <v>994</v>
      </c>
      <c r="F1279" s="198" t="s">
        <v>439</v>
      </c>
      <c r="G1279" s="198" t="s">
        <v>443</v>
      </c>
      <c r="H1279" s="198" t="s">
        <v>995</v>
      </c>
      <c r="I1279" s="199" t="s">
        <v>995</v>
      </c>
      <c r="J1279" s="198" t="s">
        <v>900</v>
      </c>
      <c r="K1279" s="198" t="s">
        <v>1435</v>
      </c>
      <c r="L1279" s="234" t="n">
        <v>37380</v>
      </c>
      <c r="M1279" s="234" t="n">
        <v>24270</v>
      </c>
      <c r="N1279" s="234" t="n">
        <v>17.5</v>
      </c>
      <c r="O1279" s="407" t="n">
        <v>13110</v>
      </c>
      <c r="P1279" s="407" t="n">
        <v>10815.7</v>
      </c>
      <c r="Q1279" s="234" t="n">
        <v>2025</v>
      </c>
      <c r="R1279" s="234"/>
      <c r="S1279" s="248" t="n">
        <v>45833</v>
      </c>
      <c r="T1279" s="407" t="n">
        <f aca="false">Таблица18[[#This Row],[Вес нетто]]-Таблица18[[#This Row],[Зачетный вес]]</f>
        <v>2294.3</v>
      </c>
      <c r="U1279" s="409" t="n">
        <f aca="false">Таблица18[[#This Row],[Отход]]/Таблица18[[#This Row],[Вес нетто]]</f>
        <v>0.175003813882532</v>
      </c>
      <c r="V1279" s="234" t="n">
        <f aca="false">MONTH(Таблица18[[#This Row],[Дата акта]])</f>
        <v>6</v>
      </c>
      <c r="W1279" s="234" t="n">
        <v>25</v>
      </c>
      <c r="X1279" s="248" t="n">
        <f aca="false">DATE(1900,Таблица18[[#This Row],[Месяц]],Таблица18[[#This Row],[Число]])</f>
        <v>177</v>
      </c>
      <c r="Y1279" s="234"/>
      <c r="AF1279" s="411"/>
      <c r="AG1279" s="412"/>
    </row>
    <row r="1280" s="410" customFormat="true" ht="15" hidden="true" customHeight="true" outlineLevel="0" collapsed="false">
      <c r="A1280" s="198" t="s">
        <v>2902</v>
      </c>
      <c r="B1280" s="199" t="s">
        <v>417</v>
      </c>
      <c r="C1280" s="198" t="n">
        <v>661</v>
      </c>
      <c r="D1280" s="198" t="n">
        <v>45</v>
      </c>
      <c r="E1280" s="198" t="s">
        <v>994</v>
      </c>
      <c r="F1280" s="198" t="s">
        <v>451</v>
      </c>
      <c r="G1280" s="198" t="s">
        <v>455</v>
      </c>
      <c r="H1280" s="198" t="s">
        <v>995</v>
      </c>
      <c r="I1280" s="199" t="s">
        <v>995</v>
      </c>
      <c r="J1280" s="198" t="s">
        <v>900</v>
      </c>
      <c r="K1280" s="198" t="s">
        <v>1435</v>
      </c>
      <c r="L1280" s="234" t="n">
        <v>28450</v>
      </c>
      <c r="M1280" s="234" t="n">
        <v>15260</v>
      </c>
      <c r="N1280" s="234" t="n">
        <v>16.1</v>
      </c>
      <c r="O1280" s="407" t="n">
        <v>13190</v>
      </c>
      <c r="P1280" s="407" t="n">
        <v>11073</v>
      </c>
      <c r="Q1280" s="234" t="n">
        <v>2025</v>
      </c>
      <c r="R1280" s="234"/>
      <c r="S1280" s="248" t="n">
        <v>45833</v>
      </c>
      <c r="T1280" s="407" t="n">
        <f aca="false">Таблица18[[#This Row],[Вес нетто]]-Таблица18[[#This Row],[Зачетный вес]]</f>
        <v>2117</v>
      </c>
      <c r="U1280" s="409" t="n">
        <f aca="false">Таблица18[[#This Row],[Отход]]/Таблица18[[#This Row],[Вес нетто]]</f>
        <v>0.160500379075057</v>
      </c>
      <c r="V1280" s="234" t="n">
        <f aca="false">MONTH(Таблица18[[#This Row],[Дата акта]])</f>
        <v>6</v>
      </c>
      <c r="W1280" s="234" t="n">
        <v>25</v>
      </c>
      <c r="X1280" s="248" t="n">
        <f aca="false">DATE(1900,Таблица18[[#This Row],[Месяц]],Таблица18[[#This Row],[Число]])</f>
        <v>177</v>
      </c>
      <c r="Y1280" s="234"/>
      <c r="AF1280" s="411"/>
      <c r="AG1280" s="412"/>
    </row>
    <row r="1281" s="410" customFormat="true" ht="15" hidden="true" customHeight="true" outlineLevel="0" collapsed="false">
      <c r="A1281" s="198" t="s">
        <v>2903</v>
      </c>
      <c r="B1281" s="199" t="s">
        <v>417</v>
      </c>
      <c r="C1281" s="198" t="n">
        <v>662</v>
      </c>
      <c r="D1281" s="198" t="n">
        <v>46</v>
      </c>
      <c r="E1281" s="198" t="s">
        <v>994</v>
      </c>
      <c r="F1281" s="198" t="s">
        <v>547</v>
      </c>
      <c r="G1281" s="198" t="s">
        <v>551</v>
      </c>
      <c r="H1281" s="198" t="s">
        <v>995</v>
      </c>
      <c r="I1281" s="199" t="s">
        <v>995</v>
      </c>
      <c r="J1281" s="198" t="s">
        <v>900</v>
      </c>
      <c r="K1281" s="198" t="s">
        <v>1435</v>
      </c>
      <c r="L1281" s="234" t="n">
        <v>28180</v>
      </c>
      <c r="M1281" s="234" t="n">
        <v>14940</v>
      </c>
      <c r="N1281" s="234" t="n">
        <v>14.5</v>
      </c>
      <c r="O1281" s="407" t="n">
        <v>13240</v>
      </c>
      <c r="P1281" s="407" t="n">
        <v>11320.2</v>
      </c>
      <c r="Q1281" s="234" t="n">
        <v>2025</v>
      </c>
      <c r="R1281" s="234"/>
      <c r="S1281" s="248" t="n">
        <v>45833</v>
      </c>
      <c r="T1281" s="407" t="n">
        <f aca="false">Таблица18[[#This Row],[Вес нетто]]-Таблица18[[#This Row],[Зачетный вес]]</f>
        <v>1919.8</v>
      </c>
      <c r="U1281" s="409" t="n">
        <f aca="false">Таблица18[[#This Row],[Отход]]/Таблица18[[#This Row],[Вес нетто]]</f>
        <v>0.145</v>
      </c>
      <c r="V1281" s="234" t="n">
        <f aca="false">MONTH(Таблица18[[#This Row],[Дата акта]])</f>
        <v>6</v>
      </c>
      <c r="W1281" s="234" t="n">
        <v>25</v>
      </c>
      <c r="X1281" s="248" t="n">
        <f aca="false">DATE(1900,Таблица18[[#This Row],[Месяц]],Таблица18[[#This Row],[Число]])</f>
        <v>177</v>
      </c>
      <c r="Y1281" s="234"/>
      <c r="AF1281" s="411"/>
      <c r="AG1281" s="412"/>
    </row>
    <row r="1282" s="410" customFormat="true" ht="15" hidden="true" customHeight="true" outlineLevel="0" collapsed="false">
      <c r="A1282" s="198" t="s">
        <v>2904</v>
      </c>
      <c r="B1282" s="199" t="s">
        <v>417</v>
      </c>
      <c r="C1282" s="198" t="n">
        <v>664</v>
      </c>
      <c r="D1282" s="198" t="n">
        <v>48</v>
      </c>
      <c r="E1282" s="198" t="s">
        <v>994</v>
      </c>
      <c r="F1282" s="198" t="s">
        <v>553</v>
      </c>
      <c r="G1282" s="198" t="s">
        <v>557</v>
      </c>
      <c r="H1282" s="198" t="s">
        <v>995</v>
      </c>
      <c r="I1282" s="199" t="s">
        <v>995</v>
      </c>
      <c r="J1282" s="198" t="s">
        <v>900</v>
      </c>
      <c r="K1282" s="198" t="s">
        <v>1435</v>
      </c>
      <c r="L1282" s="234" t="n">
        <v>15880</v>
      </c>
      <c r="M1282" s="234" t="n">
        <v>9720</v>
      </c>
      <c r="N1282" s="234" t="n">
        <v>19.5</v>
      </c>
      <c r="O1282" s="407" t="n">
        <v>6160</v>
      </c>
      <c r="P1282" s="407" t="n">
        <v>4958.8</v>
      </c>
      <c r="Q1282" s="234" t="n">
        <v>2025</v>
      </c>
      <c r="R1282" s="234"/>
      <c r="S1282" s="248" t="n">
        <v>45833</v>
      </c>
      <c r="T1282" s="407" t="n">
        <f aca="false">Таблица18[[#This Row],[Вес нетто]]-Таблица18[[#This Row],[Зачетный вес]]</f>
        <v>1201.2</v>
      </c>
      <c r="U1282" s="409" t="n">
        <f aca="false">Таблица18[[#This Row],[Отход]]/Таблица18[[#This Row],[Вес нетто]]</f>
        <v>0.195</v>
      </c>
      <c r="V1282" s="234" t="n">
        <f aca="false">MONTH(Таблица18[[#This Row],[Дата акта]])</f>
        <v>6</v>
      </c>
      <c r="W1282" s="234" t="n">
        <v>25</v>
      </c>
      <c r="X1282" s="248" t="n">
        <f aca="false">DATE(1900,Таблица18[[#This Row],[Месяц]],Таблица18[[#This Row],[Число]])</f>
        <v>177</v>
      </c>
      <c r="Y1282" s="234"/>
      <c r="AF1282" s="411"/>
      <c r="AG1282" s="412"/>
    </row>
    <row r="1283" s="410" customFormat="true" ht="15" hidden="true" customHeight="true" outlineLevel="0" collapsed="false">
      <c r="A1283" s="198" t="s">
        <v>2905</v>
      </c>
      <c r="B1283" s="199" t="s">
        <v>417</v>
      </c>
      <c r="C1283" s="198" t="n">
        <v>665</v>
      </c>
      <c r="D1283" s="198" t="n">
        <v>47</v>
      </c>
      <c r="E1283" s="198" t="s">
        <v>994</v>
      </c>
      <c r="F1283" s="198" t="s">
        <v>445</v>
      </c>
      <c r="G1283" s="198" t="s">
        <v>449</v>
      </c>
      <c r="H1283" s="198" t="s">
        <v>995</v>
      </c>
      <c r="I1283" s="199" t="s">
        <v>995</v>
      </c>
      <c r="J1283" s="198" t="s">
        <v>900</v>
      </c>
      <c r="K1283" s="198" t="s">
        <v>1435</v>
      </c>
      <c r="L1283" s="234" t="n">
        <v>28810</v>
      </c>
      <c r="M1283" s="234" t="n">
        <v>15740</v>
      </c>
      <c r="N1283" s="234" t="n">
        <v>16.5</v>
      </c>
      <c r="O1283" s="407" t="n">
        <v>13070</v>
      </c>
      <c r="P1283" s="407" t="n">
        <v>10913.4</v>
      </c>
      <c r="Q1283" s="234" t="n">
        <v>2025</v>
      </c>
      <c r="R1283" s="234"/>
      <c r="S1283" s="248" t="n">
        <v>45833</v>
      </c>
      <c r="T1283" s="407" t="n">
        <f aca="false">Таблица18[[#This Row],[Вес нетто]]-Таблица18[[#This Row],[Зачетный вес]]</f>
        <v>2156.6</v>
      </c>
      <c r="U1283" s="409" t="n">
        <f aca="false">Таблица18[[#This Row],[Отход]]/Таблица18[[#This Row],[Вес нетто]]</f>
        <v>0.165003825554705</v>
      </c>
      <c r="V1283" s="234" t="n">
        <f aca="false">MONTH(Таблица18[[#This Row],[Дата акта]])</f>
        <v>6</v>
      </c>
      <c r="W1283" s="234" t="n">
        <v>25</v>
      </c>
      <c r="X1283" s="248" t="n">
        <f aca="false">DATE(1900,Таблица18[[#This Row],[Месяц]],Таблица18[[#This Row],[Число]])</f>
        <v>177</v>
      </c>
      <c r="Y1283" s="234"/>
      <c r="AF1283" s="411"/>
      <c r="AG1283" s="412"/>
    </row>
    <row r="1284" s="410" customFormat="true" ht="15" hidden="true" customHeight="true" outlineLevel="0" collapsed="false">
      <c r="A1284" s="198" t="s">
        <v>2906</v>
      </c>
      <c r="B1284" s="199" t="s">
        <v>417</v>
      </c>
      <c r="C1284" s="198" t="n">
        <v>671</v>
      </c>
      <c r="D1284" s="198" t="n">
        <v>54957</v>
      </c>
      <c r="E1284" s="198" t="s">
        <v>908</v>
      </c>
      <c r="F1284" s="198" t="s">
        <v>376</v>
      </c>
      <c r="G1284" s="198" t="s">
        <v>377</v>
      </c>
      <c r="H1284" s="198" t="n">
        <v>14</v>
      </c>
      <c r="I1284" s="199" t="n">
        <v>14</v>
      </c>
      <c r="J1284" s="198" t="s">
        <v>1058</v>
      </c>
      <c r="K1284" s="198" t="s">
        <v>1435</v>
      </c>
      <c r="L1284" s="234" t="n">
        <v>18390</v>
      </c>
      <c r="M1284" s="234" t="n">
        <v>14220</v>
      </c>
      <c r="N1284" s="234" t="n">
        <v>17</v>
      </c>
      <c r="O1284" s="407" t="n">
        <v>4170</v>
      </c>
      <c r="P1284" s="407" t="n">
        <v>3461.1</v>
      </c>
      <c r="Q1284" s="234" t="n">
        <v>2025</v>
      </c>
      <c r="R1284" s="234"/>
      <c r="S1284" s="248" t="n">
        <v>45836</v>
      </c>
      <c r="T1284" s="407" t="n">
        <f aca="false">Таблица18[[#This Row],[Вес нетто]]-Таблица18[[#This Row],[Зачетный вес]]</f>
        <v>708.9</v>
      </c>
      <c r="U1284" s="409" t="n">
        <f aca="false">Таблица18[[#This Row],[Отход]]/Таблица18[[#This Row],[Вес нетто]]</f>
        <v>0.17</v>
      </c>
      <c r="V1284" s="234" t="n">
        <f aca="false">MONTH(Таблица18[[#This Row],[Дата акта]])</f>
        <v>6</v>
      </c>
      <c r="W1284" s="234" t="n">
        <v>28</v>
      </c>
      <c r="X1284" s="248" t="n">
        <f aca="false">DATE(1900,Таблица18[[#This Row],[Месяц]],Таблица18[[#This Row],[Число]])</f>
        <v>180</v>
      </c>
      <c r="Y1284" s="234"/>
      <c r="AF1284" s="411"/>
      <c r="AG1284" s="412"/>
    </row>
    <row r="1285" s="410" customFormat="true" ht="15" hidden="true" customHeight="true" outlineLevel="0" collapsed="false">
      <c r="A1285" s="198" t="s">
        <v>2907</v>
      </c>
      <c r="B1285" s="199" t="s">
        <v>417</v>
      </c>
      <c r="C1285" s="198" t="n">
        <v>672</v>
      </c>
      <c r="D1285" s="198" t="n">
        <v>51</v>
      </c>
      <c r="E1285" s="198" t="s">
        <v>994</v>
      </c>
      <c r="F1285" s="198" t="s">
        <v>382</v>
      </c>
      <c r="G1285" s="198" t="s">
        <v>383</v>
      </c>
      <c r="H1285" s="198" t="s">
        <v>995</v>
      </c>
      <c r="I1285" s="199" t="s">
        <v>995</v>
      </c>
      <c r="J1285" s="198" t="s">
        <v>1061</v>
      </c>
      <c r="K1285" s="198" t="s">
        <v>1435</v>
      </c>
      <c r="L1285" s="234" t="n">
        <v>28270</v>
      </c>
      <c r="M1285" s="234" t="n">
        <v>14880</v>
      </c>
      <c r="N1285" s="234" t="n">
        <v>14</v>
      </c>
      <c r="O1285" s="407" t="n">
        <v>13390</v>
      </c>
      <c r="P1285" s="407" t="n">
        <v>11515.4</v>
      </c>
      <c r="Q1285" s="234" t="n">
        <v>2025</v>
      </c>
      <c r="R1285" s="234"/>
      <c r="S1285" s="248" t="n">
        <v>45836</v>
      </c>
      <c r="T1285" s="407" t="n">
        <f aca="false">Таблица18[[#This Row],[Вес нетто]]-Таблица18[[#This Row],[Зачетный вес]]</f>
        <v>1874.6</v>
      </c>
      <c r="U1285" s="409" t="n">
        <f aca="false">Таблица18[[#This Row],[Отход]]/Таблица18[[#This Row],[Вес нетто]]</f>
        <v>0.14</v>
      </c>
      <c r="V1285" s="234" t="n">
        <f aca="false">MONTH(Таблица18[[#This Row],[Дата акта]])</f>
        <v>6</v>
      </c>
      <c r="W1285" s="234" t="n">
        <v>28</v>
      </c>
      <c r="X1285" s="248" t="n">
        <f aca="false">DATE(1900,Таблица18[[#This Row],[Месяц]],Таблица18[[#This Row],[Число]])</f>
        <v>180</v>
      </c>
      <c r="Y1285" s="234"/>
      <c r="AF1285" s="411"/>
      <c r="AG1285" s="412"/>
    </row>
    <row r="1286" s="410" customFormat="true" ht="15" hidden="true" customHeight="true" outlineLevel="0" collapsed="false">
      <c r="A1286" s="198" t="s">
        <v>2908</v>
      </c>
      <c r="B1286" s="199" t="s">
        <v>417</v>
      </c>
      <c r="C1286" s="198" t="n">
        <v>673</v>
      </c>
      <c r="D1286" s="198" t="n">
        <v>49</v>
      </c>
      <c r="E1286" s="198" t="s">
        <v>994</v>
      </c>
      <c r="F1286" s="198" t="s">
        <v>371</v>
      </c>
      <c r="G1286" s="198" t="s">
        <v>372</v>
      </c>
      <c r="H1286" s="198" t="s">
        <v>995</v>
      </c>
      <c r="I1286" s="199" t="s">
        <v>995</v>
      </c>
      <c r="J1286" s="198" t="s">
        <v>1061</v>
      </c>
      <c r="K1286" s="198" t="s">
        <v>1435</v>
      </c>
      <c r="L1286" s="234" t="n">
        <v>29130</v>
      </c>
      <c r="M1286" s="234" t="n">
        <v>15110</v>
      </c>
      <c r="N1286" s="234" t="n">
        <v>14.5</v>
      </c>
      <c r="O1286" s="407" t="n">
        <v>14020</v>
      </c>
      <c r="P1286" s="407" t="n">
        <v>11987.1</v>
      </c>
      <c r="Q1286" s="234" t="n">
        <v>2025</v>
      </c>
      <c r="R1286" s="234"/>
      <c r="S1286" s="248" t="n">
        <v>45836</v>
      </c>
      <c r="T1286" s="407" t="n">
        <f aca="false">Таблица18[[#This Row],[Вес нетто]]-Таблица18[[#This Row],[Зачетный вес]]</f>
        <v>2032.9</v>
      </c>
      <c r="U1286" s="409" t="n">
        <f aca="false">Таблица18[[#This Row],[Отход]]/Таблица18[[#This Row],[Вес нетто]]</f>
        <v>0.145</v>
      </c>
      <c r="V1286" s="234" t="n">
        <f aca="false">MONTH(Таблица18[[#This Row],[Дата акта]])</f>
        <v>6</v>
      </c>
      <c r="W1286" s="234" t="n">
        <v>28</v>
      </c>
      <c r="X1286" s="248" t="n">
        <f aca="false">DATE(1900,Таблица18[[#This Row],[Месяц]],Таблица18[[#This Row],[Число]])</f>
        <v>180</v>
      </c>
      <c r="Y1286" s="234"/>
      <c r="AF1286" s="411"/>
      <c r="AG1286" s="412"/>
    </row>
    <row r="1287" s="410" customFormat="true" ht="15" hidden="true" customHeight="true" outlineLevel="0" collapsed="false">
      <c r="A1287" s="198" t="s">
        <v>2909</v>
      </c>
      <c r="B1287" s="199" t="s">
        <v>417</v>
      </c>
      <c r="C1287" s="198" t="n">
        <v>675</v>
      </c>
      <c r="D1287" s="198" t="n">
        <v>52</v>
      </c>
      <c r="E1287" s="198" t="s">
        <v>994</v>
      </c>
      <c r="F1287" s="198" t="s">
        <v>361</v>
      </c>
      <c r="G1287" s="198" t="s">
        <v>362</v>
      </c>
      <c r="H1287" s="198" t="s">
        <v>995</v>
      </c>
      <c r="I1287" s="199" t="s">
        <v>995</v>
      </c>
      <c r="J1287" s="198" t="s">
        <v>904</v>
      </c>
      <c r="K1287" s="198" t="s">
        <v>1435</v>
      </c>
      <c r="L1287" s="234" t="n">
        <v>22010</v>
      </c>
      <c r="M1287" s="234" t="n">
        <v>14920</v>
      </c>
      <c r="N1287" s="234" t="n">
        <v>19</v>
      </c>
      <c r="O1287" s="407" t="n">
        <v>7090</v>
      </c>
      <c r="P1287" s="407" t="n">
        <v>5742.9</v>
      </c>
      <c r="Q1287" s="234" t="n">
        <v>2025</v>
      </c>
      <c r="R1287" s="234"/>
      <c r="S1287" s="248" t="n">
        <v>45836</v>
      </c>
      <c r="T1287" s="407" t="n">
        <f aca="false">Таблица18[[#This Row],[Вес нетто]]-Таблица18[[#This Row],[Зачетный вес]]</f>
        <v>1347.1</v>
      </c>
      <c r="U1287" s="409" t="n">
        <f aca="false">Таблица18[[#This Row],[Отход]]/Таблица18[[#This Row],[Вес нетто]]</f>
        <v>0.19</v>
      </c>
      <c r="V1287" s="234" t="n">
        <f aca="false">MONTH(Таблица18[[#This Row],[Дата акта]])</f>
        <v>6</v>
      </c>
      <c r="W1287" s="234" t="n">
        <v>28</v>
      </c>
      <c r="X1287" s="248" t="n">
        <f aca="false">DATE(1900,Таблица18[[#This Row],[Месяц]],Таблица18[[#This Row],[Число]])</f>
        <v>180</v>
      </c>
      <c r="Y1287" s="234"/>
      <c r="AF1287" s="411"/>
      <c r="AG1287" s="412"/>
    </row>
    <row r="1288" s="410" customFormat="true" ht="15" hidden="true" customHeight="true" outlineLevel="0" collapsed="false">
      <c r="A1288" s="198" t="s">
        <v>2910</v>
      </c>
      <c r="B1288" s="199" t="s">
        <v>417</v>
      </c>
      <c r="C1288" s="198" t="n">
        <v>674</v>
      </c>
      <c r="D1288" s="198" t="n">
        <v>52</v>
      </c>
      <c r="E1288" s="198" t="s">
        <v>994</v>
      </c>
      <c r="F1288" s="198" t="s">
        <v>361</v>
      </c>
      <c r="G1288" s="198" t="s">
        <v>362</v>
      </c>
      <c r="H1288" s="198" t="s">
        <v>995</v>
      </c>
      <c r="I1288" s="199" t="s">
        <v>995</v>
      </c>
      <c r="J1288" s="198" t="s">
        <v>1061</v>
      </c>
      <c r="K1288" s="198" t="s">
        <v>1435</v>
      </c>
      <c r="L1288" s="234" t="n">
        <v>29040</v>
      </c>
      <c r="M1288" s="234" t="n">
        <v>22010</v>
      </c>
      <c r="N1288" s="234" t="n">
        <v>17</v>
      </c>
      <c r="O1288" s="407" t="n">
        <v>7030</v>
      </c>
      <c r="P1288" s="407" t="n">
        <v>5834.9</v>
      </c>
      <c r="Q1288" s="234" t="n">
        <v>2025</v>
      </c>
      <c r="R1288" s="234"/>
      <c r="S1288" s="248" t="n">
        <v>45836</v>
      </c>
      <c r="T1288" s="407" t="n">
        <f aca="false">Таблица18[[#This Row],[Вес нетто]]-Таблица18[[#This Row],[Зачетный вес]]</f>
        <v>1195.1</v>
      </c>
      <c r="U1288" s="409" t="n">
        <f aca="false">Таблица18[[#This Row],[Отход]]/Таблица18[[#This Row],[Вес нетто]]</f>
        <v>0.17</v>
      </c>
      <c r="V1288" s="234" t="n">
        <f aca="false">MONTH(Таблица18[[#This Row],[Дата акта]])</f>
        <v>6</v>
      </c>
      <c r="W1288" s="234" t="n">
        <v>28</v>
      </c>
      <c r="X1288" s="248" t="n">
        <f aca="false">DATE(1900,Таблица18[[#This Row],[Месяц]],Таблица18[[#This Row],[Число]])</f>
        <v>180</v>
      </c>
      <c r="Y1288" s="234"/>
      <c r="AF1288" s="411"/>
      <c r="AG1288" s="412"/>
    </row>
    <row r="1289" s="410" customFormat="true" ht="15" hidden="true" customHeight="true" outlineLevel="0" collapsed="false">
      <c r="A1289" s="198" t="s">
        <v>2911</v>
      </c>
      <c r="B1289" s="199" t="s">
        <v>417</v>
      </c>
      <c r="C1289" s="198" t="n">
        <v>676</v>
      </c>
      <c r="D1289" s="198" t="n">
        <v>50</v>
      </c>
      <c r="E1289" s="198" t="s">
        <v>994</v>
      </c>
      <c r="F1289" s="198" t="s">
        <v>384</v>
      </c>
      <c r="G1289" s="198" t="s">
        <v>385</v>
      </c>
      <c r="H1289" s="198" t="s">
        <v>995</v>
      </c>
      <c r="I1289" s="199" t="s">
        <v>995</v>
      </c>
      <c r="J1289" s="198" t="s">
        <v>904</v>
      </c>
      <c r="K1289" s="198" t="s">
        <v>1435</v>
      </c>
      <c r="L1289" s="234" t="n">
        <v>29480</v>
      </c>
      <c r="M1289" s="234" t="n">
        <v>14430</v>
      </c>
      <c r="N1289" s="234" t="n">
        <v>15</v>
      </c>
      <c r="O1289" s="407" t="n">
        <v>15050</v>
      </c>
      <c r="P1289" s="407" t="n">
        <v>12792.5</v>
      </c>
      <c r="Q1289" s="234" t="n">
        <v>2025</v>
      </c>
      <c r="R1289" s="234"/>
      <c r="S1289" s="248" t="n">
        <v>45836</v>
      </c>
      <c r="T1289" s="407" t="n">
        <f aca="false">Таблица18[[#This Row],[Вес нетто]]-Таблица18[[#This Row],[Зачетный вес]]</f>
        <v>2257.5</v>
      </c>
      <c r="U1289" s="409" t="n">
        <f aca="false">Таблица18[[#This Row],[Отход]]/Таблица18[[#This Row],[Вес нетто]]</f>
        <v>0.15</v>
      </c>
      <c r="V1289" s="234" t="n">
        <f aca="false">MONTH(Таблица18[[#This Row],[Дата акта]])</f>
        <v>6</v>
      </c>
      <c r="W1289" s="234" t="n">
        <v>28</v>
      </c>
      <c r="X1289" s="248" t="n">
        <f aca="false">DATE(1900,Таблица18[[#This Row],[Месяц]],Таблица18[[#This Row],[Число]])</f>
        <v>180</v>
      </c>
      <c r="Y1289" s="234"/>
      <c r="AF1289" s="411"/>
      <c r="AG1289" s="412"/>
    </row>
    <row r="1290" s="410" customFormat="true" ht="15" hidden="true" customHeight="true" outlineLevel="0" collapsed="false">
      <c r="A1290" s="198" t="s">
        <v>2912</v>
      </c>
      <c r="B1290" s="199" t="s">
        <v>417</v>
      </c>
      <c r="C1290" s="198" t="n">
        <v>678</v>
      </c>
      <c r="D1290" s="198" t="n">
        <v>55</v>
      </c>
      <c r="E1290" s="198" t="s">
        <v>994</v>
      </c>
      <c r="F1290" s="198" t="s">
        <v>1068</v>
      </c>
      <c r="G1290" s="198" t="s">
        <v>431</v>
      </c>
      <c r="H1290" s="198" t="s">
        <v>995</v>
      </c>
      <c r="I1290" s="199" t="s">
        <v>995</v>
      </c>
      <c r="J1290" s="198" t="s">
        <v>904</v>
      </c>
      <c r="K1290" s="198" t="s">
        <v>1435</v>
      </c>
      <c r="L1290" s="234" t="n">
        <v>35120</v>
      </c>
      <c r="M1290" s="234" t="n">
        <v>27970</v>
      </c>
      <c r="N1290" s="234" t="n">
        <v>10.5</v>
      </c>
      <c r="O1290" s="407" t="n">
        <v>7150</v>
      </c>
      <c r="P1290" s="407" t="n">
        <v>6399.2</v>
      </c>
      <c r="Q1290" s="234" t="n">
        <v>2025</v>
      </c>
      <c r="R1290" s="234"/>
      <c r="S1290" s="248" t="n">
        <v>45837</v>
      </c>
      <c r="T1290" s="407" t="n">
        <f aca="false">Таблица18[[#This Row],[Вес нетто]]-Таблица18[[#This Row],[Зачетный вес]]</f>
        <v>750.8</v>
      </c>
      <c r="U1290" s="409" t="n">
        <f aca="false">Таблица18[[#This Row],[Отход]]/Таблица18[[#This Row],[Вес нетто]]</f>
        <v>0.105006993006993</v>
      </c>
      <c r="V1290" s="234" t="n">
        <f aca="false">MONTH(Таблица18[[#This Row],[Дата акта]])</f>
        <v>6</v>
      </c>
      <c r="W1290" s="234" t="n">
        <v>29</v>
      </c>
      <c r="X1290" s="248" t="n">
        <f aca="false">DATE(1900,Таблица18[[#This Row],[Месяц]],Таблица18[[#This Row],[Число]])</f>
        <v>181</v>
      </c>
      <c r="Y1290" s="234"/>
      <c r="AF1290" s="411"/>
      <c r="AG1290" s="412"/>
    </row>
    <row r="1291" s="410" customFormat="true" ht="15" hidden="true" customHeight="true" outlineLevel="0" collapsed="false">
      <c r="A1291" s="198" t="s">
        <v>2913</v>
      </c>
      <c r="B1291" s="199" t="s">
        <v>417</v>
      </c>
      <c r="C1291" s="198" t="n">
        <v>679</v>
      </c>
      <c r="D1291" s="198" t="n">
        <v>55</v>
      </c>
      <c r="E1291" s="198" t="s">
        <v>994</v>
      </c>
      <c r="F1291" s="198" t="s">
        <v>1068</v>
      </c>
      <c r="G1291" s="198" t="s">
        <v>431</v>
      </c>
      <c r="H1291" s="198" t="s">
        <v>995</v>
      </c>
      <c r="I1291" s="199" t="s">
        <v>995</v>
      </c>
      <c r="J1291" s="198" t="s">
        <v>1061</v>
      </c>
      <c r="K1291" s="198" t="s">
        <v>1435</v>
      </c>
      <c r="L1291" s="234" t="n">
        <v>27970</v>
      </c>
      <c r="M1291" s="234" t="n">
        <v>20920</v>
      </c>
      <c r="N1291" s="234" t="n">
        <v>8.5</v>
      </c>
      <c r="O1291" s="407" t="n">
        <v>7050</v>
      </c>
      <c r="P1291" s="407" t="n">
        <v>6450.7</v>
      </c>
      <c r="Q1291" s="234" t="n">
        <v>2025</v>
      </c>
      <c r="R1291" s="234"/>
      <c r="S1291" s="248" t="n">
        <v>45837</v>
      </c>
      <c r="T1291" s="407" t="n">
        <f aca="false">Таблица18[[#This Row],[Вес нетто]]-Таблица18[[#This Row],[Зачетный вес]]</f>
        <v>599.3</v>
      </c>
      <c r="U1291" s="409" t="n">
        <f aca="false">Таблица18[[#This Row],[Отход]]/Таблица18[[#This Row],[Вес нетто]]</f>
        <v>0.0850070921985816</v>
      </c>
      <c r="V1291" s="234" t="n">
        <f aca="false">MONTH(Таблица18[[#This Row],[Дата акта]])</f>
        <v>6</v>
      </c>
      <c r="W1291" s="234" t="n">
        <v>29</v>
      </c>
      <c r="X1291" s="248" t="n">
        <f aca="false">DATE(1900,Таблица18[[#This Row],[Месяц]],Таблица18[[#This Row],[Число]])</f>
        <v>181</v>
      </c>
      <c r="Y1291" s="234"/>
      <c r="AF1291" s="411"/>
      <c r="AG1291" s="412"/>
    </row>
    <row r="1292" s="410" customFormat="true" ht="15" hidden="true" customHeight="true" outlineLevel="0" collapsed="false">
      <c r="A1292" s="198" t="s">
        <v>2914</v>
      </c>
      <c r="B1292" s="199" t="s">
        <v>417</v>
      </c>
      <c r="C1292" s="198" t="n">
        <v>680</v>
      </c>
      <c r="D1292" s="198" t="n">
        <v>54</v>
      </c>
      <c r="E1292" s="198" t="s">
        <v>994</v>
      </c>
      <c r="F1292" s="198" t="s">
        <v>439</v>
      </c>
      <c r="G1292" s="198" t="s">
        <v>443</v>
      </c>
      <c r="H1292" s="198" t="s">
        <v>995</v>
      </c>
      <c r="I1292" s="199" t="s">
        <v>995</v>
      </c>
      <c r="J1292" s="198" t="s">
        <v>1061</v>
      </c>
      <c r="K1292" s="198" t="s">
        <v>1435</v>
      </c>
      <c r="L1292" s="234" t="n">
        <v>38080</v>
      </c>
      <c r="M1292" s="234" t="n">
        <v>24150</v>
      </c>
      <c r="N1292" s="234" t="n">
        <v>14</v>
      </c>
      <c r="O1292" s="407" t="n">
        <v>13930</v>
      </c>
      <c r="P1292" s="407" t="n">
        <v>11979.8</v>
      </c>
      <c r="Q1292" s="234" t="n">
        <v>2025</v>
      </c>
      <c r="R1292" s="234"/>
      <c r="S1292" s="248" t="n">
        <v>45837</v>
      </c>
      <c r="T1292" s="407" t="n">
        <f aca="false">Таблица18[[#This Row],[Вес нетто]]-Таблица18[[#This Row],[Зачетный вес]]</f>
        <v>1950.2</v>
      </c>
      <c r="U1292" s="409" t="n">
        <f aca="false">Таблица18[[#This Row],[Отход]]/Таблица18[[#This Row],[Вес нетто]]</f>
        <v>0.14</v>
      </c>
      <c r="V1292" s="234" t="n">
        <f aca="false">MONTH(Таблица18[[#This Row],[Дата акта]])</f>
        <v>6</v>
      </c>
      <c r="W1292" s="234" t="n">
        <v>29</v>
      </c>
      <c r="X1292" s="248" t="n">
        <f aca="false">DATE(1900,Таблица18[[#This Row],[Месяц]],Таблица18[[#This Row],[Число]])</f>
        <v>181</v>
      </c>
      <c r="Y1292" s="234"/>
      <c r="AF1292" s="411"/>
      <c r="AG1292" s="412"/>
    </row>
    <row r="1293" s="410" customFormat="true" ht="15" hidden="true" customHeight="true" outlineLevel="0" collapsed="false">
      <c r="A1293" s="198" t="s">
        <v>2915</v>
      </c>
      <c r="B1293" s="199" t="s">
        <v>417</v>
      </c>
      <c r="C1293" s="198" t="n">
        <v>681</v>
      </c>
      <c r="D1293" s="198" t="n">
        <v>54958</v>
      </c>
      <c r="E1293" s="198" t="s">
        <v>908</v>
      </c>
      <c r="F1293" s="198" t="s">
        <v>376</v>
      </c>
      <c r="G1293" s="198" t="s">
        <v>377</v>
      </c>
      <c r="H1293" s="198" t="n">
        <v>14</v>
      </c>
      <c r="I1293" s="199" t="n">
        <v>14</v>
      </c>
      <c r="J1293" s="198" t="s">
        <v>1058</v>
      </c>
      <c r="K1293" s="198" t="s">
        <v>1435</v>
      </c>
      <c r="L1293" s="234" t="n">
        <v>23440</v>
      </c>
      <c r="M1293" s="234" t="n">
        <v>14350</v>
      </c>
      <c r="N1293" s="234" t="n">
        <v>13.5</v>
      </c>
      <c r="O1293" s="407" t="n">
        <v>9090</v>
      </c>
      <c r="P1293" s="407" t="n">
        <v>7862.8</v>
      </c>
      <c r="Q1293" s="234" t="n">
        <v>2025</v>
      </c>
      <c r="R1293" s="234"/>
      <c r="S1293" s="248" t="n">
        <v>45837</v>
      </c>
      <c r="T1293" s="407" t="n">
        <f aca="false">Таблица18[[#This Row],[Вес нетто]]-Таблица18[[#This Row],[Зачетный вес]]</f>
        <v>1227.2</v>
      </c>
      <c r="U1293" s="409" t="n">
        <f aca="false">Таблица18[[#This Row],[Отход]]/Таблица18[[#This Row],[Вес нетто]]</f>
        <v>0.135005500550055</v>
      </c>
      <c r="V1293" s="234" t="n">
        <f aca="false">MONTH(Таблица18[[#This Row],[Дата акта]])</f>
        <v>6</v>
      </c>
      <c r="W1293" s="234" t="n">
        <v>29</v>
      </c>
      <c r="X1293" s="248" t="n">
        <f aca="false">DATE(1900,Таблица18[[#This Row],[Месяц]],Таблица18[[#This Row],[Число]])</f>
        <v>181</v>
      </c>
      <c r="Y1293" s="234"/>
      <c r="AF1293" s="411"/>
      <c r="AG1293" s="412"/>
    </row>
    <row r="1294" s="410" customFormat="true" ht="15" hidden="true" customHeight="true" outlineLevel="0" collapsed="false">
      <c r="A1294" s="198" t="s">
        <v>2916</v>
      </c>
      <c r="B1294" s="199" t="s">
        <v>417</v>
      </c>
      <c r="C1294" s="198" t="n">
        <v>682</v>
      </c>
      <c r="D1294" s="198" t="n">
        <v>57</v>
      </c>
      <c r="E1294" s="198" t="s">
        <v>994</v>
      </c>
      <c r="F1294" s="198" t="s">
        <v>451</v>
      </c>
      <c r="G1294" s="198" t="s">
        <v>455</v>
      </c>
      <c r="H1294" s="198" t="s">
        <v>995</v>
      </c>
      <c r="I1294" s="199" t="s">
        <v>995</v>
      </c>
      <c r="J1294" s="198" t="s">
        <v>904</v>
      </c>
      <c r="K1294" s="198" t="s">
        <v>1435</v>
      </c>
      <c r="L1294" s="234" t="n">
        <v>28620</v>
      </c>
      <c r="M1294" s="234" t="n">
        <v>14940</v>
      </c>
      <c r="N1294" s="234" t="n">
        <v>15</v>
      </c>
      <c r="O1294" s="407" t="n">
        <v>13680</v>
      </c>
      <c r="P1294" s="407" t="n">
        <v>11628</v>
      </c>
      <c r="Q1294" s="234" t="n">
        <v>2025</v>
      </c>
      <c r="R1294" s="234"/>
      <c r="S1294" s="248" t="n">
        <v>45837</v>
      </c>
      <c r="T1294" s="407" t="n">
        <f aca="false">Таблица18[[#This Row],[Вес нетто]]-Таблица18[[#This Row],[Зачетный вес]]</f>
        <v>2052</v>
      </c>
      <c r="U1294" s="409" t="n">
        <f aca="false">Таблица18[[#This Row],[Отход]]/Таблица18[[#This Row],[Вес нетто]]</f>
        <v>0.15</v>
      </c>
      <c r="V1294" s="234" t="n">
        <f aca="false">MONTH(Таблица18[[#This Row],[Дата акта]])</f>
        <v>6</v>
      </c>
      <c r="W1294" s="234" t="n">
        <v>29</v>
      </c>
      <c r="X1294" s="248" t="n">
        <f aca="false">DATE(1900,Таблица18[[#This Row],[Месяц]],Таблица18[[#This Row],[Число]])</f>
        <v>181</v>
      </c>
      <c r="Y1294" s="234"/>
      <c r="AF1294" s="411"/>
      <c r="AG1294" s="412"/>
    </row>
    <row r="1295" s="410" customFormat="true" ht="15" hidden="true" customHeight="true" outlineLevel="0" collapsed="false">
      <c r="A1295" s="198" t="s">
        <v>2917</v>
      </c>
      <c r="B1295" s="199" t="s">
        <v>417</v>
      </c>
      <c r="C1295" s="198" t="n">
        <v>683</v>
      </c>
      <c r="D1295" s="198" t="n">
        <v>54958</v>
      </c>
      <c r="E1295" s="198" t="s">
        <v>908</v>
      </c>
      <c r="F1295" s="198" t="s">
        <v>378</v>
      </c>
      <c r="G1295" s="198" t="s">
        <v>379</v>
      </c>
      <c r="H1295" s="198" t="n">
        <v>14</v>
      </c>
      <c r="I1295" s="199" t="n">
        <v>14</v>
      </c>
      <c r="J1295" s="198" t="s">
        <v>1058</v>
      </c>
      <c r="K1295" s="198" t="s">
        <v>1435</v>
      </c>
      <c r="L1295" s="234" t="n">
        <v>9150</v>
      </c>
      <c r="M1295" s="234" t="n">
        <v>4610</v>
      </c>
      <c r="N1295" s="234" t="n">
        <v>12.5</v>
      </c>
      <c r="O1295" s="407" t="n">
        <v>4540</v>
      </c>
      <c r="P1295" s="407" t="n">
        <v>3972.5</v>
      </c>
      <c r="Q1295" s="234" t="n">
        <v>2025</v>
      </c>
      <c r="R1295" s="234"/>
      <c r="S1295" s="248" t="n">
        <v>45837</v>
      </c>
      <c r="T1295" s="407" t="n">
        <f aca="false">Таблица18[[#This Row],[Вес нетто]]-Таблица18[[#This Row],[Зачетный вес]]</f>
        <v>567.5</v>
      </c>
      <c r="U1295" s="409" t="n">
        <f aca="false">Таблица18[[#This Row],[Отход]]/Таблица18[[#This Row],[Вес нетто]]</f>
        <v>0.125</v>
      </c>
      <c r="V1295" s="234" t="n">
        <f aca="false">MONTH(Таблица18[[#This Row],[Дата акта]])</f>
        <v>6</v>
      </c>
      <c r="W1295" s="234" t="n">
        <v>29</v>
      </c>
      <c r="X1295" s="248" t="n">
        <f aca="false">DATE(1900,Таблица18[[#This Row],[Месяц]],Таблица18[[#This Row],[Число]])</f>
        <v>181</v>
      </c>
      <c r="Y1295" s="234"/>
      <c r="AF1295" s="411"/>
      <c r="AG1295" s="412"/>
    </row>
    <row r="1296" s="410" customFormat="true" ht="15" hidden="true" customHeight="true" outlineLevel="0" collapsed="false">
      <c r="A1296" s="198" t="s">
        <v>2918</v>
      </c>
      <c r="B1296" s="199" t="s">
        <v>417</v>
      </c>
      <c r="C1296" s="198" t="n">
        <v>684</v>
      </c>
      <c r="D1296" s="198" t="n">
        <v>54953</v>
      </c>
      <c r="E1296" s="198" t="s">
        <v>908</v>
      </c>
      <c r="F1296" s="198" t="s">
        <v>519</v>
      </c>
      <c r="G1296" s="198" t="s">
        <v>523</v>
      </c>
      <c r="H1296" s="198" t="n">
        <v>14</v>
      </c>
      <c r="I1296" s="199" t="n">
        <v>14</v>
      </c>
      <c r="J1296" s="198" t="s">
        <v>1058</v>
      </c>
      <c r="K1296" s="198" t="s">
        <v>1435</v>
      </c>
      <c r="L1296" s="234" t="n">
        <v>18400</v>
      </c>
      <c r="M1296" s="234" t="n">
        <v>15660</v>
      </c>
      <c r="N1296" s="234" t="n">
        <v>11</v>
      </c>
      <c r="O1296" s="407" t="n">
        <v>2740</v>
      </c>
      <c r="P1296" s="407" t="n">
        <v>2438.6</v>
      </c>
      <c r="Q1296" s="234" t="n">
        <v>2025</v>
      </c>
      <c r="R1296" s="234"/>
      <c r="S1296" s="248" t="n">
        <v>45838</v>
      </c>
      <c r="T1296" s="407" t="n">
        <f aca="false">Таблица18[[#This Row],[Вес нетто]]-Таблица18[[#This Row],[Зачетный вес]]</f>
        <v>301.4</v>
      </c>
      <c r="U1296" s="409" t="n">
        <f aca="false">Таблица18[[#This Row],[Отход]]/Таблица18[[#This Row],[Вес нетто]]</f>
        <v>0.11</v>
      </c>
      <c r="V1296" s="234" t="n">
        <f aca="false">MONTH(Таблица18[[#This Row],[Дата акта]])</f>
        <v>6</v>
      </c>
      <c r="W1296" s="234" t="n">
        <v>30</v>
      </c>
      <c r="X1296" s="248" t="n">
        <f aca="false">DATE(1900,Таблица18[[#This Row],[Месяц]],Таблица18[[#This Row],[Число]])</f>
        <v>182</v>
      </c>
      <c r="Y1296" s="234"/>
      <c r="AF1296" s="411"/>
      <c r="AG1296" s="412"/>
    </row>
    <row r="1297" s="410" customFormat="true" ht="15" hidden="true" customHeight="true" outlineLevel="0" collapsed="false">
      <c r="A1297" s="198" t="s">
        <v>2919</v>
      </c>
      <c r="B1297" s="199" t="s">
        <v>417</v>
      </c>
      <c r="C1297" s="198" t="n">
        <v>677</v>
      </c>
      <c r="D1297" s="198" t="n">
        <v>53</v>
      </c>
      <c r="E1297" s="198" t="s">
        <v>994</v>
      </c>
      <c r="F1297" s="198" t="s">
        <v>365</v>
      </c>
      <c r="G1297" s="198" t="s">
        <v>373</v>
      </c>
      <c r="H1297" s="198" t="s">
        <v>995</v>
      </c>
      <c r="I1297" s="199" t="s">
        <v>995</v>
      </c>
      <c r="J1297" s="198" t="s">
        <v>1061</v>
      </c>
      <c r="K1297" s="198" t="s">
        <v>1435</v>
      </c>
      <c r="L1297" s="234" t="n">
        <v>29430</v>
      </c>
      <c r="M1297" s="234" t="n">
        <v>22535</v>
      </c>
      <c r="N1297" s="234" t="n">
        <v>9.5</v>
      </c>
      <c r="O1297" s="407" t="n">
        <v>6895</v>
      </c>
      <c r="P1297" s="407" t="n">
        <v>6240</v>
      </c>
      <c r="Q1297" s="234" t="n">
        <v>2025</v>
      </c>
      <c r="R1297" s="234"/>
      <c r="S1297" s="248" t="n">
        <v>45837</v>
      </c>
      <c r="T1297" s="407" t="n">
        <f aca="false">Таблица18[[#This Row],[Вес нетто]]-Таблица18[[#This Row],[Зачетный вес]]</f>
        <v>655</v>
      </c>
      <c r="U1297" s="409" t="n">
        <f aca="false">Таблица18[[#This Row],[Отход]]/Таблица18[[#This Row],[Вес нетто]]</f>
        <v>0.0949963741841915</v>
      </c>
      <c r="V1297" s="234" t="n">
        <f aca="false">MONTH(Таблица18[[#This Row],[Дата акта]])</f>
        <v>6</v>
      </c>
      <c r="W1297" s="234" t="n">
        <v>29</v>
      </c>
      <c r="X1297" s="248" t="n">
        <f aca="false">DATE(1900,Таблица18[[#This Row],[Месяц]],Таблица18[[#This Row],[Число]])</f>
        <v>181</v>
      </c>
      <c r="Y1297" s="234"/>
      <c r="AF1297" s="411"/>
      <c r="AG1297" s="412"/>
    </row>
    <row r="1298" s="410" customFormat="true" ht="15" hidden="true" customHeight="true" outlineLevel="0" collapsed="false">
      <c r="A1298" s="198" t="s">
        <v>2920</v>
      </c>
      <c r="B1298" s="199" t="s">
        <v>417</v>
      </c>
      <c r="C1298" s="198" t="n">
        <v>685</v>
      </c>
      <c r="D1298" s="198" t="n">
        <v>53</v>
      </c>
      <c r="E1298" s="198" t="s">
        <v>994</v>
      </c>
      <c r="F1298" s="198" t="s">
        <v>365</v>
      </c>
      <c r="G1298" s="198" t="s">
        <v>373</v>
      </c>
      <c r="H1298" s="198" t="s">
        <v>995</v>
      </c>
      <c r="I1298" s="199" t="s">
        <v>995</v>
      </c>
      <c r="J1298" s="198" t="s">
        <v>904</v>
      </c>
      <c r="K1298" s="198" t="s">
        <v>1435</v>
      </c>
      <c r="L1298" s="234" t="n">
        <v>22535</v>
      </c>
      <c r="M1298" s="234" t="n">
        <v>15640</v>
      </c>
      <c r="N1298" s="234" t="n">
        <v>12</v>
      </c>
      <c r="O1298" s="407" t="n">
        <v>6895</v>
      </c>
      <c r="P1298" s="407" t="n">
        <v>6067.6</v>
      </c>
      <c r="Q1298" s="234" t="n">
        <v>2025</v>
      </c>
      <c r="R1298" s="234"/>
      <c r="S1298" s="248" t="n">
        <v>45837</v>
      </c>
      <c r="T1298" s="407" t="n">
        <f aca="false">Таблица18[[#This Row],[Вес нетто]]-Таблица18[[#This Row],[Зачетный вес]]</f>
        <v>827.4</v>
      </c>
      <c r="U1298" s="409" t="n">
        <f aca="false">Таблица18[[#This Row],[Отход]]/Таблица18[[#This Row],[Вес нетто]]</f>
        <v>0.12</v>
      </c>
      <c r="V1298" s="234" t="n">
        <f aca="false">MONTH(Таблица18[[#This Row],[Дата акта]])</f>
        <v>6</v>
      </c>
      <c r="W1298" s="234" t="n">
        <v>29</v>
      </c>
      <c r="X1298" s="248" t="n">
        <f aca="false">DATE(1900,Таблица18[[#This Row],[Месяц]],Таблица18[[#This Row],[Число]])</f>
        <v>181</v>
      </c>
      <c r="Y1298" s="234"/>
      <c r="AF1298" s="411"/>
      <c r="AG1298" s="412"/>
    </row>
    <row r="1299" s="410" customFormat="true" ht="15" hidden="true" customHeight="true" outlineLevel="0" collapsed="false">
      <c r="A1299" s="198" t="s">
        <v>2921</v>
      </c>
      <c r="B1299" s="199" t="s">
        <v>417</v>
      </c>
      <c r="C1299" s="198" t="n">
        <v>687</v>
      </c>
      <c r="D1299" s="198" t="n">
        <v>54959</v>
      </c>
      <c r="E1299" s="198" t="s">
        <v>908</v>
      </c>
      <c r="F1299" s="198" t="s">
        <v>511</v>
      </c>
      <c r="G1299" s="198" t="s">
        <v>515</v>
      </c>
      <c r="H1299" s="198" t="n">
        <v>14</v>
      </c>
      <c r="I1299" s="199" t="n">
        <v>14</v>
      </c>
      <c r="J1299" s="198" t="s">
        <v>1058</v>
      </c>
      <c r="K1299" s="198" t="s">
        <v>1435</v>
      </c>
      <c r="L1299" s="234" t="n">
        <v>23370</v>
      </c>
      <c r="M1299" s="234" t="n">
        <v>14830</v>
      </c>
      <c r="N1299" s="234" t="n">
        <v>10.5</v>
      </c>
      <c r="O1299" s="407" t="n">
        <v>8540</v>
      </c>
      <c r="P1299" s="407" t="n">
        <v>7643.3</v>
      </c>
      <c r="Q1299" s="234" t="n">
        <v>2025</v>
      </c>
      <c r="R1299" s="234"/>
      <c r="S1299" s="248" t="n">
        <v>45838</v>
      </c>
      <c r="T1299" s="407" t="n">
        <f aca="false">Таблица18[[#This Row],[Вес нетто]]-Таблица18[[#This Row],[Зачетный вес]]</f>
        <v>896.7</v>
      </c>
      <c r="U1299" s="409" t="n">
        <f aca="false">Таблица18[[#This Row],[Отход]]/Таблица18[[#This Row],[Вес нетто]]</f>
        <v>0.105</v>
      </c>
      <c r="V1299" s="234" t="n">
        <f aca="false">MONTH(Таблица18[[#This Row],[Дата акта]])</f>
        <v>6</v>
      </c>
      <c r="W1299" s="234" t="n">
        <v>30</v>
      </c>
      <c r="X1299" s="248" t="n">
        <f aca="false">DATE(1900,Таблица18[[#This Row],[Месяц]],Таблица18[[#This Row],[Число]])</f>
        <v>182</v>
      </c>
      <c r="Y1299" s="234"/>
      <c r="AF1299" s="411"/>
      <c r="AG1299" s="412"/>
    </row>
    <row r="1300" s="410" customFormat="true" ht="15" hidden="true" customHeight="true" outlineLevel="0" collapsed="false">
      <c r="A1300" s="198" t="s">
        <v>2922</v>
      </c>
      <c r="B1300" s="199" t="s">
        <v>417</v>
      </c>
      <c r="C1300" s="198" t="n">
        <v>689</v>
      </c>
      <c r="D1300" s="198" t="n">
        <v>54960</v>
      </c>
      <c r="E1300" s="198" t="s">
        <v>908</v>
      </c>
      <c r="F1300" s="198" t="s">
        <v>472</v>
      </c>
      <c r="G1300" s="198" t="s">
        <v>476</v>
      </c>
      <c r="H1300" s="198" t="n">
        <v>14</v>
      </c>
      <c r="I1300" s="199" t="n">
        <v>14</v>
      </c>
      <c r="J1300" s="198" t="s">
        <v>1058</v>
      </c>
      <c r="K1300" s="198" t="s">
        <v>1435</v>
      </c>
      <c r="L1300" s="234" t="n">
        <v>23950</v>
      </c>
      <c r="M1300" s="234" t="n">
        <v>15560</v>
      </c>
      <c r="N1300" s="234" t="n">
        <v>14</v>
      </c>
      <c r="O1300" s="407" t="n">
        <v>8390</v>
      </c>
      <c r="P1300" s="407" t="n">
        <v>7215.4</v>
      </c>
      <c r="Q1300" s="234" t="n">
        <v>2025</v>
      </c>
      <c r="R1300" s="234"/>
      <c r="S1300" s="248" t="n">
        <v>45838</v>
      </c>
      <c r="T1300" s="407" t="n">
        <f aca="false">Таблица18[[#This Row],[Вес нетто]]-Таблица18[[#This Row],[Зачетный вес]]</f>
        <v>1174.6</v>
      </c>
      <c r="U1300" s="409" t="n">
        <f aca="false">Таблица18[[#This Row],[Отход]]/Таблица18[[#This Row],[Вес нетто]]</f>
        <v>0.14</v>
      </c>
      <c r="V1300" s="234" t="n">
        <f aca="false">MONTH(Таблица18[[#This Row],[Дата акта]])</f>
        <v>6</v>
      </c>
      <c r="W1300" s="234" t="n">
        <v>30</v>
      </c>
      <c r="X1300" s="248" t="n">
        <f aca="false">DATE(1900,Таблица18[[#This Row],[Месяц]],Таблица18[[#This Row],[Число]])</f>
        <v>182</v>
      </c>
      <c r="Y1300" s="234"/>
      <c r="AF1300" s="411"/>
      <c r="AG1300" s="412"/>
    </row>
    <row r="1301" s="410" customFormat="true" ht="15" hidden="true" customHeight="true" outlineLevel="0" collapsed="false">
      <c r="A1301" s="198" t="s">
        <v>2923</v>
      </c>
      <c r="B1301" s="199" t="s">
        <v>417</v>
      </c>
      <c r="C1301" s="198" t="n">
        <v>690</v>
      </c>
      <c r="D1301" s="198" t="n">
        <v>54961</v>
      </c>
      <c r="E1301" s="198" t="s">
        <v>908</v>
      </c>
      <c r="F1301" s="198" t="s">
        <v>411</v>
      </c>
      <c r="G1301" s="198" t="s">
        <v>381</v>
      </c>
      <c r="H1301" s="198" t="n">
        <v>14</v>
      </c>
      <c r="I1301" s="199" t="n">
        <v>14</v>
      </c>
      <c r="J1301" s="198" t="s">
        <v>1058</v>
      </c>
      <c r="K1301" s="198" t="s">
        <v>1435</v>
      </c>
      <c r="L1301" s="234" t="n">
        <v>22880</v>
      </c>
      <c r="M1301" s="234" t="n">
        <v>14180</v>
      </c>
      <c r="N1301" s="234" t="n">
        <v>15</v>
      </c>
      <c r="O1301" s="407" t="n">
        <v>8700</v>
      </c>
      <c r="P1301" s="407" t="n">
        <v>7395</v>
      </c>
      <c r="Q1301" s="234" t="n">
        <v>2025</v>
      </c>
      <c r="R1301" s="234"/>
      <c r="S1301" s="248" t="n">
        <v>45838</v>
      </c>
      <c r="T1301" s="407" t="n">
        <f aca="false">Таблица18[[#This Row],[Вес нетто]]-Таблица18[[#This Row],[Зачетный вес]]</f>
        <v>1305</v>
      </c>
      <c r="U1301" s="409" t="n">
        <f aca="false">Таблица18[[#This Row],[Отход]]/Таблица18[[#This Row],[Вес нетто]]</f>
        <v>0.15</v>
      </c>
      <c r="V1301" s="234" t="n">
        <f aca="false">MONTH(Таблица18[[#This Row],[Дата акта]])</f>
        <v>6</v>
      </c>
      <c r="W1301" s="234" t="n">
        <v>30</v>
      </c>
      <c r="X1301" s="248" t="n">
        <f aca="false">DATE(1900,Таблица18[[#This Row],[Месяц]],Таблица18[[#This Row],[Число]])</f>
        <v>182</v>
      </c>
      <c r="Y1301" s="234"/>
      <c r="AF1301" s="411"/>
      <c r="AG1301" s="412"/>
    </row>
    <row r="1302" s="410" customFormat="true" ht="15" hidden="true" customHeight="true" outlineLevel="0" collapsed="false">
      <c r="A1302" s="198" t="s">
        <v>2924</v>
      </c>
      <c r="B1302" s="199" t="s">
        <v>417</v>
      </c>
      <c r="C1302" s="198" t="n">
        <v>692</v>
      </c>
      <c r="D1302" s="198" t="n">
        <v>59</v>
      </c>
      <c r="E1302" s="198" t="s">
        <v>994</v>
      </c>
      <c r="F1302" s="198" t="s">
        <v>359</v>
      </c>
      <c r="G1302" s="198" t="s">
        <v>426</v>
      </c>
      <c r="H1302" s="198" t="s">
        <v>995</v>
      </c>
      <c r="I1302" s="199" t="s">
        <v>995</v>
      </c>
      <c r="J1302" s="198" t="s">
        <v>904</v>
      </c>
      <c r="K1302" s="198" t="s">
        <v>1435</v>
      </c>
      <c r="L1302" s="234" t="n">
        <v>27500</v>
      </c>
      <c r="M1302" s="234" t="n">
        <v>13820</v>
      </c>
      <c r="N1302" s="234" t="n">
        <v>13</v>
      </c>
      <c r="O1302" s="407" t="n">
        <v>13680</v>
      </c>
      <c r="P1302" s="407" t="n">
        <v>11901.6</v>
      </c>
      <c r="Q1302" s="234" t="n">
        <v>2025</v>
      </c>
      <c r="R1302" s="234"/>
      <c r="S1302" s="248" t="n">
        <v>45839</v>
      </c>
      <c r="T1302" s="407" t="n">
        <f aca="false">Таблица18[[#This Row],[Вес нетто]]-Таблица18[[#This Row],[Зачетный вес]]</f>
        <v>1778.4</v>
      </c>
      <c r="U1302" s="409" t="n">
        <f aca="false">Таблица18[[#This Row],[Отход]]/Таблица18[[#This Row],[Вес нетто]]</f>
        <v>0.13</v>
      </c>
      <c r="V1302" s="234" t="n">
        <f aca="false">MONTH(Таблица18[[#This Row],[Дата акта]])</f>
        <v>7</v>
      </c>
      <c r="W1302" s="234" t="n">
        <v>1</v>
      </c>
      <c r="X1302" s="248" t="n">
        <f aca="false">DATE(1900,Таблица18[[#This Row],[Месяц]],Таблица18[[#This Row],[Число]])</f>
        <v>183</v>
      </c>
      <c r="Y1302" s="234"/>
      <c r="AF1302" s="411"/>
      <c r="AG1302" s="412"/>
    </row>
    <row r="1303" s="410" customFormat="true" ht="15" hidden="true" customHeight="true" outlineLevel="0" collapsed="false">
      <c r="A1303" s="198" t="s">
        <v>2925</v>
      </c>
      <c r="B1303" s="199" t="s">
        <v>417</v>
      </c>
      <c r="C1303" s="198" t="n">
        <v>693</v>
      </c>
      <c r="D1303" s="198" t="n">
        <v>58</v>
      </c>
      <c r="E1303" s="198" t="s">
        <v>994</v>
      </c>
      <c r="F1303" s="198" t="s">
        <v>553</v>
      </c>
      <c r="G1303" s="198" t="s">
        <v>557</v>
      </c>
      <c r="H1303" s="198" t="s">
        <v>995</v>
      </c>
      <c r="I1303" s="199" t="s">
        <v>995</v>
      </c>
      <c r="J1303" s="198" t="s">
        <v>904</v>
      </c>
      <c r="K1303" s="198" t="s">
        <v>1435</v>
      </c>
      <c r="L1303" s="234" t="n">
        <v>28870</v>
      </c>
      <c r="M1303" s="234" t="n">
        <v>14960</v>
      </c>
      <c r="N1303" s="234" t="n">
        <v>9</v>
      </c>
      <c r="O1303" s="407" t="n">
        <v>13910</v>
      </c>
      <c r="P1303" s="407" t="n">
        <v>12658.1</v>
      </c>
      <c r="Q1303" s="234" t="n">
        <v>2025</v>
      </c>
      <c r="R1303" s="234"/>
      <c r="S1303" s="248" t="n">
        <v>45839</v>
      </c>
      <c r="T1303" s="407" t="n">
        <f aca="false">Таблица18[[#This Row],[Вес нетто]]-Таблица18[[#This Row],[Зачетный вес]]</f>
        <v>1251.9</v>
      </c>
      <c r="U1303" s="409" t="n">
        <f aca="false">Таблица18[[#This Row],[Отход]]/Таблица18[[#This Row],[Вес нетто]]</f>
        <v>0.09</v>
      </c>
      <c r="V1303" s="234" t="n">
        <f aca="false">MONTH(Таблица18[[#This Row],[Дата акта]])</f>
        <v>7</v>
      </c>
      <c r="W1303" s="234" t="n">
        <v>1</v>
      </c>
      <c r="X1303" s="248" t="n">
        <f aca="false">DATE(1900,Таблица18[[#This Row],[Месяц]],Таблица18[[#This Row],[Число]])</f>
        <v>183</v>
      </c>
      <c r="Y1303" s="234"/>
      <c r="AF1303" s="411"/>
      <c r="AG1303" s="412"/>
    </row>
    <row r="1304" s="410" customFormat="true" ht="15" hidden="true" customHeight="true" outlineLevel="0" collapsed="false">
      <c r="A1304" s="198" t="s">
        <v>2926</v>
      </c>
      <c r="B1304" s="199" t="s">
        <v>417</v>
      </c>
      <c r="C1304" s="198" t="n">
        <v>694</v>
      </c>
      <c r="D1304" s="198" t="n">
        <v>56</v>
      </c>
      <c r="E1304" s="198" t="s">
        <v>994</v>
      </c>
      <c r="F1304" s="198" t="s">
        <v>445</v>
      </c>
      <c r="G1304" s="198" t="s">
        <v>449</v>
      </c>
      <c r="H1304" s="198" t="s">
        <v>995</v>
      </c>
      <c r="I1304" s="199" t="s">
        <v>995</v>
      </c>
      <c r="J1304" s="198" t="s">
        <v>904</v>
      </c>
      <c r="K1304" s="198" t="s">
        <v>1435</v>
      </c>
      <c r="L1304" s="234" t="n">
        <v>29640</v>
      </c>
      <c r="M1304" s="234" t="n">
        <v>15750</v>
      </c>
      <c r="N1304" s="234" t="n">
        <v>16</v>
      </c>
      <c r="O1304" s="407" t="n">
        <v>13890</v>
      </c>
      <c r="P1304" s="407" t="n">
        <v>11667.6</v>
      </c>
      <c r="Q1304" s="234" t="n">
        <v>2025</v>
      </c>
      <c r="R1304" s="234"/>
      <c r="S1304" s="248" t="n">
        <v>45839</v>
      </c>
      <c r="T1304" s="407" t="n">
        <f aca="false">Таблица18[[#This Row],[Вес нетто]]-Таблица18[[#This Row],[Зачетный вес]]</f>
        <v>2222.4</v>
      </c>
      <c r="U1304" s="409" t="n">
        <f aca="false">Таблица18[[#This Row],[Отход]]/Таблица18[[#This Row],[Вес нетто]]</f>
        <v>0.16</v>
      </c>
      <c r="V1304" s="234" t="n">
        <f aca="false">MONTH(Таблица18[[#This Row],[Дата акта]])</f>
        <v>7</v>
      </c>
      <c r="W1304" s="234" t="n">
        <v>1</v>
      </c>
      <c r="X1304" s="248" t="n">
        <f aca="false">DATE(1900,Таблица18[[#This Row],[Месяц]],Таблица18[[#This Row],[Число]])</f>
        <v>183</v>
      </c>
      <c r="Y1304" s="234"/>
      <c r="AF1304" s="411"/>
      <c r="AG1304" s="412"/>
    </row>
    <row r="1305" s="410" customFormat="true" ht="15" hidden="true" customHeight="true" outlineLevel="0" collapsed="false">
      <c r="A1305" s="198" t="s">
        <v>2927</v>
      </c>
      <c r="B1305" s="199" t="s">
        <v>417</v>
      </c>
      <c r="C1305" s="198" t="n">
        <v>695</v>
      </c>
      <c r="D1305" s="198" t="n">
        <v>60</v>
      </c>
      <c r="E1305" s="198" t="s">
        <v>994</v>
      </c>
      <c r="F1305" s="198" t="s">
        <v>547</v>
      </c>
      <c r="G1305" s="198" t="s">
        <v>551</v>
      </c>
      <c r="H1305" s="198" t="s">
        <v>995</v>
      </c>
      <c r="I1305" s="199" t="s">
        <v>995</v>
      </c>
      <c r="J1305" s="198" t="s">
        <v>904</v>
      </c>
      <c r="K1305" s="198" t="s">
        <v>1435</v>
      </c>
      <c r="L1305" s="234" t="n">
        <v>28640</v>
      </c>
      <c r="M1305" s="234" t="n">
        <v>14780</v>
      </c>
      <c r="N1305" s="234" t="n">
        <v>11</v>
      </c>
      <c r="O1305" s="407" t="n">
        <v>13860</v>
      </c>
      <c r="P1305" s="407" t="n">
        <v>12335.4</v>
      </c>
      <c r="Q1305" s="234" t="n">
        <v>2025</v>
      </c>
      <c r="R1305" s="234"/>
      <c r="S1305" s="248" t="n">
        <v>45839</v>
      </c>
      <c r="T1305" s="407" t="n">
        <f aca="false">Таблица18[[#This Row],[Вес нетто]]-Таблица18[[#This Row],[Зачетный вес]]</f>
        <v>1524.6</v>
      </c>
      <c r="U1305" s="409" t="n">
        <f aca="false">Таблица18[[#This Row],[Отход]]/Таблица18[[#This Row],[Вес нетто]]</f>
        <v>0.11</v>
      </c>
      <c r="V1305" s="234" t="n">
        <f aca="false">MONTH(Таблица18[[#This Row],[Дата акта]])</f>
        <v>7</v>
      </c>
      <c r="W1305" s="234" t="n">
        <v>1</v>
      </c>
      <c r="X1305" s="248" t="n">
        <f aca="false">DATE(1900,Таблица18[[#This Row],[Месяц]],Таблица18[[#This Row],[Число]])</f>
        <v>183</v>
      </c>
      <c r="Y1305" s="234"/>
      <c r="AF1305" s="411"/>
      <c r="AG1305" s="412"/>
    </row>
    <row r="1306" s="410" customFormat="true" ht="15" hidden="true" customHeight="true" outlineLevel="0" collapsed="false">
      <c r="A1306" s="198" t="s">
        <v>2928</v>
      </c>
      <c r="B1306" s="199" t="s">
        <v>417</v>
      </c>
      <c r="C1306" s="198" t="n">
        <v>696</v>
      </c>
      <c r="D1306" s="198" t="n">
        <v>61</v>
      </c>
      <c r="E1306" s="198" t="s">
        <v>994</v>
      </c>
      <c r="F1306" s="198" t="s">
        <v>451</v>
      </c>
      <c r="G1306" s="198" t="s">
        <v>455</v>
      </c>
      <c r="H1306" s="198" t="s">
        <v>995</v>
      </c>
      <c r="I1306" s="199" t="s">
        <v>995</v>
      </c>
      <c r="J1306" s="198" t="s">
        <v>904</v>
      </c>
      <c r="K1306" s="198" t="s">
        <v>1435</v>
      </c>
      <c r="L1306" s="234" t="n">
        <v>29000</v>
      </c>
      <c r="M1306" s="234" t="n">
        <v>15150</v>
      </c>
      <c r="N1306" s="234" t="n">
        <v>15</v>
      </c>
      <c r="O1306" s="407" t="n">
        <v>13850</v>
      </c>
      <c r="P1306" s="407" t="n">
        <v>11772.5</v>
      </c>
      <c r="Q1306" s="234" t="n">
        <v>2025</v>
      </c>
      <c r="R1306" s="234"/>
      <c r="S1306" s="248" t="n">
        <v>45839</v>
      </c>
      <c r="T1306" s="407" t="n">
        <f aca="false">Таблица18[[#This Row],[Вес нетто]]-Таблица18[[#This Row],[Зачетный вес]]</f>
        <v>2077.5</v>
      </c>
      <c r="U1306" s="409" t="n">
        <f aca="false">Таблица18[[#This Row],[Отход]]/Таблица18[[#This Row],[Вес нетто]]</f>
        <v>0.15</v>
      </c>
      <c r="V1306" s="234" t="n">
        <f aca="false">MONTH(Таблица18[[#This Row],[Дата акта]])</f>
        <v>7</v>
      </c>
      <c r="W1306" s="234" t="n">
        <v>1</v>
      </c>
      <c r="X1306" s="248" t="n">
        <f aca="false">DATE(1900,Таблица18[[#This Row],[Месяц]],Таблица18[[#This Row],[Число]])</f>
        <v>183</v>
      </c>
      <c r="Y1306" s="234"/>
      <c r="AF1306" s="411"/>
      <c r="AG1306" s="412"/>
    </row>
    <row r="1307" s="410" customFormat="true" ht="15" hidden="true" customHeight="true" outlineLevel="0" collapsed="false">
      <c r="A1307" s="198" t="s">
        <v>2929</v>
      </c>
      <c r="B1307" s="199" t="s">
        <v>417</v>
      </c>
      <c r="C1307" s="198" t="n">
        <v>697</v>
      </c>
      <c r="D1307" s="198" t="n">
        <v>62</v>
      </c>
      <c r="E1307" s="198" t="s">
        <v>994</v>
      </c>
      <c r="F1307" s="198" t="s">
        <v>1086</v>
      </c>
      <c r="G1307" s="198" t="s">
        <v>1087</v>
      </c>
      <c r="H1307" s="198" t="s">
        <v>995</v>
      </c>
      <c r="I1307" s="199" t="s">
        <v>995</v>
      </c>
      <c r="J1307" s="198" t="s">
        <v>904</v>
      </c>
      <c r="K1307" s="198" t="s">
        <v>1435</v>
      </c>
      <c r="L1307" s="234" t="n">
        <v>28630</v>
      </c>
      <c r="M1307" s="234" t="n">
        <v>14960</v>
      </c>
      <c r="N1307" s="234" t="n">
        <v>15.5</v>
      </c>
      <c r="O1307" s="407" t="n">
        <v>13670</v>
      </c>
      <c r="P1307" s="407" t="n">
        <v>11551.1</v>
      </c>
      <c r="Q1307" s="234" t="n">
        <v>2025</v>
      </c>
      <c r="R1307" s="234"/>
      <c r="S1307" s="248" t="n">
        <v>45840</v>
      </c>
      <c r="T1307" s="407" t="n">
        <f aca="false">Таблица18[[#This Row],[Вес нетто]]-Таблица18[[#This Row],[Зачетный вес]]</f>
        <v>2118.9</v>
      </c>
      <c r="U1307" s="409" t="n">
        <f aca="false">Таблица18[[#This Row],[Отход]]/Таблица18[[#This Row],[Вес нетто]]</f>
        <v>0.155003657644477</v>
      </c>
      <c r="V1307" s="234" t="n">
        <f aca="false">MONTH(Таблица18[[#This Row],[Дата акта]])</f>
        <v>7</v>
      </c>
      <c r="W1307" s="234" t="n">
        <v>2</v>
      </c>
      <c r="X1307" s="248" t="n">
        <f aca="false">DATE(1900,Таблица18[[#This Row],[Месяц]],Таблица18[[#This Row],[Число]])</f>
        <v>184</v>
      </c>
      <c r="Y1307" s="234"/>
      <c r="AF1307" s="411"/>
      <c r="AG1307" s="412"/>
    </row>
    <row r="1308" s="410" customFormat="true" ht="15" hidden="true" customHeight="true" outlineLevel="0" collapsed="false">
      <c r="A1308" s="198" t="s">
        <v>2930</v>
      </c>
      <c r="B1308" s="199" t="s">
        <v>417</v>
      </c>
      <c r="C1308" s="198" t="n">
        <v>698</v>
      </c>
      <c r="D1308" s="198" t="n">
        <v>63</v>
      </c>
      <c r="E1308" s="198" t="s">
        <v>994</v>
      </c>
      <c r="F1308" s="198" t="s">
        <v>384</v>
      </c>
      <c r="G1308" s="198" t="s">
        <v>385</v>
      </c>
      <c r="H1308" s="198" t="s">
        <v>995</v>
      </c>
      <c r="I1308" s="199" t="s">
        <v>995</v>
      </c>
      <c r="J1308" s="198" t="s">
        <v>904</v>
      </c>
      <c r="K1308" s="198" t="s">
        <v>1435</v>
      </c>
      <c r="L1308" s="234" t="n">
        <v>28060</v>
      </c>
      <c r="M1308" s="234" t="n">
        <v>14450</v>
      </c>
      <c r="N1308" s="234" t="n">
        <v>13.5</v>
      </c>
      <c r="O1308" s="407" t="n">
        <v>13610</v>
      </c>
      <c r="P1308" s="407" t="n">
        <v>11772.6</v>
      </c>
      <c r="Q1308" s="234" t="n">
        <v>2025</v>
      </c>
      <c r="R1308" s="234"/>
      <c r="S1308" s="248" t="n">
        <v>45840</v>
      </c>
      <c r="T1308" s="407" t="n">
        <f aca="false">Таблица18[[#This Row],[Вес нетто]]-Таблица18[[#This Row],[Зачетный вес]]</f>
        <v>1837.4</v>
      </c>
      <c r="U1308" s="409" t="n">
        <f aca="false">Таблица18[[#This Row],[Отход]]/Таблица18[[#This Row],[Вес нетто]]</f>
        <v>0.135003673769287</v>
      </c>
      <c r="V1308" s="234" t="n">
        <f aca="false">MONTH(Таблица18[[#This Row],[Дата акта]])</f>
        <v>7</v>
      </c>
      <c r="W1308" s="234" t="n">
        <v>2</v>
      </c>
      <c r="X1308" s="248" t="n">
        <f aca="false">DATE(1900,Таблица18[[#This Row],[Месяц]],Таблица18[[#This Row],[Число]])</f>
        <v>184</v>
      </c>
      <c r="Y1308" s="234"/>
      <c r="AF1308" s="411"/>
      <c r="AG1308" s="412"/>
    </row>
    <row r="1309" s="410" customFormat="true" ht="15" hidden="true" customHeight="true" outlineLevel="0" collapsed="false">
      <c r="A1309" s="198" t="s">
        <v>2931</v>
      </c>
      <c r="B1309" s="199" t="s">
        <v>417</v>
      </c>
      <c r="C1309" s="198" t="n">
        <v>699</v>
      </c>
      <c r="D1309" s="198" t="n">
        <v>64</v>
      </c>
      <c r="E1309" s="198" t="s">
        <v>994</v>
      </c>
      <c r="F1309" s="198" t="s">
        <v>382</v>
      </c>
      <c r="G1309" s="198" t="s">
        <v>383</v>
      </c>
      <c r="H1309" s="198" t="s">
        <v>995</v>
      </c>
      <c r="I1309" s="199" t="s">
        <v>995</v>
      </c>
      <c r="J1309" s="198" t="s">
        <v>904</v>
      </c>
      <c r="K1309" s="198" t="s">
        <v>1435</v>
      </c>
      <c r="L1309" s="234" t="n">
        <v>28320</v>
      </c>
      <c r="M1309" s="234" t="n">
        <v>14900</v>
      </c>
      <c r="N1309" s="234" t="n">
        <v>10.5</v>
      </c>
      <c r="O1309" s="407" t="n">
        <v>13420</v>
      </c>
      <c r="P1309" s="407" t="n">
        <v>12010.9</v>
      </c>
      <c r="Q1309" s="234" t="n">
        <v>2025</v>
      </c>
      <c r="R1309" s="234"/>
      <c r="S1309" s="248" t="n">
        <v>45840</v>
      </c>
      <c r="T1309" s="407" t="n">
        <f aca="false">Таблица18[[#This Row],[Вес нетто]]-Таблица18[[#This Row],[Зачетный вес]]</f>
        <v>1409.1</v>
      </c>
      <c r="U1309" s="409" t="n">
        <f aca="false">Таблица18[[#This Row],[Отход]]/Таблица18[[#This Row],[Вес нетто]]</f>
        <v>0.105</v>
      </c>
      <c r="V1309" s="234" t="n">
        <f aca="false">MONTH(Таблица18[[#This Row],[Дата акта]])</f>
        <v>7</v>
      </c>
      <c r="W1309" s="234" t="n">
        <v>2</v>
      </c>
      <c r="X1309" s="248" t="n">
        <f aca="false">DATE(1900,Таблица18[[#This Row],[Месяц]],Таблица18[[#This Row],[Число]])</f>
        <v>184</v>
      </c>
      <c r="Y1309" s="234"/>
      <c r="AF1309" s="411"/>
      <c r="AG1309" s="412"/>
    </row>
    <row r="1310" s="410" customFormat="true" ht="15" hidden="true" customHeight="true" outlineLevel="0" collapsed="false">
      <c r="A1310" s="198" t="s">
        <v>2932</v>
      </c>
      <c r="B1310" s="199" t="s">
        <v>417</v>
      </c>
      <c r="C1310" s="198" t="n">
        <v>700</v>
      </c>
      <c r="D1310" s="198" t="n">
        <v>65</v>
      </c>
      <c r="E1310" s="198" t="s">
        <v>994</v>
      </c>
      <c r="F1310" s="198" t="s">
        <v>361</v>
      </c>
      <c r="G1310" s="198" t="s">
        <v>362</v>
      </c>
      <c r="H1310" s="198" t="s">
        <v>995</v>
      </c>
      <c r="I1310" s="199" t="s">
        <v>995</v>
      </c>
      <c r="J1310" s="198" t="s">
        <v>904</v>
      </c>
      <c r="K1310" s="198" t="s">
        <v>1435</v>
      </c>
      <c r="L1310" s="234" t="n">
        <v>28080</v>
      </c>
      <c r="M1310" s="234" t="n">
        <v>14830</v>
      </c>
      <c r="N1310" s="234" t="n">
        <v>14.5</v>
      </c>
      <c r="O1310" s="407" t="n">
        <v>13250</v>
      </c>
      <c r="P1310" s="407" t="n">
        <v>11328.7</v>
      </c>
      <c r="Q1310" s="234" t="n">
        <v>2025</v>
      </c>
      <c r="R1310" s="234"/>
      <c r="S1310" s="248" t="n">
        <v>45840</v>
      </c>
      <c r="T1310" s="407" t="n">
        <f aca="false">Таблица18[[#This Row],[Вес нетто]]-Таблица18[[#This Row],[Зачетный вес]]</f>
        <v>1921.3</v>
      </c>
      <c r="U1310" s="409" t="n">
        <f aca="false">Таблица18[[#This Row],[Отход]]/Таблица18[[#This Row],[Вес нетто]]</f>
        <v>0.145003773584906</v>
      </c>
      <c r="V1310" s="234" t="n">
        <f aca="false">MONTH(Таблица18[[#This Row],[Дата акта]])</f>
        <v>7</v>
      </c>
      <c r="W1310" s="234" t="n">
        <v>2</v>
      </c>
      <c r="X1310" s="248" t="n">
        <f aca="false">DATE(1900,Таблица18[[#This Row],[Месяц]],Таблица18[[#This Row],[Число]])</f>
        <v>184</v>
      </c>
      <c r="Y1310" s="234"/>
      <c r="AF1310" s="411"/>
      <c r="AG1310" s="412"/>
    </row>
    <row r="1311" s="410" customFormat="true" ht="15" hidden="true" customHeight="true" outlineLevel="0" collapsed="false">
      <c r="A1311" s="198" t="s">
        <v>2933</v>
      </c>
      <c r="B1311" s="199" t="s">
        <v>417</v>
      </c>
      <c r="C1311" s="198" t="n">
        <v>701</v>
      </c>
      <c r="D1311" s="198" t="n">
        <v>66</v>
      </c>
      <c r="E1311" s="198" t="s">
        <v>994</v>
      </c>
      <c r="F1311" s="198" t="s">
        <v>1092</v>
      </c>
      <c r="G1311" s="198" t="s">
        <v>1093</v>
      </c>
      <c r="H1311" s="198" t="s">
        <v>995</v>
      </c>
      <c r="I1311" s="199" t="s">
        <v>995</v>
      </c>
      <c r="J1311" s="198" t="s">
        <v>904</v>
      </c>
      <c r="K1311" s="198" t="s">
        <v>1435</v>
      </c>
      <c r="L1311" s="234" t="n">
        <v>37610</v>
      </c>
      <c r="M1311" s="234" t="n">
        <v>24100</v>
      </c>
      <c r="N1311" s="234" t="n">
        <v>14.5</v>
      </c>
      <c r="O1311" s="407" t="n">
        <v>13510</v>
      </c>
      <c r="P1311" s="407" t="n">
        <v>11551</v>
      </c>
      <c r="Q1311" s="234" t="n">
        <v>2025</v>
      </c>
      <c r="R1311" s="234"/>
      <c r="S1311" s="248" t="n">
        <v>45840</v>
      </c>
      <c r="T1311" s="407" t="n">
        <f aca="false">Таблица18[[#This Row],[Вес нетто]]-Таблица18[[#This Row],[Зачетный вес]]</f>
        <v>1959</v>
      </c>
      <c r="U1311" s="409" t="n">
        <f aca="false">Таблица18[[#This Row],[Отход]]/Таблица18[[#This Row],[Вес нетто]]</f>
        <v>0.14500370096225</v>
      </c>
      <c r="V1311" s="234" t="n">
        <f aca="false">MONTH(Таблица18[[#This Row],[Дата акта]])</f>
        <v>7</v>
      </c>
      <c r="W1311" s="234" t="n">
        <v>2</v>
      </c>
      <c r="X1311" s="248" t="n">
        <f aca="false">DATE(1900,Таблица18[[#This Row],[Месяц]],Таблица18[[#This Row],[Число]])</f>
        <v>184</v>
      </c>
      <c r="Y1311" s="234"/>
      <c r="AF1311" s="411"/>
      <c r="AG1311" s="412"/>
    </row>
    <row r="1312" s="410" customFormat="true" ht="15" hidden="true" customHeight="true" outlineLevel="0" collapsed="false">
      <c r="A1312" s="198" t="s">
        <v>2934</v>
      </c>
      <c r="B1312" s="199" t="s">
        <v>417</v>
      </c>
      <c r="C1312" s="198" t="n">
        <v>702</v>
      </c>
      <c r="D1312" s="198" t="n">
        <v>67</v>
      </c>
      <c r="E1312" s="198" t="s">
        <v>994</v>
      </c>
      <c r="F1312" s="198" t="s">
        <v>1095</v>
      </c>
      <c r="G1312" s="198" t="s">
        <v>1096</v>
      </c>
      <c r="H1312" s="198" t="s">
        <v>995</v>
      </c>
      <c r="I1312" s="199" t="s">
        <v>995</v>
      </c>
      <c r="J1312" s="198" t="s">
        <v>1061</v>
      </c>
      <c r="K1312" s="198" t="s">
        <v>1435</v>
      </c>
      <c r="L1312" s="234" t="n">
        <v>29160</v>
      </c>
      <c r="M1312" s="234" t="n">
        <v>22420</v>
      </c>
      <c r="N1312" s="234" t="n">
        <v>14.5</v>
      </c>
      <c r="O1312" s="407" t="n">
        <v>6740</v>
      </c>
      <c r="P1312" s="407" t="n">
        <v>5762.7</v>
      </c>
      <c r="Q1312" s="234" t="n">
        <v>2025</v>
      </c>
      <c r="R1312" s="234"/>
      <c r="S1312" s="248" t="n">
        <v>45840</v>
      </c>
      <c r="T1312" s="407" t="n">
        <f aca="false">Таблица18[[#This Row],[Вес нетто]]-Таблица18[[#This Row],[Зачетный вес]]</f>
        <v>977.3</v>
      </c>
      <c r="U1312" s="409" t="n">
        <f aca="false">Таблица18[[#This Row],[Отход]]/Таблица18[[#This Row],[Вес нетто]]</f>
        <v>0.145</v>
      </c>
      <c r="V1312" s="234" t="n">
        <f aca="false">MONTH(Таблица18[[#This Row],[Дата акта]])</f>
        <v>7</v>
      </c>
      <c r="W1312" s="234" t="n">
        <v>2</v>
      </c>
      <c r="X1312" s="248" t="n">
        <f aca="false">DATE(1900,Таблица18[[#This Row],[Месяц]],Таблица18[[#This Row],[Число]])</f>
        <v>184</v>
      </c>
      <c r="Y1312" s="234"/>
      <c r="AF1312" s="411"/>
      <c r="AG1312" s="412"/>
    </row>
    <row r="1313" s="410" customFormat="true" ht="15" hidden="true" customHeight="true" outlineLevel="0" collapsed="false">
      <c r="A1313" s="198" t="s">
        <v>2935</v>
      </c>
      <c r="B1313" s="199" t="s">
        <v>417</v>
      </c>
      <c r="C1313" s="198" t="n">
        <v>705</v>
      </c>
      <c r="D1313" s="198" t="n">
        <v>67</v>
      </c>
      <c r="E1313" s="198" t="s">
        <v>994</v>
      </c>
      <c r="F1313" s="198" t="s">
        <v>1095</v>
      </c>
      <c r="G1313" s="198" t="s">
        <v>1096</v>
      </c>
      <c r="H1313" s="198" t="s">
        <v>995</v>
      </c>
      <c r="I1313" s="199" t="s">
        <v>995</v>
      </c>
      <c r="J1313" s="198" t="s">
        <v>904</v>
      </c>
      <c r="K1313" s="198" t="s">
        <v>1435</v>
      </c>
      <c r="L1313" s="234" t="n">
        <v>22430</v>
      </c>
      <c r="M1313" s="234" t="n">
        <v>15690</v>
      </c>
      <c r="N1313" s="234" t="n">
        <v>10.5</v>
      </c>
      <c r="O1313" s="407" t="n">
        <v>6740</v>
      </c>
      <c r="P1313" s="407" t="n">
        <v>6032.3</v>
      </c>
      <c r="Q1313" s="234" t="n">
        <v>2025</v>
      </c>
      <c r="R1313" s="234"/>
      <c r="S1313" s="248" t="n">
        <v>45840</v>
      </c>
      <c r="T1313" s="407" t="n">
        <f aca="false">Таблица18[[#This Row],[Вес нетто]]-Таблица18[[#This Row],[Зачетный вес]]</f>
        <v>707.7</v>
      </c>
      <c r="U1313" s="409" t="n">
        <f aca="false">Таблица18[[#This Row],[Отход]]/Таблица18[[#This Row],[Вес нетто]]</f>
        <v>0.105</v>
      </c>
      <c r="V1313" s="234" t="n">
        <f aca="false">MONTH(Таблица18[[#This Row],[Дата акта]])</f>
        <v>7</v>
      </c>
      <c r="W1313" s="234" t="n">
        <v>2</v>
      </c>
      <c r="X1313" s="248" t="n">
        <f aca="false">DATE(1900,Таблица18[[#This Row],[Месяц]],Таблица18[[#This Row],[Число]])</f>
        <v>184</v>
      </c>
      <c r="Y1313" s="234"/>
      <c r="AF1313" s="411"/>
      <c r="AG1313" s="412"/>
    </row>
    <row r="1314" s="410" customFormat="true" ht="15" hidden="true" customHeight="true" outlineLevel="0" collapsed="false">
      <c r="A1314" s="198" t="s">
        <v>2936</v>
      </c>
      <c r="B1314" s="199" t="s">
        <v>417</v>
      </c>
      <c r="C1314" s="198" t="n">
        <v>703</v>
      </c>
      <c r="D1314" s="198" t="n">
        <v>68</v>
      </c>
      <c r="E1314" s="198" t="s">
        <v>994</v>
      </c>
      <c r="F1314" s="198" t="s">
        <v>365</v>
      </c>
      <c r="G1314" s="198" t="s">
        <v>373</v>
      </c>
      <c r="H1314" s="198" t="s">
        <v>995</v>
      </c>
      <c r="I1314" s="199" t="s">
        <v>995</v>
      </c>
      <c r="J1314" s="198" t="s">
        <v>1061</v>
      </c>
      <c r="K1314" s="198" t="s">
        <v>1435</v>
      </c>
      <c r="L1314" s="234" t="n">
        <v>28880</v>
      </c>
      <c r="M1314" s="234" t="n">
        <v>15740</v>
      </c>
      <c r="N1314" s="234" t="n">
        <v>15.5</v>
      </c>
      <c r="O1314" s="407" t="n">
        <v>13140</v>
      </c>
      <c r="P1314" s="407" t="n">
        <v>11103.3</v>
      </c>
      <c r="Q1314" s="234" t="n">
        <v>2025</v>
      </c>
      <c r="R1314" s="234"/>
      <c r="S1314" s="248" t="n">
        <v>45840</v>
      </c>
      <c r="T1314" s="407" t="n">
        <f aca="false">Таблица18[[#This Row],[Вес нетто]]-Таблица18[[#This Row],[Зачетный вес]]</f>
        <v>2036.7</v>
      </c>
      <c r="U1314" s="409" t="n">
        <f aca="false">Таблица18[[#This Row],[Отход]]/Таблица18[[#This Row],[Вес нетто]]</f>
        <v>0.155</v>
      </c>
      <c r="V1314" s="234" t="n">
        <f aca="false">MONTH(Таблица18[[#This Row],[Дата акта]])</f>
        <v>7</v>
      </c>
      <c r="W1314" s="234" t="n">
        <v>2</v>
      </c>
      <c r="X1314" s="248" t="n">
        <f aca="false">DATE(1900,Таблица18[[#This Row],[Месяц]],Таблица18[[#This Row],[Число]])</f>
        <v>184</v>
      </c>
      <c r="Y1314" s="234"/>
      <c r="AF1314" s="411"/>
      <c r="AG1314" s="412"/>
    </row>
    <row r="1315" s="410" customFormat="true" ht="15" hidden="true" customHeight="true" outlineLevel="0" collapsed="false">
      <c r="A1315" s="198" t="s">
        <v>2937</v>
      </c>
      <c r="B1315" s="199" t="s">
        <v>417</v>
      </c>
      <c r="C1315" s="198" t="n">
        <v>704</v>
      </c>
      <c r="D1315" s="198" t="n">
        <v>69</v>
      </c>
      <c r="E1315" s="198" t="s">
        <v>994</v>
      </c>
      <c r="F1315" s="198" t="s">
        <v>359</v>
      </c>
      <c r="G1315" s="198" t="s">
        <v>426</v>
      </c>
      <c r="H1315" s="198" t="s">
        <v>995</v>
      </c>
      <c r="I1315" s="199" t="s">
        <v>995</v>
      </c>
      <c r="J1315" s="198" t="s">
        <v>1061</v>
      </c>
      <c r="K1315" s="198" t="s">
        <v>1435</v>
      </c>
      <c r="L1315" s="234" t="n">
        <v>27090</v>
      </c>
      <c r="M1315" s="234" t="n">
        <v>13830</v>
      </c>
      <c r="N1315" s="234" t="n">
        <v>12.5</v>
      </c>
      <c r="O1315" s="407" t="n">
        <v>13260</v>
      </c>
      <c r="P1315" s="407" t="n">
        <v>11602.5</v>
      </c>
      <c r="Q1315" s="234" t="n">
        <v>2025</v>
      </c>
      <c r="R1315" s="234"/>
      <c r="S1315" s="248" t="n">
        <v>45840</v>
      </c>
      <c r="T1315" s="407" t="n">
        <f aca="false">Таблица18[[#This Row],[Вес нетто]]-Таблица18[[#This Row],[Зачетный вес]]</f>
        <v>1657.5</v>
      </c>
      <c r="U1315" s="409" t="n">
        <f aca="false">Таблица18[[#This Row],[Отход]]/Таблица18[[#This Row],[Вес нетто]]</f>
        <v>0.125</v>
      </c>
      <c r="V1315" s="234" t="n">
        <f aca="false">MONTH(Таблица18[[#This Row],[Дата акта]])</f>
        <v>7</v>
      </c>
      <c r="W1315" s="234" t="n">
        <v>2</v>
      </c>
      <c r="X1315" s="248" t="n">
        <f aca="false">DATE(1900,Таблица18[[#This Row],[Месяц]],Таблица18[[#This Row],[Число]])</f>
        <v>184</v>
      </c>
      <c r="Y1315" s="234"/>
      <c r="AF1315" s="411"/>
      <c r="AG1315" s="412"/>
    </row>
    <row r="1316" s="410" customFormat="true" ht="15" hidden="true" customHeight="true" outlineLevel="0" collapsed="false">
      <c r="A1316" s="198" t="s">
        <v>2938</v>
      </c>
      <c r="B1316" s="199" t="s">
        <v>417</v>
      </c>
      <c r="C1316" s="198" t="n">
        <v>707</v>
      </c>
      <c r="D1316" s="198" t="n">
        <v>70</v>
      </c>
      <c r="E1316" s="198" t="s">
        <v>994</v>
      </c>
      <c r="F1316" s="198" t="s">
        <v>439</v>
      </c>
      <c r="G1316" s="198" t="s">
        <v>443</v>
      </c>
      <c r="H1316" s="198" t="s">
        <v>995</v>
      </c>
      <c r="I1316" s="199" t="s">
        <v>995</v>
      </c>
      <c r="J1316" s="198" t="s">
        <v>1061</v>
      </c>
      <c r="K1316" s="198" t="s">
        <v>1435</v>
      </c>
      <c r="L1316" s="234" t="n">
        <v>38010</v>
      </c>
      <c r="M1316" s="234" t="n">
        <v>24110</v>
      </c>
      <c r="N1316" s="234" t="n">
        <v>15</v>
      </c>
      <c r="O1316" s="407" t="n">
        <v>13900</v>
      </c>
      <c r="P1316" s="407" t="n">
        <v>11815</v>
      </c>
      <c r="Q1316" s="234" t="n">
        <v>2025</v>
      </c>
      <c r="R1316" s="234"/>
      <c r="S1316" s="248" t="n">
        <v>45840</v>
      </c>
      <c r="T1316" s="407" t="n">
        <f aca="false">Таблица18[[#This Row],[Вес нетто]]-Таблица18[[#This Row],[Зачетный вес]]</f>
        <v>2085</v>
      </c>
      <c r="U1316" s="409" t="n">
        <f aca="false">Таблица18[[#This Row],[Отход]]/Таблица18[[#This Row],[Вес нетто]]</f>
        <v>0.15</v>
      </c>
      <c r="V1316" s="234" t="n">
        <f aca="false">MONTH(Таблица18[[#This Row],[Дата акта]])</f>
        <v>7</v>
      </c>
      <c r="W1316" s="234" t="n">
        <v>2</v>
      </c>
      <c r="X1316" s="248" t="n">
        <f aca="false">DATE(1900,Таблица18[[#This Row],[Месяц]],Таблица18[[#This Row],[Число]])</f>
        <v>184</v>
      </c>
      <c r="Y1316" s="234"/>
      <c r="AF1316" s="411"/>
      <c r="AG1316" s="412"/>
    </row>
    <row r="1317" s="410" customFormat="true" ht="15" hidden="true" customHeight="true" outlineLevel="0" collapsed="false">
      <c r="A1317" s="198" t="s">
        <v>2939</v>
      </c>
      <c r="B1317" s="199" t="s">
        <v>417</v>
      </c>
      <c r="C1317" s="198" t="n">
        <v>709</v>
      </c>
      <c r="D1317" s="198" t="n">
        <v>71</v>
      </c>
      <c r="E1317" s="198" t="s">
        <v>994</v>
      </c>
      <c r="F1317" s="198" t="s">
        <v>553</v>
      </c>
      <c r="G1317" s="198" t="s">
        <v>557</v>
      </c>
      <c r="H1317" s="198" t="s">
        <v>995</v>
      </c>
      <c r="I1317" s="199" t="s">
        <v>995</v>
      </c>
      <c r="J1317" s="198" t="s">
        <v>1061</v>
      </c>
      <c r="K1317" s="198" t="s">
        <v>1435</v>
      </c>
      <c r="L1317" s="234" t="n">
        <v>28780</v>
      </c>
      <c r="M1317" s="234" t="n">
        <v>14830</v>
      </c>
      <c r="N1317" s="234" t="n">
        <v>11.5</v>
      </c>
      <c r="O1317" s="407" t="n">
        <v>13950</v>
      </c>
      <c r="P1317" s="407" t="n">
        <v>12345.7</v>
      </c>
      <c r="Q1317" s="234" t="n">
        <v>2025</v>
      </c>
      <c r="R1317" s="234"/>
      <c r="S1317" s="248" t="n">
        <v>45840</v>
      </c>
      <c r="T1317" s="407" t="n">
        <f aca="false">Таблица18[[#This Row],[Вес нетто]]-Таблица18[[#This Row],[Зачетный вес]]</f>
        <v>1604.3</v>
      </c>
      <c r="U1317" s="409" t="n">
        <f aca="false">Таблица18[[#This Row],[Отход]]/Таблица18[[#This Row],[Вес нетто]]</f>
        <v>0.115003584229391</v>
      </c>
      <c r="V1317" s="234" t="n">
        <f aca="false">MONTH(Таблица18[[#This Row],[Дата акта]])</f>
        <v>7</v>
      </c>
      <c r="W1317" s="234" t="n">
        <v>2</v>
      </c>
      <c r="X1317" s="248" t="n">
        <f aca="false">DATE(1900,Таблица18[[#This Row],[Месяц]],Таблица18[[#This Row],[Число]])</f>
        <v>184</v>
      </c>
      <c r="Y1317" s="234"/>
      <c r="AF1317" s="411"/>
      <c r="AG1317" s="412"/>
    </row>
    <row r="1318" s="410" customFormat="true" ht="15" hidden="true" customHeight="true" outlineLevel="0" collapsed="false">
      <c r="A1318" s="198" t="s">
        <v>2940</v>
      </c>
      <c r="B1318" s="199" t="s">
        <v>417</v>
      </c>
      <c r="C1318" s="198" t="n">
        <v>710</v>
      </c>
      <c r="D1318" s="198" t="n">
        <v>72</v>
      </c>
      <c r="E1318" s="198" t="s">
        <v>994</v>
      </c>
      <c r="F1318" s="198" t="s">
        <v>445</v>
      </c>
      <c r="G1318" s="198" t="s">
        <v>449</v>
      </c>
      <c r="H1318" s="198" t="s">
        <v>1103</v>
      </c>
      <c r="I1318" s="199" t="s">
        <v>1103</v>
      </c>
      <c r="J1318" s="198" t="s">
        <v>904</v>
      </c>
      <c r="K1318" s="198" t="s">
        <v>1435</v>
      </c>
      <c r="L1318" s="234" t="n">
        <v>29430</v>
      </c>
      <c r="M1318" s="234" t="n">
        <v>15580</v>
      </c>
      <c r="N1318" s="234" t="n">
        <v>14</v>
      </c>
      <c r="O1318" s="407" t="n">
        <v>13850</v>
      </c>
      <c r="P1318" s="407" t="n">
        <v>11911</v>
      </c>
      <c r="Q1318" s="234" t="n">
        <v>2025</v>
      </c>
      <c r="R1318" s="234"/>
      <c r="S1318" s="248" t="n">
        <v>45840</v>
      </c>
      <c r="T1318" s="407" t="n">
        <f aca="false">Таблица18[[#This Row],[Вес нетто]]-Таблица18[[#This Row],[Зачетный вес]]</f>
        <v>1939</v>
      </c>
      <c r="U1318" s="409" t="n">
        <f aca="false">Таблица18[[#This Row],[Отход]]/Таблица18[[#This Row],[Вес нетто]]</f>
        <v>0.14</v>
      </c>
      <c r="V1318" s="234" t="n">
        <f aca="false">MONTH(Таблица18[[#This Row],[Дата акта]])</f>
        <v>7</v>
      </c>
      <c r="W1318" s="234" t="n">
        <v>2</v>
      </c>
      <c r="X1318" s="248" t="n">
        <f aca="false">DATE(1900,Таблица18[[#This Row],[Месяц]],Таблица18[[#This Row],[Число]])</f>
        <v>184</v>
      </c>
      <c r="Y1318" s="234"/>
      <c r="AF1318" s="411"/>
      <c r="AG1318" s="412"/>
    </row>
    <row r="1319" s="410" customFormat="true" ht="15" hidden="true" customHeight="true" outlineLevel="0" collapsed="false">
      <c r="A1319" s="198" t="s">
        <v>2941</v>
      </c>
      <c r="B1319" s="199" t="s">
        <v>417</v>
      </c>
      <c r="C1319" s="198" t="n">
        <v>711</v>
      </c>
      <c r="D1319" s="198" t="n">
        <v>73</v>
      </c>
      <c r="E1319" s="198" t="s">
        <v>994</v>
      </c>
      <c r="F1319" s="198" t="s">
        <v>547</v>
      </c>
      <c r="G1319" s="198" t="s">
        <v>551</v>
      </c>
      <c r="H1319" s="198" t="s">
        <v>1103</v>
      </c>
      <c r="I1319" s="199" t="s">
        <v>1103</v>
      </c>
      <c r="J1319" s="198" t="s">
        <v>904</v>
      </c>
      <c r="K1319" s="198" t="s">
        <v>1435</v>
      </c>
      <c r="L1319" s="234" t="n">
        <v>28620</v>
      </c>
      <c r="M1319" s="234" t="n">
        <v>14670</v>
      </c>
      <c r="N1319" s="234" t="n">
        <v>17.5</v>
      </c>
      <c r="O1319" s="407" t="n">
        <v>13950</v>
      </c>
      <c r="P1319" s="407" t="n">
        <v>11508.7</v>
      </c>
      <c r="Q1319" s="234" t="n">
        <v>2025</v>
      </c>
      <c r="R1319" s="234"/>
      <c r="S1319" s="248" t="n">
        <v>45840</v>
      </c>
      <c r="T1319" s="407" t="n">
        <f aca="false">Таблица18[[#This Row],[Вес нетто]]-Таблица18[[#This Row],[Зачетный вес]]</f>
        <v>2441.3</v>
      </c>
      <c r="U1319" s="409" t="n">
        <f aca="false">Таблица18[[#This Row],[Отход]]/Таблица18[[#This Row],[Вес нетто]]</f>
        <v>0.175003584229391</v>
      </c>
      <c r="V1319" s="234" t="n">
        <f aca="false">MONTH(Таблица18[[#This Row],[Дата акта]])</f>
        <v>7</v>
      </c>
      <c r="W1319" s="234" t="n">
        <v>2</v>
      </c>
      <c r="X1319" s="248" t="n">
        <f aca="false">DATE(1900,Таблица18[[#This Row],[Месяц]],Таблица18[[#This Row],[Число]])</f>
        <v>184</v>
      </c>
      <c r="Y1319" s="234"/>
      <c r="AF1319" s="411"/>
      <c r="AG1319" s="412"/>
    </row>
    <row r="1320" s="410" customFormat="true" ht="15" hidden="true" customHeight="true" outlineLevel="0" collapsed="false">
      <c r="A1320" s="198" t="s">
        <v>2942</v>
      </c>
      <c r="B1320" s="199" t="s">
        <v>417</v>
      </c>
      <c r="C1320" s="198" t="n">
        <v>713</v>
      </c>
      <c r="D1320" s="198" t="n">
        <v>75</v>
      </c>
      <c r="E1320" s="198" t="s">
        <v>994</v>
      </c>
      <c r="F1320" s="198" t="s">
        <v>1086</v>
      </c>
      <c r="G1320" s="198" t="s">
        <v>1087</v>
      </c>
      <c r="H1320" s="198" t="s">
        <v>1103</v>
      </c>
      <c r="I1320" s="199" t="s">
        <v>1103</v>
      </c>
      <c r="J1320" s="198" t="s">
        <v>904</v>
      </c>
      <c r="K1320" s="198" t="s">
        <v>1435</v>
      </c>
      <c r="L1320" s="234" t="n">
        <v>28960</v>
      </c>
      <c r="M1320" s="234" t="n">
        <v>14850</v>
      </c>
      <c r="N1320" s="234" t="n">
        <v>16</v>
      </c>
      <c r="O1320" s="407" t="n">
        <v>14110</v>
      </c>
      <c r="P1320" s="407" t="n">
        <v>11852.4</v>
      </c>
      <c r="Q1320" s="234" t="n">
        <v>2025</v>
      </c>
      <c r="R1320" s="234"/>
      <c r="S1320" s="248" t="n">
        <v>45840</v>
      </c>
      <c r="T1320" s="407" t="n">
        <f aca="false">Таблица18[[#This Row],[Вес нетто]]-Таблица18[[#This Row],[Зачетный вес]]</f>
        <v>2257.6</v>
      </c>
      <c r="U1320" s="409" t="n">
        <f aca="false">Таблица18[[#This Row],[Отход]]/Таблица18[[#This Row],[Вес нетто]]</f>
        <v>0.16</v>
      </c>
      <c r="V1320" s="234" t="n">
        <f aca="false">MONTH(Таблица18[[#This Row],[Дата акта]])</f>
        <v>7</v>
      </c>
      <c r="W1320" s="234" t="n">
        <v>2</v>
      </c>
      <c r="X1320" s="248" t="n">
        <f aca="false">DATE(1900,Таблица18[[#This Row],[Месяц]],Таблица18[[#This Row],[Число]])</f>
        <v>184</v>
      </c>
      <c r="Y1320" s="234"/>
      <c r="AF1320" s="411"/>
      <c r="AG1320" s="412"/>
    </row>
    <row r="1321" s="410" customFormat="true" ht="15" hidden="true" customHeight="true" outlineLevel="0" collapsed="false">
      <c r="A1321" s="198" t="s">
        <v>2943</v>
      </c>
      <c r="B1321" s="199" t="s">
        <v>417</v>
      </c>
      <c r="C1321" s="198" t="n">
        <v>712</v>
      </c>
      <c r="D1321" s="198" t="n">
        <v>74</v>
      </c>
      <c r="E1321" s="198" t="s">
        <v>994</v>
      </c>
      <c r="F1321" s="198" t="s">
        <v>451</v>
      </c>
      <c r="G1321" s="198" t="s">
        <v>455</v>
      </c>
      <c r="H1321" s="198" t="s">
        <v>1103</v>
      </c>
      <c r="I1321" s="199" t="s">
        <v>1103</v>
      </c>
      <c r="J1321" s="198" t="s">
        <v>904</v>
      </c>
      <c r="K1321" s="198" t="s">
        <v>1435</v>
      </c>
      <c r="L1321" s="234" t="n">
        <v>28980</v>
      </c>
      <c r="M1321" s="234" t="n">
        <v>14970</v>
      </c>
      <c r="N1321" s="234" t="n">
        <v>16.5</v>
      </c>
      <c r="O1321" s="407" t="n">
        <v>14010</v>
      </c>
      <c r="P1321" s="407" t="n">
        <v>11698.3</v>
      </c>
      <c r="Q1321" s="234" t="n">
        <v>2025</v>
      </c>
      <c r="R1321" s="234"/>
      <c r="S1321" s="248" t="n">
        <v>45840</v>
      </c>
      <c r="T1321" s="407" t="n">
        <f aca="false">Таблица18[[#This Row],[Вес нетто]]-Таблица18[[#This Row],[Зачетный вес]]</f>
        <v>2311.7</v>
      </c>
      <c r="U1321" s="409" t="n">
        <f aca="false">Таблица18[[#This Row],[Отход]]/Таблица18[[#This Row],[Вес нетто]]</f>
        <v>0.165003568879372</v>
      </c>
      <c r="V1321" s="234" t="n">
        <f aca="false">MONTH(Таблица18[[#This Row],[Дата акта]])</f>
        <v>7</v>
      </c>
      <c r="W1321" s="234" t="n">
        <v>2</v>
      </c>
      <c r="X1321" s="248" t="n">
        <f aca="false">DATE(1900,Таблица18[[#This Row],[Месяц]],Таблица18[[#This Row],[Число]])</f>
        <v>184</v>
      </c>
      <c r="Y1321" s="234"/>
      <c r="AF1321" s="411"/>
      <c r="AG1321" s="412"/>
    </row>
    <row r="1322" s="410" customFormat="true" ht="15" hidden="true" customHeight="true" outlineLevel="0" collapsed="false">
      <c r="A1322" s="198" t="s">
        <v>2944</v>
      </c>
      <c r="B1322" s="199" t="s">
        <v>417</v>
      </c>
      <c r="C1322" s="198" t="n">
        <v>714</v>
      </c>
      <c r="D1322" s="198" t="n">
        <v>76</v>
      </c>
      <c r="E1322" s="198" t="s">
        <v>994</v>
      </c>
      <c r="F1322" s="198" t="s">
        <v>361</v>
      </c>
      <c r="G1322" s="198" t="s">
        <v>362</v>
      </c>
      <c r="H1322" s="198" t="s">
        <v>1103</v>
      </c>
      <c r="I1322" s="199" t="s">
        <v>1103</v>
      </c>
      <c r="J1322" s="198" t="s">
        <v>904</v>
      </c>
      <c r="K1322" s="198" t="s">
        <v>1435</v>
      </c>
      <c r="L1322" s="234" t="n">
        <v>28700</v>
      </c>
      <c r="M1322" s="234" t="n">
        <v>14730</v>
      </c>
      <c r="N1322" s="234" t="n">
        <v>15.5</v>
      </c>
      <c r="O1322" s="407" t="n">
        <v>13970</v>
      </c>
      <c r="P1322" s="407" t="n">
        <v>11804.6</v>
      </c>
      <c r="Q1322" s="234" t="n">
        <v>2025</v>
      </c>
      <c r="R1322" s="234"/>
      <c r="S1322" s="248" t="n">
        <v>45840</v>
      </c>
      <c r="T1322" s="407" t="n">
        <f aca="false">Таблица18[[#This Row],[Вес нетто]]-Таблица18[[#This Row],[Зачетный вес]]</f>
        <v>2165.4</v>
      </c>
      <c r="U1322" s="409" t="n">
        <f aca="false">Таблица18[[#This Row],[Отход]]/Таблица18[[#This Row],[Вес нетто]]</f>
        <v>0.155003579098067</v>
      </c>
      <c r="V1322" s="234" t="n">
        <f aca="false">MONTH(Таблица18[[#This Row],[Дата акта]])</f>
        <v>7</v>
      </c>
      <c r="W1322" s="234" t="n">
        <v>2</v>
      </c>
      <c r="X1322" s="248" t="n">
        <f aca="false">DATE(1900,Таблица18[[#This Row],[Месяц]],Таблица18[[#This Row],[Число]])</f>
        <v>184</v>
      </c>
      <c r="Y1322" s="234"/>
      <c r="AF1322" s="411"/>
      <c r="AG1322" s="412"/>
    </row>
    <row r="1323" s="410" customFormat="true" ht="15" hidden="true" customHeight="true" outlineLevel="0" collapsed="false">
      <c r="A1323" s="198" t="s">
        <v>2945</v>
      </c>
      <c r="B1323" s="199" t="s">
        <v>417</v>
      </c>
      <c r="C1323" s="198" t="n">
        <v>715</v>
      </c>
      <c r="D1323" s="198" t="n">
        <v>77</v>
      </c>
      <c r="E1323" s="198" t="s">
        <v>994</v>
      </c>
      <c r="F1323" s="198" t="s">
        <v>1092</v>
      </c>
      <c r="G1323" s="198" t="s">
        <v>1093</v>
      </c>
      <c r="H1323" s="198" t="s">
        <v>1103</v>
      </c>
      <c r="I1323" s="199" t="s">
        <v>1103</v>
      </c>
      <c r="J1323" s="198" t="s">
        <v>904</v>
      </c>
      <c r="K1323" s="198" t="s">
        <v>1435</v>
      </c>
      <c r="L1323" s="234" t="n">
        <v>38160</v>
      </c>
      <c r="M1323" s="234" t="n">
        <v>24320</v>
      </c>
      <c r="N1323" s="234" t="n">
        <v>15</v>
      </c>
      <c r="O1323" s="407" t="n">
        <v>13840</v>
      </c>
      <c r="P1323" s="407" t="n">
        <v>11764</v>
      </c>
      <c r="Q1323" s="234" t="n">
        <v>2025</v>
      </c>
      <c r="R1323" s="234"/>
      <c r="S1323" s="248" t="n">
        <v>45840</v>
      </c>
      <c r="T1323" s="407" t="n">
        <f aca="false">Таблица18[[#This Row],[Вес нетто]]-Таблица18[[#This Row],[Зачетный вес]]</f>
        <v>2076</v>
      </c>
      <c r="U1323" s="409" t="n">
        <f aca="false">Таблица18[[#This Row],[Отход]]/Таблица18[[#This Row],[Вес нетто]]</f>
        <v>0.15</v>
      </c>
      <c r="V1323" s="234" t="n">
        <f aca="false">MONTH(Таблица18[[#This Row],[Дата акта]])</f>
        <v>7</v>
      </c>
      <c r="W1323" s="234" t="n">
        <v>2</v>
      </c>
      <c r="X1323" s="248" t="n">
        <f aca="false">DATE(1900,Таблица18[[#This Row],[Месяц]],Таблица18[[#This Row],[Число]])</f>
        <v>184</v>
      </c>
      <c r="Y1323" s="234"/>
      <c r="AF1323" s="411"/>
      <c r="AG1323" s="412"/>
    </row>
    <row r="1324" s="410" customFormat="true" ht="15" hidden="true" customHeight="true" outlineLevel="0" collapsed="false">
      <c r="A1324" s="198" t="s">
        <v>2946</v>
      </c>
      <c r="B1324" s="199" t="s">
        <v>417</v>
      </c>
      <c r="C1324" s="198" t="n">
        <v>716</v>
      </c>
      <c r="D1324" s="198" t="n">
        <v>78</v>
      </c>
      <c r="E1324" s="198" t="s">
        <v>994</v>
      </c>
      <c r="F1324" s="198" t="s">
        <v>1095</v>
      </c>
      <c r="G1324" s="198" t="s">
        <v>1096</v>
      </c>
      <c r="H1324" s="198" t="s">
        <v>1103</v>
      </c>
      <c r="I1324" s="199" t="s">
        <v>1103</v>
      </c>
      <c r="J1324" s="198" t="s">
        <v>904</v>
      </c>
      <c r="K1324" s="198" t="s">
        <v>1435</v>
      </c>
      <c r="L1324" s="234" t="n">
        <v>29310</v>
      </c>
      <c r="M1324" s="234" t="n">
        <v>15590</v>
      </c>
      <c r="N1324" s="234" t="n">
        <v>15.5</v>
      </c>
      <c r="O1324" s="407" t="n">
        <v>13720</v>
      </c>
      <c r="P1324" s="407" t="n">
        <v>11593.4</v>
      </c>
      <c r="Q1324" s="234" t="n">
        <v>2025</v>
      </c>
      <c r="R1324" s="234"/>
      <c r="S1324" s="248" t="n">
        <v>45841</v>
      </c>
      <c r="T1324" s="407" t="n">
        <f aca="false">Таблица18[[#This Row],[Вес нетто]]-Таблица18[[#This Row],[Зачетный вес]]</f>
        <v>2126.6</v>
      </c>
      <c r="U1324" s="409" t="n">
        <f aca="false">Таблица18[[#This Row],[Отход]]/Таблица18[[#This Row],[Вес нетто]]</f>
        <v>0.155</v>
      </c>
      <c r="V1324" s="234" t="n">
        <f aca="false">MONTH(Таблица18[[#This Row],[Дата акта]])</f>
        <v>7</v>
      </c>
      <c r="W1324" s="234" t="n">
        <v>3</v>
      </c>
      <c r="X1324" s="248" t="n">
        <f aca="false">DATE(1900,Таблица18[[#This Row],[Месяц]],Таблица18[[#This Row],[Число]])</f>
        <v>185</v>
      </c>
      <c r="Y1324" s="234"/>
      <c r="AF1324" s="411"/>
      <c r="AG1324" s="412"/>
    </row>
    <row r="1325" s="410" customFormat="true" ht="15" hidden="true" customHeight="true" outlineLevel="0" collapsed="false">
      <c r="A1325" s="198" t="s">
        <v>2947</v>
      </c>
      <c r="B1325" s="199" t="s">
        <v>417</v>
      </c>
      <c r="C1325" s="198" t="n">
        <v>717</v>
      </c>
      <c r="D1325" s="198" t="n">
        <v>79</v>
      </c>
      <c r="E1325" s="198" t="s">
        <v>994</v>
      </c>
      <c r="F1325" s="198" t="s">
        <v>365</v>
      </c>
      <c r="G1325" s="198" t="s">
        <v>373</v>
      </c>
      <c r="H1325" s="198" t="s">
        <v>1103</v>
      </c>
      <c r="I1325" s="199" t="s">
        <v>1103</v>
      </c>
      <c r="J1325" s="198" t="s">
        <v>904</v>
      </c>
      <c r="K1325" s="198" t="s">
        <v>1435</v>
      </c>
      <c r="L1325" s="234" t="n">
        <v>29240</v>
      </c>
      <c r="M1325" s="234" t="n">
        <v>15810</v>
      </c>
      <c r="N1325" s="234" t="n">
        <v>10.5</v>
      </c>
      <c r="O1325" s="407" t="n">
        <v>13430</v>
      </c>
      <c r="P1325" s="407" t="n">
        <v>12019.8</v>
      </c>
      <c r="Q1325" s="234" t="n">
        <v>2025</v>
      </c>
      <c r="R1325" s="234"/>
      <c r="S1325" s="248" t="n">
        <v>45841</v>
      </c>
      <c r="T1325" s="407" t="n">
        <f aca="false">Таблица18[[#This Row],[Вес нетто]]-Таблица18[[#This Row],[Зачетный вес]]</f>
        <v>1410.2</v>
      </c>
      <c r="U1325" s="409" t="n">
        <f aca="false">Таблица18[[#This Row],[Отход]]/Таблица18[[#This Row],[Вес нетто]]</f>
        <v>0.105003723008191</v>
      </c>
      <c r="V1325" s="234" t="n">
        <f aca="false">MONTH(Таблица18[[#This Row],[Дата акта]])</f>
        <v>7</v>
      </c>
      <c r="W1325" s="234" t="n">
        <v>3</v>
      </c>
      <c r="X1325" s="248" t="n">
        <f aca="false">DATE(1900,Таблица18[[#This Row],[Месяц]],Таблица18[[#This Row],[Число]])</f>
        <v>185</v>
      </c>
      <c r="Y1325" s="234"/>
      <c r="AF1325" s="411"/>
      <c r="AG1325" s="412"/>
    </row>
    <row r="1326" s="410" customFormat="true" ht="15" hidden="true" customHeight="true" outlineLevel="0" collapsed="false">
      <c r="A1326" s="198" t="s">
        <v>2948</v>
      </c>
      <c r="B1326" s="199" t="s">
        <v>417</v>
      </c>
      <c r="C1326" s="198" t="n">
        <v>718</v>
      </c>
      <c r="D1326" s="198" t="n">
        <v>81</v>
      </c>
      <c r="E1326" s="198" t="s">
        <v>994</v>
      </c>
      <c r="F1326" s="198" t="s">
        <v>384</v>
      </c>
      <c r="G1326" s="198" t="s">
        <v>385</v>
      </c>
      <c r="H1326" s="198" t="s">
        <v>1103</v>
      </c>
      <c r="I1326" s="199" t="s">
        <v>1103</v>
      </c>
      <c r="J1326" s="198" t="s">
        <v>904</v>
      </c>
      <c r="K1326" s="198" t="s">
        <v>1435</v>
      </c>
      <c r="L1326" s="234" t="n">
        <v>28100</v>
      </c>
      <c r="M1326" s="234" t="n">
        <v>14460</v>
      </c>
      <c r="N1326" s="234" t="n">
        <v>15</v>
      </c>
      <c r="O1326" s="407" t="n">
        <v>13640</v>
      </c>
      <c r="P1326" s="407" t="n">
        <v>11594</v>
      </c>
      <c r="Q1326" s="234" t="n">
        <v>2025</v>
      </c>
      <c r="R1326" s="234"/>
      <c r="S1326" s="248" t="n">
        <v>45841</v>
      </c>
      <c r="T1326" s="407" t="n">
        <f aca="false">Таблица18[[#This Row],[Вес нетто]]-Таблица18[[#This Row],[Зачетный вес]]</f>
        <v>2046</v>
      </c>
      <c r="U1326" s="409" t="n">
        <f aca="false">Таблица18[[#This Row],[Отход]]/Таблица18[[#This Row],[Вес нетто]]</f>
        <v>0.15</v>
      </c>
      <c r="V1326" s="234" t="n">
        <f aca="false">MONTH(Таблица18[[#This Row],[Дата акта]])</f>
        <v>7</v>
      </c>
      <c r="W1326" s="234" t="n">
        <v>3</v>
      </c>
      <c r="X1326" s="248" t="n">
        <f aca="false">DATE(1900,Таблица18[[#This Row],[Месяц]],Таблица18[[#This Row],[Число]])</f>
        <v>185</v>
      </c>
      <c r="Y1326" s="234"/>
      <c r="AF1326" s="411"/>
      <c r="AG1326" s="412"/>
    </row>
    <row r="1327" s="410" customFormat="true" ht="15" hidden="true" customHeight="true" outlineLevel="0" collapsed="false">
      <c r="A1327" s="198" t="s">
        <v>2949</v>
      </c>
      <c r="B1327" s="199" t="s">
        <v>417</v>
      </c>
      <c r="C1327" s="198" t="n">
        <v>719</v>
      </c>
      <c r="D1327" s="198" t="n">
        <v>80</v>
      </c>
      <c r="E1327" s="198" t="s">
        <v>994</v>
      </c>
      <c r="F1327" s="198" t="s">
        <v>1113</v>
      </c>
      <c r="G1327" s="198" t="s">
        <v>1114</v>
      </c>
      <c r="H1327" s="198" t="s">
        <v>1103</v>
      </c>
      <c r="I1327" s="199" t="s">
        <v>1103</v>
      </c>
      <c r="J1327" s="198" t="s">
        <v>904</v>
      </c>
      <c r="K1327" s="198" t="s">
        <v>1435</v>
      </c>
      <c r="L1327" s="234" t="n">
        <v>29070</v>
      </c>
      <c r="M1327" s="234" t="n">
        <v>15760</v>
      </c>
      <c r="N1327" s="234" t="n">
        <v>15</v>
      </c>
      <c r="O1327" s="407" t="n">
        <v>13310</v>
      </c>
      <c r="P1327" s="407" t="n">
        <v>11313.5</v>
      </c>
      <c r="Q1327" s="234" t="n">
        <v>2025</v>
      </c>
      <c r="R1327" s="234"/>
      <c r="S1327" s="248" t="n">
        <v>45841</v>
      </c>
      <c r="T1327" s="407" t="n">
        <f aca="false">Таблица18[[#This Row],[Вес нетто]]-Таблица18[[#This Row],[Зачетный вес]]</f>
        <v>1996.5</v>
      </c>
      <c r="U1327" s="409" t="n">
        <f aca="false">Таблица18[[#This Row],[Отход]]/Таблица18[[#This Row],[Вес нетто]]</f>
        <v>0.15</v>
      </c>
      <c r="V1327" s="234" t="n">
        <f aca="false">MONTH(Таблица18[[#This Row],[Дата акта]])</f>
        <v>7</v>
      </c>
      <c r="W1327" s="234" t="n">
        <v>3</v>
      </c>
      <c r="X1327" s="248" t="n">
        <f aca="false">DATE(1900,Таблица18[[#This Row],[Месяц]],Таблица18[[#This Row],[Число]])</f>
        <v>185</v>
      </c>
      <c r="Y1327" s="234"/>
      <c r="AF1327" s="411"/>
      <c r="AG1327" s="412"/>
    </row>
    <row r="1328" s="410" customFormat="true" ht="15" hidden="true" customHeight="true" outlineLevel="0" collapsed="false">
      <c r="A1328" s="198" t="s">
        <v>2950</v>
      </c>
      <c r="B1328" s="199" t="s">
        <v>417</v>
      </c>
      <c r="C1328" s="198" t="n">
        <v>720</v>
      </c>
      <c r="D1328" s="198" t="n">
        <v>82</v>
      </c>
      <c r="E1328" s="198" t="s">
        <v>994</v>
      </c>
      <c r="F1328" s="198" t="s">
        <v>382</v>
      </c>
      <c r="G1328" s="198" t="s">
        <v>383</v>
      </c>
      <c r="H1328" s="198" t="s">
        <v>1103</v>
      </c>
      <c r="I1328" s="199" t="s">
        <v>1103</v>
      </c>
      <c r="J1328" s="198" t="s">
        <v>904</v>
      </c>
      <c r="K1328" s="198" t="s">
        <v>1435</v>
      </c>
      <c r="L1328" s="234" t="n">
        <v>28500</v>
      </c>
      <c r="M1328" s="234" t="n">
        <v>14870</v>
      </c>
      <c r="N1328" s="234" t="n">
        <v>22</v>
      </c>
      <c r="O1328" s="407" t="n">
        <v>13630</v>
      </c>
      <c r="P1328" s="407" t="n">
        <v>10631.4</v>
      </c>
      <c r="Q1328" s="234" t="n">
        <v>2025</v>
      </c>
      <c r="R1328" s="234"/>
      <c r="S1328" s="248" t="n">
        <v>45841</v>
      </c>
      <c r="T1328" s="407" t="n">
        <f aca="false">Таблица18[[#This Row],[Вес нетто]]-Таблица18[[#This Row],[Зачетный вес]]</f>
        <v>2998.6</v>
      </c>
      <c r="U1328" s="409" t="n">
        <f aca="false">Таблица18[[#This Row],[Отход]]/Таблица18[[#This Row],[Вес нетто]]</f>
        <v>0.22</v>
      </c>
      <c r="V1328" s="234" t="n">
        <f aca="false">MONTH(Таблица18[[#This Row],[Дата акта]])</f>
        <v>7</v>
      </c>
      <c r="W1328" s="234" t="n">
        <v>3</v>
      </c>
      <c r="X1328" s="248" t="n">
        <f aca="false">DATE(1900,Таблица18[[#This Row],[Месяц]],Таблица18[[#This Row],[Число]])</f>
        <v>185</v>
      </c>
      <c r="Y1328" s="234"/>
      <c r="AF1328" s="411"/>
      <c r="AG1328" s="412"/>
    </row>
    <row r="1329" s="410" customFormat="true" ht="15" hidden="true" customHeight="true" outlineLevel="0" collapsed="false">
      <c r="A1329" s="198" t="s">
        <v>2951</v>
      </c>
      <c r="B1329" s="199" t="s">
        <v>417</v>
      </c>
      <c r="C1329" s="198" t="n">
        <v>721</v>
      </c>
      <c r="D1329" s="198" t="n">
        <v>83</v>
      </c>
      <c r="E1329" s="198" t="s">
        <v>994</v>
      </c>
      <c r="F1329" s="198" t="s">
        <v>359</v>
      </c>
      <c r="G1329" s="198" t="s">
        <v>426</v>
      </c>
      <c r="H1329" s="198" t="s">
        <v>1103</v>
      </c>
      <c r="I1329" s="199" t="s">
        <v>1103</v>
      </c>
      <c r="J1329" s="198" t="s">
        <v>904</v>
      </c>
      <c r="K1329" s="198" t="s">
        <v>1435</v>
      </c>
      <c r="L1329" s="234" t="n">
        <v>27310</v>
      </c>
      <c r="M1329" s="234" t="n">
        <v>13840</v>
      </c>
      <c r="N1329" s="234" t="n">
        <v>22</v>
      </c>
      <c r="O1329" s="407" t="n">
        <v>13470</v>
      </c>
      <c r="P1329" s="407" t="n">
        <v>10506.6</v>
      </c>
      <c r="Q1329" s="234" t="n">
        <v>2025</v>
      </c>
      <c r="R1329" s="234"/>
      <c r="S1329" s="248" t="n">
        <v>45841</v>
      </c>
      <c r="T1329" s="407" t="n">
        <f aca="false">Таблица18[[#This Row],[Вес нетто]]-Таблица18[[#This Row],[Зачетный вес]]</f>
        <v>2963.4</v>
      </c>
      <c r="U1329" s="409" t="n">
        <f aca="false">Таблица18[[#This Row],[Отход]]/Таблица18[[#This Row],[Вес нетто]]</f>
        <v>0.22</v>
      </c>
      <c r="V1329" s="234" t="n">
        <f aca="false">MONTH(Таблица18[[#This Row],[Дата акта]])</f>
        <v>7</v>
      </c>
      <c r="W1329" s="234" t="n">
        <v>3</v>
      </c>
      <c r="X1329" s="248" t="n">
        <f aca="false">DATE(1900,Таблица18[[#This Row],[Месяц]],Таблица18[[#This Row],[Число]])</f>
        <v>185</v>
      </c>
      <c r="Y1329" s="234"/>
      <c r="AF1329" s="411"/>
      <c r="AG1329" s="412"/>
    </row>
    <row r="1330" s="410" customFormat="true" ht="15" hidden="true" customHeight="true" outlineLevel="0" collapsed="false">
      <c r="A1330" s="198" t="s">
        <v>2952</v>
      </c>
      <c r="B1330" s="199" t="s">
        <v>417</v>
      </c>
      <c r="C1330" s="198" t="n">
        <v>724</v>
      </c>
      <c r="D1330" s="198" t="n">
        <v>84</v>
      </c>
      <c r="E1330" s="198" t="s">
        <v>994</v>
      </c>
      <c r="F1330" s="198" t="s">
        <v>553</v>
      </c>
      <c r="G1330" s="198" t="s">
        <v>557</v>
      </c>
      <c r="H1330" s="198" t="s">
        <v>1103</v>
      </c>
      <c r="I1330" s="199" t="s">
        <v>1103</v>
      </c>
      <c r="J1330" s="198" t="s">
        <v>904</v>
      </c>
      <c r="K1330" s="198" t="s">
        <v>1435</v>
      </c>
      <c r="L1330" s="234" t="n">
        <v>28560</v>
      </c>
      <c r="M1330" s="234" t="n">
        <v>14790</v>
      </c>
      <c r="N1330" s="234" t="n">
        <v>17</v>
      </c>
      <c r="O1330" s="407" t="n">
        <v>13770</v>
      </c>
      <c r="P1330" s="407" t="n">
        <v>11429.1</v>
      </c>
      <c r="Q1330" s="234" t="n">
        <v>2025</v>
      </c>
      <c r="R1330" s="234"/>
      <c r="S1330" s="248" t="n">
        <v>45841</v>
      </c>
      <c r="T1330" s="407" t="n">
        <f aca="false">Таблица18[[#This Row],[Вес нетто]]-Таблица18[[#This Row],[Зачетный вес]]</f>
        <v>2340.9</v>
      </c>
      <c r="U1330" s="409" t="n">
        <f aca="false">Таблица18[[#This Row],[Отход]]/Таблица18[[#This Row],[Вес нетто]]</f>
        <v>0.17</v>
      </c>
      <c r="V1330" s="234" t="n">
        <f aca="false">MONTH(Таблица18[[#This Row],[Дата акта]])</f>
        <v>7</v>
      </c>
      <c r="W1330" s="234" t="n">
        <v>3</v>
      </c>
      <c r="X1330" s="248" t="n">
        <f aca="false">DATE(1900,Таблица18[[#This Row],[Месяц]],Таблица18[[#This Row],[Число]])</f>
        <v>185</v>
      </c>
      <c r="Y1330" s="234"/>
      <c r="AF1330" s="411"/>
      <c r="AG1330" s="412"/>
    </row>
    <row r="1331" s="410" customFormat="true" ht="15" hidden="true" customHeight="true" outlineLevel="0" collapsed="false">
      <c r="A1331" s="198" t="s">
        <v>2953</v>
      </c>
      <c r="B1331" s="199" t="s">
        <v>417</v>
      </c>
      <c r="C1331" s="198" t="n">
        <v>725</v>
      </c>
      <c r="D1331" s="198" t="n">
        <v>85</v>
      </c>
      <c r="E1331" s="198" t="s">
        <v>994</v>
      </c>
      <c r="F1331" s="198" t="s">
        <v>445</v>
      </c>
      <c r="G1331" s="198" t="s">
        <v>449</v>
      </c>
      <c r="H1331" s="198" t="s">
        <v>1103</v>
      </c>
      <c r="I1331" s="199" t="s">
        <v>1103</v>
      </c>
      <c r="J1331" s="198" t="s">
        <v>904</v>
      </c>
      <c r="K1331" s="198" t="s">
        <v>1435</v>
      </c>
      <c r="L1331" s="234" t="n">
        <v>29560</v>
      </c>
      <c r="M1331" s="234" t="n">
        <v>15730</v>
      </c>
      <c r="N1331" s="234" t="n">
        <v>19</v>
      </c>
      <c r="O1331" s="407" t="n">
        <v>13830</v>
      </c>
      <c r="P1331" s="407" t="n">
        <v>11202.3</v>
      </c>
      <c r="Q1331" s="234" t="n">
        <v>2025</v>
      </c>
      <c r="R1331" s="234"/>
      <c r="S1331" s="248" t="n">
        <v>45841</v>
      </c>
      <c r="T1331" s="407" t="n">
        <f aca="false">Таблица18[[#This Row],[Вес нетто]]-Таблица18[[#This Row],[Зачетный вес]]</f>
        <v>2627.7</v>
      </c>
      <c r="U1331" s="409" t="n">
        <f aca="false">Таблица18[[#This Row],[Отход]]/Таблица18[[#This Row],[Вес нетто]]</f>
        <v>0.19</v>
      </c>
      <c r="V1331" s="234" t="n">
        <f aca="false">MONTH(Таблица18[[#This Row],[Дата акта]])</f>
        <v>7</v>
      </c>
      <c r="W1331" s="234" t="n">
        <v>3</v>
      </c>
      <c r="X1331" s="248" t="n">
        <f aca="false">DATE(1900,Таблица18[[#This Row],[Месяц]],Таблица18[[#This Row],[Число]])</f>
        <v>185</v>
      </c>
      <c r="Y1331" s="234"/>
      <c r="AF1331" s="411"/>
      <c r="AG1331" s="412"/>
    </row>
    <row r="1332" s="410" customFormat="true" ht="15" hidden="true" customHeight="true" outlineLevel="0" collapsed="false">
      <c r="A1332" s="198" t="s">
        <v>2954</v>
      </c>
      <c r="B1332" s="199" t="s">
        <v>417</v>
      </c>
      <c r="C1332" s="198" t="n">
        <v>726</v>
      </c>
      <c r="D1332" s="198" t="n">
        <v>86</v>
      </c>
      <c r="E1332" s="198" t="s">
        <v>994</v>
      </c>
      <c r="F1332" s="198" t="s">
        <v>547</v>
      </c>
      <c r="G1332" s="198" t="s">
        <v>551</v>
      </c>
      <c r="H1332" s="198" t="s">
        <v>1103</v>
      </c>
      <c r="I1332" s="199" t="s">
        <v>1103</v>
      </c>
      <c r="J1332" s="198" t="s">
        <v>904</v>
      </c>
      <c r="K1332" s="198" t="s">
        <v>1435</v>
      </c>
      <c r="L1332" s="234" t="n">
        <v>28510</v>
      </c>
      <c r="M1332" s="234" t="n">
        <v>14780</v>
      </c>
      <c r="N1332" s="234" t="n">
        <v>12</v>
      </c>
      <c r="O1332" s="407" t="n">
        <v>13730</v>
      </c>
      <c r="P1332" s="407" t="n">
        <v>12082.4</v>
      </c>
      <c r="Q1332" s="234" t="n">
        <v>2025</v>
      </c>
      <c r="R1332" s="234"/>
      <c r="S1332" s="248" t="n">
        <v>45841</v>
      </c>
      <c r="T1332" s="407" t="n">
        <f aca="false">Таблица18[[#This Row],[Вес нетто]]-Таблица18[[#This Row],[Зачетный вес]]</f>
        <v>1647.6</v>
      </c>
      <c r="U1332" s="409" t="n">
        <f aca="false">Таблица18[[#This Row],[Отход]]/Таблица18[[#This Row],[Вес нетто]]</f>
        <v>0.12</v>
      </c>
      <c r="V1332" s="234" t="n">
        <f aca="false">MONTH(Таблица18[[#This Row],[Дата акта]])</f>
        <v>7</v>
      </c>
      <c r="W1332" s="234" t="n">
        <v>3</v>
      </c>
      <c r="X1332" s="248" t="n">
        <f aca="false">DATE(1900,Таблица18[[#This Row],[Месяц]],Таблица18[[#This Row],[Число]])</f>
        <v>185</v>
      </c>
      <c r="Y1332" s="234"/>
      <c r="AF1332" s="411"/>
      <c r="AG1332" s="412"/>
    </row>
    <row r="1333" s="410" customFormat="true" ht="15" hidden="true" customHeight="true" outlineLevel="0" collapsed="false">
      <c r="A1333" s="198" t="s">
        <v>2955</v>
      </c>
      <c r="B1333" s="199" t="s">
        <v>417</v>
      </c>
      <c r="C1333" s="198" t="n">
        <v>727</v>
      </c>
      <c r="D1333" s="198" t="n">
        <v>87</v>
      </c>
      <c r="E1333" s="198" t="s">
        <v>994</v>
      </c>
      <c r="F1333" s="198" t="s">
        <v>1086</v>
      </c>
      <c r="G1333" s="198" t="s">
        <v>1087</v>
      </c>
      <c r="H1333" s="198" t="s">
        <v>1103</v>
      </c>
      <c r="I1333" s="199" t="s">
        <v>1103</v>
      </c>
      <c r="J1333" s="198" t="s">
        <v>904</v>
      </c>
      <c r="K1333" s="198" t="s">
        <v>1435</v>
      </c>
      <c r="L1333" s="234" t="n">
        <v>28700</v>
      </c>
      <c r="M1333" s="234" t="n">
        <v>14780</v>
      </c>
      <c r="N1333" s="234" t="n">
        <v>17</v>
      </c>
      <c r="O1333" s="407" t="n">
        <v>13920</v>
      </c>
      <c r="P1333" s="407" t="n">
        <v>11553.6</v>
      </c>
      <c r="Q1333" s="234" t="n">
        <v>2025</v>
      </c>
      <c r="R1333" s="234"/>
      <c r="S1333" s="248" t="n">
        <v>45841</v>
      </c>
      <c r="T1333" s="407" t="n">
        <f aca="false">Таблица18[[#This Row],[Вес нетто]]-Таблица18[[#This Row],[Зачетный вес]]</f>
        <v>2366.4</v>
      </c>
      <c r="U1333" s="409" t="n">
        <f aca="false">Таблица18[[#This Row],[Отход]]/Таблица18[[#This Row],[Вес нетто]]</f>
        <v>0.17</v>
      </c>
      <c r="V1333" s="234" t="n">
        <f aca="false">MONTH(Таблица18[[#This Row],[Дата акта]])</f>
        <v>7</v>
      </c>
      <c r="W1333" s="234" t="n">
        <v>3</v>
      </c>
      <c r="X1333" s="248" t="n">
        <f aca="false">DATE(1900,Таблица18[[#This Row],[Месяц]],Таблица18[[#This Row],[Число]])</f>
        <v>185</v>
      </c>
      <c r="Y1333" s="234"/>
      <c r="AF1333" s="411"/>
      <c r="AG1333" s="412"/>
    </row>
    <row r="1334" s="410" customFormat="true" ht="15" hidden="true" customHeight="true" outlineLevel="0" collapsed="false">
      <c r="A1334" s="198" t="s">
        <v>2956</v>
      </c>
      <c r="B1334" s="199" t="s">
        <v>417</v>
      </c>
      <c r="C1334" s="198" t="n">
        <v>728</v>
      </c>
      <c r="D1334" s="198" t="n">
        <v>88</v>
      </c>
      <c r="E1334" s="198" t="s">
        <v>994</v>
      </c>
      <c r="F1334" s="198" t="s">
        <v>439</v>
      </c>
      <c r="G1334" s="198" t="s">
        <v>443</v>
      </c>
      <c r="H1334" s="198" t="s">
        <v>1103</v>
      </c>
      <c r="I1334" s="199" t="s">
        <v>1103</v>
      </c>
      <c r="J1334" s="198" t="s">
        <v>904</v>
      </c>
      <c r="K1334" s="198" t="s">
        <v>1435</v>
      </c>
      <c r="L1334" s="234" t="n">
        <v>37980</v>
      </c>
      <c r="M1334" s="234" t="n">
        <v>24020</v>
      </c>
      <c r="N1334" s="234" t="n">
        <v>14</v>
      </c>
      <c r="O1334" s="407" t="n">
        <v>13960</v>
      </c>
      <c r="P1334" s="407" t="n">
        <v>12005.6</v>
      </c>
      <c r="Q1334" s="234" t="n">
        <v>2025</v>
      </c>
      <c r="R1334" s="234"/>
      <c r="S1334" s="248" t="n">
        <v>45841</v>
      </c>
      <c r="T1334" s="407" t="n">
        <f aca="false">Таблица18[[#This Row],[Вес нетто]]-Таблица18[[#This Row],[Зачетный вес]]</f>
        <v>1954.4</v>
      </c>
      <c r="U1334" s="409" t="n">
        <f aca="false">Таблица18[[#This Row],[Отход]]/Таблица18[[#This Row],[Вес нетто]]</f>
        <v>0.14</v>
      </c>
      <c r="V1334" s="234" t="n">
        <f aca="false">MONTH(Таблица18[[#This Row],[Дата акта]])</f>
        <v>7</v>
      </c>
      <c r="W1334" s="234" t="n">
        <v>3</v>
      </c>
      <c r="X1334" s="248" t="n">
        <f aca="false">DATE(1900,Таблица18[[#This Row],[Месяц]],Таблица18[[#This Row],[Число]])</f>
        <v>185</v>
      </c>
      <c r="Y1334" s="234"/>
      <c r="AF1334" s="411"/>
      <c r="AG1334" s="412"/>
    </row>
    <row r="1335" s="410" customFormat="true" ht="15" hidden="true" customHeight="true" outlineLevel="0" collapsed="false">
      <c r="A1335" s="198" t="s">
        <v>2957</v>
      </c>
      <c r="B1335" s="199" t="s">
        <v>417</v>
      </c>
      <c r="C1335" s="198" t="n">
        <v>729</v>
      </c>
      <c r="D1335" s="198" t="n">
        <v>89</v>
      </c>
      <c r="E1335" s="198" t="s">
        <v>994</v>
      </c>
      <c r="F1335" s="198" t="s">
        <v>451</v>
      </c>
      <c r="G1335" s="198" t="s">
        <v>455</v>
      </c>
      <c r="H1335" s="198" t="s">
        <v>1103</v>
      </c>
      <c r="I1335" s="199" t="s">
        <v>1103</v>
      </c>
      <c r="J1335" s="198" t="s">
        <v>904</v>
      </c>
      <c r="K1335" s="198" t="s">
        <v>1435</v>
      </c>
      <c r="L1335" s="234" t="n">
        <v>28940</v>
      </c>
      <c r="M1335" s="234" t="n">
        <v>14870</v>
      </c>
      <c r="N1335" s="234" t="n">
        <v>12.5</v>
      </c>
      <c r="O1335" s="407" t="n">
        <v>14070</v>
      </c>
      <c r="P1335" s="407" t="n">
        <v>12311.2</v>
      </c>
      <c r="Q1335" s="234" t="n">
        <v>2025</v>
      </c>
      <c r="R1335" s="234"/>
      <c r="S1335" s="248" t="n">
        <v>45841</v>
      </c>
      <c r="T1335" s="407" t="n">
        <f aca="false">Таблица18[[#This Row],[Вес нетто]]-Таблица18[[#This Row],[Зачетный вес]]</f>
        <v>1758.8</v>
      </c>
      <c r="U1335" s="409" t="n">
        <f aca="false">Таблица18[[#This Row],[Отход]]/Таблица18[[#This Row],[Вес нетто]]</f>
        <v>0.12500355366027</v>
      </c>
      <c r="V1335" s="234" t="n">
        <f aca="false">MONTH(Таблица18[[#This Row],[Дата акта]])</f>
        <v>7</v>
      </c>
      <c r="W1335" s="234" t="n">
        <v>3</v>
      </c>
      <c r="X1335" s="248" t="n">
        <f aca="false">DATE(1900,Таблица18[[#This Row],[Месяц]],Таблица18[[#This Row],[Число]])</f>
        <v>185</v>
      </c>
      <c r="Y1335" s="234"/>
      <c r="AF1335" s="411"/>
      <c r="AG1335" s="412"/>
    </row>
    <row r="1336" s="410" customFormat="true" ht="15" hidden="true" customHeight="true" outlineLevel="0" collapsed="false">
      <c r="A1336" s="198" t="s">
        <v>2958</v>
      </c>
      <c r="B1336" s="199" t="s">
        <v>417</v>
      </c>
      <c r="C1336" s="198" t="n">
        <v>730</v>
      </c>
      <c r="D1336" s="198" t="n">
        <v>90</v>
      </c>
      <c r="E1336" s="198" t="s">
        <v>994</v>
      </c>
      <c r="F1336" s="198" t="s">
        <v>361</v>
      </c>
      <c r="G1336" s="198" t="s">
        <v>362</v>
      </c>
      <c r="H1336" s="198" t="s">
        <v>1103</v>
      </c>
      <c r="I1336" s="199" t="s">
        <v>1103</v>
      </c>
      <c r="J1336" s="198" t="s">
        <v>904</v>
      </c>
      <c r="K1336" s="198" t="s">
        <v>1435</v>
      </c>
      <c r="L1336" s="234" t="n">
        <v>28690</v>
      </c>
      <c r="M1336" s="234" t="n">
        <v>14690</v>
      </c>
      <c r="N1336" s="234" t="n">
        <v>15.5</v>
      </c>
      <c r="O1336" s="407" t="n">
        <v>14000</v>
      </c>
      <c r="P1336" s="407" t="n">
        <v>11830</v>
      </c>
      <c r="Q1336" s="234" t="n">
        <v>2025</v>
      </c>
      <c r="R1336" s="234"/>
      <c r="S1336" s="248" t="n">
        <v>45841</v>
      </c>
      <c r="T1336" s="407" t="n">
        <f aca="false">Таблица18[[#This Row],[Вес нетто]]-Таблица18[[#This Row],[Зачетный вес]]</f>
        <v>2170</v>
      </c>
      <c r="U1336" s="409" t="n">
        <f aca="false">Таблица18[[#This Row],[Отход]]/Таблица18[[#This Row],[Вес нетто]]</f>
        <v>0.155</v>
      </c>
      <c r="V1336" s="234" t="n">
        <f aca="false">MONTH(Таблица18[[#This Row],[Дата акта]])</f>
        <v>7</v>
      </c>
      <c r="W1336" s="234" t="n">
        <v>3</v>
      </c>
      <c r="X1336" s="248" t="n">
        <f aca="false">DATE(1900,Таблица18[[#This Row],[Месяц]],Таблица18[[#This Row],[Число]])</f>
        <v>185</v>
      </c>
      <c r="Y1336" s="234"/>
      <c r="AF1336" s="411"/>
      <c r="AG1336" s="412"/>
    </row>
    <row r="1337" s="410" customFormat="true" ht="15" hidden="true" customHeight="true" outlineLevel="0" collapsed="false">
      <c r="A1337" s="198" t="s">
        <v>2959</v>
      </c>
      <c r="B1337" s="199" t="s">
        <v>417</v>
      </c>
      <c r="C1337" s="198" t="n">
        <v>731</v>
      </c>
      <c r="D1337" s="198" t="n">
        <v>91</v>
      </c>
      <c r="E1337" s="198" t="s">
        <v>994</v>
      </c>
      <c r="F1337" s="198" t="s">
        <v>1092</v>
      </c>
      <c r="G1337" s="198" t="s">
        <v>1093</v>
      </c>
      <c r="H1337" s="198" t="s">
        <v>1103</v>
      </c>
      <c r="I1337" s="199" t="s">
        <v>1103</v>
      </c>
      <c r="J1337" s="198" t="s">
        <v>904</v>
      </c>
      <c r="K1337" s="198" t="s">
        <v>1435</v>
      </c>
      <c r="L1337" s="234" t="n">
        <v>38090</v>
      </c>
      <c r="M1337" s="234" t="n">
        <v>24200</v>
      </c>
      <c r="N1337" s="234" t="n">
        <v>16</v>
      </c>
      <c r="O1337" s="407" t="n">
        <v>13890</v>
      </c>
      <c r="P1337" s="407" t="n">
        <v>11667.6</v>
      </c>
      <c r="Q1337" s="234" t="n">
        <v>2025</v>
      </c>
      <c r="R1337" s="234"/>
      <c r="S1337" s="248" t="n">
        <v>45841</v>
      </c>
      <c r="T1337" s="407" t="n">
        <f aca="false">Таблица18[[#This Row],[Вес нетто]]-Таблица18[[#This Row],[Зачетный вес]]</f>
        <v>2222.4</v>
      </c>
      <c r="U1337" s="409" t="n">
        <f aca="false">Таблица18[[#This Row],[Отход]]/Таблица18[[#This Row],[Вес нетто]]</f>
        <v>0.16</v>
      </c>
      <c r="V1337" s="234" t="n">
        <f aca="false">MONTH(Таблица18[[#This Row],[Дата акта]])</f>
        <v>7</v>
      </c>
      <c r="W1337" s="234" t="n">
        <v>3</v>
      </c>
      <c r="X1337" s="248" t="n">
        <f aca="false">DATE(1900,Таблица18[[#This Row],[Месяц]],Таблица18[[#This Row],[Число]])</f>
        <v>185</v>
      </c>
      <c r="Y1337" s="234"/>
      <c r="AF1337" s="411"/>
      <c r="AG1337" s="412"/>
    </row>
    <row r="1338" s="410" customFormat="true" ht="15" hidden="true" customHeight="true" outlineLevel="0" collapsed="false">
      <c r="A1338" s="198" t="s">
        <v>2960</v>
      </c>
      <c r="B1338" s="199" t="s">
        <v>417</v>
      </c>
      <c r="C1338" s="198" t="n">
        <v>732</v>
      </c>
      <c r="D1338" s="198" t="n">
        <v>95</v>
      </c>
      <c r="E1338" s="198" t="s">
        <v>994</v>
      </c>
      <c r="F1338" s="198" t="s">
        <v>1095</v>
      </c>
      <c r="G1338" s="198" t="s">
        <v>1096</v>
      </c>
      <c r="H1338" s="198" t="s">
        <v>995</v>
      </c>
      <c r="I1338" s="199" t="s">
        <v>995</v>
      </c>
      <c r="J1338" s="198" t="s">
        <v>1061</v>
      </c>
      <c r="K1338" s="198" t="s">
        <v>1435</v>
      </c>
      <c r="L1338" s="234" t="n">
        <v>29440</v>
      </c>
      <c r="M1338" s="234" t="n">
        <v>21370</v>
      </c>
      <c r="N1338" s="234" t="n">
        <v>11.5</v>
      </c>
      <c r="O1338" s="407" t="n">
        <v>8070</v>
      </c>
      <c r="P1338" s="407" t="n">
        <v>7141.9</v>
      </c>
      <c r="Q1338" s="234" t="n">
        <v>2025</v>
      </c>
      <c r="R1338" s="234"/>
      <c r="S1338" s="248" t="n">
        <v>45842</v>
      </c>
      <c r="T1338" s="407" t="n">
        <f aca="false">Таблица18[[#This Row],[Вес нетто]]-Таблица18[[#This Row],[Зачетный вес]]</f>
        <v>928.1</v>
      </c>
      <c r="U1338" s="409" t="n">
        <f aca="false">Таблица18[[#This Row],[Отход]]/Таблица18[[#This Row],[Вес нетто]]</f>
        <v>0.115006195786865</v>
      </c>
      <c r="V1338" s="234" t="n">
        <f aca="false">MONTH(Таблица18[[#This Row],[Дата акта]])</f>
        <v>7</v>
      </c>
      <c r="W1338" s="234" t="n">
        <v>4</v>
      </c>
      <c r="X1338" s="248" t="n">
        <f aca="false">DATE(1900,Таблица18[[#This Row],[Месяц]],Таблица18[[#This Row],[Число]])</f>
        <v>186</v>
      </c>
      <c r="Y1338" s="234"/>
      <c r="AF1338" s="411"/>
      <c r="AG1338" s="412"/>
    </row>
    <row r="1339" s="410" customFormat="true" ht="15" hidden="true" customHeight="true" outlineLevel="0" collapsed="false">
      <c r="A1339" s="198" t="s">
        <v>2961</v>
      </c>
      <c r="B1339" s="199" t="s">
        <v>417</v>
      </c>
      <c r="C1339" s="198" t="n">
        <v>734</v>
      </c>
      <c r="D1339" s="198" t="n">
        <v>95</v>
      </c>
      <c r="E1339" s="198" t="s">
        <v>994</v>
      </c>
      <c r="F1339" s="198" t="s">
        <v>1095</v>
      </c>
      <c r="G1339" s="198" t="s">
        <v>1096</v>
      </c>
      <c r="H1339" s="198" t="s">
        <v>1103</v>
      </c>
      <c r="I1339" s="199" t="s">
        <v>1103</v>
      </c>
      <c r="J1339" s="198" t="s">
        <v>904</v>
      </c>
      <c r="K1339" s="198" t="s">
        <v>1435</v>
      </c>
      <c r="L1339" s="234" t="n">
        <v>21370</v>
      </c>
      <c r="M1339" s="234" t="n">
        <v>15690</v>
      </c>
      <c r="N1339" s="234" t="n">
        <v>15.5</v>
      </c>
      <c r="O1339" s="407" t="n">
        <v>5680</v>
      </c>
      <c r="P1339" s="407" t="n">
        <v>4799.6</v>
      </c>
      <c r="Q1339" s="234" t="n">
        <v>2025</v>
      </c>
      <c r="R1339" s="234"/>
      <c r="S1339" s="248" t="n">
        <v>45842</v>
      </c>
      <c r="T1339" s="407" t="n">
        <f aca="false">Таблица18[[#This Row],[Вес нетто]]-Таблица18[[#This Row],[Зачетный вес]]</f>
        <v>880.4</v>
      </c>
      <c r="U1339" s="409" t="n">
        <f aca="false">Таблица18[[#This Row],[Отход]]/Таблица18[[#This Row],[Вес нетто]]</f>
        <v>0.155</v>
      </c>
      <c r="V1339" s="234" t="n">
        <f aca="false">MONTH(Таблица18[[#This Row],[Дата акта]])</f>
        <v>7</v>
      </c>
      <c r="W1339" s="234" t="n">
        <v>4</v>
      </c>
      <c r="X1339" s="248" t="n">
        <f aca="false">DATE(1900,Таблица18[[#This Row],[Месяц]],Таблица18[[#This Row],[Число]])</f>
        <v>186</v>
      </c>
      <c r="Y1339" s="234"/>
      <c r="AF1339" s="411"/>
      <c r="AG1339" s="412"/>
    </row>
    <row r="1340" s="410" customFormat="true" ht="15" hidden="true" customHeight="true" outlineLevel="0" collapsed="false">
      <c r="A1340" s="198" t="s">
        <v>2962</v>
      </c>
      <c r="B1340" s="199" t="s">
        <v>417</v>
      </c>
      <c r="C1340" s="198" t="n">
        <v>733</v>
      </c>
      <c r="D1340" s="198" t="n">
        <v>92</v>
      </c>
      <c r="E1340" s="198" t="s">
        <v>994</v>
      </c>
      <c r="F1340" s="198" t="s">
        <v>1113</v>
      </c>
      <c r="G1340" s="198" t="s">
        <v>1114</v>
      </c>
      <c r="H1340" s="198" t="s">
        <v>995</v>
      </c>
      <c r="I1340" s="199" t="s">
        <v>995</v>
      </c>
      <c r="J1340" s="198" t="s">
        <v>1061</v>
      </c>
      <c r="K1340" s="198" t="s">
        <v>1435</v>
      </c>
      <c r="L1340" s="234" t="n">
        <v>28830</v>
      </c>
      <c r="M1340" s="234" t="n">
        <v>15620</v>
      </c>
      <c r="N1340" s="234" t="n">
        <v>9.5</v>
      </c>
      <c r="O1340" s="407" t="n">
        <v>13210</v>
      </c>
      <c r="P1340" s="407" t="n">
        <v>11955</v>
      </c>
      <c r="Q1340" s="234" t="n">
        <v>2025</v>
      </c>
      <c r="R1340" s="234"/>
      <c r="S1340" s="248" t="n">
        <v>45842</v>
      </c>
      <c r="T1340" s="407" t="n">
        <f aca="false">Таблица18[[#This Row],[Вес нетто]]-Таблица18[[#This Row],[Зачетный вес]]</f>
        <v>1255</v>
      </c>
      <c r="U1340" s="409" t="n">
        <f aca="false">Таблица18[[#This Row],[Отход]]/Таблица18[[#This Row],[Вес нетто]]</f>
        <v>0.095003785011355</v>
      </c>
      <c r="V1340" s="234" t="n">
        <f aca="false">MONTH(Таблица18[[#This Row],[Дата акта]])</f>
        <v>7</v>
      </c>
      <c r="W1340" s="234" t="n">
        <v>4</v>
      </c>
      <c r="X1340" s="248" t="n">
        <f aca="false">DATE(1900,Таблица18[[#This Row],[Месяц]],Таблица18[[#This Row],[Число]])</f>
        <v>186</v>
      </c>
      <c r="Y1340" s="234"/>
      <c r="AF1340" s="411"/>
      <c r="AG1340" s="412"/>
    </row>
    <row r="1341" s="410" customFormat="true" ht="15" hidden="true" customHeight="true" outlineLevel="0" collapsed="false">
      <c r="A1341" s="198" t="s">
        <v>2963</v>
      </c>
      <c r="B1341" s="199" t="s">
        <v>417</v>
      </c>
      <c r="C1341" s="198" t="n">
        <v>735</v>
      </c>
      <c r="D1341" s="198" t="n">
        <v>93</v>
      </c>
      <c r="E1341" s="198" t="s">
        <v>994</v>
      </c>
      <c r="F1341" s="198" t="s">
        <v>359</v>
      </c>
      <c r="G1341" s="198" t="s">
        <v>426</v>
      </c>
      <c r="H1341" s="198" t="s">
        <v>995</v>
      </c>
      <c r="I1341" s="199" t="s">
        <v>995</v>
      </c>
      <c r="J1341" s="198" t="s">
        <v>1061</v>
      </c>
      <c r="K1341" s="198" t="s">
        <v>1435</v>
      </c>
      <c r="L1341" s="234" t="n">
        <v>27020</v>
      </c>
      <c r="M1341" s="234" t="n">
        <v>13850</v>
      </c>
      <c r="N1341" s="234" t="n">
        <v>8.5</v>
      </c>
      <c r="O1341" s="407" t="n">
        <v>13170</v>
      </c>
      <c r="P1341" s="407" t="n">
        <v>12050.5</v>
      </c>
      <c r="Q1341" s="234" t="n">
        <v>2025</v>
      </c>
      <c r="R1341" s="234"/>
      <c r="S1341" s="248" t="n">
        <v>45842</v>
      </c>
      <c r="T1341" s="407" t="n">
        <f aca="false">Таблица18[[#This Row],[Вес нетто]]-Таблица18[[#This Row],[Зачетный вес]]</f>
        <v>1119.5</v>
      </c>
      <c r="U1341" s="409" t="n">
        <f aca="false">Таблица18[[#This Row],[Отход]]/Таблица18[[#This Row],[Вес нетто]]</f>
        <v>0.0850037965072134</v>
      </c>
      <c r="V1341" s="234" t="n">
        <f aca="false">MONTH(Таблица18[[#This Row],[Дата акта]])</f>
        <v>7</v>
      </c>
      <c r="W1341" s="234" t="n">
        <v>4</v>
      </c>
      <c r="X1341" s="248" t="n">
        <f aca="false">DATE(1900,Таблица18[[#This Row],[Месяц]],Таблица18[[#This Row],[Число]])</f>
        <v>186</v>
      </c>
      <c r="Y1341" s="234"/>
      <c r="AF1341" s="411"/>
      <c r="AG1341" s="412"/>
    </row>
    <row r="1342" s="410" customFormat="true" ht="15" hidden="true" customHeight="true" outlineLevel="0" collapsed="false">
      <c r="A1342" s="198" t="s">
        <v>2964</v>
      </c>
      <c r="B1342" s="199" t="s">
        <v>417</v>
      </c>
      <c r="C1342" s="198" t="n">
        <v>736</v>
      </c>
      <c r="D1342" s="198" t="n">
        <v>94</v>
      </c>
      <c r="E1342" s="198" t="s">
        <v>994</v>
      </c>
      <c r="F1342" s="198" t="s">
        <v>472</v>
      </c>
      <c r="G1342" s="198" t="s">
        <v>476</v>
      </c>
      <c r="H1342" s="198" t="s">
        <v>995</v>
      </c>
      <c r="I1342" s="199" t="s">
        <v>995</v>
      </c>
      <c r="J1342" s="198" t="s">
        <v>1061</v>
      </c>
      <c r="K1342" s="198" t="s">
        <v>1435</v>
      </c>
      <c r="L1342" s="234" t="n">
        <v>28770</v>
      </c>
      <c r="M1342" s="234" t="n">
        <v>15540</v>
      </c>
      <c r="N1342" s="234" t="n">
        <v>11.5</v>
      </c>
      <c r="O1342" s="407" t="n">
        <v>13230</v>
      </c>
      <c r="P1342" s="407" t="n">
        <v>11708.5</v>
      </c>
      <c r="Q1342" s="234" t="n">
        <v>2025</v>
      </c>
      <c r="R1342" s="234"/>
      <c r="S1342" s="248" t="n">
        <v>45842</v>
      </c>
      <c r="T1342" s="407" t="n">
        <f aca="false">Таблица18[[#This Row],[Вес нетто]]-Таблица18[[#This Row],[Зачетный вес]]</f>
        <v>1521.5</v>
      </c>
      <c r="U1342" s="409" t="n">
        <f aca="false">Таблица18[[#This Row],[Отход]]/Таблица18[[#This Row],[Вес нетто]]</f>
        <v>0.115003779289494</v>
      </c>
      <c r="V1342" s="234" t="n">
        <f aca="false">MONTH(Таблица18[[#This Row],[Дата акта]])</f>
        <v>7</v>
      </c>
      <c r="W1342" s="234" t="n">
        <v>4</v>
      </c>
      <c r="X1342" s="248" t="n">
        <f aca="false">DATE(1900,Таблица18[[#This Row],[Месяц]],Таблица18[[#This Row],[Число]])</f>
        <v>186</v>
      </c>
      <c r="Y1342" s="234"/>
      <c r="AF1342" s="411"/>
      <c r="AG1342" s="412"/>
    </row>
    <row r="1343" s="410" customFormat="true" ht="15" hidden="true" customHeight="true" outlineLevel="0" collapsed="false">
      <c r="A1343" s="198" t="s">
        <v>2965</v>
      </c>
      <c r="B1343" s="199" t="s">
        <v>417</v>
      </c>
      <c r="C1343" s="198" t="n">
        <v>738</v>
      </c>
      <c r="D1343" s="198" t="n">
        <v>97</v>
      </c>
      <c r="E1343" s="198" t="s">
        <v>994</v>
      </c>
      <c r="F1343" s="198" t="s">
        <v>445</v>
      </c>
      <c r="G1343" s="198" t="s">
        <v>449</v>
      </c>
      <c r="H1343" s="198" t="s">
        <v>995</v>
      </c>
      <c r="I1343" s="199" t="s">
        <v>995</v>
      </c>
      <c r="J1343" s="198" t="s">
        <v>1061</v>
      </c>
      <c r="K1343" s="198" t="s">
        <v>1435</v>
      </c>
      <c r="L1343" s="234" t="n">
        <v>28900</v>
      </c>
      <c r="M1343" s="234" t="n">
        <v>15600</v>
      </c>
      <c r="N1343" s="234" t="n">
        <v>10</v>
      </c>
      <c r="O1343" s="407" t="n">
        <v>13300</v>
      </c>
      <c r="P1343" s="407" t="n">
        <v>11970</v>
      </c>
      <c r="Q1343" s="234" t="n">
        <v>2025</v>
      </c>
      <c r="R1343" s="234"/>
      <c r="S1343" s="248" t="n">
        <v>45842</v>
      </c>
      <c r="T1343" s="407" t="n">
        <f aca="false">Таблица18[[#This Row],[Вес нетто]]-Таблица18[[#This Row],[Зачетный вес]]</f>
        <v>1330</v>
      </c>
      <c r="U1343" s="409" t="n">
        <f aca="false">Таблица18[[#This Row],[Отход]]/Таблица18[[#This Row],[Вес нетто]]</f>
        <v>0.1</v>
      </c>
      <c r="V1343" s="234" t="n">
        <f aca="false">MONTH(Таблица18[[#This Row],[Дата акта]])</f>
        <v>7</v>
      </c>
      <c r="W1343" s="234" t="n">
        <v>4</v>
      </c>
      <c r="X1343" s="248" t="n">
        <f aca="false">DATE(1900,Таблица18[[#This Row],[Месяц]],Таблица18[[#This Row],[Число]])</f>
        <v>186</v>
      </c>
      <c r="Y1343" s="234"/>
      <c r="AF1343" s="411"/>
      <c r="AG1343" s="412"/>
    </row>
    <row r="1344" s="410" customFormat="true" ht="15" hidden="true" customHeight="true" outlineLevel="0" collapsed="false">
      <c r="A1344" s="198" t="s">
        <v>2966</v>
      </c>
      <c r="B1344" s="199" t="s">
        <v>417</v>
      </c>
      <c r="C1344" s="198" t="n">
        <v>737</v>
      </c>
      <c r="D1344" s="198" t="n">
        <v>96</v>
      </c>
      <c r="E1344" s="198" t="s">
        <v>994</v>
      </c>
      <c r="F1344" s="198" t="s">
        <v>553</v>
      </c>
      <c r="G1344" s="198" t="s">
        <v>557</v>
      </c>
      <c r="H1344" s="198" t="s">
        <v>995</v>
      </c>
      <c r="I1344" s="199" t="s">
        <v>995</v>
      </c>
      <c r="J1344" s="198" t="s">
        <v>1061</v>
      </c>
      <c r="K1344" s="198" t="s">
        <v>1435</v>
      </c>
      <c r="L1344" s="234" t="n">
        <v>28050</v>
      </c>
      <c r="M1344" s="234" t="n">
        <v>14900</v>
      </c>
      <c r="N1344" s="234" t="n">
        <v>11.5</v>
      </c>
      <c r="O1344" s="407" t="n">
        <v>13150</v>
      </c>
      <c r="P1344" s="407" t="n">
        <v>11637.7</v>
      </c>
      <c r="Q1344" s="234" t="n">
        <v>2025</v>
      </c>
      <c r="R1344" s="234"/>
      <c r="S1344" s="248" t="n">
        <v>45842</v>
      </c>
      <c r="T1344" s="407" t="n">
        <f aca="false">Таблица18[[#This Row],[Вес нетто]]-Таблица18[[#This Row],[Зачетный вес]]</f>
        <v>1512.3</v>
      </c>
      <c r="U1344" s="409" t="n">
        <f aca="false">Таблица18[[#This Row],[Отход]]/Таблица18[[#This Row],[Вес нетто]]</f>
        <v>0.115003802281369</v>
      </c>
      <c r="V1344" s="234" t="n">
        <f aca="false">MONTH(Таблица18[[#This Row],[Дата акта]])</f>
        <v>7</v>
      </c>
      <c r="W1344" s="234" t="n">
        <v>4</v>
      </c>
      <c r="X1344" s="248" t="n">
        <f aca="false">DATE(1900,Таблица18[[#This Row],[Месяц]],Таблица18[[#This Row],[Число]])</f>
        <v>186</v>
      </c>
      <c r="Y1344" s="234"/>
      <c r="AF1344" s="411"/>
      <c r="AG1344" s="412"/>
    </row>
    <row r="1345" s="410" customFormat="true" ht="15" hidden="true" customHeight="true" outlineLevel="0" collapsed="false">
      <c r="A1345" s="198" t="s">
        <v>2967</v>
      </c>
      <c r="B1345" s="199" t="s">
        <v>417</v>
      </c>
      <c r="C1345" s="198" t="n">
        <v>741</v>
      </c>
      <c r="D1345" s="198" t="n">
        <v>99</v>
      </c>
      <c r="E1345" s="198" t="s">
        <v>994</v>
      </c>
      <c r="F1345" s="198" t="s">
        <v>1086</v>
      </c>
      <c r="G1345" s="198" t="s">
        <v>1087</v>
      </c>
      <c r="H1345" s="198" t="s">
        <v>995</v>
      </c>
      <c r="I1345" s="199" t="s">
        <v>995</v>
      </c>
      <c r="J1345" s="198" t="s">
        <v>1061</v>
      </c>
      <c r="K1345" s="198" t="s">
        <v>1435</v>
      </c>
      <c r="L1345" s="234" t="n">
        <v>28060</v>
      </c>
      <c r="M1345" s="234" t="n">
        <v>14960</v>
      </c>
      <c r="N1345" s="234" t="n">
        <v>7.5</v>
      </c>
      <c r="O1345" s="407" t="n">
        <v>13100</v>
      </c>
      <c r="P1345" s="407" t="n">
        <v>12117.5</v>
      </c>
      <c r="Q1345" s="234" t="n">
        <v>2025</v>
      </c>
      <c r="R1345" s="234"/>
      <c r="S1345" s="248" t="n">
        <v>45842</v>
      </c>
      <c r="T1345" s="407" t="n">
        <f aca="false">Таблица18[[#This Row],[Вес нетто]]-Таблица18[[#This Row],[Зачетный вес]]</f>
        <v>982.5</v>
      </c>
      <c r="U1345" s="409" t="n">
        <f aca="false">Таблица18[[#This Row],[Отход]]/Таблица18[[#This Row],[Вес нетто]]</f>
        <v>0.075</v>
      </c>
      <c r="V1345" s="234" t="n">
        <f aca="false">MONTH(Таблица18[[#This Row],[Дата акта]])</f>
        <v>7</v>
      </c>
      <c r="W1345" s="234" t="n">
        <v>4</v>
      </c>
      <c r="X1345" s="248" t="n">
        <f aca="false">DATE(1900,Таблица18[[#This Row],[Месяц]],Таблица18[[#This Row],[Число]])</f>
        <v>186</v>
      </c>
      <c r="Y1345" s="234"/>
      <c r="AF1345" s="411"/>
      <c r="AG1345" s="412"/>
    </row>
    <row r="1346" s="410" customFormat="true" ht="15" hidden="true" customHeight="true" outlineLevel="0" collapsed="false">
      <c r="A1346" s="198" t="s">
        <v>2968</v>
      </c>
      <c r="B1346" s="199" t="s">
        <v>417</v>
      </c>
      <c r="C1346" s="198" t="n">
        <v>744</v>
      </c>
      <c r="D1346" s="198" t="n">
        <v>98</v>
      </c>
      <c r="E1346" s="198" t="s">
        <v>994</v>
      </c>
      <c r="F1346" s="198" t="s">
        <v>547</v>
      </c>
      <c r="G1346" s="198" t="s">
        <v>551</v>
      </c>
      <c r="H1346" s="198" t="s">
        <v>995</v>
      </c>
      <c r="I1346" s="199" t="s">
        <v>995</v>
      </c>
      <c r="J1346" s="198" t="s">
        <v>1061</v>
      </c>
      <c r="K1346" s="198" t="s">
        <v>1435</v>
      </c>
      <c r="L1346" s="234" t="n">
        <v>28210</v>
      </c>
      <c r="M1346" s="234" t="n">
        <v>14660</v>
      </c>
      <c r="N1346" s="234" t="n">
        <v>9</v>
      </c>
      <c r="O1346" s="407" t="n">
        <v>13550</v>
      </c>
      <c r="P1346" s="407" t="n">
        <v>12330.5</v>
      </c>
      <c r="Q1346" s="234" t="n">
        <v>2025</v>
      </c>
      <c r="R1346" s="234"/>
      <c r="S1346" s="248" t="n">
        <v>45842</v>
      </c>
      <c r="T1346" s="407" t="n">
        <f aca="false">Таблица18[[#This Row],[Вес нетто]]-Таблица18[[#This Row],[Зачетный вес]]</f>
        <v>1219.5</v>
      </c>
      <c r="U1346" s="409" t="n">
        <f aca="false">Таблица18[[#This Row],[Отход]]/Таблица18[[#This Row],[Вес нетто]]</f>
        <v>0.09</v>
      </c>
      <c r="V1346" s="234" t="n">
        <f aca="false">MONTH(Таблица18[[#This Row],[Дата акта]])</f>
        <v>7</v>
      </c>
      <c r="W1346" s="234" t="n">
        <v>4</v>
      </c>
      <c r="X1346" s="248" t="n">
        <f aca="false">DATE(1900,Таблица18[[#This Row],[Месяц]],Таблица18[[#This Row],[Число]])</f>
        <v>186</v>
      </c>
      <c r="Y1346" s="234"/>
      <c r="AF1346" s="411"/>
      <c r="AG1346" s="412"/>
    </row>
    <row r="1347" s="410" customFormat="true" ht="15" hidden="true" customHeight="true" outlineLevel="0" collapsed="false">
      <c r="A1347" s="198" t="s">
        <v>2969</v>
      </c>
      <c r="B1347" s="199" t="s">
        <v>417</v>
      </c>
      <c r="C1347" s="198" t="n">
        <v>745</v>
      </c>
      <c r="D1347" s="198" t="n">
        <v>100</v>
      </c>
      <c r="E1347" s="198" t="s">
        <v>994</v>
      </c>
      <c r="F1347" s="198" t="s">
        <v>451</v>
      </c>
      <c r="G1347" s="198" t="s">
        <v>455</v>
      </c>
      <c r="H1347" s="198" t="s">
        <v>1103</v>
      </c>
      <c r="I1347" s="199" t="s">
        <v>1103</v>
      </c>
      <c r="J1347" s="198" t="s">
        <v>904</v>
      </c>
      <c r="K1347" s="198" t="s">
        <v>1435</v>
      </c>
      <c r="L1347" s="234" t="n">
        <v>28990</v>
      </c>
      <c r="M1347" s="234" t="n">
        <v>15080</v>
      </c>
      <c r="N1347" s="234" t="n">
        <v>17.5</v>
      </c>
      <c r="O1347" s="407" t="n">
        <v>13910</v>
      </c>
      <c r="P1347" s="407" t="n">
        <v>11475.7</v>
      </c>
      <c r="Q1347" s="234" t="n">
        <v>2025</v>
      </c>
      <c r="R1347" s="234"/>
      <c r="S1347" s="248" t="n">
        <v>45842</v>
      </c>
      <c r="T1347" s="407" t="n">
        <f aca="false">Таблица18[[#This Row],[Вес нетто]]-Таблица18[[#This Row],[Зачетный вес]]</f>
        <v>2434.3</v>
      </c>
      <c r="U1347" s="409" t="n">
        <f aca="false">Таблица18[[#This Row],[Отход]]/Таблица18[[#This Row],[Вес нетто]]</f>
        <v>0.175003594536305</v>
      </c>
      <c r="V1347" s="234" t="n">
        <f aca="false">MONTH(Таблица18[[#This Row],[Дата акта]])</f>
        <v>7</v>
      </c>
      <c r="W1347" s="234" t="n">
        <v>4</v>
      </c>
      <c r="X1347" s="248" t="n">
        <f aca="false">DATE(1900,Таблица18[[#This Row],[Месяц]],Таблица18[[#This Row],[Число]])</f>
        <v>186</v>
      </c>
      <c r="Y1347" s="234"/>
      <c r="AF1347" s="411"/>
      <c r="AG1347" s="412"/>
    </row>
    <row r="1348" s="410" customFormat="true" ht="15" hidden="true" customHeight="true" outlineLevel="0" collapsed="false">
      <c r="A1348" s="198" t="s">
        <v>2970</v>
      </c>
      <c r="B1348" s="199" t="s">
        <v>417</v>
      </c>
      <c r="C1348" s="198" t="n">
        <v>746</v>
      </c>
      <c r="D1348" s="198" t="n">
        <v>101</v>
      </c>
      <c r="E1348" s="198" t="s">
        <v>994</v>
      </c>
      <c r="F1348" s="198" t="s">
        <v>1092</v>
      </c>
      <c r="G1348" s="198" t="s">
        <v>1093</v>
      </c>
      <c r="H1348" s="198" t="s">
        <v>1103</v>
      </c>
      <c r="I1348" s="199" t="s">
        <v>1103</v>
      </c>
      <c r="J1348" s="198" t="s">
        <v>904</v>
      </c>
      <c r="K1348" s="198" t="s">
        <v>1435</v>
      </c>
      <c r="L1348" s="234" t="n">
        <v>37840</v>
      </c>
      <c r="M1348" s="234" t="n">
        <v>24070</v>
      </c>
      <c r="N1348" s="234" t="n">
        <v>12.5</v>
      </c>
      <c r="O1348" s="407" t="n">
        <v>13770</v>
      </c>
      <c r="P1348" s="407" t="n">
        <v>12048.7</v>
      </c>
      <c r="Q1348" s="234" t="n">
        <v>2025</v>
      </c>
      <c r="R1348" s="234"/>
      <c r="S1348" s="248" t="n">
        <v>45842</v>
      </c>
      <c r="T1348" s="407" t="n">
        <f aca="false">Таблица18[[#This Row],[Вес нетто]]-Таблица18[[#This Row],[Зачетный вес]]</f>
        <v>1721.3</v>
      </c>
      <c r="U1348" s="409" t="n">
        <f aca="false">Таблица18[[#This Row],[Отход]]/Таблица18[[#This Row],[Вес нетто]]</f>
        <v>0.125003631082062</v>
      </c>
      <c r="V1348" s="234" t="n">
        <f aca="false">MONTH(Таблица18[[#This Row],[Дата акта]])</f>
        <v>7</v>
      </c>
      <c r="W1348" s="234" t="n">
        <v>4</v>
      </c>
      <c r="X1348" s="248" t="n">
        <f aca="false">DATE(1900,Таблица18[[#This Row],[Месяц]],Таблица18[[#This Row],[Число]])</f>
        <v>186</v>
      </c>
      <c r="Y1348" s="234"/>
      <c r="AF1348" s="411"/>
      <c r="AG1348" s="412"/>
    </row>
    <row r="1349" s="410" customFormat="true" ht="15" hidden="true" customHeight="true" outlineLevel="0" collapsed="false">
      <c r="A1349" s="198" t="s">
        <v>2971</v>
      </c>
      <c r="B1349" s="199" t="s">
        <v>417</v>
      </c>
      <c r="C1349" s="198" t="n">
        <v>747</v>
      </c>
      <c r="D1349" s="198" t="n">
        <v>102</v>
      </c>
      <c r="E1349" s="198" t="s">
        <v>994</v>
      </c>
      <c r="F1349" s="198" t="s">
        <v>1095</v>
      </c>
      <c r="G1349" s="198" t="s">
        <v>1096</v>
      </c>
      <c r="H1349" s="198" t="s">
        <v>1103</v>
      </c>
      <c r="I1349" s="199" t="s">
        <v>1103</v>
      </c>
      <c r="J1349" s="198" t="s">
        <v>904</v>
      </c>
      <c r="K1349" s="198" t="s">
        <v>1435</v>
      </c>
      <c r="L1349" s="234" t="n">
        <v>29440</v>
      </c>
      <c r="M1349" s="234" t="n">
        <v>15570</v>
      </c>
      <c r="N1349" s="234" t="n">
        <v>11.5</v>
      </c>
      <c r="O1349" s="407" t="n">
        <v>13870</v>
      </c>
      <c r="P1349" s="407" t="n">
        <v>12274.9</v>
      </c>
      <c r="Q1349" s="234" t="n">
        <v>2025</v>
      </c>
      <c r="R1349" s="234"/>
      <c r="S1349" s="248" t="n">
        <v>45842</v>
      </c>
      <c r="T1349" s="407" t="n">
        <f aca="false">Таблица18[[#This Row],[Вес нетто]]-Таблица18[[#This Row],[Зачетный вес]]</f>
        <v>1595.1</v>
      </c>
      <c r="U1349" s="409" t="n">
        <f aca="false">Таблица18[[#This Row],[Отход]]/Таблица18[[#This Row],[Вес нетто]]</f>
        <v>0.115003604902668</v>
      </c>
      <c r="V1349" s="234" t="n">
        <f aca="false">MONTH(Таблица18[[#This Row],[Дата акта]])</f>
        <v>7</v>
      </c>
      <c r="W1349" s="234" t="n">
        <v>4</v>
      </c>
      <c r="X1349" s="248" t="n">
        <f aca="false">DATE(1900,Таблица18[[#This Row],[Месяц]],Таблица18[[#This Row],[Число]])</f>
        <v>186</v>
      </c>
      <c r="Y1349" s="234"/>
      <c r="AF1349" s="411"/>
      <c r="AG1349" s="412"/>
    </row>
    <row r="1350" s="410" customFormat="true" ht="15" hidden="true" customHeight="true" outlineLevel="0" collapsed="false">
      <c r="A1350" s="198" t="s">
        <v>2972</v>
      </c>
      <c r="B1350" s="199" t="s">
        <v>417</v>
      </c>
      <c r="C1350" s="198" t="n">
        <v>748</v>
      </c>
      <c r="D1350" s="198" t="n">
        <v>103</v>
      </c>
      <c r="E1350" s="198" t="s">
        <v>994</v>
      </c>
      <c r="F1350" s="198" t="s">
        <v>1113</v>
      </c>
      <c r="G1350" s="198" t="s">
        <v>1114</v>
      </c>
      <c r="H1350" s="198" t="s">
        <v>1103</v>
      </c>
      <c r="I1350" s="199" t="s">
        <v>1103</v>
      </c>
      <c r="J1350" s="198" t="s">
        <v>904</v>
      </c>
      <c r="K1350" s="198" t="s">
        <v>1435</v>
      </c>
      <c r="L1350" s="234" t="n">
        <v>29280</v>
      </c>
      <c r="M1350" s="234" t="n">
        <v>15500</v>
      </c>
      <c r="N1350" s="234" t="n">
        <v>12</v>
      </c>
      <c r="O1350" s="407" t="n">
        <v>13780</v>
      </c>
      <c r="P1350" s="407" t="n">
        <v>12126.4</v>
      </c>
      <c r="Q1350" s="234" t="n">
        <v>2025</v>
      </c>
      <c r="R1350" s="234"/>
      <c r="S1350" s="248" t="n">
        <v>45842</v>
      </c>
      <c r="T1350" s="407" t="n">
        <f aca="false">Таблица18[[#This Row],[Вес нетто]]-Таблица18[[#This Row],[Зачетный вес]]</f>
        <v>1653.6</v>
      </c>
      <c r="U1350" s="409" t="n">
        <f aca="false">Таблица18[[#This Row],[Отход]]/Таблица18[[#This Row],[Вес нетто]]</f>
        <v>0.12</v>
      </c>
      <c r="V1350" s="234" t="n">
        <f aca="false">MONTH(Таблица18[[#This Row],[Дата акта]])</f>
        <v>7</v>
      </c>
      <c r="W1350" s="234" t="n">
        <v>4</v>
      </c>
      <c r="X1350" s="248" t="n">
        <f aca="false">DATE(1900,Таблица18[[#This Row],[Месяц]],Таблица18[[#This Row],[Число]])</f>
        <v>186</v>
      </c>
      <c r="Y1350" s="234"/>
      <c r="AF1350" s="411"/>
      <c r="AG1350" s="412"/>
    </row>
    <row r="1351" s="410" customFormat="true" ht="15" hidden="true" customHeight="true" outlineLevel="0" collapsed="false">
      <c r="A1351" s="198" t="s">
        <v>2973</v>
      </c>
      <c r="B1351" s="199" t="s">
        <v>417</v>
      </c>
      <c r="C1351" s="198" t="n">
        <v>749</v>
      </c>
      <c r="D1351" s="198" t="n">
        <v>104</v>
      </c>
      <c r="E1351" s="198" t="s">
        <v>994</v>
      </c>
      <c r="F1351" s="198" t="s">
        <v>363</v>
      </c>
      <c r="G1351" s="198" t="s">
        <v>364</v>
      </c>
      <c r="H1351" s="198" t="s">
        <v>1103</v>
      </c>
      <c r="I1351" s="199" t="s">
        <v>1103</v>
      </c>
      <c r="J1351" s="198" t="s">
        <v>904</v>
      </c>
      <c r="K1351" s="198" t="s">
        <v>1435</v>
      </c>
      <c r="L1351" s="234" t="n">
        <v>28410</v>
      </c>
      <c r="M1351" s="234" t="n">
        <v>14620</v>
      </c>
      <c r="N1351" s="234" t="n">
        <v>10</v>
      </c>
      <c r="O1351" s="407" t="n">
        <v>13790</v>
      </c>
      <c r="P1351" s="407" t="n">
        <v>12411</v>
      </c>
      <c r="Q1351" s="234" t="n">
        <v>2025</v>
      </c>
      <c r="R1351" s="234"/>
      <c r="S1351" s="248" t="n">
        <v>45842</v>
      </c>
      <c r="T1351" s="407" t="n">
        <f aca="false">Таблица18[[#This Row],[Вес нетто]]-Таблица18[[#This Row],[Зачетный вес]]</f>
        <v>1379</v>
      </c>
      <c r="U1351" s="409" t="n">
        <f aca="false">Таблица18[[#This Row],[Отход]]/Таблица18[[#This Row],[Вес нетто]]</f>
        <v>0.1</v>
      </c>
      <c r="V1351" s="234" t="n">
        <f aca="false">MONTH(Таблица18[[#This Row],[Дата акта]])</f>
        <v>7</v>
      </c>
      <c r="W1351" s="234" t="n">
        <v>4</v>
      </c>
      <c r="X1351" s="248" t="n">
        <f aca="false">DATE(1900,Таблица18[[#This Row],[Месяц]],Таблица18[[#This Row],[Число]])</f>
        <v>186</v>
      </c>
      <c r="Y1351" s="234"/>
      <c r="AF1351" s="411"/>
      <c r="AG1351" s="412"/>
    </row>
    <row r="1352" s="410" customFormat="true" ht="15" hidden="true" customHeight="true" outlineLevel="0" collapsed="false">
      <c r="A1352" s="198" t="s">
        <v>2974</v>
      </c>
      <c r="B1352" s="199" t="s">
        <v>417</v>
      </c>
      <c r="C1352" s="198" t="n">
        <v>750</v>
      </c>
      <c r="D1352" s="198" t="n">
        <v>105</v>
      </c>
      <c r="E1352" s="198" t="s">
        <v>994</v>
      </c>
      <c r="F1352" s="198" t="s">
        <v>361</v>
      </c>
      <c r="G1352" s="198" t="s">
        <v>362</v>
      </c>
      <c r="H1352" s="198" t="s">
        <v>1103</v>
      </c>
      <c r="I1352" s="199" t="s">
        <v>1103</v>
      </c>
      <c r="J1352" s="198" t="s">
        <v>904</v>
      </c>
      <c r="K1352" s="198" t="s">
        <v>1435</v>
      </c>
      <c r="L1352" s="234" t="n">
        <v>29090</v>
      </c>
      <c r="M1352" s="234" t="n">
        <v>14910</v>
      </c>
      <c r="N1352" s="234" t="n">
        <v>15</v>
      </c>
      <c r="O1352" s="407" t="n">
        <v>14180</v>
      </c>
      <c r="P1352" s="407" t="n">
        <v>12053</v>
      </c>
      <c r="Q1352" s="234" t="n">
        <v>2025</v>
      </c>
      <c r="R1352" s="234"/>
      <c r="S1352" s="248" t="n">
        <v>45842</v>
      </c>
      <c r="T1352" s="407" t="n">
        <f aca="false">Таблица18[[#This Row],[Вес нетто]]-Таблица18[[#This Row],[Зачетный вес]]</f>
        <v>2127</v>
      </c>
      <c r="U1352" s="409" t="n">
        <f aca="false">Таблица18[[#This Row],[Отход]]/Таблица18[[#This Row],[Вес нетто]]</f>
        <v>0.15</v>
      </c>
      <c r="V1352" s="234" t="n">
        <f aca="false">MONTH(Таблица18[[#This Row],[Дата акта]])</f>
        <v>7</v>
      </c>
      <c r="W1352" s="234" t="n">
        <v>4</v>
      </c>
      <c r="X1352" s="248" t="n">
        <f aca="false">DATE(1900,Таблица18[[#This Row],[Месяц]],Таблица18[[#This Row],[Число]])</f>
        <v>186</v>
      </c>
      <c r="Y1352" s="234"/>
      <c r="AF1352" s="411"/>
      <c r="AG1352" s="412"/>
    </row>
    <row r="1353" s="410" customFormat="true" ht="15" hidden="true" customHeight="true" outlineLevel="0" collapsed="false">
      <c r="A1353" s="198" t="s">
        <v>2975</v>
      </c>
      <c r="B1353" s="199" t="s">
        <v>886</v>
      </c>
      <c r="C1353" s="198" t="n">
        <v>751</v>
      </c>
      <c r="D1353" s="198" t="n">
        <v>106</v>
      </c>
      <c r="E1353" s="198" t="s">
        <v>994</v>
      </c>
      <c r="F1353" s="198" t="s">
        <v>382</v>
      </c>
      <c r="G1353" s="198" t="s">
        <v>383</v>
      </c>
      <c r="H1353" s="198" t="s">
        <v>1103</v>
      </c>
      <c r="I1353" s="199" t="s">
        <v>1103</v>
      </c>
      <c r="J1353" s="198" t="s">
        <v>904</v>
      </c>
      <c r="K1353" s="198" t="s">
        <v>1435</v>
      </c>
      <c r="L1353" s="234" t="n">
        <v>28430</v>
      </c>
      <c r="M1353" s="234" t="n">
        <v>14870</v>
      </c>
      <c r="N1353" s="234" t="n">
        <v>6.5</v>
      </c>
      <c r="O1353" s="407" t="n">
        <v>13560</v>
      </c>
      <c r="P1353" s="407" t="n">
        <v>12678.6</v>
      </c>
      <c r="Q1353" s="234" t="n">
        <v>2025</v>
      </c>
      <c r="R1353" s="234"/>
      <c r="S1353" s="248" t="n">
        <v>45842</v>
      </c>
      <c r="T1353" s="407" t="n">
        <f aca="false">Таблица18[[#This Row],[Вес нетто]]-Таблица18[[#This Row],[Зачетный вес]]</f>
        <v>881.4</v>
      </c>
      <c r="U1353" s="409" t="n">
        <f aca="false">Таблица18[[#This Row],[Отход]]/Таблица18[[#This Row],[Вес нетто]]</f>
        <v>0.065</v>
      </c>
      <c r="V1353" s="234" t="n">
        <f aca="false">MONTH(Таблица18[[#This Row],[Дата акта]])</f>
        <v>7</v>
      </c>
      <c r="W1353" s="234" t="n">
        <v>4</v>
      </c>
      <c r="X1353" s="248" t="n">
        <f aca="false">DATE(1900,Таблица18[[#This Row],[Месяц]],Таблица18[[#This Row],[Число]])</f>
        <v>186</v>
      </c>
      <c r="Y1353" s="234"/>
      <c r="AF1353" s="411"/>
      <c r="AG1353" s="412"/>
    </row>
    <row r="1354" s="410" customFormat="true" ht="15" hidden="true" customHeight="true" outlineLevel="0" collapsed="false">
      <c r="A1354" s="198" t="s">
        <v>2976</v>
      </c>
      <c r="B1354" s="199" t="s">
        <v>886</v>
      </c>
      <c r="C1354" s="198" t="n">
        <v>752</v>
      </c>
      <c r="D1354" s="198" t="n">
        <v>107</v>
      </c>
      <c r="E1354" s="198" t="s">
        <v>994</v>
      </c>
      <c r="F1354" s="198" t="s">
        <v>365</v>
      </c>
      <c r="G1354" s="198" t="s">
        <v>373</v>
      </c>
      <c r="H1354" s="198" t="s">
        <v>1103</v>
      </c>
      <c r="I1354" s="199" t="s">
        <v>1103</v>
      </c>
      <c r="J1354" s="198" t="s">
        <v>904</v>
      </c>
      <c r="K1354" s="198" t="s">
        <v>1435</v>
      </c>
      <c r="L1354" s="234" t="n">
        <v>26200</v>
      </c>
      <c r="M1354" s="234" t="n">
        <v>15790</v>
      </c>
      <c r="N1354" s="234" t="n">
        <v>10</v>
      </c>
      <c r="O1354" s="407" t="n">
        <v>10410</v>
      </c>
      <c r="P1354" s="407" t="n">
        <v>9369</v>
      </c>
      <c r="Q1354" s="234" t="n">
        <v>2025</v>
      </c>
      <c r="R1354" s="234"/>
      <c r="S1354" s="248" t="n">
        <v>45842</v>
      </c>
      <c r="T1354" s="407" t="n">
        <f aca="false">Таблица18[[#This Row],[Вес нетто]]-Таблица18[[#This Row],[Зачетный вес]]</f>
        <v>1041</v>
      </c>
      <c r="U1354" s="409" t="n">
        <f aca="false">Таблица18[[#This Row],[Отход]]/Таблица18[[#This Row],[Вес нетто]]</f>
        <v>0.1</v>
      </c>
      <c r="V1354" s="234" t="n">
        <f aca="false">MONTH(Таблица18[[#This Row],[Дата акта]])</f>
        <v>7</v>
      </c>
      <c r="W1354" s="234" t="n">
        <v>4</v>
      </c>
      <c r="X1354" s="248" t="n">
        <f aca="false">DATE(1900,Таблица18[[#This Row],[Месяц]],Таблица18[[#This Row],[Число]])</f>
        <v>186</v>
      </c>
      <c r="Y1354" s="234"/>
      <c r="AF1354" s="411"/>
      <c r="AG1354" s="412"/>
    </row>
    <row r="1355" s="410" customFormat="true" ht="15" hidden="true" customHeight="true" outlineLevel="0" collapsed="false">
      <c r="A1355" s="198" t="s">
        <v>2977</v>
      </c>
      <c r="B1355" s="199" t="s">
        <v>746</v>
      </c>
      <c r="C1355" s="198" t="n">
        <v>753</v>
      </c>
      <c r="D1355" s="198" t="n">
        <v>108</v>
      </c>
      <c r="E1355" s="198" t="s">
        <v>994</v>
      </c>
      <c r="F1355" s="198" t="s">
        <v>472</v>
      </c>
      <c r="G1355" s="198" t="s">
        <v>476</v>
      </c>
      <c r="H1355" s="198" t="s">
        <v>1144</v>
      </c>
      <c r="I1355" s="199" t="s">
        <v>1144</v>
      </c>
      <c r="J1355" s="198" t="s">
        <v>904</v>
      </c>
      <c r="K1355" s="198" t="s">
        <v>1435</v>
      </c>
      <c r="L1355" s="234" t="n">
        <v>28780</v>
      </c>
      <c r="M1355" s="234" t="n">
        <v>15520</v>
      </c>
      <c r="N1355" s="234" t="n">
        <v>18</v>
      </c>
      <c r="O1355" s="407" t="n">
        <v>13260</v>
      </c>
      <c r="P1355" s="407" t="n">
        <v>10873.2</v>
      </c>
      <c r="Q1355" s="234" t="n">
        <v>2025</v>
      </c>
      <c r="R1355" s="234"/>
      <c r="S1355" s="248" t="n">
        <v>45843</v>
      </c>
      <c r="T1355" s="407" t="n">
        <f aca="false">Таблица18[[#This Row],[Вес нетто]]-Таблица18[[#This Row],[Зачетный вес]]</f>
        <v>2386.8</v>
      </c>
      <c r="U1355" s="409" t="n">
        <f aca="false">Таблица18[[#This Row],[Отход]]/Таблица18[[#This Row],[Вес нетто]]</f>
        <v>0.18</v>
      </c>
      <c r="V1355" s="234" t="n">
        <f aca="false">MONTH(Таблица18[[#This Row],[Дата акта]])</f>
        <v>7</v>
      </c>
      <c r="W1355" s="234" t="n">
        <v>5</v>
      </c>
      <c r="X1355" s="248" t="n">
        <f aca="false">DATE(1900,Таблица18[[#This Row],[Месяц]],Таблица18[[#This Row],[Число]])</f>
        <v>187</v>
      </c>
      <c r="Y1355" s="234"/>
      <c r="AF1355" s="411"/>
      <c r="AG1355" s="412"/>
    </row>
    <row r="1356" s="410" customFormat="true" ht="15" hidden="true" customHeight="true" outlineLevel="0" collapsed="false">
      <c r="A1356" s="198" t="s">
        <v>2978</v>
      </c>
      <c r="B1356" s="199" t="s">
        <v>417</v>
      </c>
      <c r="C1356" s="198" t="n">
        <v>754</v>
      </c>
      <c r="D1356" s="198" t="n">
        <v>109</v>
      </c>
      <c r="E1356" s="198" t="s">
        <v>994</v>
      </c>
      <c r="F1356" s="198" t="s">
        <v>553</v>
      </c>
      <c r="G1356" s="198" t="s">
        <v>557</v>
      </c>
      <c r="H1356" s="198" t="s">
        <v>1144</v>
      </c>
      <c r="I1356" s="199" t="s">
        <v>1144</v>
      </c>
      <c r="J1356" s="198" t="s">
        <v>904</v>
      </c>
      <c r="K1356" s="198" t="s">
        <v>1435</v>
      </c>
      <c r="L1356" s="234" t="n">
        <v>28230</v>
      </c>
      <c r="M1356" s="234" t="n">
        <v>14800</v>
      </c>
      <c r="N1356" s="234" t="n">
        <v>14</v>
      </c>
      <c r="O1356" s="407" t="n">
        <v>13430</v>
      </c>
      <c r="P1356" s="407" t="n">
        <v>11549.8</v>
      </c>
      <c r="Q1356" s="234" t="n">
        <v>2025</v>
      </c>
      <c r="R1356" s="234"/>
      <c r="S1356" s="248" t="n">
        <v>45843</v>
      </c>
      <c r="T1356" s="407" t="n">
        <f aca="false">Таблица18[[#This Row],[Вес нетто]]-Таблица18[[#This Row],[Зачетный вес]]</f>
        <v>1880.2</v>
      </c>
      <c r="U1356" s="409" t="n">
        <f aca="false">Таблица18[[#This Row],[Отход]]/Таблица18[[#This Row],[Вес нетто]]</f>
        <v>0.14</v>
      </c>
      <c r="V1356" s="234" t="n">
        <f aca="false">MONTH(Таблица18[[#This Row],[Дата акта]])</f>
        <v>7</v>
      </c>
      <c r="W1356" s="234" t="n">
        <v>5</v>
      </c>
      <c r="X1356" s="248" t="n">
        <f aca="false">DATE(1900,Таблица18[[#This Row],[Месяц]],Таблица18[[#This Row],[Число]])</f>
        <v>187</v>
      </c>
      <c r="Y1356" s="234"/>
      <c r="AF1356" s="411"/>
      <c r="AG1356" s="412"/>
    </row>
    <row r="1357" s="410" customFormat="true" ht="15" hidden="true" customHeight="true" outlineLevel="0" collapsed="false">
      <c r="A1357" s="198" t="s">
        <v>2979</v>
      </c>
      <c r="B1357" s="199" t="s">
        <v>417</v>
      </c>
      <c r="C1357" s="198" t="n">
        <v>756</v>
      </c>
      <c r="D1357" s="198" t="n">
        <v>110</v>
      </c>
      <c r="E1357" s="198" t="s">
        <v>994</v>
      </c>
      <c r="F1357" s="198" t="s">
        <v>445</v>
      </c>
      <c r="G1357" s="198" t="s">
        <v>449</v>
      </c>
      <c r="H1357" s="198" t="s">
        <v>1144</v>
      </c>
      <c r="I1357" s="199" t="s">
        <v>1144</v>
      </c>
      <c r="J1357" s="198" t="s">
        <v>904</v>
      </c>
      <c r="K1357" s="198" t="s">
        <v>1435</v>
      </c>
      <c r="L1357" s="234" t="n">
        <v>29290</v>
      </c>
      <c r="M1357" s="234" t="n">
        <v>15490</v>
      </c>
      <c r="N1357" s="234" t="n">
        <v>12</v>
      </c>
      <c r="O1357" s="407" t="n">
        <v>13800</v>
      </c>
      <c r="P1357" s="407" t="n">
        <v>12144</v>
      </c>
      <c r="Q1357" s="234" t="n">
        <v>2025</v>
      </c>
      <c r="R1357" s="234"/>
      <c r="S1357" s="248" t="n">
        <v>45843</v>
      </c>
      <c r="T1357" s="407" t="n">
        <f aca="false">Таблица18[[#This Row],[Вес нетто]]-Таблица18[[#This Row],[Зачетный вес]]</f>
        <v>1656</v>
      </c>
      <c r="U1357" s="409" t="n">
        <f aca="false">Таблица18[[#This Row],[Отход]]/Таблица18[[#This Row],[Вес нетто]]</f>
        <v>0.12</v>
      </c>
      <c r="V1357" s="234" t="n">
        <f aca="false">MONTH(Таблица18[[#This Row],[Дата акта]])</f>
        <v>7</v>
      </c>
      <c r="W1357" s="234" t="n">
        <v>5</v>
      </c>
      <c r="X1357" s="248" t="n">
        <f aca="false">DATE(1900,Таблица18[[#This Row],[Месяц]],Таблица18[[#This Row],[Число]])</f>
        <v>187</v>
      </c>
      <c r="Y1357" s="234"/>
      <c r="AF1357" s="411"/>
      <c r="AG1357" s="412"/>
    </row>
    <row r="1358" s="410" customFormat="true" ht="15" hidden="true" customHeight="true" outlineLevel="0" collapsed="false">
      <c r="A1358" s="198" t="s">
        <v>2980</v>
      </c>
      <c r="B1358" s="199" t="s">
        <v>417</v>
      </c>
      <c r="C1358" s="198" t="n">
        <v>757</v>
      </c>
      <c r="D1358" s="198" t="n">
        <v>111</v>
      </c>
      <c r="E1358" s="198" t="s">
        <v>994</v>
      </c>
      <c r="F1358" s="198" t="s">
        <v>1086</v>
      </c>
      <c r="G1358" s="198" t="s">
        <v>1087</v>
      </c>
      <c r="H1358" s="198" t="s">
        <v>1144</v>
      </c>
      <c r="I1358" s="199" t="s">
        <v>1144</v>
      </c>
      <c r="J1358" s="198" t="s">
        <v>904</v>
      </c>
      <c r="K1358" s="198" t="s">
        <v>1435</v>
      </c>
      <c r="L1358" s="234" t="n">
        <v>28420</v>
      </c>
      <c r="M1358" s="234" t="n">
        <v>14850</v>
      </c>
      <c r="N1358" s="234" t="n">
        <v>17</v>
      </c>
      <c r="O1358" s="407" t="n">
        <v>13570</v>
      </c>
      <c r="P1358" s="407" t="n">
        <v>11263.1</v>
      </c>
      <c r="Q1358" s="234" t="n">
        <v>2025</v>
      </c>
      <c r="R1358" s="234"/>
      <c r="S1358" s="248" t="n">
        <v>45843</v>
      </c>
      <c r="T1358" s="407" t="n">
        <f aca="false">Таблица18[[#This Row],[Вес нетто]]-Таблица18[[#This Row],[Зачетный вес]]</f>
        <v>2306.9</v>
      </c>
      <c r="U1358" s="409" t="n">
        <f aca="false">Таблица18[[#This Row],[Отход]]/Таблица18[[#This Row],[Вес нетто]]</f>
        <v>0.17</v>
      </c>
      <c r="V1358" s="234" t="n">
        <f aca="false">MONTH(Таблица18[[#This Row],[Дата акта]])</f>
        <v>7</v>
      </c>
      <c r="W1358" s="234" t="n">
        <v>5</v>
      </c>
      <c r="X1358" s="248" t="n">
        <f aca="false">DATE(1900,Таблица18[[#This Row],[Месяц]],Таблица18[[#This Row],[Число]])</f>
        <v>187</v>
      </c>
      <c r="Y1358" s="234"/>
      <c r="AF1358" s="411"/>
      <c r="AG1358" s="412"/>
    </row>
    <row r="1359" s="410" customFormat="true" ht="15" hidden="true" customHeight="true" outlineLevel="0" collapsed="false">
      <c r="A1359" s="198" t="s">
        <v>2981</v>
      </c>
      <c r="B1359" s="199" t="s">
        <v>417</v>
      </c>
      <c r="C1359" s="198" t="n">
        <v>758</v>
      </c>
      <c r="D1359" s="198" t="n">
        <v>112</v>
      </c>
      <c r="E1359" s="198" t="s">
        <v>994</v>
      </c>
      <c r="F1359" s="198" t="s">
        <v>547</v>
      </c>
      <c r="G1359" s="198" t="s">
        <v>551</v>
      </c>
      <c r="H1359" s="198" t="s">
        <v>1144</v>
      </c>
      <c r="I1359" s="199" t="s">
        <v>1144</v>
      </c>
      <c r="J1359" s="198" t="s">
        <v>904</v>
      </c>
      <c r="K1359" s="198" t="s">
        <v>1435</v>
      </c>
      <c r="L1359" s="234" t="n">
        <v>32110</v>
      </c>
      <c r="M1359" s="234" t="n">
        <v>14780</v>
      </c>
      <c r="N1359" s="234" t="n">
        <v>11.5</v>
      </c>
      <c r="O1359" s="407" t="n">
        <v>17330</v>
      </c>
      <c r="P1359" s="407" t="n">
        <v>15337</v>
      </c>
      <c r="Q1359" s="234" t="n">
        <v>2025</v>
      </c>
      <c r="R1359" s="234"/>
      <c r="S1359" s="248" t="n">
        <v>45843</v>
      </c>
      <c r="T1359" s="407" t="n">
        <f aca="false">Таблица18[[#This Row],[Вес нетто]]-Таблица18[[#This Row],[Зачетный вес]]</f>
        <v>1993</v>
      </c>
      <c r="U1359" s="409" t="n">
        <f aca="false">Таблица18[[#This Row],[Отход]]/Таблица18[[#This Row],[Вес нетто]]</f>
        <v>0.115002885170225</v>
      </c>
      <c r="V1359" s="234" t="n">
        <f aca="false">MONTH(Таблица18[[#This Row],[Дата акта]])</f>
        <v>7</v>
      </c>
      <c r="W1359" s="234" t="n">
        <v>5</v>
      </c>
      <c r="X1359" s="248" t="n">
        <f aca="false">DATE(1900,Таблица18[[#This Row],[Месяц]],Таблица18[[#This Row],[Число]])</f>
        <v>187</v>
      </c>
      <c r="Y1359" s="234"/>
      <c r="AF1359" s="411"/>
      <c r="AG1359" s="412"/>
    </row>
    <row r="1360" s="410" customFormat="true" ht="15" hidden="true" customHeight="true" outlineLevel="0" collapsed="false">
      <c r="A1360" s="198" t="s">
        <v>2982</v>
      </c>
      <c r="B1360" s="199" t="s">
        <v>746</v>
      </c>
      <c r="C1360" s="198" t="n">
        <v>759</v>
      </c>
      <c r="D1360" s="198" t="n">
        <v>113</v>
      </c>
      <c r="E1360" s="198" t="s">
        <v>994</v>
      </c>
      <c r="F1360" s="198" t="s">
        <v>451</v>
      </c>
      <c r="G1360" s="198" t="s">
        <v>455</v>
      </c>
      <c r="H1360" s="198" t="s">
        <v>995</v>
      </c>
      <c r="I1360" s="199" t="s">
        <v>995</v>
      </c>
      <c r="J1360" s="198" t="s">
        <v>1058</v>
      </c>
      <c r="K1360" s="198" t="s">
        <v>1435</v>
      </c>
      <c r="L1360" s="234" t="n">
        <v>28250</v>
      </c>
      <c r="M1360" s="234" t="n">
        <v>14960</v>
      </c>
      <c r="N1360" s="234" t="n">
        <v>7.5</v>
      </c>
      <c r="O1360" s="407" t="n">
        <v>13290</v>
      </c>
      <c r="P1360" s="407" t="n">
        <v>12293.2</v>
      </c>
      <c r="Q1360" s="234" t="n">
        <v>2025</v>
      </c>
      <c r="R1360" s="234"/>
      <c r="S1360" s="248" t="n">
        <v>45843</v>
      </c>
      <c r="T1360" s="407" t="n">
        <f aca="false">Таблица18[[#This Row],[Вес нетто]]-Таблица18[[#This Row],[Зачетный вес]]</f>
        <v>996.799999999999</v>
      </c>
      <c r="U1360" s="409" t="n">
        <f aca="false">Таблица18[[#This Row],[Отход]]/Таблица18[[#This Row],[Вес нетто]]</f>
        <v>0.0750037622272385</v>
      </c>
      <c r="V1360" s="234" t="n">
        <f aca="false">MONTH(Таблица18[[#This Row],[Дата акта]])</f>
        <v>7</v>
      </c>
      <c r="W1360" s="234" t="n">
        <v>5</v>
      </c>
      <c r="X1360" s="248" t="n">
        <f aca="false">DATE(1900,Таблица18[[#This Row],[Месяц]],Таблица18[[#This Row],[Число]])</f>
        <v>187</v>
      </c>
      <c r="Y1360" s="234"/>
      <c r="AF1360" s="411"/>
      <c r="AG1360" s="412"/>
    </row>
    <row r="1361" s="410" customFormat="true" ht="15" hidden="true" customHeight="true" outlineLevel="0" collapsed="false">
      <c r="A1361" s="198" t="s">
        <v>2983</v>
      </c>
      <c r="B1361" s="199" t="s">
        <v>886</v>
      </c>
      <c r="C1361" s="198" t="n">
        <v>760</v>
      </c>
      <c r="D1361" s="198" t="n">
        <v>114</v>
      </c>
      <c r="E1361" s="198" t="s">
        <v>994</v>
      </c>
      <c r="F1361" s="198" t="s">
        <v>1092</v>
      </c>
      <c r="G1361" s="198" t="s">
        <v>1093</v>
      </c>
      <c r="H1361" s="198" t="s">
        <v>995</v>
      </c>
      <c r="I1361" s="199" t="s">
        <v>995</v>
      </c>
      <c r="J1361" s="198" t="s">
        <v>1058</v>
      </c>
      <c r="K1361" s="198" t="s">
        <v>1435</v>
      </c>
      <c r="L1361" s="234" t="n">
        <v>37540</v>
      </c>
      <c r="M1361" s="234" t="n">
        <v>24370</v>
      </c>
      <c r="N1361" s="234" t="n">
        <v>5.5</v>
      </c>
      <c r="O1361" s="407" t="n">
        <v>13170</v>
      </c>
      <c r="P1361" s="407" t="n">
        <v>12445.6</v>
      </c>
      <c r="Q1361" s="234" t="n">
        <v>2025</v>
      </c>
      <c r="R1361" s="234"/>
      <c r="S1361" s="248" t="n">
        <v>45844</v>
      </c>
      <c r="T1361" s="407" t="n">
        <f aca="false">Таблица18[[#This Row],[Вес нетто]]-Таблица18[[#This Row],[Зачетный вес]]</f>
        <v>724.4</v>
      </c>
      <c r="U1361" s="409" t="n">
        <f aca="false">Таблица18[[#This Row],[Отход]]/Таблица18[[#This Row],[Вес нетто]]</f>
        <v>0.0550037965072133</v>
      </c>
      <c r="V1361" s="234" t="n">
        <f aca="false">MONTH(Таблица18[[#This Row],[Дата акта]])</f>
        <v>7</v>
      </c>
      <c r="W1361" s="234" t="n">
        <v>6</v>
      </c>
      <c r="X1361" s="248" t="n">
        <f aca="false">DATE(1900,Таблица18[[#This Row],[Месяц]],Таблица18[[#This Row],[Число]])</f>
        <v>188</v>
      </c>
      <c r="Y1361" s="234"/>
      <c r="AF1361" s="411"/>
      <c r="AG1361" s="412"/>
    </row>
    <row r="1362" s="410" customFormat="true" ht="15" hidden="true" customHeight="true" outlineLevel="0" collapsed="false">
      <c r="A1362" s="198" t="s">
        <v>2984</v>
      </c>
      <c r="B1362" s="199" t="s">
        <v>886</v>
      </c>
      <c r="C1362" s="198" t="n">
        <v>761</v>
      </c>
      <c r="D1362" s="198" t="n">
        <v>115</v>
      </c>
      <c r="E1362" s="198" t="s">
        <v>994</v>
      </c>
      <c r="F1362" s="198" t="s">
        <v>384</v>
      </c>
      <c r="G1362" s="198" t="s">
        <v>385</v>
      </c>
      <c r="H1362" s="198" t="s">
        <v>995</v>
      </c>
      <c r="I1362" s="199" t="s">
        <v>995</v>
      </c>
      <c r="J1362" s="198" t="s">
        <v>1058</v>
      </c>
      <c r="K1362" s="198" t="s">
        <v>1435</v>
      </c>
      <c r="L1362" s="234" t="n">
        <v>27570</v>
      </c>
      <c r="M1362" s="234" t="n">
        <v>14450</v>
      </c>
      <c r="N1362" s="234" t="n">
        <v>7.5</v>
      </c>
      <c r="O1362" s="407" t="n">
        <v>13120</v>
      </c>
      <c r="P1362" s="407" t="n">
        <v>12136</v>
      </c>
      <c r="Q1362" s="234" t="n">
        <v>2025</v>
      </c>
      <c r="R1362" s="234"/>
      <c r="S1362" s="248" t="n">
        <v>45844</v>
      </c>
      <c r="T1362" s="407" t="n">
        <f aca="false">Таблица18[[#This Row],[Вес нетто]]-Таблица18[[#This Row],[Зачетный вес]]</f>
        <v>984</v>
      </c>
      <c r="U1362" s="409" t="n">
        <f aca="false">Таблица18[[#This Row],[Отход]]/Таблица18[[#This Row],[Вес нетто]]</f>
        <v>0.075</v>
      </c>
      <c r="V1362" s="234" t="n">
        <f aca="false">MONTH(Таблица18[[#This Row],[Дата акта]])</f>
        <v>7</v>
      </c>
      <c r="W1362" s="234" t="n">
        <v>6</v>
      </c>
      <c r="X1362" s="248" t="n">
        <f aca="false">DATE(1900,Таблица18[[#This Row],[Месяц]],Таблица18[[#This Row],[Число]])</f>
        <v>188</v>
      </c>
      <c r="Y1362" s="234"/>
      <c r="AF1362" s="411"/>
      <c r="AG1362" s="412"/>
    </row>
    <row r="1363" s="410" customFormat="true" ht="15" hidden="true" customHeight="true" outlineLevel="0" collapsed="false">
      <c r="A1363" s="198" t="s">
        <v>2985</v>
      </c>
      <c r="B1363" s="199" t="s">
        <v>746</v>
      </c>
      <c r="C1363" s="198" t="n">
        <v>762</v>
      </c>
      <c r="D1363" s="198" t="n">
        <v>116</v>
      </c>
      <c r="E1363" s="198" t="s">
        <v>994</v>
      </c>
      <c r="F1363" s="198" t="s">
        <v>359</v>
      </c>
      <c r="G1363" s="198" t="s">
        <v>426</v>
      </c>
      <c r="H1363" s="198" t="s">
        <v>995</v>
      </c>
      <c r="I1363" s="199" t="s">
        <v>995</v>
      </c>
      <c r="J1363" s="198" t="s">
        <v>1058</v>
      </c>
      <c r="K1363" s="198" t="s">
        <v>1435</v>
      </c>
      <c r="L1363" s="234" t="n">
        <v>27020</v>
      </c>
      <c r="M1363" s="234" t="n">
        <v>13810</v>
      </c>
      <c r="N1363" s="234" t="n">
        <v>8.5</v>
      </c>
      <c r="O1363" s="407" t="n">
        <v>13210</v>
      </c>
      <c r="P1363" s="407" t="n">
        <v>12087.1</v>
      </c>
      <c r="Q1363" s="234" t="n">
        <v>2025</v>
      </c>
      <c r="R1363" s="234"/>
      <c r="S1363" s="248" t="n">
        <v>45844</v>
      </c>
      <c r="T1363" s="407" t="n">
        <f aca="false">Таблица18[[#This Row],[Вес нетто]]-Таблица18[[#This Row],[Зачетный вес]]</f>
        <v>1122.9</v>
      </c>
      <c r="U1363" s="409" t="n">
        <f aca="false">Таблица18[[#This Row],[Отход]]/Таблица18[[#This Row],[Вес нетто]]</f>
        <v>0.085003785011355</v>
      </c>
      <c r="V1363" s="234" t="n">
        <f aca="false">MONTH(Таблица18[[#This Row],[Дата акта]])</f>
        <v>7</v>
      </c>
      <c r="W1363" s="234" t="n">
        <v>6</v>
      </c>
      <c r="X1363" s="248" t="n">
        <f aca="false">DATE(1900,Таблица18[[#This Row],[Месяц]],Таблица18[[#This Row],[Число]])</f>
        <v>188</v>
      </c>
      <c r="Y1363" s="234"/>
      <c r="AF1363" s="411"/>
      <c r="AG1363" s="412"/>
    </row>
    <row r="1364" s="410" customFormat="true" ht="15" hidden="true" customHeight="true" outlineLevel="0" collapsed="false">
      <c r="A1364" s="198" t="s">
        <v>2986</v>
      </c>
      <c r="B1364" s="199" t="s">
        <v>746</v>
      </c>
      <c r="C1364" s="198" t="n">
        <v>763</v>
      </c>
      <c r="D1364" s="198" t="n">
        <v>117</v>
      </c>
      <c r="E1364" s="198" t="s">
        <v>994</v>
      </c>
      <c r="F1364" s="198" t="s">
        <v>1095</v>
      </c>
      <c r="G1364" s="198" t="s">
        <v>1096</v>
      </c>
      <c r="H1364" s="198" t="s">
        <v>995</v>
      </c>
      <c r="I1364" s="199" t="s">
        <v>995</v>
      </c>
      <c r="J1364" s="198" t="s">
        <v>1058</v>
      </c>
      <c r="K1364" s="198" t="s">
        <v>1435</v>
      </c>
      <c r="L1364" s="234" t="n">
        <v>28630</v>
      </c>
      <c r="M1364" s="234" t="n">
        <v>15470</v>
      </c>
      <c r="N1364" s="234" t="n">
        <v>7.5</v>
      </c>
      <c r="O1364" s="407" t="n">
        <v>13160</v>
      </c>
      <c r="P1364" s="407" t="n">
        <v>12173</v>
      </c>
      <c r="Q1364" s="234" t="n">
        <v>2025</v>
      </c>
      <c r="R1364" s="234"/>
      <c r="S1364" s="248" t="n">
        <v>45844</v>
      </c>
      <c r="T1364" s="407" t="n">
        <f aca="false">Таблица18[[#This Row],[Вес нетто]]-Таблица18[[#This Row],[Зачетный вес]]</f>
        <v>987</v>
      </c>
      <c r="U1364" s="409" t="n">
        <f aca="false">Таблица18[[#This Row],[Отход]]/Таблица18[[#This Row],[Вес нетто]]</f>
        <v>0.075</v>
      </c>
      <c r="V1364" s="234" t="n">
        <f aca="false">MONTH(Таблица18[[#This Row],[Дата акта]])</f>
        <v>7</v>
      </c>
      <c r="W1364" s="234" t="n">
        <v>6</v>
      </c>
      <c r="X1364" s="248" t="n">
        <f aca="false">DATE(1900,Таблица18[[#This Row],[Месяц]],Таблица18[[#This Row],[Число]])</f>
        <v>188</v>
      </c>
      <c r="Y1364" s="234"/>
      <c r="AF1364" s="411"/>
      <c r="AG1364" s="412"/>
    </row>
    <row r="1365" s="410" customFormat="true" ht="15" hidden="true" customHeight="true" outlineLevel="0" collapsed="false">
      <c r="A1365" s="198" t="s">
        <v>2987</v>
      </c>
      <c r="B1365" s="199" t="s">
        <v>417</v>
      </c>
      <c r="C1365" s="198" t="n">
        <v>764</v>
      </c>
      <c r="D1365" s="198" t="n">
        <v>118</v>
      </c>
      <c r="E1365" s="198" t="s">
        <v>994</v>
      </c>
      <c r="F1365" s="198" t="s">
        <v>1113</v>
      </c>
      <c r="G1365" s="198" t="s">
        <v>1114</v>
      </c>
      <c r="H1365" s="198" t="s">
        <v>995</v>
      </c>
      <c r="I1365" s="199" t="s">
        <v>995</v>
      </c>
      <c r="J1365" s="198" t="s">
        <v>1058</v>
      </c>
      <c r="K1365" s="198" t="s">
        <v>1435</v>
      </c>
      <c r="L1365" s="234" t="n">
        <v>28720</v>
      </c>
      <c r="M1365" s="234" t="n">
        <v>15760</v>
      </c>
      <c r="N1365" s="234" t="n">
        <v>8.5</v>
      </c>
      <c r="O1365" s="407" t="n">
        <v>12960</v>
      </c>
      <c r="P1365" s="407" t="n">
        <v>11858.4</v>
      </c>
      <c r="Q1365" s="234" t="n">
        <v>2025</v>
      </c>
      <c r="R1365" s="234"/>
      <c r="S1365" s="248" t="n">
        <v>45844</v>
      </c>
      <c r="T1365" s="407" t="n">
        <f aca="false">Таблица18[[#This Row],[Вес нетто]]-Таблица18[[#This Row],[Зачетный вес]]</f>
        <v>1101.6</v>
      </c>
      <c r="U1365" s="409" t="n">
        <f aca="false">Таблица18[[#This Row],[Отход]]/Таблица18[[#This Row],[Вес нетто]]</f>
        <v>0.085</v>
      </c>
      <c r="V1365" s="234" t="n">
        <f aca="false">MONTH(Таблица18[[#This Row],[Дата акта]])</f>
        <v>7</v>
      </c>
      <c r="W1365" s="234" t="n">
        <v>6</v>
      </c>
      <c r="X1365" s="248" t="n">
        <f aca="false">DATE(1900,Таблица18[[#This Row],[Месяц]],Таблица18[[#This Row],[Число]])</f>
        <v>188</v>
      </c>
      <c r="Y1365" s="234"/>
      <c r="AF1365" s="411"/>
      <c r="AG1365" s="412"/>
    </row>
    <row r="1366" s="410" customFormat="true" ht="15" hidden="true" customHeight="true" outlineLevel="0" collapsed="false">
      <c r="A1366" s="198" t="s">
        <v>2988</v>
      </c>
      <c r="B1366" s="199" t="s">
        <v>417</v>
      </c>
      <c r="C1366" s="198" t="n">
        <v>765</v>
      </c>
      <c r="D1366" s="198" t="n">
        <v>119</v>
      </c>
      <c r="E1366" s="198" t="s">
        <v>994</v>
      </c>
      <c r="F1366" s="198" t="s">
        <v>363</v>
      </c>
      <c r="G1366" s="198" t="s">
        <v>364</v>
      </c>
      <c r="H1366" s="198" t="s">
        <v>995</v>
      </c>
      <c r="I1366" s="199" t="s">
        <v>995</v>
      </c>
      <c r="J1366" s="198" t="s">
        <v>1058</v>
      </c>
      <c r="K1366" s="198" t="s">
        <v>1435</v>
      </c>
      <c r="L1366" s="234" t="n">
        <v>27710</v>
      </c>
      <c r="M1366" s="234" t="n">
        <v>14520</v>
      </c>
      <c r="N1366" s="234" t="n">
        <v>12.5</v>
      </c>
      <c r="O1366" s="407" t="n">
        <v>13190</v>
      </c>
      <c r="P1366" s="407" t="n">
        <v>11541.2</v>
      </c>
      <c r="Q1366" s="234" t="n">
        <v>2025</v>
      </c>
      <c r="R1366" s="234"/>
      <c r="S1366" s="248" t="n">
        <v>45844</v>
      </c>
      <c r="T1366" s="407" t="n">
        <f aca="false">Таблица18[[#This Row],[Вес нетто]]-Таблица18[[#This Row],[Зачетный вес]]</f>
        <v>1648.8</v>
      </c>
      <c r="U1366" s="409" t="n">
        <f aca="false">Таблица18[[#This Row],[Отход]]/Таблица18[[#This Row],[Вес нетто]]</f>
        <v>0.125003790750569</v>
      </c>
      <c r="V1366" s="234" t="n">
        <f aca="false">MONTH(Таблица18[[#This Row],[Дата акта]])</f>
        <v>7</v>
      </c>
      <c r="W1366" s="234" t="n">
        <v>6</v>
      </c>
      <c r="X1366" s="248" t="n">
        <f aca="false">DATE(1900,Таблица18[[#This Row],[Месяц]],Таблица18[[#This Row],[Число]])</f>
        <v>188</v>
      </c>
      <c r="Y1366" s="234"/>
      <c r="AF1366" s="411"/>
      <c r="AG1366" s="412"/>
    </row>
    <row r="1367" s="410" customFormat="true" ht="15" hidden="true" customHeight="true" outlineLevel="0" collapsed="false">
      <c r="A1367" s="198" t="s">
        <v>2989</v>
      </c>
      <c r="B1367" s="199" t="s">
        <v>417</v>
      </c>
      <c r="C1367" s="198" t="n">
        <v>766</v>
      </c>
      <c r="D1367" s="198" t="n">
        <v>120</v>
      </c>
      <c r="E1367" s="198" t="s">
        <v>994</v>
      </c>
      <c r="F1367" s="198" t="s">
        <v>553</v>
      </c>
      <c r="G1367" s="198" t="s">
        <v>557</v>
      </c>
      <c r="H1367" s="198" t="s">
        <v>995</v>
      </c>
      <c r="I1367" s="199" t="s">
        <v>995</v>
      </c>
      <c r="J1367" s="198" t="s">
        <v>1058</v>
      </c>
      <c r="K1367" s="198" t="s">
        <v>1435</v>
      </c>
      <c r="L1367" s="234" t="n">
        <v>28080</v>
      </c>
      <c r="M1367" s="234" t="n">
        <v>14980</v>
      </c>
      <c r="N1367" s="234" t="n">
        <v>8.5</v>
      </c>
      <c r="O1367" s="407" t="n">
        <v>13100</v>
      </c>
      <c r="P1367" s="407" t="n">
        <v>11986.5</v>
      </c>
      <c r="Q1367" s="234" t="n">
        <v>2025</v>
      </c>
      <c r="R1367" s="234"/>
      <c r="S1367" s="248" t="n">
        <v>45844</v>
      </c>
      <c r="T1367" s="407" t="n">
        <f aca="false">Таблица18[[#This Row],[Вес нетто]]-Таблица18[[#This Row],[Зачетный вес]]</f>
        <v>1113.5</v>
      </c>
      <c r="U1367" s="409" t="n">
        <f aca="false">Таблица18[[#This Row],[Отход]]/Таблица18[[#This Row],[Вес нетто]]</f>
        <v>0.085</v>
      </c>
      <c r="V1367" s="234" t="n">
        <f aca="false">MONTH(Таблица18[[#This Row],[Дата акта]])</f>
        <v>7</v>
      </c>
      <c r="W1367" s="234" t="n">
        <v>6</v>
      </c>
      <c r="X1367" s="248" t="n">
        <f aca="false">DATE(1900,Таблица18[[#This Row],[Месяц]],Таблица18[[#This Row],[Число]])</f>
        <v>188</v>
      </c>
      <c r="Y1367" s="234"/>
      <c r="AF1367" s="411"/>
      <c r="AG1367" s="412"/>
    </row>
    <row r="1368" s="410" customFormat="true" ht="15" hidden="true" customHeight="true" outlineLevel="0" collapsed="false">
      <c r="A1368" s="198" t="s">
        <v>2990</v>
      </c>
      <c r="B1368" s="199" t="s">
        <v>417</v>
      </c>
      <c r="C1368" s="198" t="n">
        <v>767</v>
      </c>
      <c r="D1368" s="198" t="n">
        <v>121</v>
      </c>
      <c r="E1368" s="198" t="s">
        <v>994</v>
      </c>
      <c r="F1368" s="198" t="s">
        <v>445</v>
      </c>
      <c r="G1368" s="198" t="s">
        <v>449</v>
      </c>
      <c r="H1368" s="198" t="s">
        <v>995</v>
      </c>
      <c r="I1368" s="199" t="s">
        <v>995</v>
      </c>
      <c r="J1368" s="198" t="s">
        <v>1058</v>
      </c>
      <c r="K1368" s="198" t="s">
        <v>1435</v>
      </c>
      <c r="L1368" s="234" t="n">
        <v>29000</v>
      </c>
      <c r="M1368" s="234" t="n">
        <v>15730</v>
      </c>
      <c r="N1368" s="234" t="n">
        <v>12.5</v>
      </c>
      <c r="O1368" s="407" t="n">
        <v>13270</v>
      </c>
      <c r="P1368" s="407" t="n">
        <v>11611.2</v>
      </c>
      <c r="Q1368" s="234" t="n">
        <v>2025</v>
      </c>
      <c r="R1368" s="234"/>
      <c r="S1368" s="248" t="n">
        <v>45844</v>
      </c>
      <c r="T1368" s="407" t="n">
        <f aca="false">Таблица18[[#This Row],[Вес нетто]]-Таблица18[[#This Row],[Зачетный вес]]</f>
        <v>1658.8</v>
      </c>
      <c r="U1368" s="409" t="n">
        <f aca="false">Таблица18[[#This Row],[Отход]]/Таблица18[[#This Row],[Вес нетто]]</f>
        <v>0.125003767897513</v>
      </c>
      <c r="V1368" s="234" t="n">
        <f aca="false">MONTH(Таблица18[[#This Row],[Дата акта]])</f>
        <v>7</v>
      </c>
      <c r="W1368" s="234" t="n">
        <v>6</v>
      </c>
      <c r="X1368" s="248" t="n">
        <f aca="false">DATE(1900,Таблица18[[#This Row],[Месяц]],Таблица18[[#This Row],[Число]])</f>
        <v>188</v>
      </c>
      <c r="Y1368" s="234"/>
      <c r="AF1368" s="411"/>
      <c r="AG1368" s="412"/>
    </row>
    <row r="1369" s="410" customFormat="true" ht="15" hidden="true" customHeight="true" outlineLevel="0" collapsed="false">
      <c r="A1369" s="198" t="s">
        <v>2991</v>
      </c>
      <c r="B1369" s="199" t="s">
        <v>417</v>
      </c>
      <c r="C1369" s="198" t="n">
        <v>769</v>
      </c>
      <c r="D1369" s="198" t="n">
        <v>122</v>
      </c>
      <c r="E1369" s="198" t="s">
        <v>994</v>
      </c>
      <c r="F1369" s="198" t="s">
        <v>1086</v>
      </c>
      <c r="G1369" s="198" t="s">
        <v>1087</v>
      </c>
      <c r="H1369" s="198" t="s">
        <v>995</v>
      </c>
      <c r="I1369" s="199" t="s">
        <v>995</v>
      </c>
      <c r="J1369" s="198" t="s">
        <v>1058</v>
      </c>
      <c r="K1369" s="198" t="s">
        <v>1435</v>
      </c>
      <c r="L1369" s="234" t="n">
        <v>28530</v>
      </c>
      <c r="M1369" s="234" t="n">
        <v>15020</v>
      </c>
      <c r="N1369" s="234" t="n">
        <v>9.5</v>
      </c>
      <c r="O1369" s="407" t="n">
        <v>13510</v>
      </c>
      <c r="P1369" s="407" t="n">
        <v>12226.5</v>
      </c>
      <c r="Q1369" s="234" t="n">
        <v>2025</v>
      </c>
      <c r="R1369" s="234"/>
      <c r="S1369" s="248" t="n">
        <v>45844</v>
      </c>
      <c r="T1369" s="407" t="n">
        <f aca="false">Таблица18[[#This Row],[Вес нетто]]-Таблица18[[#This Row],[Зачетный вес]]</f>
        <v>1283.5</v>
      </c>
      <c r="U1369" s="409" t="n">
        <f aca="false">Таблица18[[#This Row],[Отход]]/Таблица18[[#This Row],[Вес нетто]]</f>
        <v>0.0950037009622502</v>
      </c>
      <c r="V1369" s="234" t="n">
        <f aca="false">MONTH(Таблица18[[#This Row],[Дата акта]])</f>
        <v>7</v>
      </c>
      <c r="W1369" s="234" t="n">
        <v>6</v>
      </c>
      <c r="X1369" s="248" t="n">
        <f aca="false">DATE(1900,Таблица18[[#This Row],[Месяц]],Таблица18[[#This Row],[Число]])</f>
        <v>188</v>
      </c>
      <c r="Y1369" s="234"/>
      <c r="AF1369" s="411"/>
      <c r="AG1369" s="412"/>
    </row>
    <row r="1370" s="410" customFormat="true" ht="15" hidden="true" customHeight="true" outlineLevel="0" collapsed="false">
      <c r="A1370" s="198" t="s">
        <v>2992</v>
      </c>
      <c r="B1370" s="199" t="s">
        <v>417</v>
      </c>
      <c r="C1370" s="198" t="n">
        <v>770</v>
      </c>
      <c r="D1370" s="198" t="n">
        <v>123</v>
      </c>
      <c r="E1370" s="198" t="s">
        <v>994</v>
      </c>
      <c r="F1370" s="198" t="s">
        <v>547</v>
      </c>
      <c r="G1370" s="198" t="s">
        <v>551</v>
      </c>
      <c r="H1370" s="198" t="s">
        <v>995</v>
      </c>
      <c r="I1370" s="199" t="s">
        <v>995</v>
      </c>
      <c r="J1370" s="198" t="s">
        <v>1058</v>
      </c>
      <c r="K1370" s="198" t="s">
        <v>1435</v>
      </c>
      <c r="L1370" s="234" t="n">
        <v>28120</v>
      </c>
      <c r="M1370" s="234" t="n">
        <v>14680</v>
      </c>
      <c r="N1370" s="234" t="n">
        <v>9.5</v>
      </c>
      <c r="O1370" s="407" t="n">
        <v>13440</v>
      </c>
      <c r="P1370" s="407" t="n">
        <v>12163.2</v>
      </c>
      <c r="Q1370" s="234" t="n">
        <v>2025</v>
      </c>
      <c r="R1370" s="234"/>
      <c r="S1370" s="248" t="n">
        <v>45844</v>
      </c>
      <c r="T1370" s="407" t="n">
        <f aca="false">Таблица18[[#This Row],[Вес нетто]]-Таблица18[[#This Row],[Зачетный вес]]</f>
        <v>1276.8</v>
      </c>
      <c r="U1370" s="409" t="n">
        <f aca="false">Таблица18[[#This Row],[Отход]]/Таблица18[[#This Row],[Вес нетто]]</f>
        <v>0.095</v>
      </c>
      <c r="V1370" s="234" t="n">
        <f aca="false">MONTH(Таблица18[[#This Row],[Дата акта]])</f>
        <v>7</v>
      </c>
      <c r="W1370" s="234" t="n">
        <v>6</v>
      </c>
      <c r="X1370" s="248" t="n">
        <f aca="false">DATE(1900,Таблица18[[#This Row],[Месяц]],Таблица18[[#This Row],[Число]])</f>
        <v>188</v>
      </c>
      <c r="Y1370" s="234"/>
      <c r="AF1370" s="411"/>
      <c r="AG1370" s="412"/>
    </row>
    <row r="1371" s="410" customFormat="true" ht="15" hidden="true" customHeight="true" outlineLevel="0" collapsed="false">
      <c r="A1371" s="198" t="s">
        <v>2993</v>
      </c>
      <c r="B1371" s="199" t="s">
        <v>417</v>
      </c>
      <c r="C1371" s="198" t="n">
        <v>771</v>
      </c>
      <c r="D1371" s="198" t="n">
        <v>124</v>
      </c>
      <c r="E1371" s="198" t="s">
        <v>994</v>
      </c>
      <c r="F1371" s="198" t="s">
        <v>451</v>
      </c>
      <c r="G1371" s="198" t="s">
        <v>455</v>
      </c>
      <c r="H1371" s="198" t="s">
        <v>995</v>
      </c>
      <c r="I1371" s="199" t="s">
        <v>995</v>
      </c>
      <c r="J1371" s="198" t="s">
        <v>1058</v>
      </c>
      <c r="K1371" s="198" t="s">
        <v>1435</v>
      </c>
      <c r="L1371" s="234" t="n">
        <v>28360</v>
      </c>
      <c r="M1371" s="234" t="n">
        <v>14860</v>
      </c>
      <c r="N1371" s="234" t="n">
        <v>10.5</v>
      </c>
      <c r="O1371" s="407" t="n">
        <v>13500</v>
      </c>
      <c r="P1371" s="407" t="n">
        <v>12082.5</v>
      </c>
      <c r="Q1371" s="234" t="n">
        <v>2025</v>
      </c>
      <c r="R1371" s="234"/>
      <c r="S1371" s="248" t="n">
        <v>45844</v>
      </c>
      <c r="T1371" s="407" t="n">
        <f aca="false">Таблица18[[#This Row],[Вес нетто]]-Таблица18[[#This Row],[Зачетный вес]]</f>
        <v>1417.5</v>
      </c>
      <c r="U1371" s="409" t="n">
        <f aca="false">Таблица18[[#This Row],[Отход]]/Таблица18[[#This Row],[Вес нетто]]</f>
        <v>0.105</v>
      </c>
      <c r="V1371" s="234" t="n">
        <f aca="false">MONTH(Таблица18[[#This Row],[Дата акта]])</f>
        <v>7</v>
      </c>
      <c r="W1371" s="234" t="n">
        <v>6</v>
      </c>
      <c r="X1371" s="248" t="n">
        <f aca="false">DATE(1900,Таблица18[[#This Row],[Месяц]],Таблица18[[#This Row],[Число]])</f>
        <v>188</v>
      </c>
      <c r="Y1371" s="234"/>
      <c r="AF1371" s="411"/>
      <c r="AG1371" s="412"/>
    </row>
    <row r="1372" s="410" customFormat="true" ht="15" hidden="true" customHeight="true" outlineLevel="0" collapsed="false">
      <c r="A1372" s="198" t="s">
        <v>2994</v>
      </c>
      <c r="B1372" s="199" t="s">
        <v>417</v>
      </c>
      <c r="C1372" s="198" t="n">
        <v>772</v>
      </c>
      <c r="D1372" s="198" t="n">
        <v>125</v>
      </c>
      <c r="E1372" s="198" t="s">
        <v>994</v>
      </c>
      <c r="F1372" s="198" t="s">
        <v>1092</v>
      </c>
      <c r="G1372" s="198" t="s">
        <v>1093</v>
      </c>
      <c r="H1372" s="198" t="s">
        <v>995</v>
      </c>
      <c r="I1372" s="199" t="s">
        <v>995</v>
      </c>
      <c r="J1372" s="198" t="s">
        <v>1058</v>
      </c>
      <c r="K1372" s="198" t="s">
        <v>1435</v>
      </c>
      <c r="L1372" s="234" t="n">
        <v>37730</v>
      </c>
      <c r="M1372" s="234" t="n">
        <v>24240</v>
      </c>
      <c r="N1372" s="234" t="n">
        <v>8.5</v>
      </c>
      <c r="O1372" s="407" t="n">
        <v>13490</v>
      </c>
      <c r="P1372" s="407" t="n">
        <v>12343.3</v>
      </c>
      <c r="Q1372" s="234" t="n">
        <v>2025</v>
      </c>
      <c r="R1372" s="234"/>
      <c r="S1372" s="248" t="n">
        <v>45844</v>
      </c>
      <c r="T1372" s="407" t="n">
        <f aca="false">Таблица18[[#This Row],[Вес нетто]]-Таблица18[[#This Row],[Зачетный вес]]</f>
        <v>1146.7</v>
      </c>
      <c r="U1372" s="409" t="n">
        <f aca="false">Таблица18[[#This Row],[Отход]]/Таблица18[[#This Row],[Вес нетто]]</f>
        <v>0.0850037064492217</v>
      </c>
      <c r="V1372" s="234" t="n">
        <f aca="false">MONTH(Таблица18[[#This Row],[Дата акта]])</f>
        <v>7</v>
      </c>
      <c r="W1372" s="234" t="n">
        <v>6</v>
      </c>
      <c r="X1372" s="248" t="n">
        <f aca="false">DATE(1900,Таблица18[[#This Row],[Месяц]],Таблица18[[#This Row],[Число]])</f>
        <v>188</v>
      </c>
      <c r="Y1372" s="234"/>
      <c r="AF1372" s="411"/>
      <c r="AG1372" s="412"/>
    </row>
    <row r="1373" s="410" customFormat="true" ht="15" hidden="true" customHeight="true" outlineLevel="0" collapsed="false">
      <c r="A1373" s="198" t="s">
        <v>2995</v>
      </c>
      <c r="B1373" s="199" t="s">
        <v>417</v>
      </c>
      <c r="C1373" s="198" t="n">
        <v>773</v>
      </c>
      <c r="D1373" s="198" t="n">
        <v>126</v>
      </c>
      <c r="E1373" s="198" t="s">
        <v>994</v>
      </c>
      <c r="F1373" s="198" t="s">
        <v>1095</v>
      </c>
      <c r="G1373" s="198" t="s">
        <v>1096</v>
      </c>
      <c r="H1373" s="198" t="s">
        <v>995</v>
      </c>
      <c r="I1373" s="199" t="s">
        <v>995</v>
      </c>
      <c r="J1373" s="198" t="s">
        <v>1058</v>
      </c>
      <c r="K1373" s="198" t="s">
        <v>1435</v>
      </c>
      <c r="L1373" s="234" t="n">
        <v>29180</v>
      </c>
      <c r="M1373" s="234" t="n">
        <v>15720</v>
      </c>
      <c r="N1373" s="234" t="n">
        <v>11.5</v>
      </c>
      <c r="O1373" s="407" t="n">
        <v>13460</v>
      </c>
      <c r="P1373" s="407" t="n">
        <v>11912.1</v>
      </c>
      <c r="Q1373" s="234" t="n">
        <v>2025</v>
      </c>
      <c r="R1373" s="234"/>
      <c r="S1373" s="248" t="n">
        <v>45844</v>
      </c>
      <c r="T1373" s="407" t="n">
        <f aca="false">Таблица18[[#This Row],[Вес нетто]]-Таблица18[[#This Row],[Зачетный вес]]</f>
        <v>1547.9</v>
      </c>
      <c r="U1373" s="409" t="n">
        <f aca="false">Таблица18[[#This Row],[Отход]]/Таблица18[[#This Row],[Вес нетто]]</f>
        <v>0.115</v>
      </c>
      <c r="V1373" s="234" t="n">
        <f aca="false">MONTH(Таблица18[[#This Row],[Дата акта]])</f>
        <v>7</v>
      </c>
      <c r="W1373" s="234" t="n">
        <v>6</v>
      </c>
      <c r="X1373" s="248" t="n">
        <f aca="false">DATE(1900,Таблица18[[#This Row],[Месяц]],Таблица18[[#This Row],[Число]])</f>
        <v>188</v>
      </c>
      <c r="Y1373" s="234"/>
      <c r="AF1373" s="411"/>
      <c r="AG1373" s="412"/>
    </row>
    <row r="1374" s="410" customFormat="true" ht="15" hidden="true" customHeight="true" outlineLevel="0" collapsed="false">
      <c r="A1374" s="198" t="s">
        <v>2996</v>
      </c>
      <c r="B1374" s="199" t="s">
        <v>417</v>
      </c>
      <c r="C1374" s="198" t="n">
        <v>774</v>
      </c>
      <c r="D1374" s="198" t="n">
        <v>127</v>
      </c>
      <c r="E1374" s="198" t="s">
        <v>994</v>
      </c>
      <c r="F1374" s="198" t="s">
        <v>365</v>
      </c>
      <c r="G1374" s="198" t="s">
        <v>373</v>
      </c>
      <c r="H1374" s="198" t="s">
        <v>995</v>
      </c>
      <c r="I1374" s="199" t="s">
        <v>995</v>
      </c>
      <c r="J1374" s="198" t="s">
        <v>1058</v>
      </c>
      <c r="K1374" s="198" t="s">
        <v>1435</v>
      </c>
      <c r="L1374" s="234" t="n">
        <v>29370</v>
      </c>
      <c r="M1374" s="234" t="n">
        <v>15700</v>
      </c>
      <c r="N1374" s="234" t="n">
        <v>12.5</v>
      </c>
      <c r="O1374" s="407" t="n">
        <v>13670</v>
      </c>
      <c r="P1374" s="407" t="n">
        <v>11961.2</v>
      </c>
      <c r="Q1374" s="234" t="n">
        <v>2025</v>
      </c>
      <c r="R1374" s="234"/>
      <c r="S1374" s="248" t="n">
        <v>45844</v>
      </c>
      <c r="T1374" s="407" t="n">
        <f aca="false">Таблица18[[#This Row],[Вес нетто]]-Таблица18[[#This Row],[Зачетный вес]]</f>
        <v>1708.8</v>
      </c>
      <c r="U1374" s="409" t="n">
        <f aca="false">Таблица18[[#This Row],[Отход]]/Таблица18[[#This Row],[Вес нетто]]</f>
        <v>0.125003657644477</v>
      </c>
      <c r="V1374" s="234" t="n">
        <f aca="false">MONTH(Таблица18[[#This Row],[Дата акта]])</f>
        <v>7</v>
      </c>
      <c r="W1374" s="234" t="n">
        <v>6</v>
      </c>
      <c r="X1374" s="248" t="n">
        <f aca="false">DATE(1900,Таблица18[[#This Row],[Месяц]],Таблица18[[#This Row],[Число]])</f>
        <v>188</v>
      </c>
      <c r="Y1374" s="234"/>
      <c r="AF1374" s="411"/>
      <c r="AG1374" s="412"/>
    </row>
    <row r="1375" s="410" customFormat="true" ht="15" hidden="true" customHeight="true" outlineLevel="0" collapsed="false">
      <c r="A1375" s="198" t="s">
        <v>2997</v>
      </c>
      <c r="B1375" s="199" t="s">
        <v>417</v>
      </c>
      <c r="C1375" s="198" t="n">
        <v>775</v>
      </c>
      <c r="D1375" s="198" t="n">
        <v>128</v>
      </c>
      <c r="E1375" s="198" t="s">
        <v>994</v>
      </c>
      <c r="F1375" s="198" t="s">
        <v>1113</v>
      </c>
      <c r="G1375" s="198" t="s">
        <v>1114</v>
      </c>
      <c r="H1375" s="198" t="s">
        <v>995</v>
      </c>
      <c r="I1375" s="199" t="s">
        <v>995</v>
      </c>
      <c r="J1375" s="198" t="s">
        <v>1058</v>
      </c>
      <c r="K1375" s="198" t="s">
        <v>1435</v>
      </c>
      <c r="L1375" s="234" t="n">
        <v>29300</v>
      </c>
      <c r="M1375" s="234" t="n">
        <v>15640</v>
      </c>
      <c r="N1375" s="234" t="n">
        <v>15</v>
      </c>
      <c r="O1375" s="407" t="n">
        <v>13660</v>
      </c>
      <c r="P1375" s="407" t="n">
        <v>11611</v>
      </c>
      <c r="Q1375" s="234" t="n">
        <v>2025</v>
      </c>
      <c r="R1375" s="234"/>
      <c r="S1375" s="248" t="n">
        <v>45844</v>
      </c>
      <c r="T1375" s="407" t="n">
        <f aca="false">Таблица18[[#This Row],[Вес нетто]]-Таблица18[[#This Row],[Зачетный вес]]</f>
        <v>2049</v>
      </c>
      <c r="U1375" s="409" t="n">
        <f aca="false">Таблица18[[#This Row],[Отход]]/Таблица18[[#This Row],[Вес нетто]]</f>
        <v>0.15</v>
      </c>
      <c r="V1375" s="234" t="n">
        <f aca="false">MONTH(Таблица18[[#This Row],[Дата акта]])</f>
        <v>7</v>
      </c>
      <c r="W1375" s="234" t="n">
        <v>6</v>
      </c>
      <c r="X1375" s="248" t="n">
        <f aca="false">DATE(1900,Таблица18[[#This Row],[Месяц]],Таблица18[[#This Row],[Число]])</f>
        <v>188</v>
      </c>
      <c r="Y1375" s="234"/>
      <c r="AF1375" s="411"/>
      <c r="AG1375" s="412"/>
    </row>
    <row r="1376" s="410" customFormat="true" ht="15" hidden="true" customHeight="true" outlineLevel="0" collapsed="false">
      <c r="A1376" s="198" t="s">
        <v>2998</v>
      </c>
      <c r="B1376" s="199" t="s">
        <v>417</v>
      </c>
      <c r="C1376" s="198" t="n">
        <v>776</v>
      </c>
      <c r="D1376" s="198" t="n">
        <v>129</v>
      </c>
      <c r="E1376" s="198" t="s">
        <v>994</v>
      </c>
      <c r="F1376" s="198" t="s">
        <v>439</v>
      </c>
      <c r="G1376" s="198" t="s">
        <v>443</v>
      </c>
      <c r="H1376" s="198" t="s">
        <v>995</v>
      </c>
      <c r="I1376" s="199" t="s">
        <v>995</v>
      </c>
      <c r="J1376" s="198" t="s">
        <v>1058</v>
      </c>
      <c r="K1376" s="198" t="s">
        <v>1435</v>
      </c>
      <c r="L1376" s="234" t="n">
        <v>39780</v>
      </c>
      <c r="M1376" s="234" t="n">
        <v>24080</v>
      </c>
      <c r="N1376" s="234" t="n">
        <v>10.5</v>
      </c>
      <c r="O1376" s="407" t="n">
        <v>15700</v>
      </c>
      <c r="P1376" s="407" t="n">
        <v>14051.5</v>
      </c>
      <c r="Q1376" s="234" t="n">
        <v>2025</v>
      </c>
      <c r="R1376" s="234"/>
      <c r="S1376" s="248" t="n">
        <v>45844</v>
      </c>
      <c r="T1376" s="407" t="n">
        <f aca="false">Таблица18[[#This Row],[Вес нетто]]-Таблица18[[#This Row],[Зачетный вес]]</f>
        <v>1648.5</v>
      </c>
      <c r="U1376" s="409" t="n">
        <f aca="false">Таблица18[[#This Row],[Отход]]/Таблица18[[#This Row],[Вес нетто]]</f>
        <v>0.105</v>
      </c>
      <c r="V1376" s="234" t="n">
        <f aca="false">MONTH(Таблица18[[#This Row],[Дата акта]])</f>
        <v>7</v>
      </c>
      <c r="W1376" s="234" t="n">
        <v>6</v>
      </c>
      <c r="X1376" s="248" t="n">
        <f aca="false">DATE(1900,Таблица18[[#This Row],[Месяц]],Таблица18[[#This Row],[Число]])</f>
        <v>188</v>
      </c>
      <c r="Y1376" s="234"/>
      <c r="AF1376" s="411"/>
      <c r="AG1376" s="412"/>
    </row>
    <row r="1377" s="410" customFormat="true" ht="15" hidden="true" customHeight="true" outlineLevel="0" collapsed="false">
      <c r="A1377" s="198" t="s">
        <v>2999</v>
      </c>
      <c r="B1377" s="199" t="s">
        <v>417</v>
      </c>
      <c r="C1377" s="198" t="n">
        <v>777</v>
      </c>
      <c r="D1377" s="198" t="n">
        <v>130</v>
      </c>
      <c r="E1377" s="198" t="s">
        <v>994</v>
      </c>
      <c r="F1377" s="198" t="s">
        <v>553</v>
      </c>
      <c r="G1377" s="198" t="s">
        <v>557</v>
      </c>
      <c r="H1377" s="198" t="s">
        <v>995</v>
      </c>
      <c r="I1377" s="199" t="s">
        <v>995</v>
      </c>
      <c r="J1377" s="198" t="s">
        <v>1058</v>
      </c>
      <c r="K1377" s="198" t="s">
        <v>1435</v>
      </c>
      <c r="L1377" s="234" t="n">
        <v>25390</v>
      </c>
      <c r="M1377" s="234" t="n">
        <v>14880</v>
      </c>
      <c r="N1377" s="234" t="n">
        <v>12</v>
      </c>
      <c r="O1377" s="407" t="n">
        <v>10510</v>
      </c>
      <c r="P1377" s="407" t="n">
        <v>9248.8</v>
      </c>
      <c r="Q1377" s="234" t="n">
        <v>2025</v>
      </c>
      <c r="R1377" s="234"/>
      <c r="S1377" s="248" t="n">
        <v>45844</v>
      </c>
      <c r="T1377" s="407" t="n">
        <f aca="false">Таблица18[[#This Row],[Вес нетто]]-Таблица18[[#This Row],[Зачетный вес]]</f>
        <v>1261.2</v>
      </c>
      <c r="U1377" s="409" t="n">
        <f aca="false">Таблица18[[#This Row],[Отход]]/Таблица18[[#This Row],[Вес нетто]]</f>
        <v>0.12</v>
      </c>
      <c r="V1377" s="234" t="n">
        <f aca="false">MONTH(Таблица18[[#This Row],[Дата акта]])</f>
        <v>7</v>
      </c>
      <c r="W1377" s="234" t="n">
        <v>6</v>
      </c>
      <c r="X1377" s="248" t="n">
        <f aca="false">DATE(1900,Таблица18[[#This Row],[Месяц]],Таблица18[[#This Row],[Число]])</f>
        <v>188</v>
      </c>
      <c r="Y1377" s="234"/>
      <c r="AF1377" s="411"/>
      <c r="AG1377" s="412"/>
    </row>
    <row r="1378" s="410" customFormat="true" ht="15" hidden="true" customHeight="true" outlineLevel="0" collapsed="false">
      <c r="A1378" s="198" t="s">
        <v>3000</v>
      </c>
      <c r="B1378" s="199" t="s">
        <v>746</v>
      </c>
      <c r="C1378" s="198" t="n">
        <v>785</v>
      </c>
      <c r="D1378" s="198" t="n">
        <v>131</v>
      </c>
      <c r="E1378" s="198" t="s">
        <v>994</v>
      </c>
      <c r="F1378" s="198" t="s">
        <v>445</v>
      </c>
      <c r="G1378" s="198" t="s">
        <v>449</v>
      </c>
      <c r="H1378" s="198" t="s">
        <v>1144</v>
      </c>
      <c r="I1378" s="199" t="s">
        <v>1144</v>
      </c>
      <c r="J1378" s="198" t="s">
        <v>904</v>
      </c>
      <c r="K1378" s="198" t="s">
        <v>1435</v>
      </c>
      <c r="L1378" s="234" t="n">
        <v>29340</v>
      </c>
      <c r="M1378" s="234" t="n">
        <v>15610</v>
      </c>
      <c r="N1378" s="234" t="n">
        <v>7</v>
      </c>
      <c r="O1378" s="407" t="n">
        <v>13730</v>
      </c>
      <c r="P1378" s="407" t="n">
        <v>12768.9</v>
      </c>
      <c r="Q1378" s="234" t="n">
        <v>2025</v>
      </c>
      <c r="R1378" s="234"/>
      <c r="S1378" s="248" t="n">
        <v>45846</v>
      </c>
      <c r="T1378" s="407" t="n">
        <f aca="false">Таблица18[[#This Row],[Вес нетто]]-Таблица18[[#This Row],[Зачетный вес]]</f>
        <v>961.1</v>
      </c>
      <c r="U1378" s="409" t="n">
        <f aca="false">Таблица18[[#This Row],[Отход]]/Таблица18[[#This Row],[Вес нетто]]</f>
        <v>0.07</v>
      </c>
      <c r="V1378" s="234" t="n">
        <f aca="false">MONTH(Таблица18[[#This Row],[Дата акта]])</f>
        <v>7</v>
      </c>
      <c r="W1378" s="234" t="n">
        <v>8</v>
      </c>
      <c r="X1378" s="248" t="n">
        <f aca="false">DATE(1900,Таблица18[[#This Row],[Месяц]],Таблица18[[#This Row],[Число]])</f>
        <v>190</v>
      </c>
      <c r="Y1378" s="234"/>
      <c r="AF1378" s="411"/>
      <c r="AG1378" s="412"/>
    </row>
    <row r="1379" s="410" customFormat="true" ht="15" hidden="true" customHeight="true" outlineLevel="0" collapsed="false">
      <c r="A1379" s="198" t="s">
        <v>3001</v>
      </c>
      <c r="B1379" s="199" t="s">
        <v>417</v>
      </c>
      <c r="C1379" s="198" t="n">
        <v>786</v>
      </c>
      <c r="D1379" s="198" t="n">
        <v>132</v>
      </c>
      <c r="E1379" s="198" t="s">
        <v>994</v>
      </c>
      <c r="F1379" s="198" t="s">
        <v>1086</v>
      </c>
      <c r="G1379" s="198" t="s">
        <v>1087</v>
      </c>
      <c r="H1379" s="198" t="s">
        <v>1144</v>
      </c>
      <c r="I1379" s="199" t="s">
        <v>1144</v>
      </c>
      <c r="J1379" s="198" t="s">
        <v>904</v>
      </c>
      <c r="K1379" s="198" t="s">
        <v>1435</v>
      </c>
      <c r="L1379" s="234" t="n">
        <v>28240</v>
      </c>
      <c r="M1379" s="234" t="n">
        <v>14910</v>
      </c>
      <c r="N1379" s="234" t="n">
        <v>12.5</v>
      </c>
      <c r="O1379" s="407" t="n">
        <v>13330</v>
      </c>
      <c r="P1379" s="407" t="n">
        <v>11663.7</v>
      </c>
      <c r="Q1379" s="234" t="n">
        <v>2025</v>
      </c>
      <c r="R1379" s="234"/>
      <c r="S1379" s="248" t="n">
        <v>45846</v>
      </c>
      <c r="T1379" s="407" t="n">
        <f aca="false">Таблица18[[#This Row],[Вес нетто]]-Таблица18[[#This Row],[Зачетный вес]]</f>
        <v>1666.3</v>
      </c>
      <c r="U1379" s="409" t="n">
        <f aca="false">Таблица18[[#This Row],[Отход]]/Таблица18[[#This Row],[Вес нетто]]</f>
        <v>0.125003750937734</v>
      </c>
      <c r="V1379" s="234" t="n">
        <f aca="false">MONTH(Таблица18[[#This Row],[Дата акта]])</f>
        <v>7</v>
      </c>
      <c r="W1379" s="234" t="n">
        <v>8</v>
      </c>
      <c r="X1379" s="248" t="n">
        <f aca="false">DATE(1900,Таблица18[[#This Row],[Месяц]],Таблица18[[#This Row],[Число]])</f>
        <v>190</v>
      </c>
      <c r="Y1379" s="234"/>
      <c r="AF1379" s="411"/>
      <c r="AG1379" s="412"/>
    </row>
    <row r="1380" s="410" customFormat="true" ht="15" hidden="true" customHeight="true" outlineLevel="0" collapsed="false">
      <c r="A1380" s="198" t="s">
        <v>3002</v>
      </c>
      <c r="B1380" s="199" t="s">
        <v>417</v>
      </c>
      <c r="C1380" s="198" t="n">
        <v>787</v>
      </c>
      <c r="D1380" s="198" t="n">
        <v>133</v>
      </c>
      <c r="E1380" s="198" t="s">
        <v>994</v>
      </c>
      <c r="F1380" s="198" t="s">
        <v>547</v>
      </c>
      <c r="G1380" s="198" t="s">
        <v>551</v>
      </c>
      <c r="H1380" s="198" t="s">
        <v>1144</v>
      </c>
      <c r="I1380" s="199" t="s">
        <v>1144</v>
      </c>
      <c r="J1380" s="198" t="s">
        <v>904</v>
      </c>
      <c r="K1380" s="198" t="s">
        <v>1435</v>
      </c>
      <c r="L1380" s="234" t="n">
        <v>28220</v>
      </c>
      <c r="M1380" s="234" t="n">
        <v>14770</v>
      </c>
      <c r="N1380" s="234" t="n">
        <v>9.5</v>
      </c>
      <c r="O1380" s="407" t="n">
        <v>13450</v>
      </c>
      <c r="P1380" s="407" t="n">
        <v>12172.2</v>
      </c>
      <c r="Q1380" s="234" t="n">
        <v>2025</v>
      </c>
      <c r="R1380" s="234"/>
      <c r="S1380" s="248" t="n">
        <v>45846</v>
      </c>
      <c r="T1380" s="407" t="n">
        <f aca="false">Таблица18[[#This Row],[Вес нетто]]-Таблица18[[#This Row],[Зачетный вес]]</f>
        <v>1277.8</v>
      </c>
      <c r="U1380" s="409" t="n">
        <f aca="false">Таблица18[[#This Row],[Отход]]/Таблица18[[#This Row],[Вес нетто]]</f>
        <v>0.0950037174721189</v>
      </c>
      <c r="V1380" s="234" t="n">
        <f aca="false">MONTH(Таблица18[[#This Row],[Дата акта]])</f>
        <v>7</v>
      </c>
      <c r="W1380" s="234" t="n">
        <v>8</v>
      </c>
      <c r="X1380" s="248" t="n">
        <f aca="false">DATE(1900,Таблица18[[#This Row],[Месяц]],Таблица18[[#This Row],[Число]])</f>
        <v>190</v>
      </c>
      <c r="Y1380" s="234"/>
      <c r="AF1380" s="411"/>
      <c r="AG1380" s="412"/>
    </row>
    <row r="1381" s="410" customFormat="true" ht="15" hidden="true" customHeight="true" outlineLevel="0" collapsed="false">
      <c r="A1381" s="198" t="s">
        <v>3003</v>
      </c>
      <c r="B1381" s="199" t="s">
        <v>417</v>
      </c>
      <c r="C1381" s="198" t="n">
        <v>788</v>
      </c>
      <c r="D1381" s="198" t="n">
        <v>134</v>
      </c>
      <c r="E1381" s="198" t="s">
        <v>994</v>
      </c>
      <c r="F1381" s="198" t="s">
        <v>451</v>
      </c>
      <c r="G1381" s="198" t="s">
        <v>455</v>
      </c>
      <c r="H1381" s="198" t="s">
        <v>1144</v>
      </c>
      <c r="I1381" s="199" t="s">
        <v>1144</v>
      </c>
      <c r="J1381" s="198" t="s">
        <v>904</v>
      </c>
      <c r="K1381" s="198" t="s">
        <v>1435</v>
      </c>
      <c r="L1381" s="234" t="n">
        <v>27930</v>
      </c>
      <c r="M1381" s="234" t="n">
        <v>15000</v>
      </c>
      <c r="N1381" s="234" t="n">
        <v>15.5</v>
      </c>
      <c r="O1381" s="407" t="n">
        <v>12930</v>
      </c>
      <c r="P1381" s="407" t="n">
        <v>10925.8</v>
      </c>
      <c r="Q1381" s="234" t="n">
        <v>2025</v>
      </c>
      <c r="R1381" s="234"/>
      <c r="S1381" s="248" t="n">
        <v>45847</v>
      </c>
      <c r="T1381" s="407" t="n">
        <f aca="false">Таблица18[[#This Row],[Вес нетто]]-Таблица18[[#This Row],[Зачетный вес]]</f>
        <v>2004.2</v>
      </c>
      <c r="U1381" s="409" t="n">
        <f aca="false">Таблица18[[#This Row],[Отход]]/Таблица18[[#This Row],[Вес нетто]]</f>
        <v>0.155003866976025</v>
      </c>
      <c r="V1381" s="234" t="n">
        <f aca="false">MONTH(Таблица18[[#This Row],[Дата акта]])</f>
        <v>7</v>
      </c>
      <c r="W1381" s="234" t="n">
        <v>9</v>
      </c>
      <c r="X1381" s="248" t="n">
        <f aca="false">DATE(1900,Таблица18[[#This Row],[Месяц]],Таблица18[[#This Row],[Число]])</f>
        <v>191</v>
      </c>
      <c r="Y1381" s="234"/>
      <c r="AF1381" s="411"/>
      <c r="AG1381" s="412"/>
    </row>
    <row r="1382" s="410" customFormat="true" ht="15" hidden="true" customHeight="true" outlineLevel="0" collapsed="false">
      <c r="A1382" s="198" t="s">
        <v>3004</v>
      </c>
      <c r="B1382" s="199" t="s">
        <v>746</v>
      </c>
      <c r="C1382" s="198" t="n">
        <v>789</v>
      </c>
      <c r="D1382" s="198" t="n">
        <v>135</v>
      </c>
      <c r="E1382" s="198" t="s">
        <v>994</v>
      </c>
      <c r="F1382" s="198" t="s">
        <v>1092</v>
      </c>
      <c r="G1382" s="198" t="s">
        <v>1093</v>
      </c>
      <c r="H1382" s="198" t="s">
        <v>1144</v>
      </c>
      <c r="I1382" s="199" t="s">
        <v>1144</v>
      </c>
      <c r="J1382" s="198" t="s">
        <v>904</v>
      </c>
      <c r="K1382" s="198" t="s">
        <v>1435</v>
      </c>
      <c r="L1382" s="234" t="n">
        <v>37350</v>
      </c>
      <c r="M1382" s="234" t="n">
        <v>24190</v>
      </c>
      <c r="N1382" s="234" t="n">
        <v>14.5</v>
      </c>
      <c r="O1382" s="407" t="n">
        <v>13160</v>
      </c>
      <c r="P1382" s="407" t="n">
        <v>11251.8</v>
      </c>
      <c r="Q1382" s="234" t="n">
        <v>2025</v>
      </c>
      <c r="R1382" s="234"/>
      <c r="S1382" s="248" t="n">
        <v>45847</v>
      </c>
      <c r="T1382" s="407" t="n">
        <f aca="false">Таблица18[[#This Row],[Вес нетто]]-Таблица18[[#This Row],[Зачетный вес]]</f>
        <v>1908.2</v>
      </c>
      <c r="U1382" s="409" t="n">
        <f aca="false">Таблица18[[#This Row],[Отход]]/Таблица18[[#This Row],[Вес нетто]]</f>
        <v>0.145</v>
      </c>
      <c r="V1382" s="234" t="n">
        <f aca="false">MONTH(Таблица18[[#This Row],[Дата акта]])</f>
        <v>7</v>
      </c>
      <c r="W1382" s="234" t="n">
        <v>9</v>
      </c>
      <c r="X1382" s="248" t="n">
        <f aca="false">DATE(1900,Таблица18[[#This Row],[Месяц]],Таблица18[[#This Row],[Число]])</f>
        <v>191</v>
      </c>
      <c r="Y1382" s="234"/>
      <c r="AF1382" s="411"/>
      <c r="AG1382" s="412"/>
    </row>
    <row r="1383" s="410" customFormat="true" ht="15" hidden="true" customHeight="true" outlineLevel="0" collapsed="false">
      <c r="A1383" s="198" t="s">
        <v>3005</v>
      </c>
      <c r="B1383" s="199" t="s">
        <v>746</v>
      </c>
      <c r="C1383" s="198" t="n">
        <v>790</v>
      </c>
      <c r="D1383" s="198" t="n">
        <v>137</v>
      </c>
      <c r="E1383" s="198" t="s">
        <v>994</v>
      </c>
      <c r="F1383" s="198" t="s">
        <v>359</v>
      </c>
      <c r="G1383" s="198" t="s">
        <v>426</v>
      </c>
      <c r="H1383" s="198" t="s">
        <v>1144</v>
      </c>
      <c r="I1383" s="199" t="s">
        <v>1144</v>
      </c>
      <c r="J1383" s="198" t="s">
        <v>904</v>
      </c>
      <c r="K1383" s="198" t="s">
        <v>1435</v>
      </c>
      <c r="L1383" s="234" t="n">
        <v>26940</v>
      </c>
      <c r="M1383" s="234" t="n">
        <v>13810</v>
      </c>
      <c r="N1383" s="234" t="n">
        <v>15.5</v>
      </c>
      <c r="O1383" s="407" t="n">
        <v>13130</v>
      </c>
      <c r="P1383" s="407" t="n">
        <v>11094.8</v>
      </c>
      <c r="Q1383" s="234" t="n">
        <v>2025</v>
      </c>
      <c r="R1383" s="234"/>
      <c r="S1383" s="248" t="n">
        <v>45847</v>
      </c>
      <c r="T1383" s="407" t="n">
        <f aca="false">Таблица18[[#This Row],[Вес нетто]]-Таблица18[[#This Row],[Зачетный вес]]</f>
        <v>2035.2</v>
      </c>
      <c r="U1383" s="409" t="n">
        <f aca="false">Таблица18[[#This Row],[Отход]]/Таблица18[[#This Row],[Вес нетто]]</f>
        <v>0.155003808073115</v>
      </c>
      <c r="V1383" s="234" t="n">
        <f aca="false">MONTH(Таблица18[[#This Row],[Дата акта]])</f>
        <v>7</v>
      </c>
      <c r="W1383" s="234" t="n">
        <v>9</v>
      </c>
      <c r="X1383" s="248" t="n">
        <f aca="false">DATE(1900,Таблица18[[#This Row],[Месяц]],Таблица18[[#This Row],[Число]])</f>
        <v>191</v>
      </c>
      <c r="Y1383" s="234"/>
      <c r="AF1383" s="411"/>
      <c r="AG1383" s="412"/>
    </row>
    <row r="1384" s="410" customFormat="true" ht="15" hidden="true" customHeight="true" outlineLevel="0" collapsed="false">
      <c r="A1384" s="198" t="s">
        <v>3006</v>
      </c>
      <c r="B1384" s="199" t="s">
        <v>746</v>
      </c>
      <c r="C1384" s="198" t="n">
        <v>791</v>
      </c>
      <c r="D1384" s="198" t="n">
        <v>136</v>
      </c>
      <c r="E1384" s="198" t="s">
        <v>994</v>
      </c>
      <c r="F1384" s="198" t="s">
        <v>363</v>
      </c>
      <c r="G1384" s="198" t="s">
        <v>364</v>
      </c>
      <c r="H1384" s="198" t="s">
        <v>1144</v>
      </c>
      <c r="I1384" s="199" t="s">
        <v>1144</v>
      </c>
      <c r="J1384" s="198" t="s">
        <v>1175</v>
      </c>
      <c r="K1384" s="198" t="s">
        <v>1435</v>
      </c>
      <c r="L1384" s="234" t="n">
        <v>27500</v>
      </c>
      <c r="M1384" s="234" t="n">
        <v>14560</v>
      </c>
      <c r="N1384" s="234" t="n">
        <v>10.5</v>
      </c>
      <c r="O1384" s="407" t="n">
        <v>12940</v>
      </c>
      <c r="P1384" s="407" t="n">
        <v>11581.3</v>
      </c>
      <c r="Q1384" s="234" t="n">
        <v>2025</v>
      </c>
      <c r="R1384" s="234"/>
      <c r="S1384" s="248" t="n">
        <v>45847</v>
      </c>
      <c r="T1384" s="407" t="n">
        <f aca="false">Таблица18[[#This Row],[Вес нетто]]-Таблица18[[#This Row],[Зачетный вес]]</f>
        <v>1358.7</v>
      </c>
      <c r="U1384" s="409" t="n">
        <f aca="false">Таблица18[[#This Row],[Отход]]/Таблица18[[#This Row],[Вес нетто]]</f>
        <v>0.105</v>
      </c>
      <c r="V1384" s="234" t="n">
        <f aca="false">MONTH(Таблица18[[#This Row],[Дата акта]])</f>
        <v>7</v>
      </c>
      <c r="W1384" s="234" t="n">
        <v>9</v>
      </c>
      <c r="X1384" s="248" t="n">
        <f aca="false">DATE(1900,Таблица18[[#This Row],[Месяц]],Таблица18[[#This Row],[Число]])</f>
        <v>191</v>
      </c>
      <c r="Y1384" s="234"/>
      <c r="AF1384" s="411"/>
      <c r="AG1384" s="412"/>
    </row>
    <row r="1385" s="410" customFormat="true" ht="15" hidden="true" customHeight="true" outlineLevel="0" collapsed="false">
      <c r="A1385" s="198" t="s">
        <v>3007</v>
      </c>
      <c r="B1385" s="199" t="s">
        <v>746</v>
      </c>
      <c r="C1385" s="198" t="n">
        <v>792</v>
      </c>
      <c r="D1385" s="198" t="n">
        <v>138</v>
      </c>
      <c r="E1385" s="198" t="s">
        <v>994</v>
      </c>
      <c r="F1385" s="198" t="s">
        <v>365</v>
      </c>
      <c r="G1385" s="198" t="s">
        <v>373</v>
      </c>
      <c r="H1385" s="198" t="s">
        <v>1144</v>
      </c>
      <c r="I1385" s="199" t="s">
        <v>1144</v>
      </c>
      <c r="J1385" s="198" t="s">
        <v>1175</v>
      </c>
      <c r="K1385" s="198" t="s">
        <v>1435</v>
      </c>
      <c r="L1385" s="234" t="n">
        <v>28780</v>
      </c>
      <c r="M1385" s="234" t="n">
        <v>15730</v>
      </c>
      <c r="N1385" s="234" t="n">
        <v>7.5</v>
      </c>
      <c r="O1385" s="407" t="n">
        <v>13050</v>
      </c>
      <c r="P1385" s="407" t="n">
        <v>12071.2</v>
      </c>
      <c r="Q1385" s="234" t="n">
        <v>2025</v>
      </c>
      <c r="R1385" s="234"/>
      <c r="S1385" s="248" t="n">
        <v>45847</v>
      </c>
      <c r="T1385" s="407" t="n">
        <f aca="false">Таблица18[[#This Row],[Вес нетто]]-Таблица18[[#This Row],[Зачетный вес]]</f>
        <v>978.799999999999</v>
      </c>
      <c r="U1385" s="409" t="n">
        <f aca="false">Таблица18[[#This Row],[Отход]]/Таблица18[[#This Row],[Вес нетто]]</f>
        <v>0.0750038314176245</v>
      </c>
      <c r="V1385" s="234" t="n">
        <f aca="false">MONTH(Таблица18[[#This Row],[Дата акта]])</f>
        <v>7</v>
      </c>
      <c r="W1385" s="234" t="n">
        <v>9</v>
      </c>
      <c r="X1385" s="248" t="n">
        <f aca="false">DATE(1900,Таблица18[[#This Row],[Месяц]],Таблица18[[#This Row],[Число]])</f>
        <v>191</v>
      </c>
      <c r="Y1385" s="234"/>
      <c r="AF1385" s="411"/>
      <c r="AG1385" s="412"/>
    </row>
    <row r="1386" s="410" customFormat="true" ht="15" hidden="true" customHeight="true" outlineLevel="0" collapsed="false">
      <c r="A1386" s="198" t="s">
        <v>3008</v>
      </c>
      <c r="B1386" s="199" t="s">
        <v>886</v>
      </c>
      <c r="C1386" s="198" t="n">
        <v>793</v>
      </c>
      <c r="D1386" s="198" t="n">
        <v>139</v>
      </c>
      <c r="E1386" s="198" t="s">
        <v>994</v>
      </c>
      <c r="F1386" s="198" t="s">
        <v>384</v>
      </c>
      <c r="G1386" s="198" t="s">
        <v>385</v>
      </c>
      <c r="H1386" s="198" t="s">
        <v>1144</v>
      </c>
      <c r="I1386" s="199" t="s">
        <v>1144</v>
      </c>
      <c r="J1386" s="198" t="s">
        <v>1175</v>
      </c>
      <c r="K1386" s="198" t="s">
        <v>1435</v>
      </c>
      <c r="L1386" s="234" t="n">
        <v>27400</v>
      </c>
      <c r="M1386" s="234" t="n">
        <v>14420</v>
      </c>
      <c r="N1386" s="234" t="n">
        <v>12.5</v>
      </c>
      <c r="O1386" s="407" t="n">
        <v>12980</v>
      </c>
      <c r="P1386" s="407" t="n">
        <v>11357.5</v>
      </c>
      <c r="Q1386" s="234" t="n">
        <v>2025</v>
      </c>
      <c r="R1386" s="234"/>
      <c r="S1386" s="248" t="n">
        <v>45847</v>
      </c>
      <c r="T1386" s="407" t="n">
        <f aca="false">Таблица18[[#This Row],[Вес нетто]]-Таблица18[[#This Row],[Зачетный вес]]</f>
        <v>1622.5</v>
      </c>
      <c r="U1386" s="409" t="n">
        <f aca="false">Таблица18[[#This Row],[Отход]]/Таблица18[[#This Row],[Вес нетто]]</f>
        <v>0.125</v>
      </c>
      <c r="V1386" s="234" t="n">
        <f aca="false">MONTH(Таблица18[[#This Row],[Дата акта]])</f>
        <v>7</v>
      </c>
      <c r="W1386" s="234" t="n">
        <v>9</v>
      </c>
      <c r="X1386" s="248" t="n">
        <f aca="false">DATE(1900,Таблица18[[#This Row],[Месяц]],Таблица18[[#This Row],[Число]])</f>
        <v>191</v>
      </c>
      <c r="Y1386" s="234"/>
      <c r="AF1386" s="411"/>
      <c r="AG1386" s="412"/>
    </row>
    <row r="1387" s="410" customFormat="true" ht="15" hidden="true" customHeight="true" outlineLevel="0" collapsed="false">
      <c r="A1387" s="198" t="s">
        <v>3009</v>
      </c>
      <c r="B1387" s="199" t="s">
        <v>746</v>
      </c>
      <c r="C1387" s="198" t="n">
        <v>795</v>
      </c>
      <c r="D1387" s="198" t="n">
        <v>140</v>
      </c>
      <c r="E1387" s="198" t="s">
        <v>994</v>
      </c>
      <c r="F1387" s="198" t="s">
        <v>382</v>
      </c>
      <c r="G1387" s="198" t="s">
        <v>383</v>
      </c>
      <c r="H1387" s="198" t="s">
        <v>1144</v>
      </c>
      <c r="I1387" s="199" t="s">
        <v>1144</v>
      </c>
      <c r="J1387" s="198" t="s">
        <v>1175</v>
      </c>
      <c r="K1387" s="198" t="s">
        <v>1435</v>
      </c>
      <c r="L1387" s="234" t="n">
        <v>28010</v>
      </c>
      <c r="M1387" s="234" t="n">
        <v>14870</v>
      </c>
      <c r="N1387" s="234" t="n">
        <v>8.5</v>
      </c>
      <c r="O1387" s="407" t="n">
        <v>13140</v>
      </c>
      <c r="P1387" s="407" t="n">
        <v>12023.1</v>
      </c>
      <c r="Q1387" s="234" t="n">
        <v>2025</v>
      </c>
      <c r="R1387" s="234"/>
      <c r="S1387" s="248" t="n">
        <v>45847</v>
      </c>
      <c r="T1387" s="407" t="n">
        <f aca="false">Таблица18[[#This Row],[Вес нетто]]-Таблица18[[#This Row],[Зачетный вес]]</f>
        <v>1116.9</v>
      </c>
      <c r="U1387" s="409" t="n">
        <f aca="false">Таблица18[[#This Row],[Отход]]/Таблица18[[#This Row],[Вес нетто]]</f>
        <v>0.085</v>
      </c>
      <c r="V1387" s="234" t="n">
        <f aca="false">MONTH(Таблица18[[#This Row],[Дата акта]])</f>
        <v>7</v>
      </c>
      <c r="W1387" s="234" t="n">
        <v>9</v>
      </c>
      <c r="X1387" s="248" t="n">
        <f aca="false">DATE(1900,Таблица18[[#This Row],[Месяц]],Таблица18[[#This Row],[Число]])</f>
        <v>191</v>
      </c>
      <c r="Y1387" s="234"/>
      <c r="AF1387" s="411"/>
      <c r="AG1387" s="412"/>
    </row>
    <row r="1388" s="410" customFormat="true" ht="15" hidden="true" customHeight="true" outlineLevel="0" collapsed="false">
      <c r="A1388" s="198" t="s">
        <v>3010</v>
      </c>
      <c r="B1388" s="199" t="s">
        <v>886</v>
      </c>
      <c r="C1388" s="198" t="n">
        <v>796</v>
      </c>
      <c r="D1388" s="198" t="n">
        <v>140</v>
      </c>
      <c r="E1388" s="198" t="s">
        <v>994</v>
      </c>
      <c r="F1388" s="198" t="s">
        <v>445</v>
      </c>
      <c r="G1388" s="198" t="s">
        <v>449</v>
      </c>
      <c r="H1388" s="198" t="s">
        <v>1144</v>
      </c>
      <c r="I1388" s="199" t="s">
        <v>1144</v>
      </c>
      <c r="J1388" s="198" t="s">
        <v>1175</v>
      </c>
      <c r="K1388" s="198" t="s">
        <v>1435</v>
      </c>
      <c r="L1388" s="234" t="n">
        <v>29040</v>
      </c>
      <c r="M1388" s="234" t="n">
        <v>15510</v>
      </c>
      <c r="N1388" s="234" t="n">
        <v>7.5</v>
      </c>
      <c r="O1388" s="407" t="n">
        <v>13530</v>
      </c>
      <c r="P1388" s="407" t="n">
        <v>12515.2</v>
      </c>
      <c r="Q1388" s="234" t="n">
        <v>2025</v>
      </c>
      <c r="R1388" s="234"/>
      <c r="S1388" s="248" t="n">
        <v>45847</v>
      </c>
      <c r="T1388" s="407" t="n">
        <f aca="false">Таблица18[[#This Row],[Вес нетто]]-Таблица18[[#This Row],[Зачетный вес]]</f>
        <v>1014.8</v>
      </c>
      <c r="U1388" s="409" t="n">
        <f aca="false">Таблица18[[#This Row],[Отход]]/Таблица18[[#This Row],[Вес нетто]]</f>
        <v>0.0750036954915003</v>
      </c>
      <c r="V1388" s="234" t="n">
        <f aca="false">MONTH(Таблица18[[#This Row],[Дата акта]])</f>
        <v>7</v>
      </c>
      <c r="W1388" s="234" t="n">
        <v>9</v>
      </c>
      <c r="X1388" s="248" t="n">
        <f aca="false">DATE(1900,Таблица18[[#This Row],[Месяц]],Таблица18[[#This Row],[Число]])</f>
        <v>191</v>
      </c>
      <c r="Y1388" s="234"/>
      <c r="AF1388" s="411"/>
      <c r="AG1388" s="412"/>
    </row>
    <row r="1389" s="410" customFormat="true" ht="15" hidden="true" customHeight="true" outlineLevel="0" collapsed="false">
      <c r="A1389" s="198" t="s">
        <v>3011</v>
      </c>
      <c r="B1389" s="199" t="s">
        <v>886</v>
      </c>
      <c r="C1389" s="198" t="n">
        <v>799</v>
      </c>
      <c r="D1389" s="198" t="n">
        <v>143</v>
      </c>
      <c r="E1389" s="198" t="s">
        <v>994</v>
      </c>
      <c r="F1389" s="198" t="s">
        <v>439</v>
      </c>
      <c r="G1389" s="198" t="s">
        <v>443</v>
      </c>
      <c r="H1389" s="198" t="s">
        <v>1144</v>
      </c>
      <c r="I1389" s="199" t="s">
        <v>1144</v>
      </c>
      <c r="J1389" s="198" t="s">
        <v>1175</v>
      </c>
      <c r="K1389" s="198" t="s">
        <v>1435</v>
      </c>
      <c r="L1389" s="234" t="n">
        <v>37250</v>
      </c>
      <c r="M1389" s="234" t="n">
        <v>24060</v>
      </c>
      <c r="N1389" s="234" t="n">
        <v>7.5</v>
      </c>
      <c r="O1389" s="407" t="n">
        <v>13190</v>
      </c>
      <c r="P1389" s="407" t="n">
        <v>12200.7</v>
      </c>
      <c r="Q1389" s="234" t="n">
        <v>2025</v>
      </c>
      <c r="R1389" s="234"/>
      <c r="S1389" s="248" t="n">
        <v>45847</v>
      </c>
      <c r="T1389" s="407" t="n">
        <f aca="false">Таблица18[[#This Row],[Вес нетто]]-Таблица18[[#This Row],[Зачетный вес]]</f>
        <v>989.299999999999</v>
      </c>
      <c r="U1389" s="409" t="n">
        <f aca="false">Таблица18[[#This Row],[Отход]]/Таблица18[[#This Row],[Вес нетто]]</f>
        <v>0.0750037907505686</v>
      </c>
      <c r="V1389" s="234" t="n">
        <f aca="false">MONTH(Таблица18[[#This Row],[Дата акта]])</f>
        <v>7</v>
      </c>
      <c r="W1389" s="234" t="n">
        <v>9</v>
      </c>
      <c r="X1389" s="248" t="n">
        <f aca="false">DATE(1900,Таблица18[[#This Row],[Месяц]],Таблица18[[#This Row],[Число]])</f>
        <v>191</v>
      </c>
      <c r="Y1389" s="234"/>
      <c r="AF1389" s="411"/>
      <c r="AG1389" s="412"/>
    </row>
    <row r="1390" s="410" customFormat="true" ht="15" hidden="true" customHeight="true" outlineLevel="0" collapsed="false">
      <c r="A1390" s="198" t="s">
        <v>3012</v>
      </c>
      <c r="B1390" s="199" t="s">
        <v>886</v>
      </c>
      <c r="C1390" s="198" t="n">
        <v>800</v>
      </c>
      <c r="D1390" s="198" t="n">
        <v>144</v>
      </c>
      <c r="E1390" s="198" t="s">
        <v>994</v>
      </c>
      <c r="F1390" s="198" t="s">
        <v>361</v>
      </c>
      <c r="G1390" s="198" t="s">
        <v>362</v>
      </c>
      <c r="H1390" s="198" t="s">
        <v>1144</v>
      </c>
      <c r="I1390" s="199" t="s">
        <v>1144</v>
      </c>
      <c r="J1390" s="198" t="s">
        <v>1175</v>
      </c>
      <c r="K1390" s="198" t="s">
        <v>1435</v>
      </c>
      <c r="L1390" s="234" t="n">
        <v>27910</v>
      </c>
      <c r="M1390" s="234" t="n">
        <v>15020</v>
      </c>
      <c r="N1390" s="234" t="n">
        <v>9.5</v>
      </c>
      <c r="O1390" s="407" t="n">
        <v>12890</v>
      </c>
      <c r="P1390" s="407" t="n">
        <v>11665.4</v>
      </c>
      <c r="Q1390" s="234" t="n">
        <v>2025</v>
      </c>
      <c r="R1390" s="234"/>
      <c r="S1390" s="248" t="n">
        <v>45847</v>
      </c>
      <c r="T1390" s="407" t="n">
        <f aca="false">Таблица18[[#This Row],[Вес нетто]]-Таблица18[[#This Row],[Зачетный вес]]</f>
        <v>1224.6</v>
      </c>
      <c r="U1390" s="409" t="n">
        <f aca="false">Таблица18[[#This Row],[Отход]]/Таблица18[[#This Row],[Вес нетто]]</f>
        <v>0.0950038789759504</v>
      </c>
      <c r="V1390" s="234" t="n">
        <f aca="false">MONTH(Таблица18[[#This Row],[Дата акта]])</f>
        <v>7</v>
      </c>
      <c r="W1390" s="234" t="n">
        <v>9</v>
      </c>
      <c r="X1390" s="248" t="n">
        <f aca="false">DATE(1900,Таблица18[[#This Row],[Месяц]],Таблица18[[#This Row],[Число]])</f>
        <v>191</v>
      </c>
      <c r="Y1390" s="234"/>
      <c r="AF1390" s="411"/>
      <c r="AG1390" s="412"/>
    </row>
    <row r="1391" s="410" customFormat="true" ht="15" hidden="true" customHeight="true" outlineLevel="0" collapsed="false">
      <c r="A1391" s="198" t="s">
        <v>3013</v>
      </c>
      <c r="B1391" s="199" t="s">
        <v>746</v>
      </c>
      <c r="C1391" s="198" t="n">
        <v>801</v>
      </c>
      <c r="D1391" s="198" t="n">
        <v>141</v>
      </c>
      <c r="E1391" s="198" t="s">
        <v>994</v>
      </c>
      <c r="F1391" s="198" t="s">
        <v>1086</v>
      </c>
      <c r="G1391" s="198" t="s">
        <v>1087</v>
      </c>
      <c r="H1391" s="198" t="s">
        <v>1144</v>
      </c>
      <c r="I1391" s="199" t="s">
        <v>1144</v>
      </c>
      <c r="J1391" s="198" t="s">
        <v>1175</v>
      </c>
      <c r="K1391" s="198" t="s">
        <v>1435</v>
      </c>
      <c r="L1391" s="234" t="n">
        <v>27130</v>
      </c>
      <c r="M1391" s="234" t="n">
        <v>14830</v>
      </c>
      <c r="N1391" s="234" t="n">
        <v>25.5</v>
      </c>
      <c r="O1391" s="407" t="n">
        <v>12300</v>
      </c>
      <c r="P1391" s="407" t="n">
        <v>9163.5</v>
      </c>
      <c r="Q1391" s="234" t="n">
        <v>2025</v>
      </c>
      <c r="R1391" s="234"/>
      <c r="S1391" s="248" t="n">
        <v>45847</v>
      </c>
      <c r="T1391" s="407" t="n">
        <f aca="false">Таблица18[[#This Row],[Вес нетто]]-Таблица18[[#This Row],[Зачетный вес]]</f>
        <v>3136.5</v>
      </c>
      <c r="U1391" s="409" t="n">
        <f aca="false">Таблица18[[#This Row],[Отход]]/Таблица18[[#This Row],[Вес нетто]]</f>
        <v>0.255</v>
      </c>
      <c r="V1391" s="234" t="n">
        <f aca="false">MONTH(Таблица18[[#This Row],[Дата акта]])</f>
        <v>7</v>
      </c>
      <c r="W1391" s="234" t="n">
        <v>9</v>
      </c>
      <c r="X1391" s="248" t="n">
        <f aca="false">DATE(1900,Таблица18[[#This Row],[Месяц]],Таблица18[[#This Row],[Число]])</f>
        <v>191</v>
      </c>
      <c r="Y1391" s="234"/>
      <c r="AF1391" s="411"/>
      <c r="AG1391" s="412"/>
    </row>
    <row r="1392" s="410" customFormat="true" ht="15" hidden="true" customHeight="true" outlineLevel="0" collapsed="false">
      <c r="A1392" s="198" t="s">
        <v>3014</v>
      </c>
      <c r="B1392" s="199" t="s">
        <v>746</v>
      </c>
      <c r="C1392" s="198" t="n">
        <v>802</v>
      </c>
      <c r="D1392" s="198" t="n">
        <v>147</v>
      </c>
      <c r="E1392" s="198" t="s">
        <v>994</v>
      </c>
      <c r="F1392" s="198" t="s">
        <v>547</v>
      </c>
      <c r="G1392" s="198" t="s">
        <v>551</v>
      </c>
      <c r="H1392" s="198" t="s">
        <v>1144</v>
      </c>
      <c r="I1392" s="199" t="s">
        <v>1144</v>
      </c>
      <c r="J1392" s="198" t="s">
        <v>1175</v>
      </c>
      <c r="K1392" s="198" t="s">
        <v>1435</v>
      </c>
      <c r="L1392" s="234" t="n">
        <v>26390</v>
      </c>
      <c r="M1392" s="234" t="n">
        <v>14500</v>
      </c>
      <c r="N1392" s="234" t="n">
        <v>11.5</v>
      </c>
      <c r="O1392" s="407" t="n">
        <v>11890</v>
      </c>
      <c r="P1392" s="407" t="n">
        <v>10522.6</v>
      </c>
      <c r="Q1392" s="234" t="n">
        <v>2025</v>
      </c>
      <c r="R1392" s="234"/>
      <c r="S1392" s="248" t="n">
        <v>45848</v>
      </c>
      <c r="T1392" s="407" t="n">
        <f aca="false">Таблица18[[#This Row],[Вес нетто]]-Таблица18[[#This Row],[Зачетный вес]]</f>
        <v>1367.4</v>
      </c>
      <c r="U1392" s="409" t="n">
        <f aca="false">Таблица18[[#This Row],[Отход]]/Таблица18[[#This Row],[Вес нетто]]</f>
        <v>0.115004205214466</v>
      </c>
      <c r="V1392" s="234" t="n">
        <f aca="false">MONTH(Таблица18[[#This Row],[Дата акта]])</f>
        <v>7</v>
      </c>
      <c r="W1392" s="234" t="n">
        <v>10</v>
      </c>
      <c r="X1392" s="248" t="n">
        <f aca="false">DATE(1900,Таблица18[[#This Row],[Месяц]],Таблица18[[#This Row],[Число]])</f>
        <v>192</v>
      </c>
      <c r="Y1392" s="234"/>
      <c r="AF1392" s="411"/>
      <c r="AG1392" s="412"/>
    </row>
    <row r="1393" s="410" customFormat="true" ht="15" hidden="true" customHeight="true" outlineLevel="0" collapsed="false">
      <c r="A1393" s="198" t="s">
        <v>3015</v>
      </c>
      <c r="B1393" s="199" t="s">
        <v>886</v>
      </c>
      <c r="C1393" s="198" t="n">
        <v>803</v>
      </c>
      <c r="D1393" s="198" t="n">
        <v>145</v>
      </c>
      <c r="E1393" s="198" t="s">
        <v>994</v>
      </c>
      <c r="F1393" s="198" t="s">
        <v>451</v>
      </c>
      <c r="G1393" s="198" t="s">
        <v>455</v>
      </c>
      <c r="H1393" s="198" t="s">
        <v>1144</v>
      </c>
      <c r="I1393" s="199" t="s">
        <v>1144</v>
      </c>
      <c r="J1393" s="198" t="s">
        <v>1175</v>
      </c>
      <c r="K1393" s="198" t="s">
        <v>1435</v>
      </c>
      <c r="L1393" s="234" t="n">
        <v>26950</v>
      </c>
      <c r="M1393" s="234" t="n">
        <v>14890</v>
      </c>
      <c r="N1393" s="234" t="n">
        <v>16.5</v>
      </c>
      <c r="O1393" s="407" t="n">
        <v>12060</v>
      </c>
      <c r="P1393" s="407" t="n">
        <v>10070.1</v>
      </c>
      <c r="Q1393" s="234" t="n">
        <v>2025</v>
      </c>
      <c r="R1393" s="234"/>
      <c r="S1393" s="248" t="n">
        <v>45848</v>
      </c>
      <c r="T1393" s="407" t="n">
        <f aca="false">Таблица18[[#This Row],[Вес нетто]]-Таблица18[[#This Row],[Зачетный вес]]</f>
        <v>1989.9</v>
      </c>
      <c r="U1393" s="409" t="n">
        <f aca="false">Таблица18[[#This Row],[Отход]]/Таблица18[[#This Row],[Вес нетто]]</f>
        <v>0.165</v>
      </c>
      <c r="V1393" s="234" t="n">
        <f aca="false">MONTH(Таблица18[[#This Row],[Дата акта]])</f>
        <v>7</v>
      </c>
      <c r="W1393" s="234" t="n">
        <v>10</v>
      </c>
      <c r="X1393" s="248" t="n">
        <f aca="false">DATE(1900,Таблица18[[#This Row],[Месяц]],Таблица18[[#This Row],[Число]])</f>
        <v>192</v>
      </c>
      <c r="Y1393" s="234"/>
      <c r="AF1393" s="411"/>
      <c r="AG1393" s="412"/>
    </row>
    <row r="1394" s="410" customFormat="true" ht="15" hidden="true" customHeight="true" outlineLevel="0" collapsed="false">
      <c r="A1394" s="198" t="s">
        <v>3016</v>
      </c>
      <c r="B1394" s="199" t="s">
        <v>746</v>
      </c>
      <c r="C1394" s="198" t="n">
        <v>804</v>
      </c>
      <c r="D1394" s="198" t="n">
        <v>146</v>
      </c>
      <c r="E1394" s="198" t="s">
        <v>994</v>
      </c>
      <c r="F1394" s="198" t="s">
        <v>1092</v>
      </c>
      <c r="G1394" s="198" t="s">
        <v>1093</v>
      </c>
      <c r="H1394" s="198" t="s">
        <v>1144</v>
      </c>
      <c r="I1394" s="199" t="s">
        <v>1144</v>
      </c>
      <c r="J1394" s="198" t="s">
        <v>1175</v>
      </c>
      <c r="K1394" s="198" t="s">
        <v>1435</v>
      </c>
      <c r="L1394" s="234" t="n">
        <v>38830</v>
      </c>
      <c r="M1394" s="234" t="n">
        <v>24310</v>
      </c>
      <c r="N1394" s="234" t="n">
        <v>26</v>
      </c>
      <c r="O1394" s="407" t="n">
        <v>14520</v>
      </c>
      <c r="P1394" s="407" t="n">
        <v>10744.8</v>
      </c>
      <c r="Q1394" s="234" t="n">
        <v>2025</v>
      </c>
      <c r="R1394" s="234"/>
      <c r="S1394" s="248" t="n">
        <v>45848</v>
      </c>
      <c r="T1394" s="407" t="n">
        <f aca="false">Таблица18[[#This Row],[Вес нетто]]-Таблица18[[#This Row],[Зачетный вес]]</f>
        <v>3775.2</v>
      </c>
      <c r="U1394" s="409" t="n">
        <f aca="false">Таблица18[[#This Row],[Отход]]/Таблица18[[#This Row],[Вес нетто]]</f>
        <v>0.26</v>
      </c>
      <c r="V1394" s="234" t="n">
        <f aca="false">MONTH(Таблица18[[#This Row],[Дата акта]])</f>
        <v>7</v>
      </c>
      <c r="W1394" s="234" t="n">
        <v>10</v>
      </c>
      <c r="X1394" s="248" t="n">
        <f aca="false">DATE(1900,Таблица18[[#This Row],[Месяц]],Таблица18[[#This Row],[Число]])</f>
        <v>192</v>
      </c>
      <c r="Y1394" s="234"/>
      <c r="AF1394" s="411"/>
      <c r="AG1394" s="412"/>
    </row>
    <row r="1395" customFormat="false" ht="19.4" hidden="false" customHeight="false" outlineLevel="0" collapsed="false">
      <c r="A1395" s="198" t="s">
        <v>3017</v>
      </c>
      <c r="B1395" s="199" t="s">
        <v>54</v>
      </c>
      <c r="C1395" s="198" t="n">
        <v>40</v>
      </c>
      <c r="D1395" s="198" t="n">
        <v>1</v>
      </c>
      <c r="E1395" s="198" t="s">
        <v>46</v>
      </c>
      <c r="F1395" s="198" t="s">
        <v>359</v>
      </c>
      <c r="G1395" s="198" t="s">
        <v>360</v>
      </c>
      <c r="H1395" s="198" t="s">
        <v>65</v>
      </c>
      <c r="I1395" s="198" t="s">
        <v>65</v>
      </c>
      <c r="J1395" s="198" t="s">
        <v>66</v>
      </c>
      <c r="K1395" s="198" t="s">
        <v>3018</v>
      </c>
      <c r="L1395" s="234" t="n">
        <v>31970</v>
      </c>
      <c r="M1395" s="234" t="n">
        <v>15900</v>
      </c>
      <c r="N1395" s="234" t="n">
        <v>19.5</v>
      </c>
      <c r="O1395" s="407" t="n">
        <v>16070</v>
      </c>
      <c r="P1395" s="407" t="n">
        <v>12936.4</v>
      </c>
      <c r="Q1395" s="234" t="n">
        <v>2026</v>
      </c>
      <c r="R1395" s="234" t="n">
        <v>14</v>
      </c>
      <c r="S1395" s="248" t="n">
        <v>46176</v>
      </c>
      <c r="T1395" s="407" t="n">
        <f aca="false">Таблица18[[#This Row],[Вес нетто]]-Таблица18[[#This Row],[Зачетный вес]]</f>
        <v>3133.6</v>
      </c>
      <c r="U1395" s="409" t="n">
        <f aca="false">Таблица18[[#This Row],[Отход]]/Таблица18[[#This Row],[Вес нетто]]</f>
        <v>0.194996888612321</v>
      </c>
      <c r="V1395" s="234" t="n">
        <f aca="false">MONTH(Таблица18[[#This Row],[Дата акта]])</f>
        <v>6</v>
      </c>
      <c r="W1395" s="234" t="n">
        <v>3</v>
      </c>
      <c r="X1395" s="248" t="n">
        <f aca="false">DATE(1900,Таблица18[[#This Row],[Месяц]],Таблица18[[#This Row],[Число]])</f>
        <v>155</v>
      </c>
      <c r="Y1395" s="234"/>
      <c r="AF1395" s="22"/>
      <c r="AG1395" s="414"/>
    </row>
    <row r="1396" customFormat="false" ht="28.35" hidden="false" customHeight="false" outlineLevel="0" collapsed="false">
      <c r="A1396" s="198" t="s">
        <v>3019</v>
      </c>
      <c r="B1396" s="199" t="s">
        <v>54</v>
      </c>
      <c r="C1396" s="198" t="n">
        <v>42</v>
      </c>
      <c r="D1396" s="198" t="n">
        <v>2</v>
      </c>
      <c r="E1396" s="198" t="s">
        <v>46</v>
      </c>
      <c r="F1396" s="198" t="s">
        <v>55</v>
      </c>
      <c r="G1396" s="198" t="s">
        <v>56</v>
      </c>
      <c r="H1396" s="198" t="s">
        <v>65</v>
      </c>
      <c r="I1396" s="199" t="s">
        <v>65</v>
      </c>
      <c r="J1396" s="198" t="s">
        <v>66</v>
      </c>
      <c r="K1396" s="198" t="s">
        <v>3018</v>
      </c>
      <c r="L1396" s="234" t="n">
        <v>28520</v>
      </c>
      <c r="M1396" s="234" t="n">
        <v>14850</v>
      </c>
      <c r="N1396" s="234" t="n">
        <v>29.5</v>
      </c>
      <c r="O1396" s="407" t="n">
        <v>13670</v>
      </c>
      <c r="P1396" s="407" t="n">
        <v>9637.4</v>
      </c>
      <c r="Q1396" s="234" t="n">
        <v>2026</v>
      </c>
      <c r="R1396" s="234" t="n">
        <v>15</v>
      </c>
      <c r="S1396" s="248" t="n">
        <v>46176</v>
      </c>
      <c r="T1396" s="407" t="n">
        <f aca="false">Таблица18[[#This Row],[Вес нетто]]-Таблица18[[#This Row],[Зачетный вес]]</f>
        <v>4032.6</v>
      </c>
      <c r="U1396" s="409" t="n">
        <f aca="false">Таблица18[[#This Row],[Отход]]/Таблица18[[#This Row],[Вес нетто]]</f>
        <v>0.294996342355523</v>
      </c>
      <c r="V1396" s="234" t="n">
        <f aca="false">MONTH(Таблица18[[#This Row],[Дата акта]])</f>
        <v>6</v>
      </c>
      <c r="W1396" s="234" t="n">
        <v>3</v>
      </c>
      <c r="X1396" s="248" t="n">
        <f aca="false">DATE(1900,Таблица18[[#This Row],[Месяц]],Таблица18[[#This Row],[Число]])</f>
        <v>155</v>
      </c>
      <c r="Y1396" s="234"/>
      <c r="AF1396" s="22"/>
      <c r="AG1396" s="414"/>
    </row>
    <row r="1397" customFormat="false" ht="19.4" hidden="false" customHeight="false" outlineLevel="0" collapsed="false">
      <c r="A1397" s="198" t="s">
        <v>3020</v>
      </c>
      <c r="B1397" s="199" t="s">
        <v>54</v>
      </c>
      <c r="C1397" s="198" t="n">
        <v>43</v>
      </c>
      <c r="D1397" s="198" t="n">
        <v>3</v>
      </c>
      <c r="E1397" s="198" t="s">
        <v>46</v>
      </c>
      <c r="F1397" s="198" t="s">
        <v>359</v>
      </c>
      <c r="G1397" s="198" t="s">
        <v>360</v>
      </c>
      <c r="H1397" s="198" t="s">
        <v>65</v>
      </c>
      <c r="I1397" s="199" t="s">
        <v>65</v>
      </c>
      <c r="J1397" s="198" t="s">
        <v>66</v>
      </c>
      <c r="K1397" s="198" t="s">
        <v>3018</v>
      </c>
      <c r="L1397" s="234" t="n">
        <v>29490</v>
      </c>
      <c r="M1397" s="234" t="n">
        <v>15880</v>
      </c>
      <c r="N1397" s="234" t="n">
        <v>21.5</v>
      </c>
      <c r="O1397" s="407" t="n">
        <v>13610</v>
      </c>
      <c r="P1397" s="407" t="n">
        <v>10683.9</v>
      </c>
      <c r="Q1397" s="234" t="n">
        <v>2026</v>
      </c>
      <c r="R1397" s="234" t="n">
        <v>16</v>
      </c>
      <c r="S1397" s="248" t="n">
        <v>46176</v>
      </c>
      <c r="T1397" s="407" t="n">
        <f aca="false">Таблица18[[#This Row],[Вес нетто]]-Таблица18[[#This Row],[Зачетный вес]]</f>
        <v>2926.1</v>
      </c>
      <c r="U1397" s="409" t="n">
        <f aca="false">Таблица18[[#This Row],[Отход]]/Таблица18[[#This Row],[Вес нетто]]</f>
        <v>0.214996326230713</v>
      </c>
      <c r="V1397" s="234" t="n">
        <f aca="false">MONTH(Таблица18[[#This Row],[Дата акта]])</f>
        <v>6</v>
      </c>
      <c r="W1397" s="234" t="n">
        <v>3</v>
      </c>
      <c r="X1397" s="248" t="n">
        <f aca="false">DATE(1900,Таблица18[[#This Row],[Месяц]],Таблица18[[#This Row],[Число]])</f>
        <v>155</v>
      </c>
      <c r="Y1397" s="234"/>
      <c r="AF1397" s="22"/>
      <c r="AG1397" s="414"/>
    </row>
    <row r="1398" customFormat="false" ht="19.4" hidden="false" customHeight="false" outlineLevel="0" collapsed="false">
      <c r="A1398" s="198" t="s">
        <v>3021</v>
      </c>
      <c r="B1398" s="199" t="s">
        <v>54</v>
      </c>
      <c r="C1398" s="198" t="n">
        <v>48</v>
      </c>
      <c r="D1398" s="198" t="n">
        <v>4</v>
      </c>
      <c r="E1398" s="198" t="s">
        <v>46</v>
      </c>
      <c r="F1398" s="198" t="s">
        <v>361</v>
      </c>
      <c r="G1398" s="198" t="s">
        <v>362</v>
      </c>
      <c r="H1398" s="198" t="s">
        <v>65</v>
      </c>
      <c r="I1398" s="199" t="s">
        <v>65</v>
      </c>
      <c r="J1398" s="198" t="s">
        <v>66</v>
      </c>
      <c r="K1398" s="198" t="s">
        <v>3018</v>
      </c>
      <c r="L1398" s="234" t="n">
        <v>28700</v>
      </c>
      <c r="M1398" s="234" t="n">
        <v>14960</v>
      </c>
      <c r="N1398" s="234" t="n">
        <v>22.5</v>
      </c>
      <c r="O1398" s="407" t="n">
        <v>13740</v>
      </c>
      <c r="P1398" s="407" t="n">
        <v>10648.5</v>
      </c>
      <c r="Q1398" s="234" t="n">
        <v>2026</v>
      </c>
      <c r="R1398" s="234" t="n">
        <v>17</v>
      </c>
      <c r="S1398" s="248" t="n">
        <v>46176</v>
      </c>
      <c r="T1398" s="407" t="n">
        <f aca="false">Таблица18[[#This Row],[Вес нетто]]-Таблица18[[#This Row],[Зачетный вес]]</f>
        <v>3091.5</v>
      </c>
      <c r="U1398" s="409" t="n">
        <f aca="false">Таблица18[[#This Row],[Отход]]/Таблица18[[#This Row],[Вес нетто]]</f>
        <v>0.225</v>
      </c>
      <c r="V1398" s="234" t="n">
        <f aca="false">MONTH(Таблица18[[#This Row],[Дата акта]])</f>
        <v>6</v>
      </c>
      <c r="W1398" s="234" t="n">
        <v>3</v>
      </c>
      <c r="X1398" s="248" t="n">
        <f aca="false">DATE(1900,Таблица18[[#This Row],[Месяц]],Таблица18[[#This Row],[Число]])</f>
        <v>155</v>
      </c>
      <c r="Y1398" s="234"/>
      <c r="AF1398" s="22"/>
      <c r="AG1398" s="414"/>
    </row>
    <row r="1399" customFormat="false" ht="19.4" hidden="false" customHeight="false" outlineLevel="0" collapsed="false">
      <c r="A1399" s="198" t="s">
        <v>3022</v>
      </c>
      <c r="B1399" s="199" t="s">
        <v>54</v>
      </c>
      <c r="C1399" s="198" t="n">
        <v>49</v>
      </c>
      <c r="D1399" s="198" t="n">
        <v>5</v>
      </c>
      <c r="E1399" s="198" t="s">
        <v>46</v>
      </c>
      <c r="F1399" s="198" t="s">
        <v>359</v>
      </c>
      <c r="G1399" s="198" t="s">
        <v>360</v>
      </c>
      <c r="H1399" s="198" t="s">
        <v>65</v>
      </c>
      <c r="I1399" s="199" t="s">
        <v>65</v>
      </c>
      <c r="J1399" s="198" t="s">
        <v>66</v>
      </c>
      <c r="K1399" s="198" t="s">
        <v>3018</v>
      </c>
      <c r="L1399" s="234" t="n">
        <v>29540</v>
      </c>
      <c r="M1399" s="234" t="n">
        <v>15880</v>
      </c>
      <c r="N1399" s="234" t="n">
        <v>19.5</v>
      </c>
      <c r="O1399" s="407" t="n">
        <v>13660</v>
      </c>
      <c r="P1399" s="407" t="n">
        <v>10996.3</v>
      </c>
      <c r="Q1399" s="234" t="n">
        <v>2026</v>
      </c>
      <c r="R1399" s="234" t="n">
        <v>18</v>
      </c>
      <c r="S1399" s="248" t="n">
        <v>46176</v>
      </c>
      <c r="T1399" s="407" t="n">
        <f aca="false">Таблица18[[#This Row],[Вес нетто]]-Таблица18[[#This Row],[Зачетный вес]]</f>
        <v>2663.7</v>
      </c>
      <c r="U1399" s="409" t="n">
        <f aca="false">Таблица18[[#This Row],[Отход]]/Таблица18[[#This Row],[Вес нетто]]</f>
        <v>0.195</v>
      </c>
      <c r="V1399" s="234" t="n">
        <f aca="false">MONTH(Таблица18[[#This Row],[Дата акта]])</f>
        <v>6</v>
      </c>
      <c r="W1399" s="234" t="n">
        <v>3</v>
      </c>
      <c r="X1399" s="248" t="n">
        <f aca="false">DATE(1900,Таблица18[[#This Row],[Месяц]],Таблица18[[#This Row],[Число]])</f>
        <v>155</v>
      </c>
      <c r="Y1399" s="234"/>
      <c r="AF1399" s="22"/>
      <c r="AG1399" s="414"/>
    </row>
    <row r="1400" customFormat="false" ht="28.35" hidden="false" customHeight="false" outlineLevel="0" collapsed="false">
      <c r="A1400" s="198" t="s">
        <v>3023</v>
      </c>
      <c r="B1400" s="199" t="s">
        <v>54</v>
      </c>
      <c r="C1400" s="198" t="n">
        <v>50</v>
      </c>
      <c r="D1400" s="198" t="n">
        <v>6</v>
      </c>
      <c r="E1400" s="198" t="s">
        <v>46</v>
      </c>
      <c r="F1400" s="198" t="s">
        <v>363</v>
      </c>
      <c r="G1400" s="198" t="s">
        <v>364</v>
      </c>
      <c r="H1400" s="198" t="s">
        <v>65</v>
      </c>
      <c r="I1400" s="199" t="s">
        <v>65</v>
      </c>
      <c r="J1400" s="198" t="s">
        <v>66</v>
      </c>
      <c r="K1400" s="198" t="s">
        <v>3018</v>
      </c>
      <c r="L1400" s="234" t="n">
        <v>27790</v>
      </c>
      <c r="M1400" s="234" t="n">
        <v>14400</v>
      </c>
      <c r="N1400" s="234" t="n">
        <v>20.5</v>
      </c>
      <c r="O1400" s="407" t="n">
        <v>13390</v>
      </c>
      <c r="P1400" s="407" t="n">
        <v>10645.1</v>
      </c>
      <c r="Q1400" s="234" t="n">
        <v>2026</v>
      </c>
      <c r="R1400" s="234" t="n">
        <v>19</v>
      </c>
      <c r="S1400" s="248" t="n">
        <v>46176</v>
      </c>
      <c r="T1400" s="407" t="n">
        <f aca="false">Таблица18[[#This Row],[Вес нетто]]-Таблица18[[#This Row],[Зачетный вес]]</f>
        <v>2744.9</v>
      </c>
      <c r="U1400" s="409" t="n">
        <f aca="false">Таблица18[[#This Row],[Отход]]/Таблица18[[#This Row],[Вес нетто]]</f>
        <v>0.204996265870052</v>
      </c>
      <c r="V1400" s="234" t="n">
        <f aca="false">MONTH(Таблица18[[#This Row],[Дата акта]])</f>
        <v>6</v>
      </c>
      <c r="W1400" s="234" t="n">
        <v>3</v>
      </c>
      <c r="X1400" s="248" t="n">
        <f aca="false">DATE(1900,Таблица18[[#This Row],[Месяц]],Таблица18[[#This Row],[Число]])</f>
        <v>155</v>
      </c>
      <c r="Y1400" s="234"/>
      <c r="AF1400" s="22"/>
      <c r="AG1400" s="414"/>
    </row>
    <row r="1401" customFormat="false" ht="19.4" hidden="false" customHeight="false" outlineLevel="0" collapsed="false">
      <c r="A1401" s="198" t="s">
        <v>3024</v>
      </c>
      <c r="B1401" s="199" t="s">
        <v>54</v>
      </c>
      <c r="C1401" s="198" t="n">
        <v>51</v>
      </c>
      <c r="D1401" s="198" t="n">
        <v>7</v>
      </c>
      <c r="E1401" s="198" t="s">
        <v>46</v>
      </c>
      <c r="F1401" s="198" t="s">
        <v>361</v>
      </c>
      <c r="G1401" s="198" t="s">
        <v>362</v>
      </c>
      <c r="H1401" s="198" t="s">
        <v>65</v>
      </c>
      <c r="I1401" s="199" t="s">
        <v>65</v>
      </c>
      <c r="J1401" s="198" t="s">
        <v>66</v>
      </c>
      <c r="K1401" s="198" t="s">
        <v>3018</v>
      </c>
      <c r="L1401" s="234" t="n">
        <v>28660</v>
      </c>
      <c r="M1401" s="234" t="n">
        <v>14940</v>
      </c>
      <c r="N1401" s="234" t="n">
        <v>20.5</v>
      </c>
      <c r="O1401" s="407" t="n">
        <v>13720</v>
      </c>
      <c r="P1401" s="407" t="n">
        <v>10907.4</v>
      </c>
      <c r="Q1401" s="234" t="n">
        <v>2026</v>
      </c>
      <c r="R1401" s="234" t="n">
        <v>20</v>
      </c>
      <c r="S1401" s="248" t="n">
        <v>46176</v>
      </c>
      <c r="T1401" s="407" t="n">
        <f aca="false">Таблица18[[#This Row],[Вес нетто]]-Таблица18[[#This Row],[Зачетный вес]]</f>
        <v>2812.6</v>
      </c>
      <c r="U1401" s="409" t="n">
        <f aca="false">Таблица18[[#This Row],[Отход]]/Таблица18[[#This Row],[Вес нетто]]</f>
        <v>0.205</v>
      </c>
      <c r="V1401" s="234" t="n">
        <f aca="false">MONTH(Таблица18[[#This Row],[Дата акта]])</f>
        <v>6</v>
      </c>
      <c r="W1401" s="234" t="n">
        <v>3</v>
      </c>
      <c r="X1401" s="248" t="n">
        <f aca="false">DATE(1900,Таблица18[[#This Row],[Месяц]],Таблица18[[#This Row],[Число]])</f>
        <v>155</v>
      </c>
      <c r="Y1401" s="234"/>
      <c r="AF1401" s="22"/>
      <c r="AG1401" s="414"/>
    </row>
    <row r="1402" customFormat="false" ht="19.4" hidden="false" customHeight="false" outlineLevel="0" collapsed="false">
      <c r="A1402" s="198" t="s">
        <v>3025</v>
      </c>
      <c r="B1402" s="199" t="s">
        <v>54</v>
      </c>
      <c r="C1402" s="198" t="n">
        <v>52</v>
      </c>
      <c r="D1402" s="198" t="n">
        <v>8</v>
      </c>
      <c r="E1402" s="198" t="s">
        <v>46</v>
      </c>
      <c r="F1402" s="198" t="s">
        <v>359</v>
      </c>
      <c r="G1402" s="198" t="s">
        <v>360</v>
      </c>
      <c r="H1402" s="198" t="s">
        <v>65</v>
      </c>
      <c r="I1402" s="199" t="s">
        <v>65</v>
      </c>
      <c r="J1402" s="198" t="s">
        <v>66</v>
      </c>
      <c r="K1402" s="198" t="s">
        <v>3018</v>
      </c>
      <c r="L1402" s="234" t="n">
        <v>29590</v>
      </c>
      <c r="M1402" s="234" t="n">
        <v>15850</v>
      </c>
      <c r="N1402" s="234" t="n">
        <v>19.5</v>
      </c>
      <c r="O1402" s="407" t="n">
        <v>13740</v>
      </c>
      <c r="P1402" s="407" t="n">
        <v>11060.7</v>
      </c>
      <c r="Q1402" s="234" t="n">
        <v>2026</v>
      </c>
      <c r="R1402" s="234" t="n">
        <v>21</v>
      </c>
      <c r="S1402" s="248" t="n">
        <v>46176</v>
      </c>
      <c r="T1402" s="407" t="n">
        <f aca="false">Таблица18[[#This Row],[Вес нетто]]-Таблица18[[#This Row],[Зачетный вес]]</f>
        <v>2679.3</v>
      </c>
      <c r="U1402" s="409" t="n">
        <f aca="false">Таблица18[[#This Row],[Отход]]/Таблица18[[#This Row],[Вес нетто]]</f>
        <v>0.195</v>
      </c>
      <c r="V1402" s="234" t="n">
        <f aca="false">MONTH(Таблица18[[#This Row],[Дата акта]])</f>
        <v>6</v>
      </c>
      <c r="W1402" s="234" t="n">
        <v>3</v>
      </c>
      <c r="X1402" s="248" t="n">
        <f aca="false">DATE(1900,Таблица18[[#This Row],[Месяц]],Таблица18[[#This Row],[Число]])</f>
        <v>155</v>
      </c>
      <c r="Y1402" s="234"/>
      <c r="AF1402" s="22"/>
      <c r="AG1402" s="414"/>
    </row>
    <row r="1403" customFormat="false" ht="28.35" hidden="false" customHeight="false" outlineLevel="0" collapsed="false">
      <c r="A1403" s="198" t="s">
        <v>3026</v>
      </c>
      <c r="B1403" s="199" t="s">
        <v>54</v>
      </c>
      <c r="C1403" s="198" t="n">
        <v>53</v>
      </c>
      <c r="D1403" s="198" t="n">
        <v>9</v>
      </c>
      <c r="E1403" s="198" t="s">
        <v>46</v>
      </c>
      <c r="F1403" s="198" t="s">
        <v>363</v>
      </c>
      <c r="G1403" s="198" t="s">
        <v>364</v>
      </c>
      <c r="H1403" s="198" t="s">
        <v>65</v>
      </c>
      <c r="I1403" s="199" t="s">
        <v>65</v>
      </c>
      <c r="J1403" s="198" t="s">
        <v>66</v>
      </c>
      <c r="K1403" s="198" t="s">
        <v>3018</v>
      </c>
      <c r="L1403" s="234" t="n">
        <v>27660</v>
      </c>
      <c r="M1403" s="234" t="n">
        <v>14400</v>
      </c>
      <c r="N1403" s="234" t="n">
        <v>19.5</v>
      </c>
      <c r="O1403" s="407" t="n">
        <v>13260</v>
      </c>
      <c r="P1403" s="407" t="n">
        <v>10674.3</v>
      </c>
      <c r="Q1403" s="234" t="n">
        <v>2026</v>
      </c>
      <c r="R1403" s="234" t="n">
        <v>22</v>
      </c>
      <c r="S1403" s="248" t="n">
        <v>46177</v>
      </c>
      <c r="T1403" s="407" t="n">
        <f aca="false">Таблица18[[#This Row],[Вес нетто]]-Таблица18[[#This Row],[Зачетный вес]]</f>
        <v>2585.7</v>
      </c>
      <c r="U1403" s="409" t="n">
        <f aca="false">Таблица18[[#This Row],[Отход]]/Таблица18[[#This Row],[Вес нетто]]</f>
        <v>0.195</v>
      </c>
      <c r="V1403" s="234" t="n">
        <f aca="false">MONTH(Таблица18[[#This Row],[Дата акта]])</f>
        <v>6</v>
      </c>
      <c r="W1403" s="234" t="n">
        <v>4</v>
      </c>
      <c r="X1403" s="248" t="n">
        <f aca="false">DATE(1900,Таблица18[[#This Row],[Месяц]],Таблица18[[#This Row],[Число]])</f>
        <v>156</v>
      </c>
      <c r="Y1403" s="234"/>
      <c r="AF1403" s="22"/>
      <c r="AG1403" s="414"/>
    </row>
    <row r="1404" customFormat="false" ht="19.4" hidden="false" customHeight="false" outlineLevel="0" collapsed="false">
      <c r="A1404" s="198" t="s">
        <v>3027</v>
      </c>
      <c r="B1404" s="199" t="s">
        <v>54</v>
      </c>
      <c r="C1404" s="198" t="n">
        <v>54</v>
      </c>
      <c r="D1404" s="198" t="n">
        <v>10</v>
      </c>
      <c r="E1404" s="198" t="s">
        <v>46</v>
      </c>
      <c r="F1404" s="198" t="s">
        <v>361</v>
      </c>
      <c r="G1404" s="198" t="s">
        <v>362</v>
      </c>
      <c r="H1404" s="198" t="s">
        <v>65</v>
      </c>
      <c r="I1404" s="199" t="s">
        <v>65</v>
      </c>
      <c r="J1404" s="198" t="s">
        <v>66</v>
      </c>
      <c r="K1404" s="198" t="s">
        <v>3018</v>
      </c>
      <c r="L1404" s="234" t="n">
        <v>28330</v>
      </c>
      <c r="M1404" s="234" t="n">
        <v>14940</v>
      </c>
      <c r="N1404" s="234" t="n">
        <v>19.5</v>
      </c>
      <c r="O1404" s="407" t="n">
        <v>13390</v>
      </c>
      <c r="P1404" s="407" t="n">
        <v>10779</v>
      </c>
      <c r="Q1404" s="234" t="n">
        <v>2026</v>
      </c>
      <c r="R1404" s="234" t="n">
        <v>23</v>
      </c>
      <c r="S1404" s="248" t="n">
        <v>46177</v>
      </c>
      <c r="T1404" s="407" t="n">
        <f aca="false">Таблица18[[#This Row],[Вес нетто]]-Таблица18[[#This Row],[Зачетный вес]]</f>
        <v>2611</v>
      </c>
      <c r="U1404" s="409" t="n">
        <f aca="false">Таблица18[[#This Row],[Отход]]/Таблица18[[#This Row],[Вес нетто]]</f>
        <v>0.194996265870052</v>
      </c>
      <c r="V1404" s="234" t="n">
        <f aca="false">MONTH(Таблица18[[#This Row],[Дата акта]])</f>
        <v>6</v>
      </c>
      <c r="W1404" s="234" t="n">
        <v>4</v>
      </c>
      <c r="X1404" s="248" t="n">
        <f aca="false">DATE(1900,Таблица18[[#This Row],[Месяц]],Таблица18[[#This Row],[Число]])</f>
        <v>156</v>
      </c>
      <c r="Y1404" s="234"/>
      <c r="AF1404" s="22"/>
      <c r="AG1404" s="414"/>
    </row>
    <row r="1405" customFormat="false" ht="19.4" hidden="false" customHeight="false" outlineLevel="0" collapsed="false">
      <c r="A1405" s="198" t="s">
        <v>3028</v>
      </c>
      <c r="B1405" s="199" t="s">
        <v>54</v>
      </c>
      <c r="C1405" s="198" t="n">
        <v>55</v>
      </c>
      <c r="D1405" s="198" t="n">
        <v>11</v>
      </c>
      <c r="E1405" s="198" t="s">
        <v>46</v>
      </c>
      <c r="F1405" s="198" t="s">
        <v>359</v>
      </c>
      <c r="G1405" s="198" t="s">
        <v>360</v>
      </c>
      <c r="H1405" s="198" t="s">
        <v>65</v>
      </c>
      <c r="I1405" s="199" t="s">
        <v>65</v>
      </c>
      <c r="J1405" s="198" t="s">
        <v>66</v>
      </c>
      <c r="K1405" s="198" t="s">
        <v>3018</v>
      </c>
      <c r="L1405" s="234" t="n">
        <v>29120</v>
      </c>
      <c r="M1405" s="234" t="n">
        <v>15850</v>
      </c>
      <c r="N1405" s="234" t="n">
        <v>18.5</v>
      </c>
      <c r="O1405" s="407" t="n">
        <v>13270</v>
      </c>
      <c r="P1405" s="407" t="n">
        <v>10815.1</v>
      </c>
      <c r="Q1405" s="234" t="n">
        <v>2026</v>
      </c>
      <c r="R1405" s="234" t="n">
        <v>24</v>
      </c>
      <c r="S1405" s="248" t="n">
        <v>46177</v>
      </c>
      <c r="T1405" s="407" t="n">
        <f aca="false">Таблица18[[#This Row],[Вес нетто]]-Таблица18[[#This Row],[Зачетный вес]]</f>
        <v>2454.9</v>
      </c>
      <c r="U1405" s="409" t="n">
        <f aca="false">Таблица18[[#This Row],[Отход]]/Таблица18[[#This Row],[Вес нетто]]</f>
        <v>0.184996232102487</v>
      </c>
      <c r="V1405" s="234" t="n">
        <f aca="false">MONTH(Таблица18[[#This Row],[Дата акта]])</f>
        <v>6</v>
      </c>
      <c r="W1405" s="234" t="n">
        <v>4</v>
      </c>
      <c r="X1405" s="248" t="n">
        <f aca="false">DATE(1900,Таблица18[[#This Row],[Месяц]],Таблица18[[#This Row],[Число]])</f>
        <v>156</v>
      </c>
      <c r="Y1405" s="234"/>
      <c r="AF1405" s="22"/>
      <c r="AG1405" s="414"/>
    </row>
    <row r="1406" customFormat="false" ht="28.35" hidden="false" customHeight="false" outlineLevel="0" collapsed="false">
      <c r="A1406" s="198" t="s">
        <v>3029</v>
      </c>
      <c r="B1406" s="199" t="s">
        <v>54</v>
      </c>
      <c r="C1406" s="198" t="n">
        <v>56</v>
      </c>
      <c r="D1406" s="198" t="n">
        <v>12</v>
      </c>
      <c r="E1406" s="198" t="s">
        <v>46</v>
      </c>
      <c r="F1406" s="198" t="s">
        <v>363</v>
      </c>
      <c r="G1406" s="198" t="s">
        <v>364</v>
      </c>
      <c r="H1406" s="198" t="s">
        <v>65</v>
      </c>
      <c r="I1406" s="199" t="s">
        <v>65</v>
      </c>
      <c r="J1406" s="198" t="s">
        <v>66</v>
      </c>
      <c r="K1406" s="198" t="s">
        <v>3018</v>
      </c>
      <c r="L1406" s="234" t="n">
        <v>27640</v>
      </c>
      <c r="M1406" s="234" t="n">
        <v>14440</v>
      </c>
      <c r="N1406" s="234" t="n">
        <v>21.5</v>
      </c>
      <c r="O1406" s="407" t="n">
        <v>13200</v>
      </c>
      <c r="P1406" s="407" t="n">
        <v>10362</v>
      </c>
      <c r="Q1406" s="234" t="n">
        <v>2026</v>
      </c>
      <c r="R1406" s="234" t="n">
        <v>25</v>
      </c>
      <c r="S1406" s="248" t="n">
        <v>46177</v>
      </c>
      <c r="T1406" s="407" t="n">
        <f aca="false">Таблица18[[#This Row],[Вес нетто]]-Таблица18[[#This Row],[Зачетный вес]]</f>
        <v>2838</v>
      </c>
      <c r="U1406" s="409" t="n">
        <f aca="false">Таблица18[[#This Row],[Отход]]/Таблица18[[#This Row],[Вес нетто]]</f>
        <v>0.215</v>
      </c>
      <c r="V1406" s="234" t="n">
        <f aca="false">MONTH(Таблица18[[#This Row],[Дата акта]])</f>
        <v>6</v>
      </c>
      <c r="W1406" s="234" t="n">
        <v>4</v>
      </c>
      <c r="X1406" s="248" t="n">
        <f aca="false">DATE(1900,Таблица18[[#This Row],[Месяц]],Таблица18[[#This Row],[Число]])</f>
        <v>156</v>
      </c>
      <c r="Y1406" s="234"/>
      <c r="AF1406" s="22"/>
      <c r="AG1406" s="414"/>
    </row>
    <row r="1407" customFormat="false" ht="19.4" hidden="false" customHeight="false" outlineLevel="0" collapsed="false">
      <c r="A1407" s="198" t="s">
        <v>3030</v>
      </c>
      <c r="B1407" s="199" t="s">
        <v>54</v>
      </c>
      <c r="C1407" s="198" t="n">
        <v>58</v>
      </c>
      <c r="D1407" s="198" t="n">
        <v>13</v>
      </c>
      <c r="E1407" s="198" t="s">
        <v>46</v>
      </c>
      <c r="F1407" s="198" t="s">
        <v>361</v>
      </c>
      <c r="G1407" s="198" t="s">
        <v>362</v>
      </c>
      <c r="H1407" s="198" t="s">
        <v>65</v>
      </c>
      <c r="I1407" s="199" t="s">
        <v>65</v>
      </c>
      <c r="J1407" s="198" t="s">
        <v>66</v>
      </c>
      <c r="K1407" s="198" t="s">
        <v>3018</v>
      </c>
      <c r="L1407" s="234" t="n">
        <v>27980</v>
      </c>
      <c r="M1407" s="234" t="n">
        <v>14950</v>
      </c>
      <c r="N1407" s="234" t="n">
        <v>19.5</v>
      </c>
      <c r="O1407" s="407" t="n">
        <v>13030</v>
      </c>
      <c r="P1407" s="407" t="n">
        <v>10489.2</v>
      </c>
      <c r="Q1407" s="234" t="n">
        <v>2026</v>
      </c>
      <c r="R1407" s="234" t="n">
        <v>26</v>
      </c>
      <c r="S1407" s="248" t="n">
        <v>46177</v>
      </c>
      <c r="T1407" s="407" t="n">
        <f aca="false">Таблица18[[#This Row],[Вес нетто]]-Таблица18[[#This Row],[Зачетный вес]]</f>
        <v>2540.8</v>
      </c>
      <c r="U1407" s="409" t="n">
        <f aca="false">Таблица18[[#This Row],[Отход]]/Таблица18[[#This Row],[Вес нетто]]</f>
        <v>0.194996162701458</v>
      </c>
      <c r="V1407" s="234" t="n">
        <f aca="false">MONTH(Таблица18[[#This Row],[Дата акта]])</f>
        <v>6</v>
      </c>
      <c r="W1407" s="234" t="n">
        <v>4</v>
      </c>
      <c r="X1407" s="248" t="n">
        <f aca="false">DATE(1900,Таблица18[[#This Row],[Месяц]],Таблица18[[#This Row],[Число]])</f>
        <v>156</v>
      </c>
      <c r="Y1407" s="234"/>
      <c r="AF1407" s="22"/>
      <c r="AG1407" s="414"/>
    </row>
    <row r="1408" customFormat="false" ht="19.4" hidden="false" customHeight="false" outlineLevel="0" collapsed="false">
      <c r="A1408" s="198" t="s">
        <v>3031</v>
      </c>
      <c r="B1408" s="199" t="s">
        <v>54</v>
      </c>
      <c r="C1408" s="198" t="n">
        <v>59</v>
      </c>
      <c r="D1408" s="198" t="n">
        <v>14</v>
      </c>
      <c r="E1408" s="198" t="s">
        <v>46</v>
      </c>
      <c r="F1408" s="198" t="s">
        <v>365</v>
      </c>
      <c r="G1408" s="198" t="s">
        <v>366</v>
      </c>
      <c r="H1408" s="198" t="s">
        <v>65</v>
      </c>
      <c r="I1408" s="199" t="s">
        <v>65</v>
      </c>
      <c r="J1408" s="198" t="s">
        <v>66</v>
      </c>
      <c r="K1408" s="198" t="s">
        <v>3018</v>
      </c>
      <c r="L1408" s="234" t="n">
        <v>28800</v>
      </c>
      <c r="M1408" s="234" t="n">
        <v>15040</v>
      </c>
      <c r="N1408" s="234" t="n">
        <v>20.5</v>
      </c>
      <c r="O1408" s="407" t="n">
        <v>13760</v>
      </c>
      <c r="P1408" s="407" t="n">
        <v>10939.2</v>
      </c>
      <c r="Q1408" s="234" t="n">
        <v>2026</v>
      </c>
      <c r="R1408" s="234" t="n">
        <v>27</v>
      </c>
      <c r="S1408" s="248" t="n">
        <v>46177</v>
      </c>
      <c r="T1408" s="407" t="n">
        <f aca="false">Таблица18[[#This Row],[Вес нетто]]-Таблица18[[#This Row],[Зачетный вес]]</f>
        <v>2820.8</v>
      </c>
      <c r="U1408" s="409" t="n">
        <f aca="false">Таблица18[[#This Row],[Отход]]/Таблица18[[#This Row],[Вес нетто]]</f>
        <v>0.205</v>
      </c>
      <c r="V1408" s="234" t="n">
        <f aca="false">MONTH(Таблица18[[#This Row],[Дата акта]])</f>
        <v>6</v>
      </c>
      <c r="W1408" s="234" t="n">
        <v>4</v>
      </c>
      <c r="X1408" s="248" t="n">
        <f aca="false">DATE(1900,Таблица18[[#This Row],[Месяц]],Таблица18[[#This Row],[Число]])</f>
        <v>156</v>
      </c>
      <c r="Y1408" s="234"/>
      <c r="AF1408" s="22"/>
      <c r="AG1408" s="414"/>
    </row>
    <row r="1409" customFormat="false" ht="19.4" hidden="false" customHeight="false" outlineLevel="0" collapsed="false">
      <c r="A1409" s="198" t="s">
        <v>3032</v>
      </c>
      <c r="B1409" s="199" t="s">
        <v>54</v>
      </c>
      <c r="C1409" s="198" t="n">
        <v>61</v>
      </c>
      <c r="D1409" s="198" t="n">
        <v>15</v>
      </c>
      <c r="E1409" s="198" t="s">
        <v>46</v>
      </c>
      <c r="F1409" s="198" t="s">
        <v>367</v>
      </c>
      <c r="G1409" s="198" t="s">
        <v>368</v>
      </c>
      <c r="H1409" s="198" t="s">
        <v>3033</v>
      </c>
      <c r="I1409" s="199" t="s">
        <v>65</v>
      </c>
      <c r="J1409" s="198" t="s">
        <v>66</v>
      </c>
      <c r="K1409" s="198" t="s">
        <v>3018</v>
      </c>
      <c r="L1409" s="234" t="n">
        <v>28270</v>
      </c>
      <c r="M1409" s="234" t="n">
        <v>14700</v>
      </c>
      <c r="N1409" s="234" t="n">
        <v>22.5</v>
      </c>
      <c r="O1409" s="407" t="n">
        <v>13570</v>
      </c>
      <c r="P1409" s="407" t="n">
        <v>10516.7</v>
      </c>
      <c r="Q1409" s="234" t="n">
        <v>2026</v>
      </c>
      <c r="R1409" s="234" t="n">
        <v>28</v>
      </c>
      <c r="S1409" s="248" t="n">
        <v>46177</v>
      </c>
      <c r="T1409" s="407" t="n">
        <f aca="false">Таблица18[[#This Row],[Вес нетто]]-Таблица18[[#This Row],[Зачетный вес]]</f>
        <v>3053.3</v>
      </c>
      <c r="U1409" s="409" t="n">
        <f aca="false">Таблица18[[#This Row],[Отход]]/Таблица18[[#This Row],[Вес нетто]]</f>
        <v>0.225003684598379</v>
      </c>
      <c r="V1409" s="234" t="n">
        <f aca="false">MONTH(Таблица18[[#This Row],[Дата акта]])</f>
        <v>6</v>
      </c>
      <c r="W1409" s="234" t="n">
        <v>4</v>
      </c>
      <c r="X1409" s="248" t="n">
        <f aca="false">DATE(1900,Таблица18[[#This Row],[Месяц]],Таблица18[[#This Row],[Число]])</f>
        <v>156</v>
      </c>
      <c r="Y1409" s="234"/>
      <c r="AF1409" s="22"/>
      <c r="AG1409" s="414"/>
    </row>
    <row r="1410" customFormat="false" ht="28.35" hidden="false" customHeight="false" outlineLevel="0" collapsed="false">
      <c r="A1410" s="198" t="s">
        <v>3034</v>
      </c>
      <c r="B1410" s="199" t="s">
        <v>54</v>
      </c>
      <c r="C1410" s="198" t="n">
        <v>63</v>
      </c>
      <c r="D1410" s="198" t="n">
        <v>16</v>
      </c>
      <c r="E1410" s="198" t="s">
        <v>46</v>
      </c>
      <c r="F1410" s="198" t="s">
        <v>369</v>
      </c>
      <c r="G1410" s="198" t="s">
        <v>370</v>
      </c>
      <c r="H1410" s="198" t="s">
        <v>3033</v>
      </c>
      <c r="I1410" s="199" t="s">
        <v>65</v>
      </c>
      <c r="J1410" s="198" t="s">
        <v>66</v>
      </c>
      <c r="K1410" s="198" t="s">
        <v>3018</v>
      </c>
      <c r="L1410" s="234" t="n">
        <v>27410</v>
      </c>
      <c r="M1410" s="234" t="n">
        <v>14130</v>
      </c>
      <c r="N1410" s="234" t="n">
        <v>18.5</v>
      </c>
      <c r="O1410" s="407" t="n">
        <v>13280</v>
      </c>
      <c r="P1410" s="407" t="n">
        <v>10823.2</v>
      </c>
      <c r="Q1410" s="234" t="n">
        <v>2026</v>
      </c>
      <c r="R1410" s="234" t="n">
        <v>29</v>
      </c>
      <c r="S1410" s="248" t="n">
        <v>46177</v>
      </c>
      <c r="T1410" s="407" t="n">
        <f aca="false">Таблица18[[#This Row],[Вес нетто]]-Таблица18[[#This Row],[Зачетный вес]]</f>
        <v>2456.8</v>
      </c>
      <c r="U1410" s="409" t="n">
        <f aca="false">Таблица18[[#This Row],[Отход]]/Таблица18[[#This Row],[Вес нетто]]</f>
        <v>0.185</v>
      </c>
      <c r="V1410" s="234" t="n">
        <f aca="false">MONTH(Таблица18[[#This Row],[Дата акта]])</f>
        <v>6</v>
      </c>
      <c r="W1410" s="234" t="n">
        <v>4</v>
      </c>
      <c r="X1410" s="248" t="n">
        <f aca="false">DATE(1900,Таблица18[[#This Row],[Месяц]],Таблица18[[#This Row],[Число]])</f>
        <v>156</v>
      </c>
      <c r="Y1410" s="234"/>
      <c r="AF1410" s="22"/>
      <c r="AG1410" s="414"/>
    </row>
    <row r="1411" customFormat="false" ht="28.35" hidden="false" customHeight="false" outlineLevel="0" collapsed="false">
      <c r="A1411" s="198" t="s">
        <v>3035</v>
      </c>
      <c r="B1411" s="199" t="s">
        <v>54</v>
      </c>
      <c r="C1411" s="198" t="n">
        <v>64</v>
      </c>
      <c r="D1411" s="198" t="n">
        <v>17</v>
      </c>
      <c r="E1411" s="198" t="s">
        <v>46</v>
      </c>
      <c r="F1411" s="198" t="s">
        <v>371</v>
      </c>
      <c r="G1411" s="198" t="s">
        <v>372</v>
      </c>
      <c r="H1411" s="198" t="s">
        <v>3033</v>
      </c>
      <c r="I1411" s="199" t="s">
        <v>65</v>
      </c>
      <c r="J1411" s="198" t="s">
        <v>66</v>
      </c>
      <c r="K1411" s="198" t="s">
        <v>3018</v>
      </c>
      <c r="L1411" s="234" t="n">
        <v>28790</v>
      </c>
      <c r="M1411" s="234" t="n">
        <v>14950</v>
      </c>
      <c r="N1411" s="234" t="n">
        <v>17.5</v>
      </c>
      <c r="O1411" s="407" t="n">
        <v>13840</v>
      </c>
      <c r="P1411" s="407" t="n">
        <v>11418</v>
      </c>
      <c r="Q1411" s="234" t="n">
        <v>2026</v>
      </c>
      <c r="R1411" s="234" t="n">
        <v>30</v>
      </c>
      <c r="S1411" s="248" t="n">
        <v>46177</v>
      </c>
      <c r="T1411" s="407" t="n">
        <f aca="false">Таблица18[[#This Row],[Вес нетто]]-Таблица18[[#This Row],[Зачетный вес]]</f>
        <v>2422</v>
      </c>
      <c r="U1411" s="409" t="n">
        <f aca="false">Таблица18[[#This Row],[Отход]]/Таблица18[[#This Row],[Вес нетто]]</f>
        <v>0.175</v>
      </c>
      <c r="V1411" s="234" t="n">
        <f aca="false">MONTH(Таблица18[[#This Row],[Дата акта]])</f>
        <v>6</v>
      </c>
      <c r="W1411" s="234" t="n">
        <v>4</v>
      </c>
      <c r="X1411" s="248" t="n">
        <f aca="false">DATE(1900,Таблица18[[#This Row],[Месяц]],Таблица18[[#This Row],[Число]])</f>
        <v>156</v>
      </c>
      <c r="Y1411" s="234"/>
      <c r="AF1411" s="22"/>
      <c r="AG1411" s="414"/>
    </row>
    <row r="1412" customFormat="false" ht="19.4" hidden="false" customHeight="false" outlineLevel="0" collapsed="false">
      <c r="A1412" s="198" t="s">
        <v>3036</v>
      </c>
      <c r="B1412" s="199" t="s">
        <v>54</v>
      </c>
      <c r="C1412" s="198" t="n">
        <v>65</v>
      </c>
      <c r="D1412" s="198" t="n">
        <v>18</v>
      </c>
      <c r="E1412" s="198" t="s">
        <v>46</v>
      </c>
      <c r="F1412" s="198" t="s">
        <v>365</v>
      </c>
      <c r="G1412" s="198" t="s">
        <v>366</v>
      </c>
      <c r="H1412" s="198" t="s">
        <v>65</v>
      </c>
      <c r="I1412" s="199" t="s">
        <v>65</v>
      </c>
      <c r="J1412" s="198" t="s">
        <v>66</v>
      </c>
      <c r="K1412" s="198" t="s">
        <v>3018</v>
      </c>
      <c r="L1412" s="234" t="n">
        <v>29090</v>
      </c>
      <c r="M1412" s="234" t="n">
        <v>15010</v>
      </c>
      <c r="N1412" s="234" t="n">
        <v>19.5</v>
      </c>
      <c r="O1412" s="407" t="n">
        <v>14080</v>
      </c>
      <c r="P1412" s="407" t="n">
        <v>11334.4</v>
      </c>
      <c r="Q1412" s="234" t="n">
        <v>2026</v>
      </c>
      <c r="R1412" s="234" t="n">
        <v>31</v>
      </c>
      <c r="S1412" s="248" t="n">
        <v>46177</v>
      </c>
      <c r="T1412" s="407" t="n">
        <f aca="false">Таблица18[[#This Row],[Вес нетто]]-Таблица18[[#This Row],[Зачетный вес]]</f>
        <v>2745.6</v>
      </c>
      <c r="U1412" s="409" t="n">
        <f aca="false">Таблица18[[#This Row],[Отход]]/Таблица18[[#This Row],[Вес нетто]]</f>
        <v>0.195</v>
      </c>
      <c r="V1412" s="234" t="n">
        <f aca="false">MONTH(Таблица18[[#This Row],[Дата акта]])</f>
        <v>6</v>
      </c>
      <c r="W1412" s="234" t="n">
        <v>4</v>
      </c>
      <c r="X1412" s="248" t="n">
        <f aca="false">DATE(1900,Таблица18[[#This Row],[Месяц]],Таблица18[[#This Row],[Число]])</f>
        <v>156</v>
      </c>
      <c r="Y1412" s="234"/>
      <c r="AF1412" s="22"/>
      <c r="AG1412" s="414"/>
    </row>
    <row r="1413" customFormat="false" ht="19.4" hidden="false" customHeight="false" outlineLevel="0" collapsed="false">
      <c r="A1413" s="198" t="s">
        <v>3037</v>
      </c>
      <c r="B1413" s="199" t="s">
        <v>54</v>
      </c>
      <c r="C1413" s="198" t="n">
        <v>66</v>
      </c>
      <c r="D1413" s="198" t="n">
        <v>19</v>
      </c>
      <c r="E1413" s="198" t="s">
        <v>46</v>
      </c>
      <c r="F1413" s="198" t="s">
        <v>367</v>
      </c>
      <c r="G1413" s="198" t="s">
        <v>368</v>
      </c>
      <c r="H1413" s="198" t="s">
        <v>65</v>
      </c>
      <c r="I1413" s="199" t="s">
        <v>65</v>
      </c>
      <c r="J1413" s="198" t="s">
        <v>66</v>
      </c>
      <c r="K1413" s="198" t="s">
        <v>3018</v>
      </c>
      <c r="L1413" s="234" t="n">
        <v>28750</v>
      </c>
      <c r="M1413" s="234" t="n">
        <v>14680</v>
      </c>
      <c r="N1413" s="234" t="n">
        <v>18.5</v>
      </c>
      <c r="O1413" s="407" t="n">
        <v>14070</v>
      </c>
      <c r="P1413" s="407" t="n">
        <v>11467.1</v>
      </c>
      <c r="Q1413" s="234" t="n">
        <v>2026</v>
      </c>
      <c r="R1413" s="234" t="n">
        <v>32</v>
      </c>
      <c r="S1413" s="248" t="n">
        <v>46177</v>
      </c>
      <c r="T1413" s="407" t="n">
        <f aca="false">Таблица18[[#This Row],[Вес нетто]]-Таблица18[[#This Row],[Зачетный вес]]</f>
        <v>2602.9</v>
      </c>
      <c r="U1413" s="409" t="n">
        <f aca="false">Таблица18[[#This Row],[Отход]]/Таблица18[[#This Row],[Вес нетто]]</f>
        <v>0.18499644633973</v>
      </c>
      <c r="V1413" s="234" t="n">
        <f aca="false">MONTH(Таблица18[[#This Row],[Дата акта]])</f>
        <v>6</v>
      </c>
      <c r="W1413" s="234" t="n">
        <v>4</v>
      </c>
      <c r="X1413" s="248" t="n">
        <f aca="false">DATE(1900,Таблица18[[#This Row],[Месяц]],Таблица18[[#This Row],[Число]])</f>
        <v>156</v>
      </c>
      <c r="Y1413" s="234"/>
      <c r="AF1413" s="22"/>
      <c r="AG1413" s="414"/>
    </row>
    <row r="1414" customFormat="false" ht="19.4" hidden="false" customHeight="false" outlineLevel="0" collapsed="false">
      <c r="A1414" s="198" t="s">
        <v>3038</v>
      </c>
      <c r="B1414" s="199" t="s">
        <v>54</v>
      </c>
      <c r="C1414" s="198" t="n">
        <v>68</v>
      </c>
      <c r="D1414" s="198" t="n">
        <v>20</v>
      </c>
      <c r="E1414" s="198" t="s">
        <v>46</v>
      </c>
      <c r="F1414" s="198" t="s">
        <v>48</v>
      </c>
      <c r="G1414" s="198" t="s">
        <v>49</v>
      </c>
      <c r="H1414" s="198" t="s">
        <v>65</v>
      </c>
      <c r="I1414" s="199" t="s">
        <v>65</v>
      </c>
      <c r="J1414" s="198" t="s">
        <v>66</v>
      </c>
      <c r="K1414" s="198" t="s">
        <v>3018</v>
      </c>
      <c r="L1414" s="234" t="n">
        <v>29230</v>
      </c>
      <c r="M1414" s="234" t="n">
        <v>15000</v>
      </c>
      <c r="N1414" s="234" t="n">
        <v>17.5</v>
      </c>
      <c r="O1414" s="407" t="n">
        <v>14230</v>
      </c>
      <c r="P1414" s="407" t="n">
        <v>11739.8</v>
      </c>
      <c r="Q1414" s="234" t="n">
        <v>2026</v>
      </c>
      <c r="R1414" s="234" t="n">
        <v>33</v>
      </c>
      <c r="S1414" s="248" t="n">
        <v>46177</v>
      </c>
      <c r="T1414" s="407" t="n">
        <f aca="false">Таблица18[[#This Row],[Вес нетто]]-Таблица18[[#This Row],[Зачетный вес]]</f>
        <v>2490.2</v>
      </c>
      <c r="U1414" s="409" t="n">
        <f aca="false">Таблица18[[#This Row],[Отход]]/Таблица18[[#This Row],[Вес нетто]]</f>
        <v>0.174996486296557</v>
      </c>
      <c r="V1414" s="234" t="n">
        <f aca="false">MONTH(Таблица18[[#This Row],[Дата акта]])</f>
        <v>6</v>
      </c>
      <c r="W1414" s="234" t="n">
        <v>4</v>
      </c>
      <c r="X1414" s="248" t="n">
        <f aca="false">DATE(1900,Таблица18[[#This Row],[Месяц]],Таблица18[[#This Row],[Число]])</f>
        <v>156</v>
      </c>
      <c r="Y1414" s="234"/>
      <c r="AF1414" s="22"/>
      <c r="AG1414" s="414"/>
    </row>
    <row r="1415" customFormat="false" ht="19.4" hidden="false" customHeight="false" outlineLevel="0" collapsed="false">
      <c r="A1415" s="198" t="s">
        <v>3039</v>
      </c>
      <c r="B1415" s="199" t="s">
        <v>54</v>
      </c>
      <c r="C1415" s="198" t="n">
        <v>70</v>
      </c>
      <c r="D1415" s="198" t="n">
        <v>22</v>
      </c>
      <c r="E1415" s="198" t="s">
        <v>46</v>
      </c>
      <c r="F1415" s="198" t="s">
        <v>365</v>
      </c>
      <c r="G1415" s="198" t="s">
        <v>366</v>
      </c>
      <c r="H1415" s="198" t="s">
        <v>3033</v>
      </c>
      <c r="I1415" s="199" t="s">
        <v>65</v>
      </c>
      <c r="J1415" s="198" t="s">
        <v>66</v>
      </c>
      <c r="K1415" s="198" t="s">
        <v>3018</v>
      </c>
      <c r="L1415" s="234" t="n">
        <v>29090</v>
      </c>
      <c r="M1415" s="234" t="n">
        <v>14980</v>
      </c>
      <c r="N1415" s="234" t="n">
        <v>16.5</v>
      </c>
      <c r="O1415" s="407" t="n">
        <v>14110</v>
      </c>
      <c r="P1415" s="407" t="n">
        <v>11781.8</v>
      </c>
      <c r="Q1415" s="234" t="n">
        <v>2026</v>
      </c>
      <c r="R1415" s="234" t="n">
        <v>35</v>
      </c>
      <c r="S1415" s="248" t="n">
        <v>46177</v>
      </c>
      <c r="T1415" s="407" t="n">
        <f aca="false">Таблица18[[#This Row],[Вес нетто]]-Таблица18[[#This Row],[Зачетный вес]]</f>
        <v>2328.2</v>
      </c>
      <c r="U1415" s="409" t="n">
        <f aca="false">Таблица18[[#This Row],[Отход]]/Таблица18[[#This Row],[Вес нетто]]</f>
        <v>0.165003543586109</v>
      </c>
      <c r="V1415" s="234" t="n">
        <f aca="false">MONTH(Таблица18[[#This Row],[Дата акта]])</f>
        <v>6</v>
      </c>
      <c r="W1415" s="234" t="n">
        <v>4</v>
      </c>
      <c r="X1415" s="248" t="n">
        <f aca="false">DATE(1900,Таблица18[[#This Row],[Месяц]],Таблица18[[#This Row],[Число]])</f>
        <v>156</v>
      </c>
      <c r="Y1415" s="234"/>
      <c r="AF1415" s="22"/>
      <c r="AG1415" s="414"/>
    </row>
    <row r="1416" customFormat="false" ht="28.35" hidden="false" customHeight="false" outlineLevel="0" collapsed="false">
      <c r="A1416" s="198" t="s">
        <v>3040</v>
      </c>
      <c r="B1416" s="199" t="s">
        <v>54</v>
      </c>
      <c r="C1416" s="198" t="n">
        <v>69</v>
      </c>
      <c r="D1416" s="198" t="n">
        <v>21</v>
      </c>
      <c r="E1416" s="198" t="s">
        <v>46</v>
      </c>
      <c r="F1416" s="198" t="s">
        <v>371</v>
      </c>
      <c r="G1416" s="198" t="s">
        <v>372</v>
      </c>
      <c r="H1416" s="198" t="s">
        <v>65</v>
      </c>
      <c r="I1416" s="199" t="s">
        <v>65</v>
      </c>
      <c r="J1416" s="198" t="s">
        <v>66</v>
      </c>
      <c r="K1416" s="198" t="s">
        <v>3018</v>
      </c>
      <c r="L1416" s="234" t="n">
        <v>29010</v>
      </c>
      <c r="M1416" s="234" t="n">
        <v>14940</v>
      </c>
      <c r="N1416" s="234" t="n">
        <v>20.5</v>
      </c>
      <c r="O1416" s="407" t="n">
        <v>14070</v>
      </c>
      <c r="P1416" s="407" t="n">
        <v>11185.7</v>
      </c>
      <c r="Q1416" s="234" t="n">
        <v>2026</v>
      </c>
      <c r="R1416" s="234" t="n">
        <v>34</v>
      </c>
      <c r="S1416" s="248" t="n">
        <v>46177</v>
      </c>
      <c r="T1416" s="407" t="n">
        <f aca="false">Таблица18[[#This Row],[Вес нетто]]-Таблица18[[#This Row],[Зачетный вес]]</f>
        <v>2884.3</v>
      </c>
      <c r="U1416" s="409" t="n">
        <f aca="false">Таблица18[[#This Row],[Отход]]/Таблица18[[#This Row],[Вес нетто]]</f>
        <v>0.20499644633973</v>
      </c>
      <c r="V1416" s="234" t="n">
        <f aca="false">MONTH(Таблица18[[#This Row],[Дата акта]])</f>
        <v>6</v>
      </c>
      <c r="W1416" s="234" t="n">
        <v>4</v>
      </c>
      <c r="X1416" s="248" t="n">
        <f aca="false">DATE(1900,Таблица18[[#This Row],[Месяц]],Таблица18[[#This Row],[Число]])</f>
        <v>156</v>
      </c>
      <c r="Y1416" s="234"/>
      <c r="AF1416" s="22"/>
      <c r="AG1416" s="414"/>
    </row>
    <row r="1417" customFormat="false" ht="19.4" hidden="false" customHeight="false" outlineLevel="0" collapsed="false">
      <c r="A1417" s="198" t="s">
        <v>3041</v>
      </c>
      <c r="B1417" s="199" t="s">
        <v>54</v>
      </c>
      <c r="C1417" s="198" t="n">
        <v>71</v>
      </c>
      <c r="D1417" s="198" t="n">
        <v>23</v>
      </c>
      <c r="E1417" s="198" t="s">
        <v>46</v>
      </c>
      <c r="F1417" s="198" t="s">
        <v>367</v>
      </c>
      <c r="G1417" s="198" t="s">
        <v>368</v>
      </c>
      <c r="H1417" s="198" t="s">
        <v>50</v>
      </c>
      <c r="I1417" s="198" t="s">
        <v>50</v>
      </c>
      <c r="J1417" s="198" t="s">
        <v>47</v>
      </c>
      <c r="K1417" s="198" t="s">
        <v>3018</v>
      </c>
      <c r="L1417" s="234" t="n">
        <v>20780</v>
      </c>
      <c r="M1417" s="234" t="n">
        <v>14660</v>
      </c>
      <c r="N1417" s="234" t="n">
        <v>34</v>
      </c>
      <c r="O1417" s="407" t="n">
        <v>6120</v>
      </c>
      <c r="P1417" s="407" t="n">
        <v>4039.2</v>
      </c>
      <c r="Q1417" s="234" t="n">
        <v>2026</v>
      </c>
      <c r="R1417" s="234" t="n">
        <v>36</v>
      </c>
      <c r="S1417" s="248" t="n">
        <v>46177</v>
      </c>
      <c r="T1417" s="407" t="n">
        <f aca="false">Таблица18[[#This Row],[Вес нетто]]-Таблица18[[#This Row],[Зачетный вес]]</f>
        <v>2080.8</v>
      </c>
      <c r="U1417" s="409" t="n">
        <f aca="false">Таблица18[[#This Row],[Отход]]/Таблица18[[#This Row],[Вес нетто]]</f>
        <v>0.34</v>
      </c>
      <c r="V1417" s="234" t="n">
        <f aca="false">MONTH(Таблица18[[#This Row],[Дата акта]])</f>
        <v>6</v>
      </c>
      <c r="W1417" s="234" t="n">
        <v>4</v>
      </c>
      <c r="X1417" s="248" t="n">
        <f aca="false">DATE(1900,Таблица18[[#This Row],[Месяц]],Таблица18[[#This Row],[Число]])</f>
        <v>156</v>
      </c>
      <c r="Y1417" s="234"/>
      <c r="AF1417" s="22"/>
      <c r="AG1417" s="414"/>
    </row>
    <row r="1418" customFormat="false" ht="19.4" hidden="false" customHeight="false" outlineLevel="0" collapsed="false">
      <c r="A1418" s="198" t="s">
        <v>3042</v>
      </c>
      <c r="B1418" s="199" t="s">
        <v>54</v>
      </c>
      <c r="C1418" s="198" t="n">
        <v>95</v>
      </c>
      <c r="D1418" s="198" t="n">
        <v>37</v>
      </c>
      <c r="E1418" s="198" t="s">
        <v>46</v>
      </c>
      <c r="F1418" s="198" t="s">
        <v>365</v>
      </c>
      <c r="G1418" s="198" t="s">
        <v>373</v>
      </c>
      <c r="H1418" s="198" t="s">
        <v>3033</v>
      </c>
      <c r="I1418" s="199" t="s">
        <v>65</v>
      </c>
      <c r="J1418" s="198" t="s">
        <v>66</v>
      </c>
      <c r="K1418" s="198" t="s">
        <v>3018</v>
      </c>
      <c r="L1418" s="234" t="n">
        <v>31220</v>
      </c>
      <c r="M1418" s="234" t="n">
        <v>15720</v>
      </c>
      <c r="N1418" s="234" t="n">
        <v>20.5</v>
      </c>
      <c r="O1418" s="407" t="n">
        <v>15500</v>
      </c>
      <c r="P1418" s="407" t="n">
        <v>12322.5</v>
      </c>
      <c r="Q1418" s="234" t="n">
        <v>2026</v>
      </c>
      <c r="R1418" s="234" t="n">
        <v>51</v>
      </c>
      <c r="S1418" s="248" t="n">
        <v>46179</v>
      </c>
      <c r="T1418" s="407" t="n">
        <f aca="false">Таблица18[[#This Row],[Вес нетто]]-Таблица18[[#This Row],[Зачетный вес]]</f>
        <v>3177.5</v>
      </c>
      <c r="U1418" s="409" t="n">
        <f aca="false">Таблица18[[#This Row],[Отход]]/Таблица18[[#This Row],[Вес нетто]]</f>
        <v>0.205</v>
      </c>
      <c r="V1418" s="234" t="n">
        <f aca="false">MONTH(Таблица18[[#This Row],[Дата акта]])</f>
        <v>6</v>
      </c>
      <c r="W1418" s="234" t="n">
        <v>6</v>
      </c>
      <c r="X1418" s="248" t="n">
        <f aca="false">DATE(1900,Таблица18[[#This Row],[Месяц]],Таблица18[[#This Row],[Число]])</f>
        <v>158</v>
      </c>
      <c r="Y1418" s="234"/>
      <c r="AF1418" s="22"/>
      <c r="AG1418" s="414"/>
    </row>
    <row r="1419" customFormat="false" ht="19.4" hidden="false" customHeight="false" outlineLevel="0" collapsed="false">
      <c r="A1419" s="198" t="s">
        <v>3043</v>
      </c>
      <c r="B1419" s="199" t="s">
        <v>54</v>
      </c>
      <c r="C1419" s="198" t="n">
        <v>96</v>
      </c>
      <c r="D1419" s="198" t="n">
        <v>38</v>
      </c>
      <c r="E1419" s="198" t="s">
        <v>46</v>
      </c>
      <c r="F1419" s="198" t="s">
        <v>367</v>
      </c>
      <c r="G1419" s="198" t="s">
        <v>368</v>
      </c>
      <c r="H1419" s="198" t="s">
        <v>3033</v>
      </c>
      <c r="I1419" s="199" t="s">
        <v>65</v>
      </c>
      <c r="J1419" s="198" t="s">
        <v>66</v>
      </c>
      <c r="K1419" s="198" t="s">
        <v>3018</v>
      </c>
      <c r="L1419" s="234" t="n">
        <v>28140</v>
      </c>
      <c r="M1419" s="234" t="n">
        <v>14620</v>
      </c>
      <c r="N1419" s="234" t="n">
        <v>23.5</v>
      </c>
      <c r="O1419" s="407" t="n">
        <v>13520</v>
      </c>
      <c r="P1419" s="407" t="n">
        <v>10342.8</v>
      </c>
      <c r="Q1419" s="234" t="n">
        <v>2026</v>
      </c>
      <c r="R1419" s="234" t="n">
        <v>52</v>
      </c>
      <c r="S1419" s="248" t="n">
        <v>46179</v>
      </c>
      <c r="T1419" s="407" t="n">
        <f aca="false">Таблица18[[#This Row],[Вес нетто]]-Таблица18[[#This Row],[Зачетный вес]]</f>
        <v>3177.2</v>
      </c>
      <c r="U1419" s="409" t="n">
        <f aca="false">Таблица18[[#This Row],[Отход]]/Таблица18[[#This Row],[Вес нетто]]</f>
        <v>0.235</v>
      </c>
      <c r="V1419" s="234" t="n">
        <f aca="false">MONTH(Таблица18[[#This Row],[Дата акта]])</f>
        <v>6</v>
      </c>
      <c r="W1419" s="234" t="n">
        <v>6</v>
      </c>
      <c r="X1419" s="248" t="n">
        <f aca="false">DATE(1900,Таблица18[[#This Row],[Месяц]],Таблица18[[#This Row],[Число]])</f>
        <v>158</v>
      </c>
      <c r="Y1419" s="234"/>
      <c r="AF1419" s="22"/>
      <c r="AG1419" s="414"/>
    </row>
    <row r="1420" customFormat="false" ht="28.35" hidden="false" customHeight="false" outlineLevel="0" collapsed="false">
      <c r="A1420" s="198" t="s">
        <v>3044</v>
      </c>
      <c r="B1420" s="199" t="s">
        <v>54</v>
      </c>
      <c r="C1420" s="198" t="n">
        <v>97</v>
      </c>
      <c r="D1420" s="198" t="n">
        <v>39</v>
      </c>
      <c r="E1420" s="198" t="s">
        <v>46</v>
      </c>
      <c r="F1420" s="198" t="s">
        <v>371</v>
      </c>
      <c r="G1420" s="198" t="s">
        <v>372</v>
      </c>
      <c r="H1420" s="198" t="s">
        <v>65</v>
      </c>
      <c r="I1420" s="199" t="s">
        <v>65</v>
      </c>
      <c r="J1420" s="198" t="s">
        <v>66</v>
      </c>
      <c r="K1420" s="198" t="s">
        <v>3018</v>
      </c>
      <c r="L1420" s="234" t="n">
        <v>28490</v>
      </c>
      <c r="M1420" s="234" t="n">
        <v>14940</v>
      </c>
      <c r="N1420" s="234" t="n">
        <v>20.5</v>
      </c>
      <c r="O1420" s="407" t="n">
        <v>13550</v>
      </c>
      <c r="P1420" s="407" t="n">
        <v>10772.3</v>
      </c>
      <c r="Q1420" s="234" t="n">
        <v>2026</v>
      </c>
      <c r="R1420" s="234" t="n">
        <v>53</v>
      </c>
      <c r="S1420" s="248" t="n">
        <v>46179</v>
      </c>
      <c r="T1420" s="407" t="n">
        <f aca="false">Таблица18[[#This Row],[Вес нетто]]-Таблица18[[#This Row],[Зачетный вес]]</f>
        <v>2777.7</v>
      </c>
      <c r="U1420" s="409" t="n">
        <f aca="false">Таблица18[[#This Row],[Отход]]/Таблица18[[#This Row],[Вес нетто]]</f>
        <v>0.2049963099631</v>
      </c>
      <c r="V1420" s="234" t="n">
        <f aca="false">MONTH(Таблица18[[#This Row],[Дата акта]])</f>
        <v>6</v>
      </c>
      <c r="W1420" s="234" t="n">
        <v>6</v>
      </c>
      <c r="X1420" s="248" t="n">
        <f aca="false">DATE(1900,Таблица18[[#This Row],[Месяц]],Таблица18[[#This Row],[Число]])</f>
        <v>158</v>
      </c>
      <c r="Y1420" s="234"/>
      <c r="AF1420" s="22"/>
      <c r="AG1420" s="414"/>
    </row>
    <row r="1421" customFormat="false" ht="19.4" hidden="false" customHeight="false" outlineLevel="0" collapsed="false">
      <c r="A1421" s="198" t="s">
        <v>3045</v>
      </c>
      <c r="B1421" s="199" t="s">
        <v>54</v>
      </c>
      <c r="C1421" s="198" t="n">
        <v>98</v>
      </c>
      <c r="D1421" s="198" t="n">
        <v>40</v>
      </c>
      <c r="E1421" s="198" t="s">
        <v>46</v>
      </c>
      <c r="F1421" s="198" t="s">
        <v>374</v>
      </c>
      <c r="G1421" s="198" t="s">
        <v>375</v>
      </c>
      <c r="H1421" s="198" t="s">
        <v>3033</v>
      </c>
      <c r="I1421" s="199" t="s">
        <v>65</v>
      </c>
      <c r="J1421" s="198" t="s">
        <v>66</v>
      </c>
      <c r="K1421" s="198" t="s">
        <v>3018</v>
      </c>
      <c r="L1421" s="234" t="n">
        <v>9100</v>
      </c>
      <c r="M1421" s="234" t="n">
        <v>4630</v>
      </c>
      <c r="N1421" s="234" t="n">
        <v>17.5</v>
      </c>
      <c r="O1421" s="407" t="n">
        <v>4470</v>
      </c>
      <c r="P1421" s="407" t="n">
        <v>3687.7</v>
      </c>
      <c r="Q1421" s="234" t="n">
        <v>2026</v>
      </c>
      <c r="R1421" s="234" t="n">
        <v>54</v>
      </c>
      <c r="S1421" s="248" t="n">
        <v>46179</v>
      </c>
      <c r="T1421" s="407" t="n">
        <f aca="false">Таблица18[[#This Row],[Вес нетто]]-Таблица18[[#This Row],[Зачетный вес]]</f>
        <v>782.3</v>
      </c>
      <c r="U1421" s="409" t="n">
        <f aca="false">Таблица18[[#This Row],[Отход]]/Таблица18[[#This Row],[Вес нетто]]</f>
        <v>0.175011185682327</v>
      </c>
      <c r="V1421" s="234" t="n">
        <f aca="false">MONTH(Таблица18[[#This Row],[Дата акта]])</f>
        <v>6</v>
      </c>
      <c r="W1421" s="234" t="n">
        <v>6</v>
      </c>
      <c r="X1421" s="248" t="n">
        <f aca="false">DATE(1900,Таблица18[[#This Row],[Месяц]],Таблица18[[#This Row],[Число]])</f>
        <v>158</v>
      </c>
      <c r="Y1421" s="234"/>
      <c r="AF1421" s="22"/>
      <c r="AG1421" s="414"/>
    </row>
    <row r="1422" customFormat="false" ht="28.35" hidden="false" customHeight="false" outlineLevel="0" collapsed="false">
      <c r="A1422" s="198" t="s">
        <v>3046</v>
      </c>
      <c r="B1422" s="199" t="s">
        <v>54</v>
      </c>
      <c r="C1422" s="198" t="n">
        <v>76</v>
      </c>
      <c r="D1422" s="198" t="n">
        <v>24</v>
      </c>
      <c r="E1422" s="198" t="s">
        <v>46</v>
      </c>
      <c r="F1422" s="198" t="s">
        <v>371</v>
      </c>
      <c r="G1422" s="198" t="s">
        <v>372</v>
      </c>
      <c r="H1422" s="198" t="s">
        <v>67</v>
      </c>
      <c r="I1422" s="199" t="s">
        <v>67</v>
      </c>
      <c r="J1422" s="198" t="s">
        <v>66</v>
      </c>
      <c r="K1422" s="198" t="s">
        <v>3018</v>
      </c>
      <c r="L1422" s="234" t="n">
        <v>30680</v>
      </c>
      <c r="M1422" s="234" t="n">
        <v>14930</v>
      </c>
      <c r="N1422" s="234" t="n">
        <v>15.5</v>
      </c>
      <c r="O1422" s="407" t="n">
        <v>15750</v>
      </c>
      <c r="P1422" s="407" t="n">
        <v>13308.8</v>
      </c>
      <c r="Q1422" s="234" t="n">
        <v>2026</v>
      </c>
      <c r="R1422" s="234" t="n">
        <v>41</v>
      </c>
      <c r="S1422" s="248" t="n">
        <v>46179</v>
      </c>
      <c r="T1422" s="407" t="n">
        <f aca="false">Таблица18[[#This Row],[Вес нетто]]-Таблица18[[#This Row],[Зачетный вес]]</f>
        <v>2441.2</v>
      </c>
      <c r="U1422" s="409" t="n">
        <f aca="false">Таблица18[[#This Row],[Отход]]/Таблица18[[#This Row],[Вес нетто]]</f>
        <v>0.154996825396825</v>
      </c>
      <c r="V1422" s="234" t="n">
        <f aca="false">MONTH(Таблица18[[#This Row],[Дата акта]])</f>
        <v>6</v>
      </c>
      <c r="W1422" s="234" t="n">
        <v>6</v>
      </c>
      <c r="X1422" s="248" t="n">
        <f aca="false">DATE(1900,Таблица18[[#This Row],[Месяц]],Таблица18[[#This Row],[Число]])</f>
        <v>158</v>
      </c>
      <c r="Y1422" s="234"/>
      <c r="AF1422" s="22"/>
      <c r="AG1422" s="414"/>
    </row>
    <row r="1423" customFormat="false" ht="19.4" hidden="false" customHeight="false" outlineLevel="0" collapsed="false">
      <c r="A1423" s="198" t="s">
        <v>3047</v>
      </c>
      <c r="B1423" s="199" t="s">
        <v>54</v>
      </c>
      <c r="C1423" s="198" t="n">
        <v>77</v>
      </c>
      <c r="D1423" s="198" t="n">
        <v>25</v>
      </c>
      <c r="E1423" s="198" t="s">
        <v>46</v>
      </c>
      <c r="F1423" s="198" t="s">
        <v>376</v>
      </c>
      <c r="G1423" s="198" t="s">
        <v>377</v>
      </c>
      <c r="H1423" s="198" t="s">
        <v>67</v>
      </c>
      <c r="I1423" s="199" t="s">
        <v>67</v>
      </c>
      <c r="J1423" s="198" t="s">
        <v>66</v>
      </c>
      <c r="K1423" s="198" t="s">
        <v>3018</v>
      </c>
      <c r="L1423" s="234" t="n">
        <v>23260</v>
      </c>
      <c r="M1423" s="234" t="n">
        <v>14360</v>
      </c>
      <c r="N1423" s="234" t="n">
        <v>14.5</v>
      </c>
      <c r="O1423" s="407" t="n">
        <v>8900</v>
      </c>
      <c r="P1423" s="407" t="n">
        <v>7609.5</v>
      </c>
      <c r="Q1423" s="234" t="n">
        <v>2026</v>
      </c>
      <c r="R1423" s="234" t="n">
        <v>37</v>
      </c>
      <c r="S1423" s="248" t="n">
        <v>46179</v>
      </c>
      <c r="T1423" s="407" t="n">
        <f aca="false">Таблица18[[#This Row],[Вес нетто]]-Таблица18[[#This Row],[Зачетный вес]]</f>
        <v>1290.5</v>
      </c>
      <c r="U1423" s="409" t="n">
        <f aca="false">Таблица18[[#This Row],[Отход]]/Таблица18[[#This Row],[Вес нетто]]</f>
        <v>0.145</v>
      </c>
      <c r="V1423" s="234" t="n">
        <f aca="false">MONTH(Таблица18[[#This Row],[Дата акта]])</f>
        <v>6</v>
      </c>
      <c r="W1423" s="234" t="n">
        <v>6</v>
      </c>
      <c r="X1423" s="248" t="n">
        <f aca="false">DATE(1900,Таблица18[[#This Row],[Месяц]],Таблица18[[#This Row],[Число]])</f>
        <v>158</v>
      </c>
      <c r="Y1423" s="234"/>
      <c r="AF1423" s="22"/>
      <c r="AG1423" s="414"/>
    </row>
    <row r="1424" customFormat="false" ht="19.4" hidden="false" customHeight="false" outlineLevel="0" collapsed="false">
      <c r="A1424" s="198" t="s">
        <v>3048</v>
      </c>
      <c r="B1424" s="199" t="s">
        <v>54</v>
      </c>
      <c r="C1424" s="198" t="n">
        <v>84</v>
      </c>
      <c r="D1424" s="198" t="n">
        <v>26</v>
      </c>
      <c r="E1424" s="198" t="s">
        <v>46</v>
      </c>
      <c r="F1424" s="198" t="s">
        <v>374</v>
      </c>
      <c r="G1424" s="198" t="s">
        <v>375</v>
      </c>
      <c r="H1424" s="198" t="s">
        <v>3033</v>
      </c>
      <c r="I1424" s="199" t="s">
        <v>65</v>
      </c>
      <c r="J1424" s="198" t="s">
        <v>66</v>
      </c>
      <c r="K1424" s="198" t="s">
        <v>3018</v>
      </c>
      <c r="L1424" s="234" t="n">
        <v>9180</v>
      </c>
      <c r="M1424" s="234" t="n">
        <v>4630</v>
      </c>
      <c r="N1424" s="234" t="n">
        <v>20.5</v>
      </c>
      <c r="O1424" s="407" t="n">
        <v>4550</v>
      </c>
      <c r="P1424" s="407" t="n">
        <v>3617.2</v>
      </c>
      <c r="Q1424" s="234" t="n">
        <v>2026</v>
      </c>
      <c r="R1424" s="234" t="n">
        <v>42</v>
      </c>
      <c r="S1424" s="248" t="n">
        <v>46179</v>
      </c>
      <c r="T1424" s="407" t="n">
        <f aca="false">Таблица18[[#This Row],[Вес нетто]]-Таблица18[[#This Row],[Зачетный вес]]</f>
        <v>932.8</v>
      </c>
      <c r="U1424" s="409" t="n">
        <f aca="false">Таблица18[[#This Row],[Отход]]/Таблица18[[#This Row],[Вес нетто]]</f>
        <v>0.205010989010989</v>
      </c>
      <c r="V1424" s="234" t="n">
        <f aca="false">MONTH(Таблица18[[#This Row],[Дата акта]])</f>
        <v>6</v>
      </c>
      <c r="W1424" s="234" t="n">
        <v>6</v>
      </c>
      <c r="X1424" s="248" t="n">
        <f aca="false">DATE(1900,Таблица18[[#This Row],[Месяц]],Таблица18[[#This Row],[Число]])</f>
        <v>158</v>
      </c>
      <c r="Y1424" s="234"/>
      <c r="AF1424" s="22"/>
      <c r="AG1424" s="414"/>
    </row>
    <row r="1425" customFormat="false" ht="19.4" hidden="false" customHeight="false" outlineLevel="0" collapsed="false">
      <c r="A1425" s="198" t="s">
        <v>3049</v>
      </c>
      <c r="B1425" s="199" t="s">
        <v>54</v>
      </c>
      <c r="C1425" s="198" t="n">
        <v>85</v>
      </c>
      <c r="D1425" s="198" t="n">
        <v>27</v>
      </c>
      <c r="E1425" s="198" t="s">
        <v>46</v>
      </c>
      <c r="F1425" s="198" t="s">
        <v>365</v>
      </c>
      <c r="G1425" s="198" t="s">
        <v>373</v>
      </c>
      <c r="H1425" s="198" t="s">
        <v>3033</v>
      </c>
      <c r="I1425" s="199" t="s">
        <v>65</v>
      </c>
      <c r="J1425" s="198" t="s">
        <v>66</v>
      </c>
      <c r="K1425" s="198" t="s">
        <v>3018</v>
      </c>
      <c r="L1425" s="234" t="n">
        <v>29380</v>
      </c>
      <c r="M1425" s="234" t="n">
        <v>15750</v>
      </c>
      <c r="N1425" s="234" t="n">
        <v>20.5</v>
      </c>
      <c r="O1425" s="407" t="n">
        <v>13630</v>
      </c>
      <c r="P1425" s="407" t="n">
        <v>10835.8</v>
      </c>
      <c r="Q1425" s="234" t="n">
        <v>2026</v>
      </c>
      <c r="R1425" s="234" t="n">
        <v>43</v>
      </c>
      <c r="S1425" s="248" t="n">
        <v>46179</v>
      </c>
      <c r="T1425" s="407" t="n">
        <f aca="false">Таблица18[[#This Row],[Вес нетто]]-Таблица18[[#This Row],[Зачетный вес]]</f>
        <v>2794.2</v>
      </c>
      <c r="U1425" s="409" t="n">
        <f aca="false">Таблица18[[#This Row],[Отход]]/Таблица18[[#This Row],[Вес нетто]]</f>
        <v>0.205003668378577</v>
      </c>
      <c r="V1425" s="234" t="n">
        <f aca="false">MONTH(Таблица18[[#This Row],[Дата акта]])</f>
        <v>6</v>
      </c>
      <c r="W1425" s="234" t="n">
        <v>6</v>
      </c>
      <c r="X1425" s="248" t="n">
        <f aca="false">DATE(1900,Таблица18[[#This Row],[Месяц]],Таблица18[[#This Row],[Число]])</f>
        <v>158</v>
      </c>
      <c r="Y1425" s="234"/>
      <c r="AF1425" s="22"/>
      <c r="AG1425" s="414"/>
    </row>
    <row r="1426" customFormat="false" ht="19.4" hidden="false" customHeight="false" outlineLevel="0" collapsed="false">
      <c r="A1426" s="198" t="s">
        <v>3050</v>
      </c>
      <c r="B1426" s="199" t="s">
        <v>54</v>
      </c>
      <c r="C1426" s="198" t="n">
        <v>86</v>
      </c>
      <c r="D1426" s="198" t="n">
        <v>28</v>
      </c>
      <c r="E1426" s="198" t="s">
        <v>46</v>
      </c>
      <c r="F1426" s="198" t="s">
        <v>367</v>
      </c>
      <c r="G1426" s="198" t="s">
        <v>368</v>
      </c>
      <c r="H1426" s="198" t="s">
        <v>65</v>
      </c>
      <c r="I1426" s="199" t="s">
        <v>65</v>
      </c>
      <c r="J1426" s="198" t="s">
        <v>66</v>
      </c>
      <c r="K1426" s="198" t="s">
        <v>3018</v>
      </c>
      <c r="L1426" s="234" t="n">
        <v>28470</v>
      </c>
      <c r="M1426" s="234" t="n">
        <v>14630</v>
      </c>
      <c r="N1426" s="234" t="n">
        <v>22.5</v>
      </c>
      <c r="O1426" s="407" t="n">
        <v>13840</v>
      </c>
      <c r="P1426" s="407" t="n">
        <v>10726</v>
      </c>
      <c r="Q1426" s="234" t="n">
        <v>2026</v>
      </c>
      <c r="R1426" s="234" t="n">
        <v>44</v>
      </c>
      <c r="S1426" s="248" t="n">
        <v>46179</v>
      </c>
      <c r="T1426" s="407" t="n">
        <f aca="false">Таблица18[[#This Row],[Вес нетто]]-Таблица18[[#This Row],[Зачетный вес]]</f>
        <v>3114</v>
      </c>
      <c r="U1426" s="409" t="n">
        <f aca="false">Таблица18[[#This Row],[Отход]]/Таблица18[[#This Row],[Вес нетто]]</f>
        <v>0.225</v>
      </c>
      <c r="V1426" s="234" t="n">
        <f aca="false">MONTH(Таблица18[[#This Row],[Дата акта]])</f>
        <v>6</v>
      </c>
      <c r="W1426" s="234" t="n">
        <v>6</v>
      </c>
      <c r="X1426" s="248" t="n">
        <f aca="false">DATE(1900,Таблица18[[#This Row],[Месяц]],Таблица18[[#This Row],[Число]])</f>
        <v>158</v>
      </c>
      <c r="Y1426" s="234"/>
      <c r="AF1426" s="22"/>
      <c r="AG1426" s="414"/>
    </row>
    <row r="1427" customFormat="false" ht="28.35" hidden="false" customHeight="false" outlineLevel="0" collapsed="false">
      <c r="A1427" s="198" t="s">
        <v>3051</v>
      </c>
      <c r="B1427" s="199" t="s">
        <v>54</v>
      </c>
      <c r="C1427" s="198" t="n">
        <v>87</v>
      </c>
      <c r="D1427" s="198" t="n">
        <v>29</v>
      </c>
      <c r="E1427" s="198" t="s">
        <v>46</v>
      </c>
      <c r="F1427" s="198" t="s">
        <v>371</v>
      </c>
      <c r="G1427" s="198" t="s">
        <v>372</v>
      </c>
      <c r="H1427" s="198" t="s">
        <v>65</v>
      </c>
      <c r="I1427" s="199" t="s">
        <v>65</v>
      </c>
      <c r="J1427" s="198" t="s">
        <v>66</v>
      </c>
      <c r="K1427" s="198" t="s">
        <v>3018</v>
      </c>
      <c r="L1427" s="234" t="n">
        <v>28550</v>
      </c>
      <c r="M1427" s="234" t="n">
        <v>14910</v>
      </c>
      <c r="N1427" s="234" t="n">
        <v>21.5</v>
      </c>
      <c r="O1427" s="407" t="n">
        <v>13640</v>
      </c>
      <c r="P1427" s="407" t="n">
        <v>10707.4</v>
      </c>
      <c r="Q1427" s="234" t="n">
        <v>2026</v>
      </c>
      <c r="R1427" s="234" t="n">
        <v>45</v>
      </c>
      <c r="S1427" s="248" t="n">
        <v>46179</v>
      </c>
      <c r="T1427" s="407" t="n">
        <f aca="false">Таблица18[[#This Row],[Вес нетто]]-Таблица18[[#This Row],[Зачетный вес]]</f>
        <v>2932.6</v>
      </c>
      <c r="U1427" s="409" t="n">
        <f aca="false">Таблица18[[#This Row],[Отход]]/Таблица18[[#This Row],[Вес нетто]]</f>
        <v>0.215</v>
      </c>
      <c r="V1427" s="234" t="n">
        <f aca="false">MONTH(Таблица18[[#This Row],[Дата акта]])</f>
        <v>6</v>
      </c>
      <c r="W1427" s="234" t="n">
        <v>6</v>
      </c>
      <c r="X1427" s="248" t="n">
        <f aca="false">DATE(1900,Таблица18[[#This Row],[Месяц]],Таблица18[[#This Row],[Число]])</f>
        <v>158</v>
      </c>
      <c r="Y1427" s="234"/>
      <c r="AF1427" s="22"/>
      <c r="AG1427" s="414"/>
    </row>
    <row r="1428" customFormat="false" ht="19.4" hidden="false" customHeight="false" outlineLevel="0" collapsed="false">
      <c r="A1428" s="198" t="s">
        <v>3052</v>
      </c>
      <c r="B1428" s="199" t="s">
        <v>54</v>
      </c>
      <c r="C1428" s="198" t="n">
        <v>88</v>
      </c>
      <c r="D1428" s="198" t="n">
        <v>30</v>
      </c>
      <c r="E1428" s="198" t="s">
        <v>46</v>
      </c>
      <c r="F1428" s="198" t="s">
        <v>374</v>
      </c>
      <c r="G1428" s="198" t="s">
        <v>375</v>
      </c>
      <c r="H1428" s="198" t="s">
        <v>3033</v>
      </c>
      <c r="I1428" s="199" t="s">
        <v>65</v>
      </c>
      <c r="J1428" s="198" t="s">
        <v>66</v>
      </c>
      <c r="K1428" s="198" t="s">
        <v>3018</v>
      </c>
      <c r="L1428" s="234" t="n">
        <v>9280</v>
      </c>
      <c r="M1428" s="234" t="n">
        <v>4620</v>
      </c>
      <c r="N1428" s="234" t="n">
        <v>21.5</v>
      </c>
      <c r="O1428" s="407" t="n">
        <v>4660</v>
      </c>
      <c r="P1428" s="407" t="n">
        <v>3658.1</v>
      </c>
      <c r="Q1428" s="234" t="n">
        <v>2026</v>
      </c>
      <c r="R1428" s="234" t="n">
        <v>46</v>
      </c>
      <c r="S1428" s="248" t="n">
        <v>46179</v>
      </c>
      <c r="T1428" s="407" t="n">
        <f aca="false">Таблица18[[#This Row],[Вес нетто]]-Таблица18[[#This Row],[Зачетный вес]]</f>
        <v>1001.9</v>
      </c>
      <c r="U1428" s="409" t="n">
        <f aca="false">Таблица18[[#This Row],[Отход]]/Таблица18[[#This Row],[Вес нетто]]</f>
        <v>0.215</v>
      </c>
      <c r="V1428" s="234" t="n">
        <f aca="false">MONTH(Таблица18[[#This Row],[Дата акта]])</f>
        <v>6</v>
      </c>
      <c r="W1428" s="234" t="n">
        <v>6</v>
      </c>
      <c r="X1428" s="248" t="n">
        <f aca="false">DATE(1900,Таблица18[[#This Row],[Месяц]],Таблица18[[#This Row],[Число]])</f>
        <v>158</v>
      </c>
      <c r="Y1428" s="234"/>
      <c r="AF1428" s="22"/>
      <c r="AG1428" s="414"/>
    </row>
    <row r="1429" customFormat="false" ht="19.4" hidden="false" customHeight="false" outlineLevel="0" collapsed="false">
      <c r="A1429" s="198" t="s">
        <v>3053</v>
      </c>
      <c r="B1429" s="199" t="s">
        <v>54</v>
      </c>
      <c r="C1429" s="198" t="n">
        <v>89</v>
      </c>
      <c r="D1429" s="198" t="n">
        <v>31</v>
      </c>
      <c r="E1429" s="198" t="s">
        <v>46</v>
      </c>
      <c r="F1429" s="198" t="s">
        <v>376</v>
      </c>
      <c r="G1429" s="198" t="s">
        <v>377</v>
      </c>
      <c r="H1429" s="198" t="s">
        <v>65</v>
      </c>
      <c r="I1429" s="199" t="s">
        <v>65</v>
      </c>
      <c r="J1429" s="198" t="s">
        <v>66</v>
      </c>
      <c r="K1429" s="198" t="s">
        <v>3018</v>
      </c>
      <c r="L1429" s="234" t="n">
        <v>28130</v>
      </c>
      <c r="M1429" s="234" t="n">
        <v>14420</v>
      </c>
      <c r="N1429" s="234" t="n">
        <v>21.5</v>
      </c>
      <c r="O1429" s="407" t="n">
        <v>13710</v>
      </c>
      <c r="P1429" s="407" t="n">
        <v>10762.4</v>
      </c>
      <c r="Q1429" s="234" t="n">
        <v>2026</v>
      </c>
      <c r="R1429" s="234" t="n">
        <v>47</v>
      </c>
      <c r="S1429" s="248" t="n">
        <v>46179</v>
      </c>
      <c r="T1429" s="407" t="n">
        <f aca="false">Таблица18[[#This Row],[Вес нетто]]-Таблица18[[#This Row],[Зачетный вес]]</f>
        <v>2947.6</v>
      </c>
      <c r="U1429" s="409" t="n">
        <f aca="false">Таблица18[[#This Row],[Отход]]/Таблица18[[#This Row],[Вес нетто]]</f>
        <v>0.214996353026988</v>
      </c>
      <c r="V1429" s="234" t="n">
        <f aca="false">MONTH(Таблица18[[#This Row],[Дата акта]])</f>
        <v>6</v>
      </c>
      <c r="W1429" s="234" t="n">
        <v>6</v>
      </c>
      <c r="X1429" s="248" t="n">
        <f aca="false">DATE(1900,Таблица18[[#This Row],[Месяц]],Таблица18[[#This Row],[Число]])</f>
        <v>158</v>
      </c>
      <c r="Y1429" s="234"/>
      <c r="AF1429" s="22"/>
      <c r="AG1429" s="414"/>
    </row>
    <row r="1430" customFormat="false" ht="19.4" hidden="false" customHeight="false" outlineLevel="0" collapsed="false">
      <c r="A1430" s="198" t="s">
        <v>3054</v>
      </c>
      <c r="B1430" s="199" t="s">
        <v>54</v>
      </c>
      <c r="C1430" s="198" t="n">
        <v>90</v>
      </c>
      <c r="D1430" s="198" t="n">
        <v>32</v>
      </c>
      <c r="E1430" s="198" t="s">
        <v>46</v>
      </c>
      <c r="F1430" s="198" t="s">
        <v>365</v>
      </c>
      <c r="G1430" s="198" t="s">
        <v>373</v>
      </c>
      <c r="H1430" s="198" t="s">
        <v>3033</v>
      </c>
      <c r="I1430" s="199" t="s">
        <v>65</v>
      </c>
      <c r="J1430" s="198" t="s">
        <v>66</v>
      </c>
      <c r="K1430" s="198" t="s">
        <v>3018</v>
      </c>
      <c r="L1430" s="234" t="n">
        <v>30050</v>
      </c>
      <c r="M1430" s="234" t="n">
        <v>15740</v>
      </c>
      <c r="N1430" s="234" t="n">
        <v>21.5</v>
      </c>
      <c r="O1430" s="407" t="n">
        <v>14310</v>
      </c>
      <c r="P1430" s="407" t="n">
        <v>11233.3</v>
      </c>
      <c r="Q1430" s="234" t="n">
        <v>2026</v>
      </c>
      <c r="R1430" s="234" t="n">
        <v>48</v>
      </c>
      <c r="S1430" s="248" t="n">
        <v>46179</v>
      </c>
      <c r="T1430" s="407" t="n">
        <f aca="false">Таблица18[[#This Row],[Вес нетто]]-Таблица18[[#This Row],[Зачетный вес]]</f>
        <v>3076.7</v>
      </c>
      <c r="U1430" s="409" t="n">
        <f aca="false">Таблица18[[#This Row],[Отход]]/Таблица18[[#This Row],[Вес нетто]]</f>
        <v>0.215003494060098</v>
      </c>
      <c r="V1430" s="234" t="n">
        <f aca="false">MONTH(Таблица18[[#This Row],[Дата акта]])</f>
        <v>6</v>
      </c>
      <c r="W1430" s="234" t="n">
        <v>6</v>
      </c>
      <c r="X1430" s="248" t="n">
        <f aca="false">DATE(1900,Таблица18[[#This Row],[Месяц]],Таблица18[[#This Row],[Число]])</f>
        <v>158</v>
      </c>
      <c r="Y1430" s="234"/>
      <c r="AF1430" s="22"/>
      <c r="AG1430" s="414"/>
    </row>
    <row r="1431" customFormat="false" ht="19.4" hidden="false" customHeight="false" outlineLevel="0" collapsed="false">
      <c r="A1431" s="198" t="s">
        <v>3055</v>
      </c>
      <c r="B1431" s="199" t="s">
        <v>54</v>
      </c>
      <c r="C1431" s="198" t="n">
        <v>91</v>
      </c>
      <c r="D1431" s="198" t="n">
        <v>33</v>
      </c>
      <c r="E1431" s="198" t="s">
        <v>46</v>
      </c>
      <c r="F1431" s="198" t="s">
        <v>367</v>
      </c>
      <c r="G1431" s="198" t="s">
        <v>368</v>
      </c>
      <c r="H1431" s="198" t="s">
        <v>65</v>
      </c>
      <c r="I1431" s="199" t="s">
        <v>65</v>
      </c>
      <c r="J1431" s="198" t="s">
        <v>66</v>
      </c>
      <c r="K1431" s="198" t="s">
        <v>3018</v>
      </c>
      <c r="L1431" s="234" t="n">
        <v>28310</v>
      </c>
      <c r="M1431" s="234" t="n">
        <v>14620</v>
      </c>
      <c r="N1431" s="234" t="n">
        <v>23.5</v>
      </c>
      <c r="O1431" s="407" t="n">
        <v>13690</v>
      </c>
      <c r="P1431" s="407" t="n">
        <v>10472.9</v>
      </c>
      <c r="Q1431" s="234" t="n">
        <v>2026</v>
      </c>
      <c r="R1431" s="234" t="n">
        <v>49</v>
      </c>
      <c r="S1431" s="248" t="n">
        <v>46179</v>
      </c>
      <c r="T1431" s="407" t="n">
        <f aca="false">Таблица18[[#This Row],[Вес нетто]]-Таблица18[[#This Row],[Зачетный вес]]</f>
        <v>3217.1</v>
      </c>
      <c r="U1431" s="409" t="n">
        <f aca="false">Таблица18[[#This Row],[Отход]]/Таблица18[[#This Row],[Вес нетто]]</f>
        <v>0.23499634769905</v>
      </c>
      <c r="V1431" s="234" t="n">
        <f aca="false">MONTH(Таблица18[[#This Row],[Дата акта]])</f>
        <v>6</v>
      </c>
      <c r="W1431" s="234" t="n">
        <v>6</v>
      </c>
      <c r="X1431" s="248" t="n">
        <f aca="false">DATE(1900,Таблица18[[#This Row],[Месяц]],Таблица18[[#This Row],[Число]])</f>
        <v>158</v>
      </c>
      <c r="Y1431" s="234"/>
      <c r="AF1431" s="22"/>
      <c r="AG1431" s="414"/>
    </row>
    <row r="1432" customFormat="false" ht="28.35" hidden="false" customHeight="false" outlineLevel="0" collapsed="false">
      <c r="A1432" s="198" t="s">
        <v>3056</v>
      </c>
      <c r="B1432" s="199" t="s">
        <v>54</v>
      </c>
      <c r="C1432" s="198" t="n">
        <v>92</v>
      </c>
      <c r="D1432" s="198" t="n">
        <v>34</v>
      </c>
      <c r="E1432" s="198" t="s">
        <v>46</v>
      </c>
      <c r="F1432" s="198" t="s">
        <v>371</v>
      </c>
      <c r="G1432" s="198" t="s">
        <v>372</v>
      </c>
      <c r="H1432" s="198" t="s">
        <v>3033</v>
      </c>
      <c r="I1432" s="199" t="s">
        <v>65</v>
      </c>
      <c r="J1432" s="198" t="s">
        <v>66</v>
      </c>
      <c r="K1432" s="198" t="s">
        <v>3018</v>
      </c>
      <c r="L1432" s="234" t="n">
        <v>28790</v>
      </c>
      <c r="M1432" s="234" t="n">
        <v>14950</v>
      </c>
      <c r="N1432" s="234" t="n">
        <v>20.5</v>
      </c>
      <c r="O1432" s="407" t="n">
        <v>13840</v>
      </c>
      <c r="P1432" s="407" t="n">
        <v>11002.8</v>
      </c>
      <c r="Q1432" s="234" t="n">
        <v>2026</v>
      </c>
      <c r="R1432" s="234" t="n">
        <v>39</v>
      </c>
      <c r="S1432" s="248" t="n">
        <v>46179</v>
      </c>
      <c r="T1432" s="407" t="n">
        <f aca="false">Таблица18[[#This Row],[Вес нетто]]-Таблица18[[#This Row],[Зачетный вес]]</f>
        <v>2837.2</v>
      </c>
      <c r="U1432" s="409" t="n">
        <f aca="false">Таблица18[[#This Row],[Отход]]/Таблица18[[#This Row],[Вес нетто]]</f>
        <v>0.205</v>
      </c>
      <c r="V1432" s="234" t="n">
        <f aca="false">MONTH(Таблица18[[#This Row],[Дата акта]])</f>
        <v>6</v>
      </c>
      <c r="W1432" s="234" t="n">
        <v>6</v>
      </c>
      <c r="X1432" s="248" t="n">
        <f aca="false">DATE(1900,Таблица18[[#This Row],[Месяц]],Таблица18[[#This Row],[Число]])</f>
        <v>158</v>
      </c>
      <c r="Y1432" s="234"/>
      <c r="AF1432" s="22"/>
      <c r="AG1432" s="414"/>
    </row>
    <row r="1433" customFormat="false" ht="19.4" hidden="false" customHeight="false" outlineLevel="0" collapsed="false">
      <c r="A1433" s="198" t="s">
        <v>3057</v>
      </c>
      <c r="B1433" s="199" t="s">
        <v>54</v>
      </c>
      <c r="C1433" s="198" t="n">
        <v>93</v>
      </c>
      <c r="D1433" s="198" t="n">
        <v>35</v>
      </c>
      <c r="E1433" s="198" t="s">
        <v>46</v>
      </c>
      <c r="F1433" s="198" t="s">
        <v>376</v>
      </c>
      <c r="G1433" s="198" t="s">
        <v>377</v>
      </c>
      <c r="H1433" s="198" t="s">
        <v>65</v>
      </c>
      <c r="I1433" s="199" t="s">
        <v>65</v>
      </c>
      <c r="J1433" s="198" t="s">
        <v>66</v>
      </c>
      <c r="K1433" s="198" t="s">
        <v>3018</v>
      </c>
      <c r="L1433" s="234" t="n">
        <v>28030</v>
      </c>
      <c r="M1433" s="234" t="n">
        <v>14400</v>
      </c>
      <c r="N1433" s="234" t="n">
        <v>17.5</v>
      </c>
      <c r="O1433" s="407" t="n">
        <v>13630</v>
      </c>
      <c r="P1433" s="407" t="n">
        <v>11244.8</v>
      </c>
      <c r="Q1433" s="234" t="n">
        <v>2026</v>
      </c>
      <c r="R1433" s="234" t="n">
        <v>38</v>
      </c>
      <c r="S1433" s="248" t="n">
        <v>46179</v>
      </c>
      <c r="T1433" s="407" t="n">
        <f aca="false">Таблица18[[#This Row],[Вес нетто]]-Таблица18[[#This Row],[Зачетный вес]]</f>
        <v>2385.2</v>
      </c>
      <c r="U1433" s="409" t="n">
        <f aca="false">Таблица18[[#This Row],[Отход]]/Таблица18[[#This Row],[Вес нетто]]</f>
        <v>0.174996331621423</v>
      </c>
      <c r="V1433" s="234" t="n">
        <f aca="false">MONTH(Таблица18[[#This Row],[Дата акта]])</f>
        <v>6</v>
      </c>
      <c r="W1433" s="234" t="n">
        <v>6</v>
      </c>
      <c r="X1433" s="248" t="n">
        <f aca="false">DATE(1900,Таблица18[[#This Row],[Месяц]],Таблица18[[#This Row],[Число]])</f>
        <v>158</v>
      </c>
      <c r="Y1433" s="234"/>
      <c r="AF1433" s="22"/>
      <c r="AG1433" s="414"/>
    </row>
    <row r="1434" customFormat="false" ht="19.4" hidden="false" customHeight="false" outlineLevel="0" collapsed="false">
      <c r="A1434" s="198" t="s">
        <v>3058</v>
      </c>
      <c r="B1434" s="199" t="s">
        <v>54</v>
      </c>
      <c r="C1434" s="198" t="n">
        <v>94</v>
      </c>
      <c r="D1434" s="198" t="n">
        <v>36</v>
      </c>
      <c r="E1434" s="198" t="s">
        <v>46</v>
      </c>
      <c r="F1434" s="198" t="s">
        <v>374</v>
      </c>
      <c r="G1434" s="198" t="s">
        <v>375</v>
      </c>
      <c r="H1434" s="198" t="s">
        <v>3033</v>
      </c>
      <c r="I1434" s="199" t="s">
        <v>65</v>
      </c>
      <c r="J1434" s="198" t="s">
        <v>66</v>
      </c>
      <c r="K1434" s="198" t="s">
        <v>3018</v>
      </c>
      <c r="L1434" s="234" t="n">
        <v>9310</v>
      </c>
      <c r="M1434" s="234" t="n">
        <v>4620</v>
      </c>
      <c r="N1434" s="234" t="n">
        <v>20.5</v>
      </c>
      <c r="O1434" s="407" t="n">
        <v>4690</v>
      </c>
      <c r="P1434" s="407" t="n">
        <v>3728.5</v>
      </c>
      <c r="Q1434" s="234" t="n">
        <v>2026</v>
      </c>
      <c r="R1434" s="234" t="n">
        <v>40</v>
      </c>
      <c r="S1434" s="248" t="n">
        <v>46179</v>
      </c>
      <c r="T1434" s="407" t="n">
        <f aca="false">Таблица18[[#This Row],[Вес нетто]]-Таблица18[[#This Row],[Зачетный вес]]</f>
        <v>961.5</v>
      </c>
      <c r="U1434" s="409" t="n">
        <f aca="false">Таблица18[[#This Row],[Отход]]/Таблица18[[#This Row],[Вес нетто]]</f>
        <v>0.20501066098081</v>
      </c>
      <c r="V1434" s="234" t="n">
        <f aca="false">MONTH(Таблица18[[#This Row],[Дата акта]])</f>
        <v>6</v>
      </c>
      <c r="W1434" s="234" t="n">
        <v>6</v>
      </c>
      <c r="X1434" s="248" t="n">
        <f aca="false">DATE(1900,Таблица18[[#This Row],[Месяц]],Таблица18[[#This Row],[Число]])</f>
        <v>158</v>
      </c>
      <c r="Y1434" s="234"/>
      <c r="AF1434" s="22"/>
      <c r="AG1434" s="414"/>
    </row>
    <row r="1435" customFormat="false" ht="19.4" hidden="false" customHeight="false" outlineLevel="0" collapsed="false">
      <c r="A1435" s="198" t="s">
        <v>3059</v>
      </c>
      <c r="B1435" s="199" t="s">
        <v>54</v>
      </c>
      <c r="C1435" s="198" t="n">
        <v>99</v>
      </c>
      <c r="D1435" s="198" t="n">
        <v>41</v>
      </c>
      <c r="E1435" s="198" t="s">
        <v>46</v>
      </c>
      <c r="F1435" s="198" t="s">
        <v>376</v>
      </c>
      <c r="G1435" s="198" t="s">
        <v>377</v>
      </c>
      <c r="H1435" s="198" t="s">
        <v>3033</v>
      </c>
      <c r="I1435" s="199" t="s">
        <v>65</v>
      </c>
      <c r="J1435" s="198" t="s">
        <v>66</v>
      </c>
      <c r="K1435" s="198" t="s">
        <v>3018</v>
      </c>
      <c r="L1435" s="234" t="n">
        <v>28940</v>
      </c>
      <c r="M1435" s="234" t="n">
        <v>14380</v>
      </c>
      <c r="N1435" s="234" t="n">
        <v>15.5</v>
      </c>
      <c r="O1435" s="407" t="n">
        <v>14560</v>
      </c>
      <c r="P1435" s="407" t="n">
        <v>12303.2</v>
      </c>
      <c r="Q1435" s="234" t="n">
        <v>2026</v>
      </c>
      <c r="R1435" s="234" t="n">
        <v>55</v>
      </c>
      <c r="S1435" s="248" t="n">
        <v>46179</v>
      </c>
      <c r="T1435" s="407" t="n">
        <f aca="false">Таблица18[[#This Row],[Вес нетто]]-Таблица18[[#This Row],[Зачетный вес]]</f>
        <v>2256.8</v>
      </c>
      <c r="U1435" s="409" t="n">
        <f aca="false">Таблица18[[#This Row],[Отход]]/Таблица18[[#This Row],[Вес нетто]]</f>
        <v>0.155</v>
      </c>
      <c r="V1435" s="234" t="n">
        <f aca="false">MONTH(Таблица18[[#This Row],[Дата акта]])</f>
        <v>6</v>
      </c>
      <c r="W1435" s="234" t="n">
        <v>6</v>
      </c>
      <c r="X1435" s="248" t="n">
        <f aca="false">DATE(1900,Таблица18[[#This Row],[Месяц]],Таблица18[[#This Row],[Число]])</f>
        <v>158</v>
      </c>
      <c r="Y1435" s="234"/>
      <c r="AF1435" s="22"/>
      <c r="AG1435" s="414"/>
    </row>
    <row r="1436" customFormat="false" ht="19.4" hidden="false" customHeight="false" outlineLevel="0" collapsed="false">
      <c r="A1436" s="198" t="s">
        <v>3060</v>
      </c>
      <c r="B1436" s="199" t="s">
        <v>54</v>
      </c>
      <c r="C1436" s="198" t="n">
        <v>102</v>
      </c>
      <c r="D1436" s="198" t="n">
        <v>44</v>
      </c>
      <c r="E1436" s="198" t="s">
        <v>46</v>
      </c>
      <c r="F1436" s="198" t="s">
        <v>374</v>
      </c>
      <c r="G1436" s="198" t="s">
        <v>375</v>
      </c>
      <c r="H1436" s="198" t="s">
        <v>3033</v>
      </c>
      <c r="I1436" s="199" t="s">
        <v>65</v>
      </c>
      <c r="J1436" s="198" t="s">
        <v>66</v>
      </c>
      <c r="K1436" s="198" t="s">
        <v>3018</v>
      </c>
      <c r="L1436" s="234" t="n">
        <v>9100</v>
      </c>
      <c r="M1436" s="234" t="n">
        <v>4610</v>
      </c>
      <c r="N1436" s="234" t="n">
        <v>13.5</v>
      </c>
      <c r="O1436" s="407" t="n">
        <v>4490</v>
      </c>
      <c r="P1436" s="407" t="n">
        <v>3883.8</v>
      </c>
      <c r="Q1436" s="234" t="n">
        <v>2026</v>
      </c>
      <c r="R1436" s="234" t="n">
        <v>58</v>
      </c>
      <c r="S1436" s="248" t="n">
        <v>46180</v>
      </c>
      <c r="T1436" s="407" t="n">
        <f aca="false">Таблица18[[#This Row],[Вес нетто]]-Таблица18[[#This Row],[Зачетный вес]]</f>
        <v>606.2</v>
      </c>
      <c r="U1436" s="409" t="n">
        <f aca="false">Таблица18[[#This Row],[Отход]]/Таблица18[[#This Row],[Вес нетто]]</f>
        <v>0.135011135857461</v>
      </c>
      <c r="V1436" s="234" t="n">
        <f aca="false">MONTH(Таблица18[[#This Row],[Дата акта]])</f>
        <v>6</v>
      </c>
      <c r="W1436" s="234" t="n">
        <v>7</v>
      </c>
      <c r="X1436" s="248" t="n">
        <f aca="false">DATE(1900,Таблица18[[#This Row],[Месяц]],Таблица18[[#This Row],[Число]])</f>
        <v>159</v>
      </c>
      <c r="Y1436" s="234"/>
      <c r="AF1436" s="22"/>
      <c r="AG1436" s="414"/>
    </row>
    <row r="1437" customFormat="false" ht="19.4" hidden="false" customHeight="false" outlineLevel="0" collapsed="false">
      <c r="A1437" s="198" t="s">
        <v>3061</v>
      </c>
      <c r="B1437" s="199" t="s">
        <v>54</v>
      </c>
      <c r="C1437" s="198" t="n">
        <v>100</v>
      </c>
      <c r="D1437" s="198" t="n">
        <v>42</v>
      </c>
      <c r="E1437" s="198" t="s">
        <v>46</v>
      </c>
      <c r="F1437" s="198" t="s">
        <v>365</v>
      </c>
      <c r="G1437" s="198" t="s">
        <v>373</v>
      </c>
      <c r="H1437" s="198" t="s">
        <v>3033</v>
      </c>
      <c r="I1437" s="199" t="s">
        <v>65</v>
      </c>
      <c r="J1437" s="198" t="s">
        <v>66</v>
      </c>
      <c r="K1437" s="198" t="s">
        <v>3018</v>
      </c>
      <c r="L1437" s="234" t="n">
        <v>29140</v>
      </c>
      <c r="M1437" s="234" t="n">
        <v>15740</v>
      </c>
      <c r="N1437" s="234" t="n">
        <v>14.5</v>
      </c>
      <c r="O1437" s="407" t="n">
        <v>13400</v>
      </c>
      <c r="P1437" s="407" t="n">
        <v>11457</v>
      </c>
      <c r="Q1437" s="234" t="n">
        <v>2026</v>
      </c>
      <c r="R1437" s="234" t="n">
        <v>56</v>
      </c>
      <c r="S1437" s="248" t="n">
        <v>46180</v>
      </c>
      <c r="T1437" s="407" t="n">
        <f aca="false">Таблица18[[#This Row],[Вес нетто]]-Таблица18[[#This Row],[Зачетный вес]]</f>
        <v>1943</v>
      </c>
      <c r="U1437" s="409" t="n">
        <f aca="false">Таблица18[[#This Row],[Отход]]/Таблица18[[#This Row],[Вес нетто]]</f>
        <v>0.145</v>
      </c>
      <c r="V1437" s="234" t="n">
        <f aca="false">MONTH(Таблица18[[#This Row],[Дата акта]])</f>
        <v>6</v>
      </c>
      <c r="W1437" s="234" t="n">
        <v>7</v>
      </c>
      <c r="X1437" s="248" t="n">
        <f aca="false">DATE(1900,Таблица18[[#This Row],[Месяц]],Таблица18[[#This Row],[Число]])</f>
        <v>159</v>
      </c>
      <c r="Y1437" s="234"/>
      <c r="AF1437" s="22"/>
      <c r="AG1437" s="414"/>
    </row>
    <row r="1438" customFormat="false" ht="19.4" hidden="false" customHeight="false" outlineLevel="0" collapsed="false">
      <c r="A1438" s="198" t="s">
        <v>3062</v>
      </c>
      <c r="B1438" s="199" t="s">
        <v>54</v>
      </c>
      <c r="C1438" s="198" t="n">
        <v>101</v>
      </c>
      <c r="D1438" s="198" t="n">
        <v>43</v>
      </c>
      <c r="E1438" s="198" t="s">
        <v>46</v>
      </c>
      <c r="F1438" s="198" t="s">
        <v>367</v>
      </c>
      <c r="G1438" s="198" t="s">
        <v>368</v>
      </c>
      <c r="H1438" s="198" t="s">
        <v>65</v>
      </c>
      <c r="I1438" s="199" t="s">
        <v>65</v>
      </c>
      <c r="J1438" s="198" t="s">
        <v>66</v>
      </c>
      <c r="K1438" s="198" t="s">
        <v>3018</v>
      </c>
      <c r="L1438" s="234" t="n">
        <v>28120</v>
      </c>
      <c r="M1438" s="234" t="n">
        <v>14650</v>
      </c>
      <c r="N1438" s="234" t="n">
        <v>17.5</v>
      </c>
      <c r="O1438" s="407" t="n">
        <v>13470</v>
      </c>
      <c r="P1438" s="407" t="n">
        <v>11112.8</v>
      </c>
      <c r="Q1438" s="234" t="n">
        <v>2026</v>
      </c>
      <c r="R1438" s="234" t="n">
        <v>57</v>
      </c>
      <c r="S1438" s="248" t="n">
        <v>46180</v>
      </c>
      <c r="T1438" s="407" t="n">
        <f aca="false">Таблица18[[#This Row],[Вес нетто]]-Таблица18[[#This Row],[Зачетный вес]]</f>
        <v>2357.2</v>
      </c>
      <c r="U1438" s="409" t="n">
        <f aca="false">Таблица18[[#This Row],[Отход]]/Таблица18[[#This Row],[Вес нетто]]</f>
        <v>0.174996288047513</v>
      </c>
      <c r="V1438" s="234" t="n">
        <f aca="false">MONTH(Таблица18[[#This Row],[Дата акта]])</f>
        <v>6</v>
      </c>
      <c r="W1438" s="234" t="n">
        <v>7</v>
      </c>
      <c r="X1438" s="248" t="n">
        <f aca="false">DATE(1900,Таблица18[[#This Row],[Месяц]],Таблица18[[#This Row],[Число]])</f>
        <v>159</v>
      </c>
      <c r="Y1438" s="234"/>
      <c r="AF1438" s="22"/>
      <c r="AG1438" s="414"/>
    </row>
    <row r="1439" customFormat="false" ht="28.35" hidden="false" customHeight="false" outlineLevel="0" collapsed="false">
      <c r="A1439" s="198" t="s">
        <v>3063</v>
      </c>
      <c r="B1439" s="199" t="s">
        <v>54</v>
      </c>
      <c r="C1439" s="198" t="n">
        <v>103</v>
      </c>
      <c r="D1439" s="198" t="n">
        <v>45</v>
      </c>
      <c r="E1439" s="198" t="s">
        <v>46</v>
      </c>
      <c r="F1439" s="198" t="s">
        <v>371</v>
      </c>
      <c r="G1439" s="198" t="s">
        <v>372</v>
      </c>
      <c r="H1439" s="198" t="s">
        <v>65</v>
      </c>
      <c r="I1439" s="199" t="s">
        <v>65</v>
      </c>
      <c r="J1439" s="198" t="s">
        <v>66</v>
      </c>
      <c r="K1439" s="198" t="s">
        <v>3018</v>
      </c>
      <c r="L1439" s="234" t="n">
        <v>28510</v>
      </c>
      <c r="M1439" s="234" t="n">
        <v>14930</v>
      </c>
      <c r="N1439" s="234" t="n">
        <v>18.5</v>
      </c>
      <c r="O1439" s="407" t="n">
        <v>13580</v>
      </c>
      <c r="P1439" s="407" t="n">
        <v>11067.7</v>
      </c>
      <c r="Q1439" s="234" t="n">
        <v>2026</v>
      </c>
      <c r="R1439" s="234" t="n">
        <v>59</v>
      </c>
      <c r="S1439" s="248" t="n">
        <v>46180</v>
      </c>
      <c r="T1439" s="407" t="n">
        <f aca="false">Таблица18[[#This Row],[Вес нетто]]-Таблица18[[#This Row],[Зачетный вес]]</f>
        <v>2512.3</v>
      </c>
      <c r="U1439" s="409" t="n">
        <f aca="false">Таблица18[[#This Row],[Отход]]/Таблица18[[#This Row],[Вес нетто]]</f>
        <v>0.185</v>
      </c>
      <c r="V1439" s="234" t="n">
        <f aca="false">MONTH(Таблица18[[#This Row],[Дата акта]])</f>
        <v>6</v>
      </c>
      <c r="W1439" s="234" t="n">
        <v>7</v>
      </c>
      <c r="X1439" s="248" t="n">
        <f aca="false">DATE(1900,Таблица18[[#This Row],[Месяц]],Таблица18[[#This Row],[Число]])</f>
        <v>159</v>
      </c>
      <c r="Y1439" s="234"/>
      <c r="AF1439" s="22"/>
      <c r="AG1439" s="414"/>
    </row>
    <row r="1440" customFormat="false" ht="19.4" hidden="false" customHeight="false" outlineLevel="0" collapsed="false">
      <c r="A1440" s="198" t="s">
        <v>3064</v>
      </c>
      <c r="B1440" s="199" t="s">
        <v>54</v>
      </c>
      <c r="C1440" s="198" t="n">
        <v>104</v>
      </c>
      <c r="D1440" s="198" t="n">
        <v>46</v>
      </c>
      <c r="E1440" s="198" t="s">
        <v>46</v>
      </c>
      <c r="F1440" s="198" t="s">
        <v>376</v>
      </c>
      <c r="G1440" s="198" t="s">
        <v>377</v>
      </c>
      <c r="H1440" s="198" t="s">
        <v>65</v>
      </c>
      <c r="I1440" s="199" t="s">
        <v>65</v>
      </c>
      <c r="J1440" s="198" t="s">
        <v>66</v>
      </c>
      <c r="K1440" s="198" t="s">
        <v>3018</v>
      </c>
      <c r="L1440" s="234" t="n">
        <v>27890</v>
      </c>
      <c r="M1440" s="234" t="n">
        <v>14350</v>
      </c>
      <c r="N1440" s="234" t="n">
        <v>18.5</v>
      </c>
      <c r="O1440" s="407" t="n">
        <v>13540</v>
      </c>
      <c r="P1440" s="407" t="n">
        <v>11035.1</v>
      </c>
      <c r="Q1440" s="234" t="n">
        <v>2026</v>
      </c>
      <c r="R1440" s="234" t="n">
        <v>60</v>
      </c>
      <c r="S1440" s="248" t="n">
        <v>46180</v>
      </c>
      <c r="T1440" s="407" t="n">
        <f aca="false">Таблица18[[#This Row],[Вес нетто]]-Таблица18[[#This Row],[Зачетный вес]]</f>
        <v>2504.9</v>
      </c>
      <c r="U1440" s="409" t="n">
        <f aca="false">Таблица18[[#This Row],[Отход]]/Таблица18[[#This Row],[Вес нетто]]</f>
        <v>0.185</v>
      </c>
      <c r="V1440" s="234" t="n">
        <f aca="false">MONTH(Таблица18[[#This Row],[Дата акта]])</f>
        <v>6</v>
      </c>
      <c r="W1440" s="234" t="n">
        <v>7</v>
      </c>
      <c r="X1440" s="248" t="n">
        <f aca="false">DATE(1900,Таблица18[[#This Row],[Месяц]],Таблица18[[#This Row],[Число]])</f>
        <v>159</v>
      </c>
      <c r="Y1440" s="234"/>
      <c r="AF1440" s="22"/>
      <c r="AG1440" s="414"/>
    </row>
    <row r="1441" customFormat="false" ht="28.35" hidden="false" customHeight="false" outlineLevel="0" collapsed="false">
      <c r="A1441" s="198" t="s">
        <v>3065</v>
      </c>
      <c r="B1441" s="199" t="s">
        <v>54</v>
      </c>
      <c r="C1441" s="198" t="n">
        <v>107</v>
      </c>
      <c r="D1441" s="198" t="n">
        <v>47</v>
      </c>
      <c r="E1441" s="198" t="s">
        <v>46</v>
      </c>
      <c r="F1441" s="198" t="s">
        <v>55</v>
      </c>
      <c r="G1441" s="198" t="s">
        <v>56</v>
      </c>
      <c r="H1441" s="198" t="s">
        <v>65</v>
      </c>
      <c r="I1441" s="199" t="s">
        <v>65</v>
      </c>
      <c r="J1441" s="198" t="s">
        <v>66</v>
      </c>
      <c r="K1441" s="198" t="s">
        <v>3018</v>
      </c>
      <c r="L1441" s="234" t="n">
        <v>28700</v>
      </c>
      <c r="M1441" s="234" t="n">
        <v>14820</v>
      </c>
      <c r="N1441" s="234" t="n">
        <v>20.5</v>
      </c>
      <c r="O1441" s="407" t="n">
        <v>13880</v>
      </c>
      <c r="P1441" s="407" t="n">
        <v>11034.6</v>
      </c>
      <c r="Q1441" s="234" t="n">
        <v>2026</v>
      </c>
      <c r="R1441" s="234" t="n">
        <v>61</v>
      </c>
      <c r="S1441" s="248" t="n">
        <v>46180</v>
      </c>
      <c r="T1441" s="407" t="n">
        <f aca="false">Таблица18[[#This Row],[Вес нетто]]-Таблица18[[#This Row],[Зачетный вес]]</f>
        <v>2845.4</v>
      </c>
      <c r="U1441" s="409" t="n">
        <f aca="false">Таблица18[[#This Row],[Отход]]/Таблица18[[#This Row],[Вес нетто]]</f>
        <v>0.205</v>
      </c>
      <c r="V1441" s="234" t="n">
        <f aca="false">MONTH(Таблица18[[#This Row],[Дата акта]])</f>
        <v>6</v>
      </c>
      <c r="W1441" s="234" t="n">
        <v>7</v>
      </c>
      <c r="X1441" s="248" t="n">
        <f aca="false">DATE(1900,Таблица18[[#This Row],[Месяц]],Таблица18[[#This Row],[Число]])</f>
        <v>159</v>
      </c>
      <c r="Y1441" s="234"/>
      <c r="AF1441" s="22"/>
      <c r="AG1441" s="414"/>
    </row>
    <row r="1442" customFormat="false" ht="28.35" hidden="false" customHeight="false" outlineLevel="0" collapsed="false">
      <c r="A1442" s="198" t="s">
        <v>3066</v>
      </c>
      <c r="B1442" s="199" t="s">
        <v>54</v>
      </c>
      <c r="C1442" s="198" t="n">
        <v>109</v>
      </c>
      <c r="D1442" s="198" t="n">
        <v>48</v>
      </c>
      <c r="E1442" s="198" t="s">
        <v>46</v>
      </c>
      <c r="F1442" s="198" t="s">
        <v>378</v>
      </c>
      <c r="G1442" s="198" t="s">
        <v>379</v>
      </c>
      <c r="H1442" s="198" t="s">
        <v>3033</v>
      </c>
      <c r="I1442" s="199" t="s">
        <v>65</v>
      </c>
      <c r="J1442" s="198" t="s">
        <v>66</v>
      </c>
      <c r="K1442" s="198" t="s">
        <v>3018</v>
      </c>
      <c r="L1442" s="234" t="n">
        <v>9160</v>
      </c>
      <c r="M1442" s="234" t="n">
        <v>4690</v>
      </c>
      <c r="N1442" s="234" t="n">
        <v>13.5</v>
      </c>
      <c r="O1442" s="407" t="n">
        <v>4470</v>
      </c>
      <c r="P1442" s="407" t="n">
        <v>3866.5</v>
      </c>
      <c r="Q1442" s="234" t="n">
        <v>2026</v>
      </c>
      <c r="R1442" s="234" t="n">
        <v>62</v>
      </c>
      <c r="S1442" s="248" t="n">
        <v>46180</v>
      </c>
      <c r="T1442" s="407" t="n">
        <f aca="false">Таблица18[[#This Row],[Вес нетто]]-Таблица18[[#This Row],[Зачетный вес]]</f>
        <v>603.5</v>
      </c>
      <c r="U1442" s="409" t="n">
        <f aca="false">Таблица18[[#This Row],[Отход]]/Таблица18[[#This Row],[Вес нетто]]</f>
        <v>0.135011185682327</v>
      </c>
      <c r="V1442" s="234" t="n">
        <f aca="false">MONTH(Таблица18[[#This Row],[Дата акта]])</f>
        <v>6</v>
      </c>
      <c r="W1442" s="234" t="n">
        <v>7</v>
      </c>
      <c r="X1442" s="248" t="n">
        <f aca="false">DATE(1900,Таблица18[[#This Row],[Месяц]],Таблица18[[#This Row],[Число]])</f>
        <v>159</v>
      </c>
      <c r="Y1442" s="234"/>
      <c r="AF1442" s="22"/>
      <c r="AG1442" s="414"/>
    </row>
    <row r="1443" customFormat="false" ht="19.4" hidden="false" customHeight="false" outlineLevel="0" collapsed="false">
      <c r="A1443" s="198" t="s">
        <v>3067</v>
      </c>
      <c r="B1443" s="199" t="s">
        <v>54</v>
      </c>
      <c r="C1443" s="198" t="n">
        <v>111</v>
      </c>
      <c r="D1443" s="198" t="n">
        <v>49</v>
      </c>
      <c r="E1443" s="198" t="s">
        <v>46</v>
      </c>
      <c r="F1443" s="198" t="s">
        <v>380</v>
      </c>
      <c r="G1443" s="198" t="s">
        <v>381</v>
      </c>
      <c r="H1443" s="198" t="s">
        <v>3033</v>
      </c>
      <c r="I1443" s="199" t="s">
        <v>65</v>
      </c>
      <c r="J1443" s="198" t="s">
        <v>66</v>
      </c>
      <c r="K1443" s="198" t="s">
        <v>3018</v>
      </c>
      <c r="L1443" s="234" t="n">
        <v>28230</v>
      </c>
      <c r="M1443" s="234" t="n">
        <v>14350</v>
      </c>
      <c r="N1443" s="234" t="n">
        <v>16.5</v>
      </c>
      <c r="O1443" s="407" t="n">
        <v>13880</v>
      </c>
      <c r="P1443" s="407" t="n">
        <v>11589.8</v>
      </c>
      <c r="Q1443" s="234" t="n">
        <v>2026</v>
      </c>
      <c r="R1443" s="234" t="n">
        <v>63</v>
      </c>
      <c r="S1443" s="248" t="n">
        <v>46180</v>
      </c>
      <c r="T1443" s="407" t="n">
        <f aca="false">Таблица18[[#This Row],[Вес нетто]]-Таблица18[[#This Row],[Зачетный вес]]</f>
        <v>2290.2</v>
      </c>
      <c r="U1443" s="409" t="n">
        <f aca="false">Таблица18[[#This Row],[Отход]]/Таблица18[[#This Row],[Вес нетто]]</f>
        <v>0.165</v>
      </c>
      <c r="V1443" s="234" t="n">
        <f aca="false">MONTH(Таблица18[[#This Row],[Дата акта]])</f>
        <v>6</v>
      </c>
      <c r="W1443" s="234" t="n">
        <v>7</v>
      </c>
      <c r="X1443" s="248" t="n">
        <f aca="false">DATE(1900,Таблица18[[#This Row],[Месяц]],Таблица18[[#This Row],[Число]])</f>
        <v>159</v>
      </c>
      <c r="Y1443" s="234"/>
      <c r="AF1443" s="22"/>
      <c r="AG1443" s="414"/>
    </row>
    <row r="1444" customFormat="false" ht="19.4" hidden="false" customHeight="false" outlineLevel="0" collapsed="false">
      <c r="A1444" s="198" t="s">
        <v>3068</v>
      </c>
      <c r="B1444" s="199" t="s">
        <v>54</v>
      </c>
      <c r="C1444" s="198" t="n">
        <v>113</v>
      </c>
      <c r="D1444" s="198" t="n">
        <v>50</v>
      </c>
      <c r="E1444" s="198" t="s">
        <v>46</v>
      </c>
      <c r="F1444" s="198" t="s">
        <v>382</v>
      </c>
      <c r="G1444" s="198" t="s">
        <v>383</v>
      </c>
      <c r="H1444" s="198" t="s">
        <v>65</v>
      </c>
      <c r="I1444" s="199" t="s">
        <v>65</v>
      </c>
      <c r="J1444" s="198" t="s">
        <v>66</v>
      </c>
      <c r="K1444" s="198" t="s">
        <v>3018</v>
      </c>
      <c r="L1444" s="234" t="n">
        <v>26920</v>
      </c>
      <c r="M1444" s="234" t="n">
        <v>15000</v>
      </c>
      <c r="N1444" s="234" t="n">
        <v>29.5</v>
      </c>
      <c r="O1444" s="407" t="n">
        <v>11920</v>
      </c>
      <c r="P1444" s="407" t="n">
        <v>8403.6</v>
      </c>
      <c r="Q1444" s="234" t="n">
        <v>2026</v>
      </c>
      <c r="R1444" s="234" t="n">
        <v>64</v>
      </c>
      <c r="S1444" s="248" t="n">
        <v>46180</v>
      </c>
      <c r="T1444" s="407" t="n">
        <f aca="false">Таблица18[[#This Row],[Вес нетто]]-Таблица18[[#This Row],[Зачетный вес]]</f>
        <v>3516.4</v>
      </c>
      <c r="U1444" s="409" t="n">
        <f aca="false">Таблица18[[#This Row],[Отход]]/Таблица18[[#This Row],[Вес нетто]]</f>
        <v>0.295</v>
      </c>
      <c r="V1444" s="234" t="n">
        <f aca="false">MONTH(Таблица18[[#This Row],[Дата акта]])</f>
        <v>6</v>
      </c>
      <c r="W1444" s="234" t="n">
        <v>7</v>
      </c>
      <c r="X1444" s="248" t="n">
        <f aca="false">DATE(1900,Таблица18[[#This Row],[Месяц]],Таблица18[[#This Row],[Число]])</f>
        <v>159</v>
      </c>
      <c r="Y1444" s="234"/>
      <c r="AF1444" s="22"/>
      <c r="AG1444" s="414"/>
    </row>
    <row r="1445" customFormat="false" ht="28.35" hidden="false" customHeight="false" outlineLevel="0" collapsed="false">
      <c r="A1445" s="198" t="s">
        <v>3069</v>
      </c>
      <c r="B1445" s="199" t="s">
        <v>54</v>
      </c>
      <c r="C1445" s="198" t="n">
        <v>114</v>
      </c>
      <c r="D1445" s="198" t="n">
        <v>51</v>
      </c>
      <c r="E1445" s="198" t="s">
        <v>46</v>
      </c>
      <c r="F1445" s="198" t="s">
        <v>378</v>
      </c>
      <c r="G1445" s="198" t="s">
        <v>379</v>
      </c>
      <c r="H1445" s="198" t="s">
        <v>3033</v>
      </c>
      <c r="I1445" s="199" t="s">
        <v>65</v>
      </c>
      <c r="J1445" s="198" t="s">
        <v>66</v>
      </c>
      <c r="K1445" s="198" t="s">
        <v>3018</v>
      </c>
      <c r="L1445" s="234" t="n">
        <v>6500</v>
      </c>
      <c r="M1445" s="234" t="n">
        <v>4670</v>
      </c>
      <c r="N1445" s="234" t="n">
        <v>14.5</v>
      </c>
      <c r="O1445" s="407" t="n">
        <v>1830</v>
      </c>
      <c r="P1445" s="407" t="n">
        <v>1564.6</v>
      </c>
      <c r="Q1445" s="234" t="n">
        <v>2026</v>
      </c>
      <c r="R1445" s="234" t="n">
        <v>65</v>
      </c>
      <c r="S1445" s="248" t="n">
        <v>46180</v>
      </c>
      <c r="T1445" s="407" t="n">
        <f aca="false">Таблица18[[#This Row],[Вес нетто]]-Таблица18[[#This Row],[Зачетный вес]]</f>
        <v>265.4</v>
      </c>
      <c r="U1445" s="409" t="n">
        <f aca="false">Таблица18[[#This Row],[Отход]]/Таблица18[[#This Row],[Вес нетто]]</f>
        <v>0.145027322404372</v>
      </c>
      <c r="V1445" s="234" t="n">
        <f aca="false">MONTH(Таблица18[[#This Row],[Дата акта]])</f>
        <v>6</v>
      </c>
      <c r="W1445" s="234" t="n">
        <v>7</v>
      </c>
      <c r="X1445" s="248" t="n">
        <f aca="false">DATE(1900,Таблица18[[#This Row],[Месяц]],Таблица18[[#This Row],[Число]])</f>
        <v>159</v>
      </c>
      <c r="Y1445" s="234"/>
      <c r="AF1445" s="22"/>
      <c r="AG1445" s="414"/>
    </row>
    <row r="1446" customFormat="false" ht="19.4" hidden="false" customHeight="false" outlineLevel="0" collapsed="false">
      <c r="A1446" s="198" t="s">
        <v>3070</v>
      </c>
      <c r="B1446" s="199" t="s">
        <v>54</v>
      </c>
      <c r="C1446" s="198" t="n">
        <v>115</v>
      </c>
      <c r="D1446" s="198" t="n">
        <v>52</v>
      </c>
      <c r="E1446" s="198" t="s">
        <v>46</v>
      </c>
      <c r="F1446" s="198" t="s">
        <v>384</v>
      </c>
      <c r="G1446" s="198" t="s">
        <v>385</v>
      </c>
      <c r="H1446" s="198" t="s">
        <v>3033</v>
      </c>
      <c r="I1446" s="199" t="s">
        <v>65</v>
      </c>
      <c r="J1446" s="198" t="s">
        <v>66</v>
      </c>
      <c r="K1446" s="198" t="s">
        <v>3018</v>
      </c>
      <c r="L1446" s="234" t="n">
        <v>29950</v>
      </c>
      <c r="M1446" s="234" t="n">
        <v>14550</v>
      </c>
      <c r="N1446" s="234" t="n">
        <v>13.5</v>
      </c>
      <c r="O1446" s="407" t="n">
        <v>15400</v>
      </c>
      <c r="P1446" s="407" t="n">
        <v>13321</v>
      </c>
      <c r="Q1446" s="234" t="n">
        <v>2026</v>
      </c>
      <c r="R1446" s="234" t="n">
        <v>66</v>
      </c>
      <c r="S1446" s="248" t="n">
        <v>46180</v>
      </c>
      <c r="T1446" s="407" t="n">
        <f aca="false">Таблица18[[#This Row],[Вес нетто]]-Таблица18[[#This Row],[Зачетный вес]]</f>
        <v>2079</v>
      </c>
      <c r="U1446" s="409" t="n">
        <f aca="false">Таблица18[[#This Row],[Отход]]/Таблица18[[#This Row],[Вес нетто]]</f>
        <v>0.135</v>
      </c>
      <c r="V1446" s="234" t="n">
        <f aca="false">MONTH(Таблица18[[#This Row],[Дата акта]])</f>
        <v>6</v>
      </c>
      <c r="W1446" s="234" t="n">
        <v>7</v>
      </c>
      <c r="X1446" s="248" t="n">
        <f aca="false">DATE(1900,Таблица18[[#This Row],[Месяц]],Таблица18[[#This Row],[Число]])</f>
        <v>159</v>
      </c>
      <c r="Y1446" s="234"/>
      <c r="AF1446" s="22"/>
      <c r="AG1446" s="414"/>
    </row>
    <row r="1447" customFormat="false" ht="28.35" hidden="false" customHeight="false" outlineLevel="0" collapsed="false">
      <c r="A1447" s="198" t="s">
        <v>3071</v>
      </c>
      <c r="B1447" s="199" t="s">
        <v>54</v>
      </c>
      <c r="C1447" s="198" t="n">
        <v>117</v>
      </c>
      <c r="D1447" s="198" t="n">
        <v>53</v>
      </c>
      <c r="E1447" s="198" t="s">
        <v>46</v>
      </c>
      <c r="F1447" s="198" t="s">
        <v>55</v>
      </c>
      <c r="G1447" s="198" t="s">
        <v>56</v>
      </c>
      <c r="H1447" s="198" t="s">
        <v>50</v>
      </c>
      <c r="I1447" s="199" t="s">
        <v>50</v>
      </c>
      <c r="J1447" s="198" t="s">
        <v>47</v>
      </c>
      <c r="K1447" s="198" t="s">
        <v>3018</v>
      </c>
      <c r="L1447" s="234" t="n">
        <v>28200</v>
      </c>
      <c r="M1447" s="234" t="n">
        <v>14800</v>
      </c>
      <c r="N1447" s="234" t="n">
        <v>20.5</v>
      </c>
      <c r="O1447" s="407" t="n">
        <v>13400</v>
      </c>
      <c r="P1447" s="407" t="n">
        <v>10653</v>
      </c>
      <c r="Q1447" s="234" t="n">
        <v>2026</v>
      </c>
      <c r="R1447" s="234" t="n">
        <v>67</v>
      </c>
      <c r="S1447" s="248" t="n">
        <v>46180</v>
      </c>
      <c r="T1447" s="407" t="n">
        <f aca="false">Таблица18[[#This Row],[Вес нетто]]-Таблица18[[#This Row],[Зачетный вес]]</f>
        <v>2747</v>
      </c>
      <c r="U1447" s="409" t="n">
        <f aca="false">Таблица18[[#This Row],[Отход]]/Таблица18[[#This Row],[Вес нетто]]</f>
        <v>0.205</v>
      </c>
      <c r="V1447" s="234" t="n">
        <f aca="false">MONTH(Таблица18[[#This Row],[Дата акта]])</f>
        <v>6</v>
      </c>
      <c r="W1447" s="234" t="n">
        <v>7</v>
      </c>
      <c r="X1447" s="248" t="n">
        <f aca="false">DATE(1900,Таблица18[[#This Row],[Месяц]],Таблица18[[#This Row],[Число]])</f>
        <v>159</v>
      </c>
      <c r="Y1447" s="234"/>
      <c r="AF1447" s="22"/>
      <c r="AG1447" s="414"/>
    </row>
    <row r="1448" customFormat="false" ht="19.4" hidden="false" customHeight="false" outlineLevel="0" collapsed="false">
      <c r="A1448" s="198" t="s">
        <v>3072</v>
      </c>
      <c r="B1448" s="199" t="s">
        <v>54</v>
      </c>
      <c r="C1448" s="198" t="n">
        <v>118</v>
      </c>
      <c r="D1448" s="198" t="n">
        <v>54</v>
      </c>
      <c r="E1448" s="198" t="s">
        <v>46</v>
      </c>
      <c r="F1448" s="198" t="s">
        <v>380</v>
      </c>
      <c r="G1448" s="198" t="s">
        <v>381</v>
      </c>
      <c r="H1448" s="198" t="s">
        <v>50</v>
      </c>
      <c r="I1448" s="199" t="s">
        <v>50</v>
      </c>
      <c r="J1448" s="198" t="s">
        <v>47</v>
      </c>
      <c r="K1448" s="198" t="s">
        <v>3018</v>
      </c>
      <c r="L1448" s="234" t="n">
        <v>27470</v>
      </c>
      <c r="M1448" s="234" t="n">
        <v>14320</v>
      </c>
      <c r="N1448" s="234" t="n">
        <v>19.5</v>
      </c>
      <c r="O1448" s="407" t="n">
        <v>13150</v>
      </c>
      <c r="P1448" s="407" t="n">
        <v>10585.7</v>
      </c>
      <c r="Q1448" s="234" t="n">
        <v>2026</v>
      </c>
      <c r="R1448" s="234" t="n">
        <v>68</v>
      </c>
      <c r="S1448" s="248" t="n">
        <v>46180</v>
      </c>
      <c r="T1448" s="407" t="n">
        <f aca="false">Таблица18[[#This Row],[Вес нетто]]-Таблица18[[#This Row],[Зачетный вес]]</f>
        <v>2564.3</v>
      </c>
      <c r="U1448" s="409" t="n">
        <f aca="false">Таблица18[[#This Row],[Отход]]/Таблица18[[#This Row],[Вес нетто]]</f>
        <v>0.195003802281369</v>
      </c>
      <c r="V1448" s="234" t="n">
        <f aca="false">MONTH(Таблица18[[#This Row],[Дата акта]])</f>
        <v>6</v>
      </c>
      <c r="W1448" s="234" t="n">
        <v>7</v>
      </c>
      <c r="X1448" s="248" t="n">
        <f aca="false">DATE(1900,Таблица18[[#This Row],[Месяц]],Таблица18[[#This Row],[Число]])</f>
        <v>159</v>
      </c>
      <c r="Y1448" s="234"/>
      <c r="AF1448" s="22"/>
      <c r="AG1448" s="414"/>
    </row>
    <row r="1449" customFormat="false" ht="19.4" hidden="false" customHeight="false" outlineLevel="0" collapsed="false">
      <c r="A1449" s="198" t="s">
        <v>3073</v>
      </c>
      <c r="B1449" s="199" t="s">
        <v>54</v>
      </c>
      <c r="C1449" s="198" t="n">
        <v>119</v>
      </c>
      <c r="D1449" s="198" t="n">
        <v>55</v>
      </c>
      <c r="E1449" s="198" t="s">
        <v>46</v>
      </c>
      <c r="F1449" s="198" t="s">
        <v>382</v>
      </c>
      <c r="G1449" s="198" t="s">
        <v>383</v>
      </c>
      <c r="H1449" s="198" t="s">
        <v>50</v>
      </c>
      <c r="I1449" s="199" t="s">
        <v>50</v>
      </c>
      <c r="J1449" s="198" t="s">
        <v>47</v>
      </c>
      <c r="K1449" s="198" t="s">
        <v>3018</v>
      </c>
      <c r="L1449" s="234" t="n">
        <v>28450</v>
      </c>
      <c r="M1449" s="234" t="n">
        <v>15000</v>
      </c>
      <c r="N1449" s="234" t="n">
        <v>19.5</v>
      </c>
      <c r="O1449" s="407" t="n">
        <v>13450</v>
      </c>
      <c r="P1449" s="407" t="n">
        <v>10827.2</v>
      </c>
      <c r="Q1449" s="234" t="n">
        <v>2026</v>
      </c>
      <c r="R1449" s="234" t="n">
        <v>69</v>
      </c>
      <c r="S1449" s="248" t="n">
        <v>46180</v>
      </c>
      <c r="T1449" s="407" t="n">
        <f aca="false">Таблица18[[#This Row],[Вес нетто]]-Таблица18[[#This Row],[Зачетный вес]]</f>
        <v>2622.8</v>
      </c>
      <c r="U1449" s="409" t="n">
        <f aca="false">Таблица18[[#This Row],[Отход]]/Таблица18[[#This Row],[Вес нетто]]</f>
        <v>0.195003717472119</v>
      </c>
      <c r="V1449" s="234" t="n">
        <f aca="false">MONTH(Таблица18[[#This Row],[Дата акта]])</f>
        <v>6</v>
      </c>
      <c r="W1449" s="234" t="n">
        <v>7</v>
      </c>
      <c r="X1449" s="248" t="n">
        <f aca="false">DATE(1900,Таблица18[[#This Row],[Месяц]],Таблица18[[#This Row],[Число]])</f>
        <v>159</v>
      </c>
      <c r="Y1449" s="234"/>
      <c r="AF1449" s="22"/>
      <c r="AG1449" s="414"/>
    </row>
    <row r="1450" customFormat="false" ht="28.35" hidden="false" customHeight="false" outlineLevel="0" collapsed="false">
      <c r="A1450" s="198" t="s">
        <v>3074</v>
      </c>
      <c r="B1450" s="199" t="s">
        <v>54</v>
      </c>
      <c r="C1450" s="198" t="n">
        <v>120</v>
      </c>
      <c r="D1450" s="198" t="n">
        <v>56</v>
      </c>
      <c r="E1450" s="198" t="s">
        <v>46</v>
      </c>
      <c r="F1450" s="198" t="s">
        <v>378</v>
      </c>
      <c r="G1450" s="198" t="s">
        <v>379</v>
      </c>
      <c r="H1450" s="198" t="s">
        <v>50</v>
      </c>
      <c r="I1450" s="199" t="s">
        <v>50</v>
      </c>
      <c r="J1450" s="198" t="s">
        <v>47</v>
      </c>
      <c r="K1450" s="198" t="s">
        <v>3018</v>
      </c>
      <c r="L1450" s="234" t="n">
        <v>9260</v>
      </c>
      <c r="M1450" s="234" t="n">
        <v>4670</v>
      </c>
      <c r="N1450" s="234" t="n">
        <v>18.5</v>
      </c>
      <c r="O1450" s="407" t="n">
        <v>4590</v>
      </c>
      <c r="P1450" s="407" t="n">
        <v>3740.8</v>
      </c>
      <c r="Q1450" s="234" t="n">
        <v>2026</v>
      </c>
      <c r="R1450" s="234" t="n">
        <v>70</v>
      </c>
      <c r="S1450" s="248" t="n">
        <v>46180</v>
      </c>
      <c r="T1450" s="407" t="n">
        <f aca="false">Таблица18[[#This Row],[Вес нетто]]-Таблица18[[#This Row],[Зачетный вес]]</f>
        <v>849.2</v>
      </c>
      <c r="U1450" s="409" t="n">
        <f aca="false">Таблица18[[#This Row],[Отход]]/Таблица18[[#This Row],[Вес нетто]]</f>
        <v>0.185010893246187</v>
      </c>
      <c r="V1450" s="234" t="n">
        <f aca="false">MONTH(Таблица18[[#This Row],[Дата акта]])</f>
        <v>6</v>
      </c>
      <c r="W1450" s="234" t="n">
        <v>7</v>
      </c>
      <c r="X1450" s="248" t="n">
        <f aca="false">DATE(1900,Таблица18[[#This Row],[Месяц]],Таблица18[[#This Row],[Число]])</f>
        <v>159</v>
      </c>
      <c r="Y1450" s="234"/>
      <c r="AF1450" s="22"/>
      <c r="AG1450" s="414"/>
    </row>
    <row r="1451" customFormat="false" ht="19.4" hidden="false" customHeight="false" outlineLevel="0" collapsed="false">
      <c r="A1451" s="198" t="s">
        <v>3075</v>
      </c>
      <c r="B1451" s="199" t="s">
        <v>54</v>
      </c>
      <c r="C1451" s="198" t="n">
        <v>121</v>
      </c>
      <c r="D1451" s="198" t="n">
        <v>57</v>
      </c>
      <c r="E1451" s="198" t="s">
        <v>46</v>
      </c>
      <c r="F1451" s="198" t="s">
        <v>384</v>
      </c>
      <c r="G1451" s="198" t="s">
        <v>385</v>
      </c>
      <c r="H1451" s="198" t="s">
        <v>50</v>
      </c>
      <c r="I1451" s="199" t="s">
        <v>50</v>
      </c>
      <c r="J1451" s="198" t="s">
        <v>47</v>
      </c>
      <c r="K1451" s="198" t="s">
        <v>3018</v>
      </c>
      <c r="L1451" s="234" t="n">
        <v>27980</v>
      </c>
      <c r="M1451" s="234" t="n">
        <v>14530</v>
      </c>
      <c r="N1451" s="234" t="n">
        <v>19.5</v>
      </c>
      <c r="O1451" s="407" t="n">
        <v>13450</v>
      </c>
      <c r="P1451" s="407" t="n">
        <v>10827.2</v>
      </c>
      <c r="Q1451" s="234" t="n">
        <v>2026</v>
      </c>
      <c r="R1451" s="234" t="n">
        <v>71</v>
      </c>
      <c r="S1451" s="248" t="n">
        <v>46180</v>
      </c>
      <c r="T1451" s="407" t="n">
        <f aca="false">Таблица18[[#This Row],[Вес нетто]]-Таблица18[[#This Row],[Зачетный вес]]</f>
        <v>2622.8</v>
      </c>
      <c r="U1451" s="409" t="n">
        <f aca="false">Таблица18[[#This Row],[Отход]]/Таблица18[[#This Row],[Вес нетто]]</f>
        <v>0.195003717472119</v>
      </c>
      <c r="V1451" s="234" t="n">
        <f aca="false">MONTH(Таблица18[[#This Row],[Дата акта]])</f>
        <v>6</v>
      </c>
      <c r="W1451" s="234" t="n">
        <v>7</v>
      </c>
      <c r="X1451" s="248" t="n">
        <f aca="false">DATE(1900,Таблица18[[#This Row],[Месяц]],Таблица18[[#This Row],[Число]])</f>
        <v>159</v>
      </c>
      <c r="Y1451" s="234"/>
      <c r="AF1451" s="22"/>
      <c r="AG1451" s="414"/>
    </row>
    <row r="1452" customFormat="false" ht="28.35" hidden="false" customHeight="false" outlineLevel="0" collapsed="false">
      <c r="A1452" s="198" t="s">
        <v>3076</v>
      </c>
      <c r="B1452" s="199" t="s">
        <v>54</v>
      </c>
      <c r="C1452" s="198" t="n">
        <v>122</v>
      </c>
      <c r="D1452" s="198" t="n">
        <v>58</v>
      </c>
      <c r="E1452" s="198" t="s">
        <v>46</v>
      </c>
      <c r="F1452" s="198" t="s">
        <v>55</v>
      </c>
      <c r="G1452" s="198" t="s">
        <v>56</v>
      </c>
      <c r="H1452" s="198" t="s">
        <v>50</v>
      </c>
      <c r="I1452" s="199" t="s">
        <v>50</v>
      </c>
      <c r="J1452" s="198" t="s">
        <v>47</v>
      </c>
      <c r="K1452" s="198" t="s">
        <v>3018</v>
      </c>
      <c r="L1452" s="234" t="n">
        <v>28040</v>
      </c>
      <c r="M1452" s="234" t="n">
        <v>14790</v>
      </c>
      <c r="N1452" s="234" t="n">
        <v>17</v>
      </c>
      <c r="O1452" s="407" t="n">
        <v>13250</v>
      </c>
      <c r="P1452" s="407" t="n">
        <v>10997.5</v>
      </c>
      <c r="Q1452" s="234" t="n">
        <v>2026</v>
      </c>
      <c r="R1452" s="234" t="n">
        <v>72</v>
      </c>
      <c r="S1452" s="248" t="n">
        <v>46180</v>
      </c>
      <c r="T1452" s="407" t="n">
        <f aca="false">Таблица18[[#This Row],[Вес нетто]]-Таблица18[[#This Row],[Зачетный вес]]</f>
        <v>2252.5</v>
      </c>
      <c r="U1452" s="409" t="n">
        <f aca="false">Таблица18[[#This Row],[Отход]]/Таблица18[[#This Row],[Вес нетто]]</f>
        <v>0.17</v>
      </c>
      <c r="V1452" s="234" t="n">
        <f aca="false">MONTH(Таблица18[[#This Row],[Дата акта]])</f>
        <v>6</v>
      </c>
      <c r="W1452" s="234" t="n">
        <v>7</v>
      </c>
      <c r="X1452" s="248" t="n">
        <f aca="false">DATE(1900,Таблица18[[#This Row],[Месяц]],Таблица18[[#This Row],[Число]])</f>
        <v>159</v>
      </c>
      <c r="Y1452" s="234"/>
      <c r="AF1452" s="22"/>
      <c r="AG1452" s="414"/>
    </row>
    <row r="1453" customFormat="false" ht="19.4" hidden="false" customHeight="false" outlineLevel="0" collapsed="false">
      <c r="A1453" s="198" t="s">
        <v>3077</v>
      </c>
      <c r="B1453" s="199" t="s">
        <v>54</v>
      </c>
      <c r="C1453" s="198" t="n">
        <v>123</v>
      </c>
      <c r="D1453" s="198" t="n">
        <v>59</v>
      </c>
      <c r="E1453" s="198" t="s">
        <v>46</v>
      </c>
      <c r="F1453" s="198" t="s">
        <v>380</v>
      </c>
      <c r="G1453" s="198" t="s">
        <v>381</v>
      </c>
      <c r="H1453" s="198" t="s">
        <v>50</v>
      </c>
      <c r="I1453" s="199" t="s">
        <v>50</v>
      </c>
      <c r="J1453" s="198" t="s">
        <v>47</v>
      </c>
      <c r="K1453" s="198" t="s">
        <v>3018</v>
      </c>
      <c r="L1453" s="234" t="n">
        <v>27630</v>
      </c>
      <c r="M1453" s="234" t="n">
        <v>14320</v>
      </c>
      <c r="N1453" s="234" t="n">
        <v>19.5</v>
      </c>
      <c r="O1453" s="407" t="n">
        <v>13310</v>
      </c>
      <c r="P1453" s="407" t="n">
        <v>10714.5</v>
      </c>
      <c r="Q1453" s="234" t="n">
        <v>2026</v>
      </c>
      <c r="R1453" s="234" t="n">
        <v>73</v>
      </c>
      <c r="S1453" s="248" t="n">
        <v>46180</v>
      </c>
      <c r="T1453" s="407" t="n">
        <f aca="false">Таблица18[[#This Row],[Вес нетто]]-Таблица18[[#This Row],[Зачетный вес]]</f>
        <v>2595.5</v>
      </c>
      <c r="U1453" s="409" t="n">
        <f aca="false">Таблица18[[#This Row],[Отход]]/Таблица18[[#This Row],[Вес нетто]]</f>
        <v>0.195003756574005</v>
      </c>
      <c r="V1453" s="234" t="n">
        <f aca="false">MONTH(Таблица18[[#This Row],[Дата акта]])</f>
        <v>6</v>
      </c>
      <c r="W1453" s="234" t="n">
        <v>7</v>
      </c>
      <c r="X1453" s="248" t="n">
        <f aca="false">DATE(1900,Таблица18[[#This Row],[Месяц]],Таблица18[[#This Row],[Число]])</f>
        <v>159</v>
      </c>
      <c r="Y1453" s="234"/>
      <c r="AF1453" s="22"/>
      <c r="AG1453" s="414"/>
    </row>
    <row r="1454" customFormat="false" ht="19.4" hidden="false" customHeight="false" outlineLevel="0" collapsed="false">
      <c r="A1454" s="198" t="s">
        <v>3078</v>
      </c>
      <c r="B1454" s="199" t="s">
        <v>54</v>
      </c>
      <c r="C1454" s="198" t="n">
        <v>124</v>
      </c>
      <c r="D1454" s="198" t="n">
        <v>60</v>
      </c>
      <c r="E1454" s="198" t="s">
        <v>46</v>
      </c>
      <c r="F1454" s="198" t="s">
        <v>382</v>
      </c>
      <c r="G1454" s="198" t="s">
        <v>383</v>
      </c>
      <c r="H1454" s="198" t="s">
        <v>50</v>
      </c>
      <c r="I1454" s="199" t="s">
        <v>50</v>
      </c>
      <c r="J1454" s="198" t="s">
        <v>47</v>
      </c>
      <c r="K1454" s="198" t="s">
        <v>3018</v>
      </c>
      <c r="L1454" s="234" t="n">
        <v>28410</v>
      </c>
      <c r="M1454" s="234" t="n">
        <v>15000</v>
      </c>
      <c r="N1454" s="234" t="n">
        <v>17</v>
      </c>
      <c r="O1454" s="407" t="n">
        <v>13410</v>
      </c>
      <c r="P1454" s="407" t="n">
        <v>11130.3</v>
      </c>
      <c r="Q1454" s="234" t="n">
        <v>2026</v>
      </c>
      <c r="R1454" s="234" t="n">
        <v>75</v>
      </c>
      <c r="S1454" s="248" t="n">
        <v>46180</v>
      </c>
      <c r="T1454" s="407" t="n">
        <f aca="false">Таблица18[[#This Row],[Вес нетто]]-Таблица18[[#This Row],[Зачетный вес]]</f>
        <v>2279.7</v>
      </c>
      <c r="U1454" s="409" t="n">
        <f aca="false">Таблица18[[#This Row],[Отход]]/Таблица18[[#This Row],[Вес нетто]]</f>
        <v>0.17</v>
      </c>
      <c r="V1454" s="234" t="n">
        <f aca="false">MONTH(Таблица18[[#This Row],[Дата акта]])</f>
        <v>6</v>
      </c>
      <c r="W1454" s="234" t="n">
        <v>7</v>
      </c>
      <c r="X1454" s="248" t="n">
        <f aca="false">DATE(1900,Таблица18[[#This Row],[Месяц]],Таблица18[[#This Row],[Число]])</f>
        <v>159</v>
      </c>
      <c r="Y1454" s="234"/>
      <c r="AF1454" s="22"/>
      <c r="AG1454" s="414"/>
    </row>
    <row r="1455" customFormat="false" ht="28.35" hidden="false" customHeight="false" outlineLevel="0" collapsed="false">
      <c r="A1455" s="198" t="s">
        <v>3079</v>
      </c>
      <c r="B1455" s="199" t="s">
        <v>54</v>
      </c>
      <c r="C1455" s="198" t="n">
        <v>125</v>
      </c>
      <c r="D1455" s="198" t="n">
        <v>61</v>
      </c>
      <c r="E1455" s="198" t="s">
        <v>46</v>
      </c>
      <c r="F1455" s="198" t="s">
        <v>378</v>
      </c>
      <c r="G1455" s="198" t="s">
        <v>379</v>
      </c>
      <c r="H1455" s="198" t="s">
        <v>50</v>
      </c>
      <c r="I1455" s="199" t="s">
        <v>50</v>
      </c>
      <c r="J1455" s="198" t="s">
        <v>47</v>
      </c>
      <c r="K1455" s="198" t="s">
        <v>3018</v>
      </c>
      <c r="L1455" s="234" t="n">
        <v>9170</v>
      </c>
      <c r="M1455" s="234" t="n">
        <v>4670</v>
      </c>
      <c r="N1455" s="234" t="n">
        <v>19.5</v>
      </c>
      <c r="O1455" s="407" t="n">
        <v>4500</v>
      </c>
      <c r="P1455" s="407" t="n">
        <v>3622.5</v>
      </c>
      <c r="Q1455" s="234" t="n">
        <v>2026</v>
      </c>
      <c r="R1455" s="234" t="n">
        <v>74</v>
      </c>
      <c r="S1455" s="248" t="n">
        <v>46180</v>
      </c>
      <c r="T1455" s="407" t="n">
        <f aca="false">Таблица18[[#This Row],[Вес нетто]]-Таблица18[[#This Row],[Зачетный вес]]</f>
        <v>877.5</v>
      </c>
      <c r="U1455" s="409" t="n">
        <f aca="false">Таблица18[[#This Row],[Отход]]/Таблица18[[#This Row],[Вес нетто]]</f>
        <v>0.195</v>
      </c>
      <c r="V1455" s="234" t="n">
        <f aca="false">MONTH(Таблица18[[#This Row],[Дата акта]])</f>
        <v>6</v>
      </c>
      <c r="W1455" s="234" t="n">
        <v>7</v>
      </c>
      <c r="X1455" s="248" t="n">
        <f aca="false">DATE(1900,Таблица18[[#This Row],[Месяц]],Таблица18[[#This Row],[Число]])</f>
        <v>159</v>
      </c>
      <c r="Y1455" s="234"/>
      <c r="AF1455" s="22"/>
      <c r="AG1455" s="414"/>
    </row>
    <row r="1456" customFormat="false" ht="19.4" hidden="false" customHeight="false" outlineLevel="0" collapsed="false">
      <c r="A1456" s="198" t="s">
        <v>3080</v>
      </c>
      <c r="B1456" s="199" t="s">
        <v>54</v>
      </c>
      <c r="C1456" s="198" t="n">
        <v>126</v>
      </c>
      <c r="D1456" s="198" t="n">
        <v>62</v>
      </c>
      <c r="E1456" s="198" t="s">
        <v>46</v>
      </c>
      <c r="F1456" s="198" t="s">
        <v>384</v>
      </c>
      <c r="G1456" s="198" t="s">
        <v>385</v>
      </c>
      <c r="H1456" s="198" t="s">
        <v>50</v>
      </c>
      <c r="I1456" s="199" t="s">
        <v>50</v>
      </c>
      <c r="J1456" s="198" t="s">
        <v>47</v>
      </c>
      <c r="K1456" s="198" t="s">
        <v>3018</v>
      </c>
      <c r="L1456" s="234" t="n">
        <v>27980</v>
      </c>
      <c r="M1456" s="234" t="n">
        <v>14530</v>
      </c>
      <c r="N1456" s="234" t="n">
        <v>19.5</v>
      </c>
      <c r="O1456" s="407" t="n">
        <v>13450</v>
      </c>
      <c r="P1456" s="407" t="n">
        <v>10827.2</v>
      </c>
      <c r="Q1456" s="234" t="n">
        <v>2026</v>
      </c>
      <c r="R1456" s="234" t="n">
        <v>76</v>
      </c>
      <c r="S1456" s="248" t="n">
        <v>46181</v>
      </c>
      <c r="T1456" s="407" t="n">
        <f aca="false">Таблица18[[#This Row],[Вес нетто]]-Таблица18[[#This Row],[Зачетный вес]]</f>
        <v>2622.8</v>
      </c>
      <c r="U1456" s="409" t="n">
        <f aca="false">Таблица18[[#This Row],[Отход]]/Таблица18[[#This Row],[Вес нетто]]</f>
        <v>0.195003717472119</v>
      </c>
      <c r="V1456" s="234" t="n">
        <f aca="false">MONTH(Таблица18[[#This Row],[Дата акта]])</f>
        <v>6</v>
      </c>
      <c r="W1456" s="234" t="n">
        <v>8</v>
      </c>
      <c r="X1456" s="248" t="n">
        <f aca="false">DATE(1900,Таблица18[[#This Row],[Месяц]],Таблица18[[#This Row],[Число]])</f>
        <v>160</v>
      </c>
      <c r="Y1456" s="234"/>
      <c r="AF1456" s="22"/>
      <c r="AG1456" s="414"/>
    </row>
    <row r="1457" customFormat="false" ht="28.35" hidden="false" customHeight="false" outlineLevel="0" collapsed="false">
      <c r="A1457" s="198" t="s">
        <v>3081</v>
      </c>
      <c r="B1457" s="199" t="s">
        <v>54</v>
      </c>
      <c r="C1457" s="198" t="n">
        <v>127</v>
      </c>
      <c r="D1457" s="198" t="n">
        <v>63</v>
      </c>
      <c r="E1457" s="198" t="s">
        <v>46</v>
      </c>
      <c r="F1457" s="198" t="s">
        <v>55</v>
      </c>
      <c r="G1457" s="198" t="s">
        <v>56</v>
      </c>
      <c r="H1457" s="198" t="s">
        <v>50</v>
      </c>
      <c r="I1457" s="199" t="s">
        <v>50</v>
      </c>
      <c r="J1457" s="198" t="s">
        <v>47</v>
      </c>
      <c r="K1457" s="198" t="s">
        <v>3018</v>
      </c>
      <c r="L1457" s="234" t="n">
        <v>28350</v>
      </c>
      <c r="M1457" s="234" t="n">
        <v>14790</v>
      </c>
      <c r="N1457" s="234" t="n">
        <v>15.5</v>
      </c>
      <c r="O1457" s="407" t="n">
        <v>13560</v>
      </c>
      <c r="P1457" s="407" t="n">
        <v>11458.2</v>
      </c>
      <c r="Q1457" s="234" t="n">
        <v>2026</v>
      </c>
      <c r="R1457" s="234" t="n">
        <v>77</v>
      </c>
      <c r="S1457" s="248" t="n">
        <v>46181</v>
      </c>
      <c r="T1457" s="407" t="n">
        <f aca="false">Таблица18[[#This Row],[Вес нетто]]-Таблица18[[#This Row],[Зачетный вес]]</f>
        <v>2101.8</v>
      </c>
      <c r="U1457" s="409" t="n">
        <f aca="false">Таблица18[[#This Row],[Отход]]/Таблица18[[#This Row],[Вес нетто]]</f>
        <v>0.155</v>
      </c>
      <c r="V1457" s="234" t="n">
        <f aca="false">MONTH(Таблица18[[#This Row],[Дата акта]])</f>
        <v>6</v>
      </c>
      <c r="W1457" s="234" t="n">
        <v>8</v>
      </c>
      <c r="X1457" s="248" t="n">
        <f aca="false">DATE(1900,Таблица18[[#This Row],[Месяц]],Таблица18[[#This Row],[Число]])</f>
        <v>160</v>
      </c>
      <c r="Y1457" s="234"/>
      <c r="AF1457" s="22"/>
      <c r="AG1457" s="414"/>
    </row>
    <row r="1458" customFormat="false" ht="28.35" hidden="false" customHeight="false" outlineLevel="0" collapsed="false">
      <c r="A1458" s="198" t="s">
        <v>3082</v>
      </c>
      <c r="B1458" s="199" t="s">
        <v>54</v>
      </c>
      <c r="C1458" s="198" t="n">
        <v>128</v>
      </c>
      <c r="D1458" s="198" t="n">
        <v>64</v>
      </c>
      <c r="E1458" s="198" t="s">
        <v>46</v>
      </c>
      <c r="F1458" s="198" t="s">
        <v>378</v>
      </c>
      <c r="G1458" s="198" t="s">
        <v>379</v>
      </c>
      <c r="H1458" s="198" t="s">
        <v>50</v>
      </c>
      <c r="I1458" s="199" t="s">
        <v>50</v>
      </c>
      <c r="J1458" s="198" t="s">
        <v>47</v>
      </c>
      <c r="K1458" s="198" t="s">
        <v>3018</v>
      </c>
      <c r="L1458" s="234" t="n">
        <v>9180</v>
      </c>
      <c r="M1458" s="234" t="n">
        <v>4670</v>
      </c>
      <c r="N1458" s="234" t="n">
        <v>17.5</v>
      </c>
      <c r="O1458" s="407" t="n">
        <v>4510</v>
      </c>
      <c r="P1458" s="407" t="n">
        <v>3720.7</v>
      </c>
      <c r="Q1458" s="234" t="n">
        <v>2026</v>
      </c>
      <c r="R1458" s="234" t="n">
        <v>78</v>
      </c>
      <c r="S1458" s="248" t="n">
        <v>46181</v>
      </c>
      <c r="T1458" s="407" t="n">
        <f aca="false">Таблица18[[#This Row],[Вес нетто]]-Таблица18[[#This Row],[Зачетный вес]]</f>
        <v>789.3</v>
      </c>
      <c r="U1458" s="409" t="n">
        <f aca="false">Таблица18[[#This Row],[Отход]]/Таблица18[[#This Row],[Вес нетто]]</f>
        <v>0.175011086474501</v>
      </c>
      <c r="V1458" s="234" t="n">
        <f aca="false">MONTH(Таблица18[[#This Row],[Дата акта]])</f>
        <v>6</v>
      </c>
      <c r="W1458" s="234" t="n">
        <v>8</v>
      </c>
      <c r="X1458" s="248" t="n">
        <f aca="false">DATE(1900,Таблица18[[#This Row],[Месяц]],Таблица18[[#This Row],[Число]])</f>
        <v>160</v>
      </c>
      <c r="Y1458" s="234"/>
      <c r="AF1458" s="22"/>
      <c r="AG1458" s="414"/>
    </row>
    <row r="1459" customFormat="false" ht="19.4" hidden="false" customHeight="false" outlineLevel="0" collapsed="false">
      <c r="A1459" s="198" t="s">
        <v>3083</v>
      </c>
      <c r="B1459" s="199" t="s">
        <v>54</v>
      </c>
      <c r="C1459" s="198" t="n">
        <v>129</v>
      </c>
      <c r="D1459" s="198" t="n">
        <v>65</v>
      </c>
      <c r="E1459" s="198" t="s">
        <v>46</v>
      </c>
      <c r="F1459" s="198" t="s">
        <v>380</v>
      </c>
      <c r="G1459" s="198" t="s">
        <v>381</v>
      </c>
      <c r="H1459" s="198" t="s">
        <v>50</v>
      </c>
      <c r="I1459" s="199" t="s">
        <v>50</v>
      </c>
      <c r="J1459" s="198" t="s">
        <v>47</v>
      </c>
      <c r="K1459" s="198" t="s">
        <v>3018</v>
      </c>
      <c r="L1459" s="234" t="n">
        <v>27750</v>
      </c>
      <c r="M1459" s="234" t="n">
        <v>14310</v>
      </c>
      <c r="N1459" s="234" t="n">
        <v>19.5</v>
      </c>
      <c r="O1459" s="407" t="n">
        <v>13440</v>
      </c>
      <c r="P1459" s="407" t="n">
        <v>10819.2</v>
      </c>
      <c r="Q1459" s="234" t="n">
        <v>2026</v>
      </c>
      <c r="R1459" s="234" t="n">
        <v>79</v>
      </c>
      <c r="S1459" s="248" t="n">
        <v>46181</v>
      </c>
      <c r="T1459" s="407" t="n">
        <f aca="false">Таблица18[[#This Row],[Вес нетто]]-Таблица18[[#This Row],[Зачетный вес]]</f>
        <v>2620.8</v>
      </c>
      <c r="U1459" s="409" t="n">
        <f aca="false">Таблица18[[#This Row],[Отход]]/Таблица18[[#This Row],[Вес нетто]]</f>
        <v>0.195</v>
      </c>
      <c r="V1459" s="234" t="n">
        <f aca="false">MONTH(Таблица18[[#This Row],[Дата акта]])</f>
        <v>6</v>
      </c>
      <c r="W1459" s="234" t="n">
        <v>8</v>
      </c>
      <c r="X1459" s="248" t="n">
        <f aca="false">DATE(1900,Таблица18[[#This Row],[Месяц]],Таблица18[[#This Row],[Число]])</f>
        <v>160</v>
      </c>
      <c r="Y1459" s="234"/>
      <c r="AF1459" s="22"/>
      <c r="AG1459" s="414"/>
    </row>
    <row r="1460" customFormat="false" ht="19.4" hidden="false" customHeight="false" outlineLevel="0" collapsed="false">
      <c r="A1460" s="198" t="s">
        <v>3084</v>
      </c>
      <c r="B1460" s="199" t="s">
        <v>54</v>
      </c>
      <c r="C1460" s="198" t="n">
        <v>130</v>
      </c>
      <c r="D1460" s="198" t="n">
        <v>66</v>
      </c>
      <c r="E1460" s="198" t="s">
        <v>46</v>
      </c>
      <c r="F1460" s="198" t="s">
        <v>382</v>
      </c>
      <c r="G1460" s="198" t="s">
        <v>383</v>
      </c>
      <c r="H1460" s="198" t="s">
        <v>50</v>
      </c>
      <c r="I1460" s="199" t="s">
        <v>50</v>
      </c>
      <c r="J1460" s="198" t="s">
        <v>47</v>
      </c>
      <c r="K1460" s="198" t="s">
        <v>3018</v>
      </c>
      <c r="L1460" s="234" t="n">
        <v>28430</v>
      </c>
      <c r="M1460" s="234" t="n">
        <v>14970</v>
      </c>
      <c r="N1460" s="234" t="n">
        <v>20.5</v>
      </c>
      <c r="O1460" s="407" t="n">
        <v>13460</v>
      </c>
      <c r="P1460" s="407" t="n">
        <v>10700.7</v>
      </c>
      <c r="Q1460" s="234" t="n">
        <v>2026</v>
      </c>
      <c r="R1460" s="234" t="n">
        <v>80</v>
      </c>
      <c r="S1460" s="248" t="n">
        <v>46181</v>
      </c>
      <c r="T1460" s="407" t="n">
        <f aca="false">Таблица18[[#This Row],[Вес нетто]]-Таблица18[[#This Row],[Зачетный вес]]</f>
        <v>2759.3</v>
      </c>
      <c r="U1460" s="409" t="n">
        <f aca="false">Таблица18[[#This Row],[Отход]]/Таблица18[[#This Row],[Вес нетто]]</f>
        <v>0.205</v>
      </c>
      <c r="V1460" s="234" t="n">
        <f aca="false">MONTH(Таблица18[[#This Row],[Дата акта]])</f>
        <v>6</v>
      </c>
      <c r="W1460" s="234" t="n">
        <v>8</v>
      </c>
      <c r="X1460" s="248" t="n">
        <f aca="false">DATE(1900,Таблица18[[#This Row],[Месяц]],Таблица18[[#This Row],[Число]])</f>
        <v>160</v>
      </c>
      <c r="Y1460" s="234"/>
      <c r="AF1460" s="22"/>
      <c r="AG1460" s="414"/>
    </row>
    <row r="1461" customFormat="false" ht="28.35" hidden="false" customHeight="false" outlineLevel="0" collapsed="false">
      <c r="A1461" s="198" t="s">
        <v>3085</v>
      </c>
      <c r="B1461" s="199" t="s">
        <v>54</v>
      </c>
      <c r="C1461" s="198" t="n">
        <v>133</v>
      </c>
      <c r="D1461" s="198" t="n">
        <v>69</v>
      </c>
      <c r="E1461" s="198" t="s">
        <v>46</v>
      </c>
      <c r="F1461" s="198" t="s">
        <v>378</v>
      </c>
      <c r="G1461" s="198" t="s">
        <v>379</v>
      </c>
      <c r="H1461" s="198" t="s">
        <v>50</v>
      </c>
      <c r="I1461" s="199" t="s">
        <v>50</v>
      </c>
      <c r="J1461" s="198" t="s">
        <v>47</v>
      </c>
      <c r="K1461" s="198" t="s">
        <v>3018</v>
      </c>
      <c r="L1461" s="234" t="n">
        <v>9200</v>
      </c>
      <c r="M1461" s="234" t="n">
        <v>4660</v>
      </c>
      <c r="N1461" s="234" t="n">
        <v>20.5</v>
      </c>
      <c r="O1461" s="407" t="n">
        <v>4540</v>
      </c>
      <c r="P1461" s="407" t="n">
        <v>3609.3</v>
      </c>
      <c r="Q1461" s="234" t="n">
        <v>2026</v>
      </c>
      <c r="R1461" s="234" t="n">
        <v>81</v>
      </c>
      <c r="S1461" s="248" t="n">
        <v>46181</v>
      </c>
      <c r="T1461" s="407" t="n">
        <f aca="false">Таблица18[[#This Row],[Вес нетто]]-Таблица18[[#This Row],[Зачетный вес]]</f>
        <v>930.7</v>
      </c>
      <c r="U1461" s="409" t="n">
        <f aca="false">Таблица18[[#This Row],[Отход]]/Таблица18[[#This Row],[Вес нетто]]</f>
        <v>0.205</v>
      </c>
      <c r="V1461" s="234" t="n">
        <f aca="false">MONTH(Таблица18[[#This Row],[Дата акта]])</f>
        <v>6</v>
      </c>
      <c r="W1461" s="234" t="n">
        <v>8</v>
      </c>
      <c r="X1461" s="248" t="n">
        <f aca="false">DATE(1900,Таблица18[[#This Row],[Месяц]],Таблица18[[#This Row],[Число]])</f>
        <v>160</v>
      </c>
      <c r="Y1461" s="234"/>
      <c r="AF1461" s="22"/>
      <c r="AG1461" s="414"/>
    </row>
    <row r="1462" customFormat="false" ht="28.35" hidden="false" customHeight="false" outlineLevel="0" collapsed="false">
      <c r="A1462" s="198" t="s">
        <v>3086</v>
      </c>
      <c r="B1462" s="199" t="s">
        <v>54</v>
      </c>
      <c r="C1462" s="198" t="n">
        <v>132</v>
      </c>
      <c r="D1462" s="198" t="n">
        <v>68</v>
      </c>
      <c r="E1462" s="198" t="s">
        <v>46</v>
      </c>
      <c r="F1462" s="198" t="s">
        <v>55</v>
      </c>
      <c r="G1462" s="198" t="s">
        <v>56</v>
      </c>
      <c r="H1462" s="198" t="s">
        <v>50</v>
      </c>
      <c r="I1462" s="199" t="s">
        <v>50</v>
      </c>
      <c r="J1462" s="198" t="s">
        <v>47</v>
      </c>
      <c r="K1462" s="198" t="s">
        <v>3018</v>
      </c>
      <c r="L1462" s="234" t="n">
        <v>28340</v>
      </c>
      <c r="M1462" s="234" t="n">
        <v>14760</v>
      </c>
      <c r="N1462" s="234" t="n">
        <v>19.5</v>
      </c>
      <c r="O1462" s="407" t="n">
        <v>13580</v>
      </c>
      <c r="P1462" s="407" t="n">
        <v>10931.9</v>
      </c>
      <c r="Q1462" s="234" t="n">
        <v>2026</v>
      </c>
      <c r="R1462" s="234" t="n">
        <v>82</v>
      </c>
      <c r="S1462" s="248" t="n">
        <v>46181</v>
      </c>
      <c r="T1462" s="407" t="n">
        <f aca="false">Таблица18[[#This Row],[Вес нетто]]-Таблица18[[#This Row],[Зачетный вес]]</f>
        <v>2648.1</v>
      </c>
      <c r="U1462" s="409" t="n">
        <f aca="false">Таблица18[[#This Row],[Отход]]/Таблица18[[#This Row],[Вес нетто]]</f>
        <v>0.195</v>
      </c>
      <c r="V1462" s="234" t="n">
        <f aca="false">MONTH(Таблица18[[#This Row],[Дата акта]])</f>
        <v>6</v>
      </c>
      <c r="W1462" s="234" t="n">
        <v>8</v>
      </c>
      <c r="X1462" s="248" t="n">
        <f aca="false">DATE(1900,Таблица18[[#This Row],[Месяц]],Таблица18[[#This Row],[Число]])</f>
        <v>160</v>
      </c>
      <c r="Y1462" s="234"/>
      <c r="AF1462" s="22"/>
      <c r="AG1462" s="414"/>
    </row>
    <row r="1463" customFormat="false" ht="19.4" hidden="false" customHeight="false" outlineLevel="0" collapsed="false">
      <c r="A1463" s="198" t="s">
        <v>3087</v>
      </c>
      <c r="B1463" s="199" t="s">
        <v>54</v>
      </c>
      <c r="C1463" s="198" t="n">
        <v>131</v>
      </c>
      <c r="D1463" s="198" t="n">
        <v>67</v>
      </c>
      <c r="E1463" s="198" t="s">
        <v>46</v>
      </c>
      <c r="F1463" s="198" t="s">
        <v>384</v>
      </c>
      <c r="G1463" s="198" t="s">
        <v>385</v>
      </c>
      <c r="H1463" s="198" t="s">
        <v>50</v>
      </c>
      <c r="I1463" s="199" t="s">
        <v>50</v>
      </c>
      <c r="J1463" s="198" t="s">
        <v>47</v>
      </c>
      <c r="K1463" s="198" t="s">
        <v>3018</v>
      </c>
      <c r="L1463" s="234" t="n">
        <v>27750</v>
      </c>
      <c r="M1463" s="234" t="n">
        <v>14510</v>
      </c>
      <c r="N1463" s="234" t="n">
        <v>18.5</v>
      </c>
      <c r="O1463" s="407" t="n">
        <v>13240</v>
      </c>
      <c r="P1463" s="407" t="n">
        <v>10790.6</v>
      </c>
      <c r="Q1463" s="234" t="n">
        <v>2026</v>
      </c>
      <c r="R1463" s="234" t="n">
        <v>83</v>
      </c>
      <c r="S1463" s="248" t="n">
        <v>46181</v>
      </c>
      <c r="T1463" s="407" t="n">
        <f aca="false">Таблица18[[#This Row],[Вес нетто]]-Таблица18[[#This Row],[Зачетный вес]]</f>
        <v>2449.4</v>
      </c>
      <c r="U1463" s="409" t="n">
        <f aca="false">Таблица18[[#This Row],[Отход]]/Таблица18[[#This Row],[Вес нетто]]</f>
        <v>0.185</v>
      </c>
      <c r="V1463" s="234" t="n">
        <f aca="false">MONTH(Таблица18[[#This Row],[Дата акта]])</f>
        <v>6</v>
      </c>
      <c r="W1463" s="234" t="n">
        <v>8</v>
      </c>
      <c r="X1463" s="248" t="n">
        <f aca="false">DATE(1900,Таблица18[[#This Row],[Месяц]],Таблица18[[#This Row],[Число]])</f>
        <v>160</v>
      </c>
      <c r="Y1463" s="234"/>
      <c r="AF1463" s="22"/>
      <c r="AG1463" s="414"/>
    </row>
    <row r="1464" customFormat="false" ht="19.4" hidden="false" customHeight="false" outlineLevel="0" collapsed="false">
      <c r="A1464" s="198" t="s">
        <v>3088</v>
      </c>
      <c r="B1464" s="199" t="s">
        <v>54</v>
      </c>
      <c r="C1464" s="198" t="n">
        <v>134</v>
      </c>
      <c r="D1464" s="198" t="n">
        <v>70</v>
      </c>
      <c r="E1464" s="198" t="s">
        <v>46</v>
      </c>
      <c r="F1464" s="198" t="s">
        <v>48</v>
      </c>
      <c r="G1464" s="198" t="s">
        <v>49</v>
      </c>
      <c r="H1464" s="198" t="s">
        <v>50</v>
      </c>
      <c r="I1464" s="199" t="s">
        <v>50</v>
      </c>
      <c r="J1464" s="198" t="s">
        <v>47</v>
      </c>
      <c r="K1464" s="198" t="s">
        <v>3018</v>
      </c>
      <c r="L1464" s="234" t="n">
        <v>28390</v>
      </c>
      <c r="M1464" s="234" t="n">
        <v>14980</v>
      </c>
      <c r="N1464" s="234" t="n">
        <v>20.5</v>
      </c>
      <c r="O1464" s="407" t="n">
        <v>13410</v>
      </c>
      <c r="P1464" s="407" t="n">
        <v>10661</v>
      </c>
      <c r="Q1464" s="234" t="n">
        <v>2026</v>
      </c>
      <c r="R1464" s="234" t="n">
        <v>84</v>
      </c>
      <c r="S1464" s="248" t="n">
        <v>46181</v>
      </c>
      <c r="T1464" s="407" t="n">
        <f aca="false">Таблица18[[#This Row],[Вес нетто]]-Таблица18[[#This Row],[Зачетный вес]]</f>
        <v>2749</v>
      </c>
      <c r="U1464" s="409" t="n">
        <f aca="false">Таблица18[[#This Row],[Отход]]/Таблица18[[#This Row],[Вес нетто]]</f>
        <v>0.204996271439224</v>
      </c>
      <c r="V1464" s="234" t="n">
        <f aca="false">MONTH(Таблица18[[#This Row],[Дата акта]])</f>
        <v>6</v>
      </c>
      <c r="W1464" s="234" t="n">
        <v>8</v>
      </c>
      <c r="X1464" s="248" t="n">
        <f aca="false">DATE(1900,Таблица18[[#This Row],[Месяц]],Таблица18[[#This Row],[Число]])</f>
        <v>160</v>
      </c>
      <c r="Y1464" s="234"/>
      <c r="AF1464" s="22"/>
      <c r="AG1464" s="414"/>
    </row>
    <row r="1465" customFormat="false" ht="28.35" hidden="false" customHeight="false" outlineLevel="0" collapsed="false">
      <c r="A1465" s="198" t="s">
        <v>3089</v>
      </c>
      <c r="B1465" s="199" t="s">
        <v>54</v>
      </c>
      <c r="C1465" s="198" t="n">
        <v>136</v>
      </c>
      <c r="D1465" s="198" t="n">
        <v>71</v>
      </c>
      <c r="E1465" s="198" t="s">
        <v>46</v>
      </c>
      <c r="F1465" s="198" t="s">
        <v>386</v>
      </c>
      <c r="G1465" s="198" t="s">
        <v>387</v>
      </c>
      <c r="H1465" s="198" t="s">
        <v>50</v>
      </c>
      <c r="I1465" s="199" t="s">
        <v>50</v>
      </c>
      <c r="J1465" s="198" t="s">
        <v>47</v>
      </c>
      <c r="K1465" s="198" t="s">
        <v>3018</v>
      </c>
      <c r="L1465" s="234" t="n">
        <v>28780</v>
      </c>
      <c r="M1465" s="234" t="n">
        <v>15130</v>
      </c>
      <c r="N1465" s="234" t="n">
        <v>18.5</v>
      </c>
      <c r="O1465" s="407" t="n">
        <v>13650</v>
      </c>
      <c r="P1465" s="407" t="n">
        <v>11124.7</v>
      </c>
      <c r="Q1465" s="234" t="n">
        <v>2026</v>
      </c>
      <c r="R1465" s="234" t="n">
        <v>85</v>
      </c>
      <c r="S1465" s="248" t="n">
        <v>46181</v>
      </c>
      <c r="T1465" s="407" t="n">
        <f aca="false">Таблица18[[#This Row],[Вес нетто]]-Таблица18[[#This Row],[Зачетный вес]]</f>
        <v>2525.3</v>
      </c>
      <c r="U1465" s="409" t="n">
        <f aca="false">Таблица18[[#This Row],[Отход]]/Таблица18[[#This Row],[Вес нетто]]</f>
        <v>0.185003663003663</v>
      </c>
      <c r="V1465" s="234" t="n">
        <f aca="false">MONTH(Таблица18[[#This Row],[Дата акта]])</f>
        <v>6</v>
      </c>
      <c r="W1465" s="234" t="n">
        <v>8</v>
      </c>
      <c r="X1465" s="248" t="n">
        <f aca="false">DATE(1900,Таблица18[[#This Row],[Месяц]],Таблица18[[#This Row],[Число]])</f>
        <v>160</v>
      </c>
      <c r="Y1465" s="234"/>
      <c r="AF1465" s="22"/>
      <c r="AG1465" s="414"/>
    </row>
    <row r="1466" customFormat="false" ht="19.4" hidden="false" customHeight="false" outlineLevel="0" collapsed="false">
      <c r="A1466" s="198" t="s">
        <v>3090</v>
      </c>
      <c r="B1466" s="199" t="s">
        <v>54</v>
      </c>
      <c r="C1466" s="198" t="n">
        <v>137</v>
      </c>
      <c r="D1466" s="198" t="n">
        <v>72</v>
      </c>
      <c r="E1466" s="198" t="s">
        <v>46</v>
      </c>
      <c r="F1466" s="198" t="s">
        <v>57</v>
      </c>
      <c r="G1466" s="198" t="s">
        <v>58</v>
      </c>
      <c r="H1466" s="198" t="s">
        <v>50</v>
      </c>
      <c r="I1466" s="199" t="s">
        <v>50</v>
      </c>
      <c r="J1466" s="198" t="s">
        <v>47</v>
      </c>
      <c r="K1466" s="198" t="s">
        <v>3018</v>
      </c>
      <c r="L1466" s="234" t="n">
        <v>29250</v>
      </c>
      <c r="M1466" s="234" t="n">
        <v>15620</v>
      </c>
      <c r="N1466" s="234" t="n">
        <v>15.5</v>
      </c>
      <c r="O1466" s="407" t="n">
        <v>13630</v>
      </c>
      <c r="P1466" s="407" t="n">
        <v>11517.3</v>
      </c>
      <c r="Q1466" s="234" t="n">
        <v>2026</v>
      </c>
      <c r="R1466" s="234" t="n">
        <v>86</v>
      </c>
      <c r="S1466" s="248" t="n">
        <v>46181</v>
      </c>
      <c r="T1466" s="407" t="n">
        <f aca="false">Таблица18[[#This Row],[Вес нетто]]-Таблица18[[#This Row],[Зачетный вес]]</f>
        <v>2112.7</v>
      </c>
      <c r="U1466" s="409" t="n">
        <f aca="false">Таблица18[[#This Row],[Отход]]/Таблица18[[#This Row],[Вес нетто]]</f>
        <v>0.155003668378577</v>
      </c>
      <c r="V1466" s="234" t="n">
        <f aca="false">MONTH(Таблица18[[#This Row],[Дата акта]])</f>
        <v>6</v>
      </c>
      <c r="W1466" s="234" t="n">
        <v>8</v>
      </c>
      <c r="X1466" s="248" t="n">
        <f aca="false">DATE(1900,Таблица18[[#This Row],[Месяц]],Таблица18[[#This Row],[Число]])</f>
        <v>160</v>
      </c>
      <c r="Y1466" s="234"/>
      <c r="AF1466" s="22"/>
      <c r="AG1466" s="414"/>
    </row>
    <row r="1467" customFormat="false" ht="19.4" hidden="false" customHeight="false" outlineLevel="0" collapsed="false">
      <c r="A1467" s="198" t="s">
        <v>3091</v>
      </c>
      <c r="B1467" s="199" t="s">
        <v>54</v>
      </c>
      <c r="C1467" s="198" t="n">
        <v>138</v>
      </c>
      <c r="D1467" s="198" t="n">
        <v>73</v>
      </c>
      <c r="E1467" s="198" t="s">
        <v>46</v>
      </c>
      <c r="F1467" s="198" t="s">
        <v>48</v>
      </c>
      <c r="G1467" s="198" t="s">
        <v>49</v>
      </c>
      <c r="H1467" s="198" t="s">
        <v>50</v>
      </c>
      <c r="I1467" s="199" t="s">
        <v>50</v>
      </c>
      <c r="J1467" s="198" t="s">
        <v>47</v>
      </c>
      <c r="K1467" s="198" t="s">
        <v>3018</v>
      </c>
      <c r="L1467" s="234" t="n">
        <v>28510</v>
      </c>
      <c r="M1467" s="234" t="n">
        <v>21780</v>
      </c>
      <c r="N1467" s="234" t="n">
        <v>16</v>
      </c>
      <c r="O1467" s="407" t="n">
        <v>6730</v>
      </c>
      <c r="P1467" s="407" t="n">
        <v>5653.2</v>
      </c>
      <c r="Q1467" s="234" t="n">
        <v>2026</v>
      </c>
      <c r="R1467" s="234" t="n">
        <v>87</v>
      </c>
      <c r="S1467" s="248" t="n">
        <v>46181</v>
      </c>
      <c r="T1467" s="407" t="n">
        <f aca="false">Таблица18[[#This Row],[Вес нетто]]-Таблица18[[#This Row],[Зачетный вес]]</f>
        <v>1076.8</v>
      </c>
      <c r="U1467" s="409" t="n">
        <f aca="false">Таблица18[[#This Row],[Отход]]/Таблица18[[#This Row],[Вес нетто]]</f>
        <v>0.16</v>
      </c>
      <c r="V1467" s="234" t="n">
        <f aca="false">MONTH(Таблица18[[#This Row],[Дата акта]])</f>
        <v>6</v>
      </c>
      <c r="W1467" s="234" t="n">
        <v>8</v>
      </c>
      <c r="X1467" s="248" t="n">
        <f aca="false">DATE(1900,Таблица18[[#This Row],[Месяц]],Таблица18[[#This Row],[Число]])</f>
        <v>160</v>
      </c>
      <c r="Y1467" s="234"/>
      <c r="AF1467" s="22"/>
      <c r="AG1467" s="414"/>
    </row>
    <row r="1468" customFormat="false" ht="19.4" hidden="false" customHeight="false" outlineLevel="0" collapsed="false">
      <c r="A1468" s="198" t="s">
        <v>3092</v>
      </c>
      <c r="B1468" s="199" t="s">
        <v>54</v>
      </c>
      <c r="C1468" s="198" t="n">
        <v>140</v>
      </c>
      <c r="D1468" s="198" t="n">
        <v>74</v>
      </c>
      <c r="E1468" s="198" t="s">
        <v>46</v>
      </c>
      <c r="F1468" s="198" t="s">
        <v>48</v>
      </c>
      <c r="G1468" s="198" t="s">
        <v>49</v>
      </c>
      <c r="H1468" s="198" t="s">
        <v>50</v>
      </c>
      <c r="I1468" s="199" t="s">
        <v>50</v>
      </c>
      <c r="J1468" s="198" t="s">
        <v>47</v>
      </c>
      <c r="K1468" s="198" t="s">
        <v>3018</v>
      </c>
      <c r="L1468" s="234" t="n">
        <v>21780</v>
      </c>
      <c r="M1468" s="234" t="n">
        <v>14960</v>
      </c>
      <c r="N1468" s="234" t="n">
        <v>18.5</v>
      </c>
      <c r="O1468" s="407" t="n">
        <v>6820</v>
      </c>
      <c r="P1468" s="407" t="n">
        <v>5558.3</v>
      </c>
      <c r="Q1468" s="234" t="n">
        <v>2026</v>
      </c>
      <c r="R1468" s="234" t="n">
        <v>88</v>
      </c>
      <c r="S1468" s="248" t="n">
        <v>46181</v>
      </c>
      <c r="T1468" s="407" t="n">
        <f aca="false">Таблица18[[#This Row],[Вес нетто]]-Таблица18[[#This Row],[Зачетный вес]]</f>
        <v>1261.7</v>
      </c>
      <c r="U1468" s="409" t="n">
        <f aca="false">Таблица18[[#This Row],[Отход]]/Таблица18[[#This Row],[Вес нетто]]</f>
        <v>0.185</v>
      </c>
      <c r="V1468" s="234" t="n">
        <f aca="false">MONTH(Таблица18[[#This Row],[Дата акта]])</f>
        <v>6</v>
      </c>
      <c r="W1468" s="234" t="n">
        <v>8</v>
      </c>
      <c r="X1468" s="248" t="n">
        <f aca="false">DATE(1900,Таблица18[[#This Row],[Месяц]],Таблица18[[#This Row],[Число]])</f>
        <v>160</v>
      </c>
      <c r="Y1468" s="234"/>
      <c r="AF1468" s="22"/>
      <c r="AG1468" s="414"/>
    </row>
    <row r="1469" customFormat="false" ht="28.35" hidden="false" customHeight="false" outlineLevel="0" collapsed="false">
      <c r="A1469" s="198" t="s">
        <v>3093</v>
      </c>
      <c r="B1469" s="199" t="s">
        <v>54</v>
      </c>
      <c r="C1469" s="198" t="n">
        <v>141</v>
      </c>
      <c r="D1469" s="198" t="n">
        <v>75</v>
      </c>
      <c r="E1469" s="198" t="s">
        <v>46</v>
      </c>
      <c r="F1469" s="198" t="s">
        <v>386</v>
      </c>
      <c r="G1469" s="198" t="s">
        <v>387</v>
      </c>
      <c r="H1469" s="198" t="s">
        <v>50</v>
      </c>
      <c r="I1469" s="199" t="s">
        <v>50</v>
      </c>
      <c r="J1469" s="198" t="s">
        <v>47</v>
      </c>
      <c r="K1469" s="198" t="s">
        <v>3018</v>
      </c>
      <c r="L1469" s="234" t="n">
        <v>28570</v>
      </c>
      <c r="M1469" s="234" t="n">
        <v>15220</v>
      </c>
      <c r="N1469" s="234" t="n">
        <v>13.5</v>
      </c>
      <c r="O1469" s="407" t="n">
        <v>13350</v>
      </c>
      <c r="P1469" s="407" t="n">
        <v>11547.7</v>
      </c>
      <c r="Q1469" s="234" t="n">
        <v>2026</v>
      </c>
      <c r="R1469" s="234" t="n">
        <v>89</v>
      </c>
      <c r="S1469" s="248" t="n">
        <v>46181</v>
      </c>
      <c r="T1469" s="407" t="n">
        <f aca="false">Таблица18[[#This Row],[Вес нетто]]-Таблица18[[#This Row],[Зачетный вес]]</f>
        <v>1802.3</v>
      </c>
      <c r="U1469" s="409" t="n">
        <f aca="false">Таблица18[[#This Row],[Отход]]/Таблица18[[#This Row],[Вес нетто]]</f>
        <v>0.135003745318352</v>
      </c>
      <c r="V1469" s="234" t="n">
        <f aca="false">MONTH(Таблица18[[#This Row],[Дата акта]])</f>
        <v>6</v>
      </c>
      <c r="W1469" s="234" t="n">
        <v>8</v>
      </c>
      <c r="X1469" s="248" t="n">
        <f aca="false">DATE(1900,Таблица18[[#This Row],[Месяц]],Таблица18[[#This Row],[Число]])</f>
        <v>160</v>
      </c>
      <c r="Y1469" s="234"/>
      <c r="AF1469" s="22"/>
      <c r="AG1469" s="414"/>
    </row>
    <row r="1470" customFormat="false" ht="19.4" hidden="false" customHeight="false" outlineLevel="0" collapsed="false">
      <c r="A1470" s="198" t="s">
        <v>3094</v>
      </c>
      <c r="B1470" s="199" t="s">
        <v>54</v>
      </c>
      <c r="C1470" s="198" t="n">
        <v>143</v>
      </c>
      <c r="D1470" s="198" t="n">
        <v>76</v>
      </c>
      <c r="E1470" s="198" t="s">
        <v>46</v>
      </c>
      <c r="F1470" s="198" t="s">
        <v>57</v>
      </c>
      <c r="G1470" s="198" t="s">
        <v>58</v>
      </c>
      <c r="H1470" s="198" t="s">
        <v>50</v>
      </c>
      <c r="I1470" s="199" t="s">
        <v>50</v>
      </c>
      <c r="J1470" s="198" t="s">
        <v>47</v>
      </c>
      <c r="K1470" s="198" t="s">
        <v>3018</v>
      </c>
      <c r="L1470" s="234" t="n">
        <v>29150</v>
      </c>
      <c r="M1470" s="234" t="n">
        <v>15590</v>
      </c>
      <c r="N1470" s="234" t="n">
        <v>19.5</v>
      </c>
      <c r="O1470" s="407" t="n">
        <v>13560</v>
      </c>
      <c r="P1470" s="407" t="n">
        <v>10915.8</v>
      </c>
      <c r="Q1470" s="234" t="n">
        <v>2026</v>
      </c>
      <c r="R1470" s="234" t="n">
        <v>90</v>
      </c>
      <c r="S1470" s="248" t="n">
        <v>46181</v>
      </c>
      <c r="T1470" s="407" t="n">
        <f aca="false">Таблица18[[#This Row],[Вес нетто]]-Таблица18[[#This Row],[Зачетный вес]]</f>
        <v>2644.2</v>
      </c>
      <c r="U1470" s="409" t="n">
        <f aca="false">Таблица18[[#This Row],[Отход]]/Таблица18[[#This Row],[Вес нетто]]</f>
        <v>0.195</v>
      </c>
      <c r="V1470" s="234" t="n">
        <f aca="false">MONTH(Таблица18[[#This Row],[Дата акта]])</f>
        <v>6</v>
      </c>
      <c r="W1470" s="234" t="n">
        <v>8</v>
      </c>
      <c r="X1470" s="248" t="n">
        <f aca="false">DATE(1900,Таблица18[[#This Row],[Месяц]],Таблица18[[#This Row],[Число]])</f>
        <v>160</v>
      </c>
      <c r="Y1470" s="234"/>
      <c r="AF1470" s="22"/>
      <c r="AG1470" s="414"/>
    </row>
    <row r="1471" customFormat="false" ht="19.4" hidden="false" customHeight="false" outlineLevel="0" collapsed="false">
      <c r="A1471" s="198" t="s">
        <v>3095</v>
      </c>
      <c r="B1471" s="199" t="s">
        <v>54</v>
      </c>
      <c r="C1471" s="198" t="n">
        <v>144</v>
      </c>
      <c r="D1471" s="198" t="n">
        <v>77</v>
      </c>
      <c r="E1471" s="198" t="s">
        <v>46</v>
      </c>
      <c r="F1471" s="198" t="s">
        <v>48</v>
      </c>
      <c r="G1471" s="198" t="s">
        <v>49</v>
      </c>
      <c r="H1471" s="198" t="s">
        <v>50</v>
      </c>
      <c r="I1471" s="199" t="s">
        <v>50</v>
      </c>
      <c r="J1471" s="198" t="s">
        <v>47</v>
      </c>
      <c r="K1471" s="198" t="s">
        <v>3018</v>
      </c>
      <c r="L1471" s="234" t="n">
        <v>28630</v>
      </c>
      <c r="M1471" s="234" t="n">
        <v>14940</v>
      </c>
      <c r="N1471" s="234" t="n">
        <v>17</v>
      </c>
      <c r="O1471" s="407" t="n">
        <v>13690</v>
      </c>
      <c r="P1471" s="407" t="n">
        <v>11362.7</v>
      </c>
      <c r="Q1471" s="234" t="n">
        <v>2026</v>
      </c>
      <c r="R1471" s="234" t="n">
        <v>91</v>
      </c>
      <c r="S1471" s="248" t="n">
        <v>46181</v>
      </c>
      <c r="T1471" s="407" t="n">
        <f aca="false">Таблица18[[#This Row],[Вес нетто]]-Таблица18[[#This Row],[Зачетный вес]]</f>
        <v>2327.3</v>
      </c>
      <c r="U1471" s="409" t="n">
        <f aca="false">Таблица18[[#This Row],[Отход]]/Таблица18[[#This Row],[Вес нетто]]</f>
        <v>0.17</v>
      </c>
      <c r="V1471" s="234" t="n">
        <f aca="false">MONTH(Таблица18[[#This Row],[Дата акта]])</f>
        <v>6</v>
      </c>
      <c r="W1471" s="234" t="n">
        <v>8</v>
      </c>
      <c r="X1471" s="248" t="n">
        <f aca="false">DATE(1900,Таблица18[[#This Row],[Месяц]],Таблица18[[#This Row],[Число]])</f>
        <v>160</v>
      </c>
      <c r="Y1471" s="234"/>
      <c r="AF1471" s="22"/>
      <c r="AG1471" s="414"/>
    </row>
    <row r="1472" customFormat="false" ht="19.4" hidden="false" customHeight="false" outlineLevel="0" collapsed="false">
      <c r="A1472" s="198" t="s">
        <v>3096</v>
      </c>
      <c r="B1472" s="199" t="s">
        <v>54</v>
      </c>
      <c r="C1472" s="198" t="n">
        <v>149</v>
      </c>
      <c r="D1472" s="198" t="n">
        <v>81</v>
      </c>
      <c r="E1472" s="198" t="s">
        <v>46</v>
      </c>
      <c r="F1472" s="198" t="s">
        <v>48</v>
      </c>
      <c r="G1472" s="198" t="s">
        <v>49</v>
      </c>
      <c r="H1472" s="198" t="s">
        <v>50</v>
      </c>
      <c r="I1472" s="199" t="s">
        <v>50</v>
      </c>
      <c r="J1472" s="198" t="s">
        <v>47</v>
      </c>
      <c r="K1472" s="198" t="s">
        <v>3018</v>
      </c>
      <c r="L1472" s="234" t="n">
        <v>28260</v>
      </c>
      <c r="M1472" s="234" t="n">
        <v>14930</v>
      </c>
      <c r="N1472" s="234" t="n">
        <v>18.5</v>
      </c>
      <c r="O1472" s="407" t="n">
        <v>13330</v>
      </c>
      <c r="P1472" s="407" t="n">
        <v>10863.9</v>
      </c>
      <c r="Q1472" s="234" t="n">
        <v>2026</v>
      </c>
      <c r="R1472" s="234" t="n">
        <v>95</v>
      </c>
      <c r="S1472" s="248" t="n">
        <v>46181</v>
      </c>
      <c r="T1472" s="407" t="n">
        <f aca="false">Таблица18[[#This Row],[Вес нетто]]-Таблица18[[#This Row],[Зачетный вес]]</f>
        <v>2466.1</v>
      </c>
      <c r="U1472" s="409" t="n">
        <f aca="false">Таблица18[[#This Row],[Отход]]/Таблица18[[#This Row],[Вес нетто]]</f>
        <v>0.185003750937734</v>
      </c>
      <c r="V1472" s="234" t="n">
        <f aca="false">MONTH(Таблица18[[#This Row],[Дата акта]])</f>
        <v>6</v>
      </c>
      <c r="W1472" s="234" t="n">
        <v>8</v>
      </c>
      <c r="X1472" s="248" t="n">
        <f aca="false">DATE(1900,Таблица18[[#This Row],[Месяц]],Таблица18[[#This Row],[Число]])</f>
        <v>160</v>
      </c>
      <c r="Y1472" s="234"/>
      <c r="AF1472" s="22"/>
      <c r="AG1472" s="414"/>
    </row>
    <row r="1473" customFormat="false" ht="28.35" hidden="false" customHeight="false" outlineLevel="0" collapsed="false">
      <c r="A1473" s="198" t="s">
        <v>3097</v>
      </c>
      <c r="B1473" s="199" t="s">
        <v>54</v>
      </c>
      <c r="C1473" s="198" t="n">
        <v>150</v>
      </c>
      <c r="D1473" s="198" t="n">
        <v>82</v>
      </c>
      <c r="E1473" s="198" t="s">
        <v>46</v>
      </c>
      <c r="F1473" s="198" t="s">
        <v>386</v>
      </c>
      <c r="G1473" s="198" t="s">
        <v>387</v>
      </c>
      <c r="H1473" s="198" t="s">
        <v>50</v>
      </c>
      <c r="I1473" s="199" t="s">
        <v>50</v>
      </c>
      <c r="J1473" s="198" t="s">
        <v>47</v>
      </c>
      <c r="K1473" s="198" t="s">
        <v>3018</v>
      </c>
      <c r="L1473" s="234" t="n">
        <v>28540</v>
      </c>
      <c r="M1473" s="234" t="n">
        <v>15200</v>
      </c>
      <c r="N1473" s="234" t="n">
        <v>19.5</v>
      </c>
      <c r="O1473" s="407" t="n">
        <v>13340</v>
      </c>
      <c r="P1473" s="407" t="n">
        <v>10738.7</v>
      </c>
      <c r="Q1473" s="234" t="n">
        <v>2026</v>
      </c>
      <c r="R1473" s="234" t="n">
        <v>96</v>
      </c>
      <c r="S1473" s="248" t="n">
        <v>46181</v>
      </c>
      <c r="T1473" s="407" t="n">
        <f aca="false">Таблица18[[#This Row],[Вес нетто]]-Таблица18[[#This Row],[Зачетный вес]]</f>
        <v>2601.3</v>
      </c>
      <c r="U1473" s="409" t="n">
        <f aca="false">Таблица18[[#This Row],[Отход]]/Таблица18[[#This Row],[Вес нетто]]</f>
        <v>0.195</v>
      </c>
      <c r="V1473" s="234" t="n">
        <f aca="false">MONTH(Таблица18[[#This Row],[Дата акта]])</f>
        <v>6</v>
      </c>
      <c r="W1473" s="234" t="n">
        <v>8</v>
      </c>
      <c r="X1473" s="248" t="n">
        <f aca="false">DATE(1900,Таблица18[[#This Row],[Месяц]],Таблица18[[#This Row],[Число]])</f>
        <v>160</v>
      </c>
      <c r="Y1473" s="234"/>
      <c r="AF1473" s="22"/>
      <c r="AG1473" s="414"/>
    </row>
    <row r="1474" customFormat="false" ht="28.35" hidden="false" customHeight="false" outlineLevel="0" collapsed="false">
      <c r="A1474" s="198" t="s">
        <v>3098</v>
      </c>
      <c r="B1474" s="199" t="s">
        <v>54</v>
      </c>
      <c r="C1474" s="198" t="n">
        <v>146</v>
      </c>
      <c r="D1474" s="198" t="n">
        <v>78</v>
      </c>
      <c r="E1474" s="198" t="s">
        <v>46</v>
      </c>
      <c r="F1474" s="198" t="s">
        <v>386</v>
      </c>
      <c r="G1474" s="198" t="s">
        <v>387</v>
      </c>
      <c r="H1474" s="198" t="s">
        <v>50</v>
      </c>
      <c r="I1474" s="199" t="s">
        <v>50</v>
      </c>
      <c r="J1474" s="198" t="s">
        <v>47</v>
      </c>
      <c r="K1474" s="198" t="s">
        <v>3018</v>
      </c>
      <c r="L1474" s="234" t="n">
        <v>29190</v>
      </c>
      <c r="M1474" s="234" t="n">
        <v>15210</v>
      </c>
      <c r="N1474" s="234" t="n">
        <v>14.5</v>
      </c>
      <c r="O1474" s="407" t="n">
        <v>13980</v>
      </c>
      <c r="P1474" s="407" t="n">
        <v>11952.9</v>
      </c>
      <c r="Q1474" s="234" t="n">
        <v>2026</v>
      </c>
      <c r="R1474" s="234" t="n">
        <v>92</v>
      </c>
      <c r="S1474" s="248" t="n">
        <v>46181</v>
      </c>
      <c r="T1474" s="407" t="n">
        <f aca="false">Таблица18[[#This Row],[Вес нетто]]-Таблица18[[#This Row],[Зачетный вес]]</f>
        <v>2027.1</v>
      </c>
      <c r="U1474" s="409" t="n">
        <f aca="false">Таблица18[[#This Row],[Отход]]/Таблица18[[#This Row],[Вес нетто]]</f>
        <v>0.145</v>
      </c>
      <c r="V1474" s="234" t="n">
        <f aca="false">MONTH(Таблица18[[#This Row],[Дата акта]])</f>
        <v>6</v>
      </c>
      <c r="W1474" s="234" t="n">
        <v>8</v>
      </c>
      <c r="X1474" s="248" t="n">
        <f aca="false">DATE(1900,Таблица18[[#This Row],[Месяц]],Таблица18[[#This Row],[Число]])</f>
        <v>160</v>
      </c>
      <c r="Y1474" s="234"/>
      <c r="AF1474" s="22"/>
      <c r="AG1474" s="414"/>
    </row>
    <row r="1475" customFormat="false" ht="19.4" hidden="false" customHeight="false" outlineLevel="0" collapsed="false">
      <c r="A1475" s="198" t="s">
        <v>3099</v>
      </c>
      <c r="B1475" s="199" t="s">
        <v>54</v>
      </c>
      <c r="C1475" s="198" t="n">
        <v>147</v>
      </c>
      <c r="D1475" s="198" t="n">
        <v>79</v>
      </c>
      <c r="E1475" s="198" t="s">
        <v>46</v>
      </c>
      <c r="F1475" s="198" t="s">
        <v>57</v>
      </c>
      <c r="G1475" s="198" t="s">
        <v>58</v>
      </c>
      <c r="H1475" s="198" t="s">
        <v>50</v>
      </c>
      <c r="I1475" s="199" t="s">
        <v>50</v>
      </c>
      <c r="J1475" s="198" t="s">
        <v>47</v>
      </c>
      <c r="K1475" s="198" t="s">
        <v>3018</v>
      </c>
      <c r="L1475" s="234" t="n">
        <v>28750</v>
      </c>
      <c r="M1475" s="234" t="n">
        <v>15570</v>
      </c>
      <c r="N1475" s="234" t="n">
        <v>17.5</v>
      </c>
      <c r="O1475" s="407" t="n">
        <v>13180</v>
      </c>
      <c r="P1475" s="407" t="n">
        <v>10873.5</v>
      </c>
      <c r="Q1475" s="234" t="n">
        <v>2026</v>
      </c>
      <c r="R1475" s="234" t="n">
        <v>93</v>
      </c>
      <c r="S1475" s="248" t="n">
        <v>46181</v>
      </c>
      <c r="T1475" s="407" t="n">
        <f aca="false">Таблица18[[#This Row],[Вес нетто]]-Таблица18[[#This Row],[Зачетный вес]]</f>
        <v>2306.5</v>
      </c>
      <c r="U1475" s="409" t="n">
        <f aca="false">Таблица18[[#This Row],[Отход]]/Таблица18[[#This Row],[Вес нетто]]</f>
        <v>0.175</v>
      </c>
      <c r="V1475" s="234" t="n">
        <f aca="false">MONTH(Таблица18[[#This Row],[Дата акта]])</f>
        <v>6</v>
      </c>
      <c r="W1475" s="234" t="n">
        <v>8</v>
      </c>
      <c r="X1475" s="248" t="n">
        <f aca="false">DATE(1900,Таблица18[[#This Row],[Месяц]],Таблица18[[#This Row],[Число]])</f>
        <v>160</v>
      </c>
      <c r="Y1475" s="234"/>
      <c r="AF1475" s="22"/>
      <c r="AG1475" s="414"/>
    </row>
    <row r="1476" customFormat="false" ht="28.35" hidden="false" customHeight="false" outlineLevel="0" collapsed="false">
      <c r="A1476" s="198" t="s">
        <v>3100</v>
      </c>
      <c r="B1476" s="199" t="s">
        <v>54</v>
      </c>
      <c r="C1476" s="198" t="n">
        <v>148</v>
      </c>
      <c r="D1476" s="198" t="n">
        <v>80</v>
      </c>
      <c r="E1476" s="198" t="s">
        <v>46</v>
      </c>
      <c r="F1476" s="198" t="s">
        <v>55</v>
      </c>
      <c r="G1476" s="198" t="s">
        <v>56</v>
      </c>
      <c r="H1476" s="198" t="s">
        <v>50</v>
      </c>
      <c r="I1476" s="199" t="s">
        <v>50</v>
      </c>
      <c r="J1476" s="198" t="s">
        <v>47</v>
      </c>
      <c r="K1476" s="198" t="s">
        <v>3018</v>
      </c>
      <c r="L1476" s="234" t="n">
        <v>28030</v>
      </c>
      <c r="M1476" s="234" t="n">
        <v>14740</v>
      </c>
      <c r="N1476" s="234" t="n">
        <v>15.5</v>
      </c>
      <c r="O1476" s="407" t="n">
        <v>13290</v>
      </c>
      <c r="P1476" s="407" t="n">
        <v>11230.1</v>
      </c>
      <c r="Q1476" s="234" t="n">
        <v>2026</v>
      </c>
      <c r="R1476" s="234" t="n">
        <v>94</v>
      </c>
      <c r="S1476" s="248" t="n">
        <v>46181</v>
      </c>
      <c r="T1476" s="407" t="n">
        <f aca="false">Таблица18[[#This Row],[Вес нетто]]-Таблица18[[#This Row],[Зачетный вес]]</f>
        <v>2059.9</v>
      </c>
      <c r="U1476" s="409" t="n">
        <f aca="false">Таблица18[[#This Row],[Отход]]/Таблица18[[#This Row],[Вес нетто]]</f>
        <v>0.154996237772761</v>
      </c>
      <c r="V1476" s="234" t="n">
        <f aca="false">MONTH(Таблица18[[#This Row],[Дата акта]])</f>
        <v>6</v>
      </c>
      <c r="W1476" s="234" t="n">
        <v>8</v>
      </c>
      <c r="X1476" s="248" t="n">
        <f aca="false">DATE(1900,Таблица18[[#This Row],[Месяц]],Таблица18[[#This Row],[Число]])</f>
        <v>160</v>
      </c>
      <c r="Y1476" s="234"/>
      <c r="AF1476" s="22"/>
      <c r="AG1476" s="414"/>
    </row>
    <row r="1477" customFormat="false" ht="19.4" hidden="false" customHeight="false" outlineLevel="0" collapsed="false">
      <c r="A1477" s="198" t="s">
        <v>3101</v>
      </c>
      <c r="B1477" s="199" t="s">
        <v>54</v>
      </c>
      <c r="C1477" s="198" t="n">
        <v>151</v>
      </c>
      <c r="D1477" s="198" t="n">
        <v>83</v>
      </c>
      <c r="E1477" s="198" t="s">
        <v>46</v>
      </c>
      <c r="F1477" s="198" t="s">
        <v>57</v>
      </c>
      <c r="G1477" s="198" t="s">
        <v>58</v>
      </c>
      <c r="H1477" s="198" t="s">
        <v>50</v>
      </c>
      <c r="I1477" s="199" t="s">
        <v>50</v>
      </c>
      <c r="J1477" s="198" t="s">
        <v>47</v>
      </c>
      <c r="K1477" s="198" t="s">
        <v>3018</v>
      </c>
      <c r="L1477" s="234" t="n">
        <v>28590</v>
      </c>
      <c r="M1477" s="234" t="n">
        <v>15570</v>
      </c>
      <c r="N1477" s="234" t="n">
        <v>18.5</v>
      </c>
      <c r="O1477" s="407" t="n">
        <v>13020</v>
      </c>
      <c r="P1477" s="407" t="n">
        <v>10611.3</v>
      </c>
      <c r="Q1477" s="234" t="n">
        <v>2026</v>
      </c>
      <c r="R1477" s="234" t="n">
        <v>97</v>
      </c>
      <c r="S1477" s="248" t="n">
        <v>46182</v>
      </c>
      <c r="T1477" s="407" t="n">
        <f aca="false">Таблица18[[#This Row],[Вес нетто]]-Таблица18[[#This Row],[Зачетный вес]]</f>
        <v>2408.7</v>
      </c>
      <c r="U1477" s="409" t="n">
        <f aca="false">Таблица18[[#This Row],[Отход]]/Таблица18[[#This Row],[Вес нетто]]</f>
        <v>0.185</v>
      </c>
      <c r="V1477" s="234" t="n">
        <f aca="false">MONTH(Таблица18[[#This Row],[Дата акта]])</f>
        <v>6</v>
      </c>
      <c r="W1477" s="234" t="n">
        <v>9</v>
      </c>
      <c r="X1477" s="248" t="n">
        <f aca="false">DATE(1900,Таблица18[[#This Row],[Месяц]],Таблица18[[#This Row],[Число]])</f>
        <v>161</v>
      </c>
      <c r="Y1477" s="234"/>
      <c r="AF1477" s="22"/>
      <c r="AG1477" s="414"/>
    </row>
    <row r="1478" customFormat="false" ht="28.35" hidden="false" customHeight="false" outlineLevel="0" collapsed="false">
      <c r="A1478" s="198" t="s">
        <v>3102</v>
      </c>
      <c r="B1478" s="199" t="s">
        <v>54</v>
      </c>
      <c r="C1478" s="198" t="n">
        <v>152</v>
      </c>
      <c r="D1478" s="198" t="n">
        <v>84</v>
      </c>
      <c r="E1478" s="198" t="s">
        <v>46</v>
      </c>
      <c r="F1478" s="198" t="s">
        <v>55</v>
      </c>
      <c r="G1478" s="198" t="s">
        <v>56</v>
      </c>
      <c r="H1478" s="198" t="s">
        <v>50</v>
      </c>
      <c r="I1478" s="199" t="s">
        <v>50</v>
      </c>
      <c r="J1478" s="198" t="s">
        <v>47</v>
      </c>
      <c r="K1478" s="198" t="s">
        <v>3018</v>
      </c>
      <c r="L1478" s="234" t="n">
        <v>28040</v>
      </c>
      <c r="M1478" s="234" t="n">
        <v>14730</v>
      </c>
      <c r="N1478" s="234" t="n">
        <v>16.5</v>
      </c>
      <c r="O1478" s="407" t="n">
        <v>13310</v>
      </c>
      <c r="P1478" s="407" t="n">
        <v>11113.9</v>
      </c>
      <c r="Q1478" s="234" t="n">
        <v>2026</v>
      </c>
      <c r="R1478" s="234" t="n">
        <v>98</v>
      </c>
      <c r="S1478" s="248" t="n">
        <v>46182</v>
      </c>
      <c r="T1478" s="407" t="n">
        <f aca="false">Таблица18[[#This Row],[Вес нетто]]-Таблица18[[#This Row],[Зачетный вес]]</f>
        <v>2196.1</v>
      </c>
      <c r="U1478" s="409" t="n">
        <f aca="false">Таблица18[[#This Row],[Отход]]/Таблица18[[#This Row],[Вес нетто]]</f>
        <v>0.164996243425996</v>
      </c>
      <c r="V1478" s="234" t="n">
        <f aca="false">MONTH(Таблица18[[#This Row],[Дата акта]])</f>
        <v>6</v>
      </c>
      <c r="W1478" s="234" t="n">
        <v>9</v>
      </c>
      <c r="X1478" s="248" t="n">
        <f aca="false">DATE(1900,Таблица18[[#This Row],[Месяц]],Таблица18[[#This Row],[Число]])</f>
        <v>161</v>
      </c>
      <c r="Y1478" s="234"/>
      <c r="AF1478" s="22"/>
      <c r="AG1478" s="414"/>
    </row>
    <row r="1479" customFormat="false" ht="19.4" hidden="false" customHeight="false" outlineLevel="0" collapsed="false">
      <c r="A1479" s="198" t="s">
        <v>3103</v>
      </c>
      <c r="B1479" s="199" t="s">
        <v>54</v>
      </c>
      <c r="C1479" s="198" t="n">
        <v>153</v>
      </c>
      <c r="D1479" s="198" t="n">
        <v>85</v>
      </c>
      <c r="E1479" s="198" t="s">
        <v>46</v>
      </c>
      <c r="F1479" s="198" t="s">
        <v>48</v>
      </c>
      <c r="G1479" s="198" t="s">
        <v>49</v>
      </c>
      <c r="H1479" s="198" t="s">
        <v>50</v>
      </c>
      <c r="I1479" s="199" t="s">
        <v>50</v>
      </c>
      <c r="J1479" s="198" t="s">
        <v>47</v>
      </c>
      <c r="K1479" s="198" t="s">
        <v>3018</v>
      </c>
      <c r="L1479" s="234" t="n">
        <v>28270</v>
      </c>
      <c r="M1479" s="234" t="n">
        <v>14930</v>
      </c>
      <c r="N1479" s="234" t="n">
        <v>20.5</v>
      </c>
      <c r="O1479" s="407" t="n">
        <v>13340</v>
      </c>
      <c r="P1479" s="407" t="n">
        <v>10605.3</v>
      </c>
      <c r="Q1479" s="234" t="n">
        <v>2026</v>
      </c>
      <c r="R1479" s="234" t="n">
        <v>99</v>
      </c>
      <c r="S1479" s="248" t="n">
        <v>46182</v>
      </c>
      <c r="T1479" s="407" t="n">
        <f aca="false">Таблица18[[#This Row],[Вес нетто]]-Таблица18[[#This Row],[Зачетный вес]]</f>
        <v>2734.7</v>
      </c>
      <c r="U1479" s="409" t="n">
        <f aca="false">Таблица18[[#This Row],[Отход]]/Таблица18[[#This Row],[Вес нетто]]</f>
        <v>0.205</v>
      </c>
      <c r="V1479" s="234" t="n">
        <f aca="false">MONTH(Таблица18[[#This Row],[Дата акта]])</f>
        <v>6</v>
      </c>
      <c r="W1479" s="234" t="n">
        <v>9</v>
      </c>
      <c r="X1479" s="248" t="n">
        <f aca="false">DATE(1900,Таблица18[[#This Row],[Месяц]],Таблица18[[#This Row],[Число]])</f>
        <v>161</v>
      </c>
      <c r="Y1479" s="234"/>
      <c r="AF1479" s="22"/>
      <c r="AG1479" s="414"/>
    </row>
    <row r="1480" customFormat="false" ht="28.35" hidden="false" customHeight="false" outlineLevel="0" collapsed="false">
      <c r="A1480" s="198" t="s">
        <v>3104</v>
      </c>
      <c r="B1480" s="199" t="s">
        <v>54</v>
      </c>
      <c r="C1480" s="198" t="n">
        <v>154</v>
      </c>
      <c r="D1480" s="198" t="n">
        <v>86</v>
      </c>
      <c r="E1480" s="198" t="s">
        <v>46</v>
      </c>
      <c r="F1480" s="198" t="s">
        <v>386</v>
      </c>
      <c r="G1480" s="198" t="s">
        <v>387</v>
      </c>
      <c r="H1480" s="198" t="s">
        <v>50</v>
      </c>
      <c r="I1480" s="199" t="s">
        <v>50</v>
      </c>
      <c r="J1480" s="198" t="s">
        <v>47</v>
      </c>
      <c r="K1480" s="198" t="s">
        <v>3018</v>
      </c>
      <c r="L1480" s="234" t="n">
        <v>28690</v>
      </c>
      <c r="M1480" s="234" t="n">
        <v>15180</v>
      </c>
      <c r="N1480" s="234" t="n">
        <v>21.5</v>
      </c>
      <c r="O1480" s="407" t="n">
        <v>13510</v>
      </c>
      <c r="P1480" s="407" t="n">
        <v>10605.3</v>
      </c>
      <c r="Q1480" s="234" t="n">
        <v>2026</v>
      </c>
      <c r="R1480" s="234" t="n">
        <v>100</v>
      </c>
      <c r="S1480" s="248" t="n">
        <v>46182</v>
      </c>
      <c r="T1480" s="407" t="n">
        <f aca="false">Таблица18[[#This Row],[Вес нетто]]-Таблица18[[#This Row],[Зачетный вес]]</f>
        <v>2904.7</v>
      </c>
      <c r="U1480" s="409" t="n">
        <f aca="false">Таблица18[[#This Row],[Отход]]/Таблица18[[#This Row],[Вес нетто]]</f>
        <v>0.21500370096225</v>
      </c>
      <c r="V1480" s="234" t="n">
        <f aca="false">MONTH(Таблица18[[#This Row],[Дата акта]])</f>
        <v>6</v>
      </c>
      <c r="W1480" s="234" t="n">
        <v>9</v>
      </c>
      <c r="X1480" s="248" t="n">
        <f aca="false">DATE(1900,Таблица18[[#This Row],[Месяц]],Таблица18[[#This Row],[Число]])</f>
        <v>161</v>
      </c>
      <c r="Y1480" s="234"/>
      <c r="AF1480" s="22"/>
      <c r="AG1480" s="414"/>
    </row>
    <row r="1481" customFormat="false" ht="19.4" hidden="false" customHeight="false" outlineLevel="0" collapsed="false">
      <c r="A1481" s="198" t="s">
        <v>3105</v>
      </c>
      <c r="B1481" s="199" t="s">
        <v>54</v>
      </c>
      <c r="C1481" s="198" t="n">
        <v>155</v>
      </c>
      <c r="D1481" s="198" t="n">
        <v>87</v>
      </c>
      <c r="E1481" s="198" t="s">
        <v>46</v>
      </c>
      <c r="F1481" s="198" t="s">
        <v>57</v>
      </c>
      <c r="G1481" s="198" t="s">
        <v>58</v>
      </c>
      <c r="H1481" s="198" t="s">
        <v>50</v>
      </c>
      <c r="I1481" s="199" t="s">
        <v>50</v>
      </c>
      <c r="J1481" s="198" t="s">
        <v>47</v>
      </c>
      <c r="K1481" s="198" t="s">
        <v>3018</v>
      </c>
      <c r="L1481" s="234" t="n">
        <v>28800</v>
      </c>
      <c r="M1481" s="234" t="n">
        <v>15570</v>
      </c>
      <c r="N1481" s="234" t="n">
        <v>24.5</v>
      </c>
      <c r="O1481" s="407" t="n">
        <v>13230</v>
      </c>
      <c r="P1481" s="407" t="n">
        <v>9988.7</v>
      </c>
      <c r="Q1481" s="234" t="n">
        <v>2026</v>
      </c>
      <c r="R1481" s="234" t="n">
        <v>101</v>
      </c>
      <c r="S1481" s="248" t="n">
        <v>46182</v>
      </c>
      <c r="T1481" s="407" t="n">
        <f aca="false">Таблица18[[#This Row],[Вес нетто]]-Таблица18[[#This Row],[Зачетный вес]]</f>
        <v>3241.3</v>
      </c>
      <c r="U1481" s="409" t="n">
        <f aca="false">Таблица18[[#This Row],[Отход]]/Таблица18[[#This Row],[Вес нетто]]</f>
        <v>0.244996220710506</v>
      </c>
      <c r="V1481" s="234" t="n">
        <f aca="false">MONTH(Таблица18[[#This Row],[Дата акта]])</f>
        <v>6</v>
      </c>
      <c r="W1481" s="234" t="n">
        <v>9</v>
      </c>
      <c r="X1481" s="248" t="n">
        <f aca="false">DATE(1900,Таблица18[[#This Row],[Месяц]],Таблица18[[#This Row],[Число]])</f>
        <v>161</v>
      </c>
      <c r="Y1481" s="234"/>
    </row>
    <row r="1482" customFormat="false" ht="28.35" hidden="false" customHeight="false" outlineLevel="0" collapsed="false">
      <c r="A1482" s="198" t="s">
        <v>3106</v>
      </c>
      <c r="B1482" s="199" t="s">
        <v>54</v>
      </c>
      <c r="C1482" s="198" t="n">
        <v>156</v>
      </c>
      <c r="D1482" s="198" t="n">
        <v>88</v>
      </c>
      <c r="E1482" s="198" t="s">
        <v>46</v>
      </c>
      <c r="F1482" s="198" t="s">
        <v>55</v>
      </c>
      <c r="G1482" s="198" t="s">
        <v>56</v>
      </c>
      <c r="H1482" s="198" t="s">
        <v>50</v>
      </c>
      <c r="I1482" s="199" t="s">
        <v>50</v>
      </c>
      <c r="J1482" s="198" t="s">
        <v>47</v>
      </c>
      <c r="K1482" s="198" t="s">
        <v>3018</v>
      </c>
      <c r="L1482" s="234" t="n">
        <v>27880</v>
      </c>
      <c r="M1482" s="234" t="n">
        <v>14720</v>
      </c>
      <c r="N1482" s="234" t="n">
        <v>24.5</v>
      </c>
      <c r="O1482" s="407" t="n">
        <v>13160</v>
      </c>
      <c r="P1482" s="407" t="n">
        <v>9935.8</v>
      </c>
      <c r="Q1482" s="234" t="n">
        <v>2026</v>
      </c>
      <c r="R1482" s="234" t="n">
        <v>102</v>
      </c>
      <c r="S1482" s="248" t="n">
        <v>46182</v>
      </c>
      <c r="T1482" s="407" t="n">
        <f aca="false">Таблица18[[#This Row],[Вес нетто]]-Таблица18[[#This Row],[Зачетный вес]]</f>
        <v>3224.2</v>
      </c>
      <c r="U1482" s="409" t="n">
        <f aca="false">Таблица18[[#This Row],[Отход]]/Таблица18[[#This Row],[Вес нетто]]</f>
        <v>0.245</v>
      </c>
      <c r="V1482" s="234" t="n">
        <f aca="false">MONTH(Таблица18[[#This Row],[Дата акта]])</f>
        <v>6</v>
      </c>
      <c r="W1482" s="234" t="n">
        <v>9</v>
      </c>
      <c r="X1482" s="248" t="n">
        <f aca="false">DATE(1900,Таблица18[[#This Row],[Месяц]],Таблица18[[#This Row],[Число]])</f>
        <v>161</v>
      </c>
      <c r="Y1482" s="234"/>
    </row>
    <row r="1483" customFormat="false" ht="19.4" hidden="false" customHeight="false" outlineLevel="0" collapsed="false">
      <c r="A1483" s="198" t="s">
        <v>3107</v>
      </c>
      <c r="B1483" s="199" t="s">
        <v>54</v>
      </c>
      <c r="C1483" s="198" t="n">
        <v>157</v>
      </c>
      <c r="D1483" s="198" t="n">
        <v>89</v>
      </c>
      <c r="E1483" s="198" t="s">
        <v>46</v>
      </c>
      <c r="F1483" s="198" t="s">
        <v>48</v>
      </c>
      <c r="G1483" s="198" t="s">
        <v>49</v>
      </c>
      <c r="H1483" s="198" t="s">
        <v>50</v>
      </c>
      <c r="I1483" s="199" t="s">
        <v>50</v>
      </c>
      <c r="J1483" s="198" t="s">
        <v>47</v>
      </c>
      <c r="K1483" s="198" t="s">
        <v>3018</v>
      </c>
      <c r="L1483" s="234" t="n">
        <v>22020</v>
      </c>
      <c r="M1483" s="234" t="n">
        <v>14910</v>
      </c>
      <c r="N1483" s="234" t="n">
        <v>22.5</v>
      </c>
      <c r="O1483" s="407" t="n">
        <v>7110</v>
      </c>
      <c r="P1483" s="407" t="n">
        <v>5510.3</v>
      </c>
      <c r="Q1483" s="234" t="n">
        <v>2026</v>
      </c>
      <c r="R1483" s="234" t="n">
        <v>103</v>
      </c>
      <c r="S1483" s="248" t="n">
        <v>46182</v>
      </c>
      <c r="T1483" s="407" t="n">
        <f aca="false">Таблица18[[#This Row],[Вес нетто]]-Таблица18[[#This Row],[Зачетный вес]]</f>
        <v>1599.7</v>
      </c>
      <c r="U1483" s="409" t="n">
        <f aca="false">Таблица18[[#This Row],[Отход]]/Таблица18[[#This Row],[Вес нетто]]</f>
        <v>0.224992967651195</v>
      </c>
      <c r="V1483" s="234" t="n">
        <f aca="false">MONTH(Таблица18[[#This Row],[Дата акта]])</f>
        <v>6</v>
      </c>
      <c r="W1483" s="234" t="n">
        <v>9</v>
      </c>
      <c r="X1483" s="248" t="n">
        <f aca="false">DATE(1900,Таблица18[[#This Row],[Месяц]],Таблица18[[#This Row],[Число]])</f>
        <v>161</v>
      </c>
      <c r="Y1483" s="234"/>
    </row>
    <row r="1484" customFormat="false" ht="28.35" hidden="false" customHeight="false" outlineLevel="0" collapsed="false">
      <c r="A1484" s="198" t="s">
        <v>3108</v>
      </c>
      <c r="B1484" s="199" t="s">
        <v>54</v>
      </c>
      <c r="C1484" s="198" t="n">
        <v>160</v>
      </c>
      <c r="D1484" s="198" t="n">
        <v>90</v>
      </c>
      <c r="E1484" s="198" t="s">
        <v>46</v>
      </c>
      <c r="F1484" s="198" t="s">
        <v>386</v>
      </c>
      <c r="G1484" s="198" t="s">
        <v>387</v>
      </c>
      <c r="H1484" s="198" t="s">
        <v>67</v>
      </c>
      <c r="I1484" s="198" t="s">
        <v>67</v>
      </c>
      <c r="J1484" s="198" t="s">
        <v>68</v>
      </c>
      <c r="K1484" s="198" t="s">
        <v>3018</v>
      </c>
      <c r="L1484" s="234" t="n">
        <v>28560</v>
      </c>
      <c r="M1484" s="234" t="n">
        <v>15160</v>
      </c>
      <c r="N1484" s="234" t="n">
        <v>20.5</v>
      </c>
      <c r="O1484" s="407" t="n">
        <v>13400</v>
      </c>
      <c r="P1484" s="407" t="n">
        <v>10653</v>
      </c>
      <c r="Q1484" s="234" t="n">
        <v>2026</v>
      </c>
      <c r="R1484" s="234" t="n">
        <v>104</v>
      </c>
      <c r="S1484" s="248" t="n">
        <v>46182</v>
      </c>
      <c r="T1484" s="407" t="n">
        <f aca="false">Таблица18[[#This Row],[Вес нетто]]-Таблица18[[#This Row],[Зачетный вес]]</f>
        <v>2747</v>
      </c>
      <c r="U1484" s="409" t="n">
        <f aca="false">Таблица18[[#This Row],[Отход]]/Таблица18[[#This Row],[Вес нетто]]</f>
        <v>0.205</v>
      </c>
      <c r="V1484" s="234" t="n">
        <f aca="false">MONTH(Таблица18[[#This Row],[Дата акта]])</f>
        <v>6</v>
      </c>
      <c r="W1484" s="234" t="n">
        <v>9</v>
      </c>
      <c r="X1484" s="248" t="n">
        <f aca="false">DATE(1900,Таблица18[[#This Row],[Месяц]],Таблица18[[#This Row],[Число]])</f>
        <v>161</v>
      </c>
      <c r="Y1484" s="234"/>
    </row>
    <row r="1485" customFormat="false" ht="19.4" hidden="false" customHeight="false" outlineLevel="0" collapsed="false">
      <c r="A1485" s="198" t="s">
        <v>3109</v>
      </c>
      <c r="B1485" s="199" t="s">
        <v>54</v>
      </c>
      <c r="C1485" s="198" t="n">
        <v>162</v>
      </c>
      <c r="D1485" s="198" t="n">
        <v>92</v>
      </c>
      <c r="E1485" s="198" t="s">
        <v>46</v>
      </c>
      <c r="F1485" s="198" t="s">
        <v>380</v>
      </c>
      <c r="G1485" s="198" t="s">
        <v>381</v>
      </c>
      <c r="H1485" s="198" t="s">
        <v>3110</v>
      </c>
      <c r="I1485" s="199" t="s">
        <v>67</v>
      </c>
      <c r="J1485" s="198" t="s">
        <v>68</v>
      </c>
      <c r="K1485" s="198" t="s">
        <v>3018</v>
      </c>
      <c r="L1485" s="234" t="n">
        <v>27350</v>
      </c>
      <c r="M1485" s="234" t="n">
        <v>14340</v>
      </c>
      <c r="N1485" s="234" t="n">
        <v>11.5</v>
      </c>
      <c r="O1485" s="407" t="n">
        <v>13010</v>
      </c>
      <c r="P1485" s="407" t="n">
        <v>11513.8</v>
      </c>
      <c r="Q1485" s="234" t="n">
        <v>2026</v>
      </c>
      <c r="R1485" s="234" t="n">
        <v>106</v>
      </c>
      <c r="S1485" s="248" t="n">
        <v>46182</v>
      </c>
      <c r="T1485" s="407" t="n">
        <f aca="false">Таблица18[[#This Row],[Вес нетто]]-Таблица18[[#This Row],[Зачетный вес]]</f>
        <v>1496.2</v>
      </c>
      <c r="U1485" s="409" t="n">
        <f aca="false">Таблица18[[#This Row],[Отход]]/Таблица18[[#This Row],[Вес нетто]]</f>
        <v>0.11500384319754</v>
      </c>
      <c r="V1485" s="234" t="n">
        <f aca="false">MONTH(Таблица18[[#This Row],[Дата акта]])</f>
        <v>6</v>
      </c>
      <c r="W1485" s="234" t="n">
        <v>9</v>
      </c>
      <c r="X1485" s="248" t="n">
        <f aca="false">DATE(1900,Таблица18[[#This Row],[Месяц]],Таблица18[[#This Row],[Число]])</f>
        <v>161</v>
      </c>
      <c r="Y1485" s="234"/>
    </row>
    <row r="1486" customFormat="false" ht="28.35" hidden="false" customHeight="false" outlineLevel="0" collapsed="false">
      <c r="A1486" s="198" t="s">
        <v>3111</v>
      </c>
      <c r="B1486" s="199" t="s">
        <v>54</v>
      </c>
      <c r="C1486" s="198" t="n">
        <v>163</v>
      </c>
      <c r="D1486" s="198" t="n">
        <v>93</v>
      </c>
      <c r="E1486" s="198" t="s">
        <v>3112</v>
      </c>
      <c r="F1486" s="198" t="s">
        <v>388</v>
      </c>
      <c r="G1486" s="198" t="s">
        <v>389</v>
      </c>
      <c r="H1486" s="198" t="s">
        <v>3110</v>
      </c>
      <c r="I1486" s="199" t="s">
        <v>67</v>
      </c>
      <c r="J1486" s="198" t="s">
        <v>68</v>
      </c>
      <c r="K1486" s="198" t="s">
        <v>3018</v>
      </c>
      <c r="L1486" s="234" t="n">
        <v>27820</v>
      </c>
      <c r="M1486" s="234" t="n">
        <v>14350</v>
      </c>
      <c r="N1486" s="234" t="n">
        <v>18.5</v>
      </c>
      <c r="O1486" s="407" t="n">
        <v>13470</v>
      </c>
      <c r="P1486" s="407" t="n">
        <v>10978</v>
      </c>
      <c r="Q1486" s="234" t="n">
        <v>2026</v>
      </c>
      <c r="R1486" s="234" t="n">
        <v>107</v>
      </c>
      <c r="S1486" s="248" t="n">
        <v>46182</v>
      </c>
      <c r="T1486" s="407" t="n">
        <f aca="false">Таблица18[[#This Row],[Вес нетто]]-Таблица18[[#This Row],[Зачетный вес]]</f>
        <v>2492</v>
      </c>
      <c r="U1486" s="409" t="n">
        <f aca="false">Таблица18[[#This Row],[Отход]]/Таблица18[[#This Row],[Вес нетто]]</f>
        <v>0.185003711952487</v>
      </c>
      <c r="V1486" s="234" t="n">
        <f aca="false">MONTH(Таблица18[[#This Row],[Дата акта]])</f>
        <v>6</v>
      </c>
      <c r="W1486" s="234" t="n">
        <v>9</v>
      </c>
      <c r="X1486" s="248" t="n">
        <f aca="false">DATE(1900,Таблица18[[#This Row],[Месяц]],Таблица18[[#This Row],[Число]])</f>
        <v>161</v>
      </c>
      <c r="Y1486" s="234"/>
    </row>
    <row r="1487" customFormat="false" ht="19.4" hidden="false" customHeight="false" outlineLevel="0" collapsed="false">
      <c r="A1487" s="198" t="s">
        <v>3113</v>
      </c>
      <c r="B1487" s="199" t="s">
        <v>54</v>
      </c>
      <c r="C1487" s="198" t="n">
        <v>167</v>
      </c>
      <c r="D1487" s="198" t="n">
        <v>94</v>
      </c>
      <c r="E1487" s="198" t="s">
        <v>46</v>
      </c>
      <c r="F1487" s="198" t="s">
        <v>48</v>
      </c>
      <c r="G1487" s="198" t="s">
        <v>49</v>
      </c>
      <c r="H1487" s="198" t="s">
        <v>3110</v>
      </c>
      <c r="I1487" s="199" t="s">
        <v>67</v>
      </c>
      <c r="J1487" s="198" t="s">
        <v>68</v>
      </c>
      <c r="K1487" s="198" t="s">
        <v>3018</v>
      </c>
      <c r="L1487" s="234" t="n">
        <v>28550</v>
      </c>
      <c r="M1487" s="234" t="n">
        <v>15020</v>
      </c>
      <c r="N1487" s="234" t="n">
        <v>20.5</v>
      </c>
      <c r="O1487" s="407" t="n">
        <v>13530</v>
      </c>
      <c r="P1487" s="407" t="n">
        <v>10756.3</v>
      </c>
      <c r="Q1487" s="234" t="n">
        <v>2026</v>
      </c>
      <c r="R1487" s="234" t="n">
        <v>108</v>
      </c>
      <c r="S1487" s="248" t="n">
        <v>46182</v>
      </c>
      <c r="T1487" s="407" t="n">
        <f aca="false">Таблица18[[#This Row],[Вес нетто]]-Таблица18[[#This Row],[Зачетный вес]]</f>
        <v>2773.7</v>
      </c>
      <c r="U1487" s="409" t="n">
        <f aca="false">Таблица18[[#This Row],[Отход]]/Таблица18[[#This Row],[Вес нетто]]</f>
        <v>0.2050036954915</v>
      </c>
      <c r="V1487" s="234" t="n">
        <f aca="false">MONTH(Таблица18[[#This Row],[Дата акта]])</f>
        <v>6</v>
      </c>
      <c r="W1487" s="234" t="n">
        <v>9</v>
      </c>
      <c r="X1487" s="248" t="n">
        <f aca="false">DATE(1900,Таблица18[[#This Row],[Месяц]],Таблица18[[#This Row],[Число]])</f>
        <v>161</v>
      </c>
      <c r="Y1487" s="234"/>
    </row>
    <row r="1488" customFormat="false" ht="28.35" hidden="false" customHeight="false" outlineLevel="0" collapsed="false">
      <c r="A1488" s="198" t="s">
        <v>3114</v>
      </c>
      <c r="B1488" s="199" t="s">
        <v>54</v>
      </c>
      <c r="C1488" s="198" t="n">
        <v>161</v>
      </c>
      <c r="D1488" s="198" t="n">
        <v>91</v>
      </c>
      <c r="E1488" s="198" t="s">
        <v>46</v>
      </c>
      <c r="F1488" s="198" t="s">
        <v>378</v>
      </c>
      <c r="G1488" s="198" t="s">
        <v>379</v>
      </c>
      <c r="H1488" s="198" t="s">
        <v>67</v>
      </c>
      <c r="I1488" s="199" t="s">
        <v>67</v>
      </c>
      <c r="J1488" s="198" t="s">
        <v>68</v>
      </c>
      <c r="K1488" s="198" t="s">
        <v>3018</v>
      </c>
      <c r="L1488" s="234" t="n">
        <v>9240</v>
      </c>
      <c r="M1488" s="234" t="n">
        <v>4680</v>
      </c>
      <c r="N1488" s="234" t="n">
        <v>17.5</v>
      </c>
      <c r="O1488" s="407" t="n">
        <v>4560</v>
      </c>
      <c r="P1488" s="407" t="n">
        <v>3762</v>
      </c>
      <c r="Q1488" s="234" t="n">
        <v>2026</v>
      </c>
      <c r="R1488" s="234" t="n">
        <v>105</v>
      </c>
      <c r="S1488" s="248" t="n">
        <v>46182</v>
      </c>
      <c r="T1488" s="407" t="n">
        <f aca="false">Таблица18[[#This Row],[Вес нетто]]-Таблица18[[#This Row],[Зачетный вес]]</f>
        <v>798</v>
      </c>
      <c r="U1488" s="409" t="n">
        <f aca="false">Таблица18[[#This Row],[Отход]]/Таблица18[[#This Row],[Вес нетто]]</f>
        <v>0.175</v>
      </c>
      <c r="V1488" s="234" t="n">
        <f aca="false">MONTH(Таблица18[[#This Row],[Дата акта]])</f>
        <v>6</v>
      </c>
      <c r="W1488" s="234" t="n">
        <v>9</v>
      </c>
      <c r="X1488" s="248" t="n">
        <f aca="false">DATE(1900,Таблица18[[#This Row],[Месяц]],Таблица18[[#This Row],[Число]])</f>
        <v>161</v>
      </c>
      <c r="Y1488" s="234"/>
    </row>
    <row r="1489" customFormat="false" ht="28.35" hidden="false" customHeight="false" outlineLevel="0" collapsed="false">
      <c r="A1489" s="198" t="s">
        <v>3115</v>
      </c>
      <c r="B1489" s="199" t="s">
        <v>54</v>
      </c>
      <c r="C1489" s="198" t="n">
        <v>168</v>
      </c>
      <c r="D1489" s="198" t="n">
        <v>95</v>
      </c>
      <c r="E1489" s="198" t="s">
        <v>46</v>
      </c>
      <c r="F1489" s="198" t="s">
        <v>378</v>
      </c>
      <c r="G1489" s="198" t="s">
        <v>379</v>
      </c>
      <c r="H1489" s="198" t="s">
        <v>67</v>
      </c>
      <c r="I1489" s="199" t="s">
        <v>67</v>
      </c>
      <c r="J1489" s="198" t="s">
        <v>68</v>
      </c>
      <c r="K1489" s="198" t="s">
        <v>3018</v>
      </c>
      <c r="L1489" s="234" t="n">
        <v>8770</v>
      </c>
      <c r="M1489" s="234" t="n">
        <v>4680</v>
      </c>
      <c r="N1489" s="234" t="n">
        <v>15.5</v>
      </c>
      <c r="O1489" s="407" t="n">
        <v>4090</v>
      </c>
      <c r="P1489" s="407" t="n">
        <v>3456.1</v>
      </c>
      <c r="Q1489" s="234" t="n">
        <v>2026</v>
      </c>
      <c r="R1489" s="234" t="n">
        <v>109</v>
      </c>
      <c r="S1489" s="248" t="n">
        <v>46182</v>
      </c>
      <c r="T1489" s="407" t="n">
        <f aca="false">Таблица18[[#This Row],[Вес нетто]]-Таблица18[[#This Row],[Зачетный вес]]</f>
        <v>633.9</v>
      </c>
      <c r="U1489" s="409" t="n">
        <f aca="false">Таблица18[[#This Row],[Отход]]/Таблица18[[#This Row],[Вес нетто]]</f>
        <v>0.154987775061125</v>
      </c>
      <c r="V1489" s="234" t="n">
        <f aca="false">MONTH(Таблица18[[#This Row],[Дата акта]])</f>
        <v>6</v>
      </c>
      <c r="W1489" s="234" t="n">
        <v>9</v>
      </c>
      <c r="X1489" s="248" t="n">
        <f aca="false">DATE(1900,Таблица18[[#This Row],[Месяц]],Таблица18[[#This Row],[Число]])</f>
        <v>161</v>
      </c>
      <c r="Y1489" s="234"/>
    </row>
    <row r="1490" customFormat="false" ht="19.4" hidden="false" customHeight="false" outlineLevel="0" collapsed="false">
      <c r="A1490" s="198" t="s">
        <v>3116</v>
      </c>
      <c r="B1490" s="199" t="s">
        <v>54</v>
      </c>
      <c r="C1490" s="198" t="n">
        <v>173</v>
      </c>
      <c r="D1490" s="198" t="n">
        <v>99</v>
      </c>
      <c r="E1490" s="198" t="s">
        <v>46</v>
      </c>
      <c r="F1490" s="198" t="s">
        <v>48</v>
      </c>
      <c r="G1490" s="198" t="s">
        <v>49</v>
      </c>
      <c r="H1490" s="198" t="s">
        <v>3110</v>
      </c>
      <c r="I1490" s="199" t="s">
        <v>67</v>
      </c>
      <c r="J1490" s="198" t="s">
        <v>68</v>
      </c>
      <c r="K1490" s="198" t="s">
        <v>3018</v>
      </c>
      <c r="L1490" s="234" t="n">
        <v>28230</v>
      </c>
      <c r="M1490" s="234" t="n">
        <v>15130</v>
      </c>
      <c r="N1490" s="234" t="n">
        <v>21.5</v>
      </c>
      <c r="O1490" s="407" t="n">
        <v>13100</v>
      </c>
      <c r="P1490" s="407" t="n">
        <v>10283.5</v>
      </c>
      <c r="Q1490" s="234" t="n">
        <v>2026</v>
      </c>
      <c r="R1490" s="234" t="n">
        <v>113</v>
      </c>
      <c r="S1490" s="248" t="n">
        <v>46182</v>
      </c>
      <c r="T1490" s="407" t="n">
        <f aca="false">Таблица18[[#This Row],[Вес нетто]]-Таблица18[[#This Row],[Зачетный вес]]</f>
        <v>2816.5</v>
      </c>
      <c r="U1490" s="409" t="n">
        <f aca="false">Таблица18[[#This Row],[Отход]]/Таблица18[[#This Row],[Вес нетто]]</f>
        <v>0.215</v>
      </c>
      <c r="V1490" s="234" t="n">
        <f aca="false">MONTH(Таблица18[[#This Row],[Дата акта]])</f>
        <v>6</v>
      </c>
      <c r="W1490" s="234" t="n">
        <v>9</v>
      </c>
      <c r="X1490" s="248" t="n">
        <f aca="false">DATE(1900,Таблица18[[#This Row],[Месяц]],Таблица18[[#This Row],[Число]])</f>
        <v>161</v>
      </c>
      <c r="Y1490" s="234"/>
    </row>
    <row r="1491" customFormat="false" ht="28.35" hidden="false" customHeight="false" outlineLevel="0" collapsed="false">
      <c r="A1491" s="198" t="s">
        <v>3117</v>
      </c>
      <c r="B1491" s="199" t="s">
        <v>54</v>
      </c>
      <c r="C1491" s="198" t="n">
        <v>170</v>
      </c>
      <c r="D1491" s="198" t="n">
        <v>96</v>
      </c>
      <c r="E1491" s="198" t="s">
        <v>46</v>
      </c>
      <c r="F1491" s="198" t="s">
        <v>386</v>
      </c>
      <c r="G1491" s="198" t="s">
        <v>387</v>
      </c>
      <c r="H1491" s="198" t="s">
        <v>67</v>
      </c>
      <c r="I1491" s="199" t="s">
        <v>67</v>
      </c>
      <c r="J1491" s="198" t="s">
        <v>68</v>
      </c>
      <c r="K1491" s="198" t="s">
        <v>3018</v>
      </c>
      <c r="L1491" s="234" t="n">
        <v>28570</v>
      </c>
      <c r="M1491" s="234" t="n">
        <v>15160</v>
      </c>
      <c r="N1491" s="234" t="n">
        <v>9.5</v>
      </c>
      <c r="O1491" s="407" t="n">
        <v>13410</v>
      </c>
      <c r="P1491" s="407" t="n">
        <v>12136.1</v>
      </c>
      <c r="Q1491" s="234" t="n">
        <v>2026</v>
      </c>
      <c r="R1491" s="234" t="n">
        <v>110</v>
      </c>
      <c r="S1491" s="248" t="n">
        <v>46182</v>
      </c>
      <c r="T1491" s="407" t="n">
        <f aca="false">Таблица18[[#This Row],[Вес нетто]]-Таблица18[[#This Row],[Зачетный вес]]</f>
        <v>1273.9</v>
      </c>
      <c r="U1491" s="409" t="n">
        <f aca="false">Таблица18[[#This Row],[Отход]]/Таблица18[[#This Row],[Вес нетто]]</f>
        <v>0.0949962714392244</v>
      </c>
      <c r="V1491" s="234" t="n">
        <f aca="false">MONTH(Таблица18[[#This Row],[Дата акта]])</f>
        <v>6</v>
      </c>
      <c r="W1491" s="234" t="n">
        <v>9</v>
      </c>
      <c r="X1491" s="248" t="n">
        <f aca="false">DATE(1900,Таблица18[[#This Row],[Месяц]],Таблица18[[#This Row],[Число]])</f>
        <v>161</v>
      </c>
      <c r="Y1491" s="234"/>
    </row>
    <row r="1492" customFormat="false" ht="19.4" hidden="false" customHeight="false" outlineLevel="0" collapsed="false">
      <c r="A1492" s="198" t="s">
        <v>3118</v>
      </c>
      <c r="B1492" s="199" t="s">
        <v>54</v>
      </c>
      <c r="C1492" s="198" t="n">
        <v>171</v>
      </c>
      <c r="D1492" s="198" t="n">
        <v>92</v>
      </c>
      <c r="E1492" s="198" t="s">
        <v>46</v>
      </c>
      <c r="F1492" s="198" t="s">
        <v>380</v>
      </c>
      <c r="G1492" s="198" t="s">
        <v>381</v>
      </c>
      <c r="H1492" s="198" t="s">
        <v>3110</v>
      </c>
      <c r="I1492" s="199" t="s">
        <v>67</v>
      </c>
      <c r="J1492" s="198" t="s">
        <v>68</v>
      </c>
      <c r="K1492" s="198" t="s">
        <v>3018</v>
      </c>
      <c r="L1492" s="234" t="n">
        <v>27670</v>
      </c>
      <c r="M1492" s="234" t="n">
        <v>14370</v>
      </c>
      <c r="N1492" s="234" t="n">
        <v>15.5</v>
      </c>
      <c r="O1492" s="407" t="n">
        <v>13300</v>
      </c>
      <c r="P1492" s="407" t="n">
        <v>11238.5</v>
      </c>
      <c r="Q1492" s="234" t="n">
        <v>2026</v>
      </c>
      <c r="R1492" s="234" t="n">
        <v>111</v>
      </c>
      <c r="S1492" s="248" t="n">
        <v>46182</v>
      </c>
      <c r="T1492" s="407" t="n">
        <f aca="false">Таблица18[[#This Row],[Вес нетто]]-Таблица18[[#This Row],[Зачетный вес]]</f>
        <v>2061.5</v>
      </c>
      <c r="U1492" s="409" t="n">
        <f aca="false">Таблица18[[#This Row],[Отход]]/Таблица18[[#This Row],[Вес нетто]]</f>
        <v>0.155</v>
      </c>
      <c r="V1492" s="234" t="n">
        <f aca="false">MONTH(Таблица18[[#This Row],[Дата акта]])</f>
        <v>6</v>
      </c>
      <c r="W1492" s="234" t="n">
        <v>9</v>
      </c>
      <c r="X1492" s="248" t="n">
        <f aca="false">DATE(1900,Таблица18[[#This Row],[Месяц]],Таблица18[[#This Row],[Число]])</f>
        <v>161</v>
      </c>
      <c r="Y1492" s="234"/>
    </row>
    <row r="1493" customFormat="false" ht="28.35" hidden="false" customHeight="false" outlineLevel="0" collapsed="false">
      <c r="A1493" s="198" t="s">
        <v>3119</v>
      </c>
      <c r="B1493" s="199" t="s">
        <v>54</v>
      </c>
      <c r="C1493" s="198" t="n">
        <v>172</v>
      </c>
      <c r="D1493" s="198" t="n">
        <v>98</v>
      </c>
      <c r="E1493" s="198" t="s">
        <v>46</v>
      </c>
      <c r="F1493" s="198" t="s">
        <v>388</v>
      </c>
      <c r="G1493" s="198" t="s">
        <v>389</v>
      </c>
      <c r="H1493" s="198" t="s">
        <v>3110</v>
      </c>
      <c r="I1493" s="199" t="s">
        <v>67</v>
      </c>
      <c r="J1493" s="198" t="s">
        <v>68</v>
      </c>
      <c r="K1493" s="198" t="s">
        <v>3018</v>
      </c>
      <c r="L1493" s="234" t="n">
        <v>27420</v>
      </c>
      <c r="M1493" s="234" t="n">
        <v>14350</v>
      </c>
      <c r="N1493" s="234" t="n">
        <v>11.5</v>
      </c>
      <c r="O1493" s="407" t="n">
        <v>13070</v>
      </c>
      <c r="P1493" s="407" t="n">
        <v>11566.9</v>
      </c>
      <c r="Q1493" s="234" t="n">
        <v>2026</v>
      </c>
      <c r="R1493" s="234" t="n">
        <v>112</v>
      </c>
      <c r="S1493" s="248" t="n">
        <v>46182</v>
      </c>
      <c r="T1493" s="407" t="n">
        <f aca="false">Таблица18[[#This Row],[Вес нетто]]-Таблица18[[#This Row],[Зачетный вес]]</f>
        <v>1503.1</v>
      </c>
      <c r="U1493" s="409" t="n">
        <f aca="false">Таблица18[[#This Row],[Отход]]/Таблица18[[#This Row],[Вес нетто]]</f>
        <v>0.115003825554705</v>
      </c>
      <c r="V1493" s="234" t="n">
        <f aca="false">MONTH(Таблица18[[#This Row],[Дата акта]])</f>
        <v>6</v>
      </c>
      <c r="W1493" s="234" t="n">
        <v>9</v>
      </c>
      <c r="X1493" s="248" t="n">
        <f aca="false">DATE(1900,Таблица18[[#This Row],[Месяц]],Таблица18[[#This Row],[Число]])</f>
        <v>161</v>
      </c>
      <c r="Y1493" s="234"/>
    </row>
    <row r="1494" customFormat="false" ht="28.35" hidden="false" customHeight="false" outlineLevel="0" collapsed="false">
      <c r="A1494" s="198" t="s">
        <v>3120</v>
      </c>
      <c r="B1494" s="199" t="s">
        <v>54</v>
      </c>
      <c r="C1494" s="198" t="n">
        <v>175</v>
      </c>
      <c r="D1494" s="198" t="n">
        <v>101</v>
      </c>
      <c r="E1494" s="198" t="s">
        <v>46</v>
      </c>
      <c r="F1494" s="198" t="s">
        <v>386</v>
      </c>
      <c r="G1494" s="198" t="s">
        <v>387</v>
      </c>
      <c r="H1494" s="198" t="s">
        <v>67</v>
      </c>
      <c r="I1494" s="199" t="s">
        <v>67</v>
      </c>
      <c r="J1494" s="198" t="s">
        <v>68</v>
      </c>
      <c r="K1494" s="198" t="s">
        <v>3018</v>
      </c>
      <c r="L1494" s="234" t="n">
        <v>28510</v>
      </c>
      <c r="M1494" s="234" t="n">
        <v>15240</v>
      </c>
      <c r="N1494" s="234" t="n">
        <v>12.5</v>
      </c>
      <c r="O1494" s="407" t="n">
        <v>13270</v>
      </c>
      <c r="P1494" s="407" t="n">
        <v>11611.3</v>
      </c>
      <c r="Q1494" s="234" t="n">
        <v>2026</v>
      </c>
      <c r="R1494" s="234" t="n">
        <v>115</v>
      </c>
      <c r="S1494" s="248" t="n">
        <v>46182</v>
      </c>
      <c r="T1494" s="407" t="n">
        <f aca="false">Таблица18[[#This Row],[Вес нетто]]-Таблица18[[#This Row],[Зачетный вес]]</f>
        <v>1658.7</v>
      </c>
      <c r="U1494" s="409" t="n">
        <f aca="false">Таблица18[[#This Row],[Отход]]/Таблица18[[#This Row],[Вес нетто]]</f>
        <v>0.124996232102487</v>
      </c>
      <c r="V1494" s="234" t="n">
        <f aca="false">MONTH(Таблица18[[#This Row],[Дата акта]])</f>
        <v>6</v>
      </c>
      <c r="W1494" s="234" t="n">
        <v>9</v>
      </c>
      <c r="X1494" s="248" t="n">
        <f aca="false">DATE(1900,Таблица18[[#This Row],[Месяц]],Таблица18[[#This Row],[Число]])</f>
        <v>161</v>
      </c>
      <c r="Y1494" s="234"/>
    </row>
    <row r="1495" customFormat="false" ht="28.35" hidden="false" customHeight="false" outlineLevel="0" collapsed="false">
      <c r="A1495" s="198" t="s">
        <v>3121</v>
      </c>
      <c r="B1495" s="199" t="s">
        <v>54</v>
      </c>
      <c r="C1495" s="198" t="n">
        <v>174</v>
      </c>
      <c r="D1495" s="198" t="n">
        <v>100</v>
      </c>
      <c r="E1495" s="198" t="s">
        <v>46</v>
      </c>
      <c r="F1495" s="198" t="s">
        <v>378</v>
      </c>
      <c r="G1495" s="198" t="s">
        <v>379</v>
      </c>
      <c r="H1495" s="198" t="s">
        <v>67</v>
      </c>
      <c r="I1495" s="199" t="s">
        <v>67</v>
      </c>
      <c r="J1495" s="198" t="s">
        <v>68</v>
      </c>
      <c r="K1495" s="198" t="s">
        <v>3018</v>
      </c>
      <c r="L1495" s="234" t="n">
        <v>9100</v>
      </c>
      <c r="M1495" s="234" t="n">
        <v>4670</v>
      </c>
      <c r="N1495" s="234" t="n">
        <v>15.5</v>
      </c>
      <c r="O1495" s="407" t="n">
        <v>4430</v>
      </c>
      <c r="P1495" s="407" t="n">
        <v>3743.4</v>
      </c>
      <c r="Q1495" s="234" t="n">
        <v>2026</v>
      </c>
      <c r="R1495" s="234" t="n">
        <v>114</v>
      </c>
      <c r="S1495" s="248" t="n">
        <v>46182</v>
      </c>
      <c r="T1495" s="407" t="n">
        <f aca="false">Таблица18[[#This Row],[Вес нетто]]-Таблица18[[#This Row],[Зачетный вес]]</f>
        <v>686.6</v>
      </c>
      <c r="U1495" s="409" t="n">
        <f aca="false">Таблица18[[#This Row],[Отход]]/Таблица18[[#This Row],[Вес нетто]]</f>
        <v>0.154988713318284</v>
      </c>
      <c r="V1495" s="234" t="n">
        <f aca="false">MONTH(Таблица18[[#This Row],[Дата акта]])</f>
        <v>6</v>
      </c>
      <c r="W1495" s="234" t="n">
        <v>9</v>
      </c>
      <c r="X1495" s="248" t="n">
        <f aca="false">DATE(1900,Таблица18[[#This Row],[Месяц]],Таблица18[[#This Row],[Число]])</f>
        <v>161</v>
      </c>
      <c r="Y1495" s="234"/>
    </row>
    <row r="1496" customFormat="false" ht="19.4" hidden="false" customHeight="false" outlineLevel="0" collapsed="false">
      <c r="A1496" s="198" t="s">
        <v>3122</v>
      </c>
      <c r="B1496" s="199" t="s">
        <v>54</v>
      </c>
      <c r="C1496" s="198" t="n">
        <v>178</v>
      </c>
      <c r="D1496" s="198" t="n">
        <v>102</v>
      </c>
      <c r="E1496" s="198" t="s">
        <v>46</v>
      </c>
      <c r="F1496" s="198" t="s">
        <v>380</v>
      </c>
      <c r="G1496" s="198" t="s">
        <v>381</v>
      </c>
      <c r="H1496" s="198" t="s">
        <v>67</v>
      </c>
      <c r="I1496" s="199" t="s">
        <v>67</v>
      </c>
      <c r="J1496" s="198" t="s">
        <v>68</v>
      </c>
      <c r="K1496" s="198" t="s">
        <v>3018</v>
      </c>
      <c r="L1496" s="234" t="n">
        <v>27310</v>
      </c>
      <c r="M1496" s="234" t="n">
        <v>14430</v>
      </c>
      <c r="N1496" s="234" t="n">
        <v>10.5</v>
      </c>
      <c r="O1496" s="407" t="n">
        <v>12880</v>
      </c>
      <c r="P1496" s="407" t="n">
        <v>11527.6</v>
      </c>
      <c r="Q1496" s="234" t="n">
        <v>2026</v>
      </c>
      <c r="R1496" s="234" t="n">
        <v>116</v>
      </c>
      <c r="S1496" s="248" t="n">
        <v>46182</v>
      </c>
      <c r="T1496" s="407" t="n">
        <f aca="false">Таблица18[[#This Row],[Вес нетто]]-Таблица18[[#This Row],[Зачетный вес]]</f>
        <v>1352.4</v>
      </c>
      <c r="U1496" s="409" t="n">
        <f aca="false">Таблица18[[#This Row],[Отход]]/Таблица18[[#This Row],[Вес нетто]]</f>
        <v>0.105</v>
      </c>
      <c r="V1496" s="234" t="n">
        <f aca="false">MONTH(Таблица18[[#This Row],[Дата акта]])</f>
        <v>6</v>
      </c>
      <c r="W1496" s="234" t="n">
        <v>9</v>
      </c>
      <c r="X1496" s="248" t="n">
        <f aca="false">DATE(1900,Таблица18[[#This Row],[Месяц]],Таблица18[[#This Row],[Число]])</f>
        <v>161</v>
      </c>
      <c r="Y1496" s="234"/>
    </row>
    <row r="1497" customFormat="false" ht="28.35" hidden="false" customHeight="false" outlineLevel="0" collapsed="false">
      <c r="A1497" s="198" t="s">
        <v>3123</v>
      </c>
      <c r="B1497" s="199" t="s">
        <v>54</v>
      </c>
      <c r="C1497" s="198" t="n">
        <v>179</v>
      </c>
      <c r="D1497" s="198" t="n">
        <v>103</v>
      </c>
      <c r="E1497" s="198" t="s">
        <v>46</v>
      </c>
      <c r="F1497" s="198" t="s">
        <v>388</v>
      </c>
      <c r="G1497" s="198" t="s">
        <v>389</v>
      </c>
      <c r="H1497" s="198" t="s">
        <v>67</v>
      </c>
      <c r="I1497" s="199" t="s">
        <v>67</v>
      </c>
      <c r="J1497" s="198" t="s">
        <v>68</v>
      </c>
      <c r="K1497" s="198" t="s">
        <v>3018</v>
      </c>
      <c r="L1497" s="234" t="n">
        <v>27340</v>
      </c>
      <c r="M1497" s="234" t="n">
        <v>14370</v>
      </c>
      <c r="N1497" s="234" t="n">
        <v>17.5</v>
      </c>
      <c r="O1497" s="407" t="n">
        <v>12970</v>
      </c>
      <c r="P1497" s="407" t="n">
        <v>10700.3</v>
      </c>
      <c r="Q1497" s="234" t="n">
        <v>2026</v>
      </c>
      <c r="R1497" s="234" t="n">
        <v>117</v>
      </c>
      <c r="S1497" s="248" t="n">
        <v>46182</v>
      </c>
      <c r="T1497" s="407" t="n">
        <f aca="false">Таблица18[[#This Row],[Вес нетто]]-Таблица18[[#This Row],[Зачетный вес]]</f>
        <v>2269.7</v>
      </c>
      <c r="U1497" s="409" t="n">
        <f aca="false">Таблица18[[#This Row],[Отход]]/Таблица18[[#This Row],[Вес нетто]]</f>
        <v>0.174996144949884</v>
      </c>
      <c r="V1497" s="234" t="n">
        <f aca="false">MONTH(Таблица18[[#This Row],[Дата акта]])</f>
        <v>6</v>
      </c>
      <c r="W1497" s="234" t="n">
        <v>9</v>
      </c>
      <c r="X1497" s="248" t="n">
        <f aca="false">DATE(1900,Таблица18[[#This Row],[Месяц]],Таблица18[[#This Row],[Число]])</f>
        <v>161</v>
      </c>
      <c r="Y1497" s="234"/>
    </row>
    <row r="1498" customFormat="false" ht="19.4" hidden="false" customHeight="false" outlineLevel="0" collapsed="false">
      <c r="A1498" s="198" t="s">
        <v>3124</v>
      </c>
      <c r="B1498" s="199" t="s">
        <v>54</v>
      </c>
      <c r="C1498" s="198" t="n">
        <v>180</v>
      </c>
      <c r="D1498" s="198" t="n">
        <v>104</v>
      </c>
      <c r="E1498" s="198" t="s">
        <v>46</v>
      </c>
      <c r="F1498" s="198" t="s">
        <v>48</v>
      </c>
      <c r="G1498" s="198" t="s">
        <v>49</v>
      </c>
      <c r="H1498" s="198" t="s">
        <v>67</v>
      </c>
      <c r="I1498" s="199" t="s">
        <v>67</v>
      </c>
      <c r="J1498" s="198" t="s">
        <v>68</v>
      </c>
      <c r="K1498" s="198" t="s">
        <v>3018</v>
      </c>
      <c r="L1498" s="234" t="n">
        <v>30460</v>
      </c>
      <c r="M1498" s="234" t="n">
        <v>15040</v>
      </c>
      <c r="N1498" s="234" t="n">
        <v>13.5</v>
      </c>
      <c r="O1498" s="407" t="n">
        <v>15420</v>
      </c>
      <c r="P1498" s="407" t="n">
        <v>13338.3</v>
      </c>
      <c r="Q1498" s="234" t="n">
        <v>2026</v>
      </c>
      <c r="R1498" s="234" t="n">
        <v>118</v>
      </c>
      <c r="S1498" s="248" t="n">
        <v>46182</v>
      </c>
      <c r="T1498" s="407" t="n">
        <f aca="false">Таблица18[[#This Row],[Вес нетто]]-Таблица18[[#This Row],[Зачетный вес]]</f>
        <v>2081.7</v>
      </c>
      <c r="U1498" s="409" t="n">
        <f aca="false">Таблица18[[#This Row],[Отход]]/Таблица18[[#This Row],[Вес нетто]]</f>
        <v>0.135</v>
      </c>
      <c r="V1498" s="234" t="n">
        <f aca="false">MONTH(Таблица18[[#This Row],[Дата акта]])</f>
        <v>6</v>
      </c>
      <c r="W1498" s="234" t="n">
        <v>9</v>
      </c>
      <c r="X1498" s="248" t="n">
        <f aca="false">DATE(1900,Таблица18[[#This Row],[Месяц]],Таблица18[[#This Row],[Число]])</f>
        <v>161</v>
      </c>
      <c r="Y1498" s="234"/>
    </row>
    <row r="1499" customFormat="false" ht="28.35" hidden="false" customHeight="false" outlineLevel="0" collapsed="false">
      <c r="A1499" s="198" t="s">
        <v>3125</v>
      </c>
      <c r="B1499" s="199" t="s">
        <v>54</v>
      </c>
      <c r="C1499" s="198" t="n">
        <v>181</v>
      </c>
      <c r="D1499" s="198" t="n">
        <v>105</v>
      </c>
      <c r="E1499" s="198" t="s">
        <v>46</v>
      </c>
      <c r="F1499" s="198" t="s">
        <v>378</v>
      </c>
      <c r="G1499" s="198" t="s">
        <v>379</v>
      </c>
      <c r="H1499" s="198" t="s">
        <v>69</v>
      </c>
      <c r="I1499" s="199" t="s">
        <v>69</v>
      </c>
      <c r="J1499" s="198" t="s">
        <v>68</v>
      </c>
      <c r="K1499" s="198" t="s">
        <v>3018</v>
      </c>
      <c r="L1499" s="234" t="n">
        <v>8930</v>
      </c>
      <c r="M1499" s="234" t="n">
        <v>4680</v>
      </c>
      <c r="N1499" s="234" t="n">
        <v>15.5</v>
      </c>
      <c r="O1499" s="407" t="n">
        <v>4250</v>
      </c>
      <c r="P1499" s="407" t="n">
        <v>3591.2</v>
      </c>
      <c r="Q1499" s="234" t="n">
        <v>2026</v>
      </c>
      <c r="R1499" s="234" t="n">
        <v>119</v>
      </c>
      <c r="S1499" s="248" t="n">
        <v>46183</v>
      </c>
      <c r="T1499" s="407" t="n">
        <f aca="false">Таблица18[[#This Row],[Вес нетто]]-Таблица18[[#This Row],[Зачетный вес]]</f>
        <v>658.8</v>
      </c>
      <c r="U1499" s="409" t="n">
        <f aca="false">Таблица18[[#This Row],[Отход]]/Таблица18[[#This Row],[Вес нетто]]</f>
        <v>0.155011764705882</v>
      </c>
      <c r="V1499" s="234" t="n">
        <f aca="false">MONTH(Таблица18[[#This Row],[Дата акта]])</f>
        <v>6</v>
      </c>
      <c r="W1499" s="234" t="n">
        <v>10</v>
      </c>
      <c r="X1499" s="248" t="n">
        <f aca="false">DATE(1900,Таблица18[[#This Row],[Месяц]],Таблица18[[#This Row],[Число]])</f>
        <v>162</v>
      </c>
      <c r="Y1499" s="234"/>
    </row>
    <row r="1500" customFormat="false" ht="28.35" hidden="false" customHeight="false" outlineLevel="0" collapsed="false">
      <c r="A1500" s="198" t="s">
        <v>3126</v>
      </c>
      <c r="B1500" s="199" t="s">
        <v>54</v>
      </c>
      <c r="C1500" s="198" t="n">
        <v>182</v>
      </c>
      <c r="D1500" s="198" t="n">
        <v>106</v>
      </c>
      <c r="E1500" s="198" t="s">
        <v>46</v>
      </c>
      <c r="F1500" s="198" t="s">
        <v>386</v>
      </c>
      <c r="G1500" s="198" t="s">
        <v>387</v>
      </c>
      <c r="H1500" s="198" t="s">
        <v>69</v>
      </c>
      <c r="I1500" s="199" t="s">
        <v>69</v>
      </c>
      <c r="J1500" s="198" t="s">
        <v>68</v>
      </c>
      <c r="K1500" s="198" t="s">
        <v>3018</v>
      </c>
      <c r="L1500" s="234" t="n">
        <v>28220</v>
      </c>
      <c r="M1500" s="234" t="n">
        <v>15240</v>
      </c>
      <c r="N1500" s="234" t="n">
        <v>15.5</v>
      </c>
      <c r="O1500" s="407" t="n">
        <v>12980</v>
      </c>
      <c r="P1500" s="407" t="n">
        <v>10968.1</v>
      </c>
      <c r="Q1500" s="234" t="n">
        <v>2026</v>
      </c>
      <c r="R1500" s="234" t="n">
        <v>120</v>
      </c>
      <c r="S1500" s="248" t="n">
        <v>46183</v>
      </c>
      <c r="T1500" s="407" t="n">
        <f aca="false">Таблица18[[#This Row],[Вес нетто]]-Таблица18[[#This Row],[Зачетный вес]]</f>
        <v>2011.9</v>
      </c>
      <c r="U1500" s="409" t="n">
        <f aca="false">Таблица18[[#This Row],[Отход]]/Таблица18[[#This Row],[Вес нетто]]</f>
        <v>0.155</v>
      </c>
      <c r="V1500" s="234" t="n">
        <f aca="false">MONTH(Таблица18[[#This Row],[Дата акта]])</f>
        <v>6</v>
      </c>
      <c r="W1500" s="234" t="n">
        <v>10</v>
      </c>
      <c r="X1500" s="248" t="n">
        <f aca="false">DATE(1900,Таблица18[[#This Row],[Месяц]],Таблица18[[#This Row],[Число]])</f>
        <v>162</v>
      </c>
      <c r="Y1500" s="234"/>
    </row>
    <row r="1501" customFormat="false" ht="19.4" hidden="false" customHeight="false" outlineLevel="0" collapsed="false">
      <c r="A1501" s="198" t="s">
        <v>3127</v>
      </c>
      <c r="B1501" s="199" t="s">
        <v>54</v>
      </c>
      <c r="C1501" s="198" t="n">
        <v>184</v>
      </c>
      <c r="D1501" s="198" t="n">
        <v>107</v>
      </c>
      <c r="E1501" s="198" t="s">
        <v>46</v>
      </c>
      <c r="F1501" s="198" t="s">
        <v>380</v>
      </c>
      <c r="G1501" s="198" t="s">
        <v>381</v>
      </c>
      <c r="H1501" s="198" t="s">
        <v>69</v>
      </c>
      <c r="I1501" s="199" t="s">
        <v>69</v>
      </c>
      <c r="J1501" s="198" t="s">
        <v>68</v>
      </c>
      <c r="K1501" s="198" t="s">
        <v>3018</v>
      </c>
      <c r="L1501" s="234" t="n">
        <v>27490</v>
      </c>
      <c r="M1501" s="234" t="n">
        <v>14430</v>
      </c>
      <c r="N1501" s="234" t="n">
        <v>10.5</v>
      </c>
      <c r="O1501" s="407" t="n">
        <v>13060</v>
      </c>
      <c r="P1501" s="407" t="n">
        <v>11688.7</v>
      </c>
      <c r="Q1501" s="234" t="n">
        <v>2026</v>
      </c>
      <c r="R1501" s="234" t="n">
        <v>121</v>
      </c>
      <c r="S1501" s="248" t="n">
        <v>46183</v>
      </c>
      <c r="T1501" s="407" t="n">
        <f aca="false">Таблица18[[#This Row],[Вес нетто]]-Таблица18[[#This Row],[Зачетный вес]]</f>
        <v>1371.3</v>
      </c>
      <c r="U1501" s="409" t="n">
        <f aca="false">Таблица18[[#This Row],[Отход]]/Таблица18[[#This Row],[Вес нетто]]</f>
        <v>0.105</v>
      </c>
      <c r="V1501" s="234" t="n">
        <f aca="false">MONTH(Таблица18[[#This Row],[Дата акта]])</f>
        <v>6</v>
      </c>
      <c r="W1501" s="234" t="n">
        <v>10</v>
      </c>
      <c r="X1501" s="248" t="n">
        <f aca="false">DATE(1900,Таблица18[[#This Row],[Месяц]],Таблица18[[#This Row],[Число]])</f>
        <v>162</v>
      </c>
      <c r="Y1501" s="234"/>
    </row>
    <row r="1502" customFormat="false" ht="28.35" hidden="false" customHeight="false" outlineLevel="0" collapsed="false">
      <c r="A1502" s="198" t="s">
        <v>3128</v>
      </c>
      <c r="B1502" s="199" t="s">
        <v>54</v>
      </c>
      <c r="C1502" s="198" t="n">
        <v>185</v>
      </c>
      <c r="D1502" s="198" t="n">
        <v>108</v>
      </c>
      <c r="E1502" s="198" t="s">
        <v>46</v>
      </c>
      <c r="F1502" s="198" t="s">
        <v>388</v>
      </c>
      <c r="G1502" s="198" t="s">
        <v>389</v>
      </c>
      <c r="H1502" s="198" t="s">
        <v>69</v>
      </c>
      <c r="I1502" s="199" t="s">
        <v>69</v>
      </c>
      <c r="J1502" s="198" t="s">
        <v>68</v>
      </c>
      <c r="K1502" s="198" t="s">
        <v>3018</v>
      </c>
      <c r="L1502" s="234" t="n">
        <v>27290</v>
      </c>
      <c r="M1502" s="234" t="n">
        <v>14360</v>
      </c>
      <c r="N1502" s="234" t="n">
        <v>9.5</v>
      </c>
      <c r="O1502" s="407" t="n">
        <v>12930</v>
      </c>
      <c r="P1502" s="407" t="n">
        <v>11701.6</v>
      </c>
      <c r="Q1502" s="234" t="n">
        <v>2026</v>
      </c>
      <c r="R1502" s="234" t="n">
        <v>122</v>
      </c>
      <c r="S1502" s="248" t="n">
        <v>46183</v>
      </c>
      <c r="T1502" s="407" t="n">
        <f aca="false">Таблица18[[#This Row],[Вес нетто]]-Таблица18[[#This Row],[Зачетный вес]]</f>
        <v>1228.4</v>
      </c>
      <c r="U1502" s="409" t="n">
        <f aca="false">Таблица18[[#This Row],[Отход]]/Таблица18[[#This Row],[Вес нетто]]</f>
        <v>0.0950038669760247</v>
      </c>
      <c r="V1502" s="234" t="n">
        <f aca="false">MONTH(Таблица18[[#This Row],[Дата акта]])</f>
        <v>6</v>
      </c>
      <c r="W1502" s="234" t="n">
        <v>10</v>
      </c>
      <c r="X1502" s="248" t="n">
        <f aca="false">DATE(1900,Таблица18[[#This Row],[Месяц]],Таблица18[[#This Row],[Число]])</f>
        <v>162</v>
      </c>
      <c r="Y1502" s="234"/>
    </row>
    <row r="1503" customFormat="false" ht="15" hidden="false" customHeight="false" outlineLevel="0" collapsed="false">
      <c r="A1503" s="198"/>
      <c r="B1503" s="199"/>
      <c r="C1503" s="198"/>
      <c r="D1503" s="198"/>
      <c r="E1503" s="198"/>
      <c r="F1503" s="198"/>
      <c r="G1503" s="198"/>
      <c r="H1503" s="198"/>
      <c r="I1503" s="199"/>
      <c r="J1503" s="198"/>
      <c r="K1503" s="198"/>
      <c r="L1503" s="234"/>
      <c r="M1503" s="234"/>
      <c r="N1503" s="234"/>
      <c r="O1503" s="407" t="n">
        <f aca="false">SUBTOTAL(109,Таблица18[Вес нетто])</f>
        <v>1297240</v>
      </c>
      <c r="P1503" s="407" t="n">
        <f aca="false">SUBTOTAL(109,Таблица18[Зачетный вес])</f>
        <v>1056094.5</v>
      </c>
      <c r="Q1503" s="234"/>
      <c r="R1503" s="234"/>
      <c r="S1503" s="248"/>
      <c r="T1503" s="407"/>
      <c r="U1503" s="415"/>
      <c r="V1503" s="234"/>
      <c r="W1503" s="234"/>
      <c r="X1503" s="248"/>
      <c r="Y1503" s="23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1" activeCellId="0" sqref="J2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.71"/>
    <col collapsed="false" customWidth="true" hidden="false" outlineLevel="0" max="14" min="2" style="0" width="11.71"/>
  </cols>
  <sheetData>
    <row r="1" s="24" customFormat="true" ht="15" hidden="false" customHeight="false" outlineLevel="0" collapsed="false">
      <c r="A1" s="24" t="s">
        <v>3129</v>
      </c>
    </row>
    <row r="2" customFormat="false" ht="15" hidden="false" customHeight="false" outlineLevel="0" collapsed="false">
      <c r="A2" s="24" t="s">
        <v>3130</v>
      </c>
      <c r="B2" s="24" t="s">
        <v>284</v>
      </c>
      <c r="D2" s="416"/>
      <c r="E2" s="0" t="s">
        <v>3131</v>
      </c>
    </row>
    <row r="3" customFormat="false" ht="15" hidden="false" customHeight="false" outlineLevel="0" collapsed="false">
      <c r="B3" s="24" t="n">
        <v>2023</v>
      </c>
      <c r="C3" s="24" t="n">
        <v>2024</v>
      </c>
      <c r="D3" s="417" t="n">
        <v>2025</v>
      </c>
      <c r="E3" s="24" t="n">
        <v>2023</v>
      </c>
      <c r="F3" s="24" t="n">
        <v>2024</v>
      </c>
      <c r="G3" s="24" t="n">
        <v>2025</v>
      </c>
    </row>
    <row r="4" customFormat="false" ht="15" hidden="false" customHeight="false" outlineLevel="0" collapsed="false">
      <c r="A4" s="24" t="s">
        <v>3132</v>
      </c>
      <c r="B4" s="418" t="n">
        <f aca="false">N59/1000</f>
        <v>3863.86549393185</v>
      </c>
      <c r="C4" s="418" t="n">
        <f aca="false">N51/1000</f>
        <v>3926.09</v>
      </c>
      <c r="D4" s="419" t="n">
        <f aca="false">N43/1000</f>
        <v>5098.72</v>
      </c>
      <c r="E4" s="420" t="n">
        <f aca="false">B4/B7</f>
        <v>0.58164203592816</v>
      </c>
      <c r="F4" s="420" t="n">
        <f aca="false">C4/C7</f>
        <v>0.898024209043166</v>
      </c>
      <c r="G4" s="420" t="n">
        <f aca="false">D4/D7</f>
        <v>0.718317756482684</v>
      </c>
    </row>
    <row r="5" customFormat="false" ht="15" hidden="false" customHeight="false" outlineLevel="0" collapsed="false">
      <c r="A5" s="24" t="s">
        <v>3133</v>
      </c>
      <c r="B5" s="418" t="n">
        <f aca="false">N60/1000</f>
        <v>1760.81064686599</v>
      </c>
      <c r="C5" s="418" t="n">
        <f aca="false">N52/1000</f>
        <v>433.13</v>
      </c>
      <c r="D5" s="419" t="n">
        <f aca="false">N44/1000</f>
        <v>1461.13</v>
      </c>
      <c r="E5" s="420" t="n">
        <f aca="false">B5/B7</f>
        <v>0.265061372124766</v>
      </c>
      <c r="F5" s="420" t="n">
        <f aca="false">C5/C7</f>
        <v>0.0990708887628319</v>
      </c>
      <c r="G5" s="420" t="n">
        <f aca="false">D5/D7</f>
        <v>0.205846883831539</v>
      </c>
    </row>
    <row r="6" customFormat="false" ht="15" hidden="false" customHeight="false" outlineLevel="0" collapsed="false">
      <c r="A6" s="24" t="s">
        <v>3134</v>
      </c>
      <c r="B6" s="418" t="n">
        <f aca="false">N61/1000</f>
        <v>1018.35385920217</v>
      </c>
      <c r="C6" s="418" t="n">
        <f aca="false">N53/1000</f>
        <v>12.7</v>
      </c>
      <c r="D6" s="419" t="n">
        <f aca="false">N45/1000</f>
        <v>538.29</v>
      </c>
      <c r="E6" s="420" t="n">
        <f aca="false">B6/B7</f>
        <v>0.153296591947074</v>
      </c>
      <c r="F6" s="90" t="n">
        <f aca="false">C6/C7</f>
        <v>0.00290490219400172</v>
      </c>
      <c r="G6" s="420" t="n">
        <f aca="false">D6/D7</f>
        <v>0.0758353596857768</v>
      </c>
    </row>
    <row r="7" customFormat="false" ht="15" hidden="false" customHeight="false" outlineLevel="0" collapsed="false">
      <c r="B7" s="421" t="n">
        <f aca="false">SUM(B4:B6)</f>
        <v>6643.03</v>
      </c>
      <c r="C7" s="421" t="n">
        <f aca="false">SUM(C4:C6)</f>
        <v>4371.92</v>
      </c>
      <c r="D7" s="422" t="n">
        <f aca="false">SUM(D4:D6)</f>
        <v>7098.14</v>
      </c>
    </row>
    <row r="32" customFormat="false" ht="15" hidden="true" customHeight="false" outlineLevel="0" collapsed="false">
      <c r="A32" s="0" t="n">
        <v>2025</v>
      </c>
    </row>
    <row r="33" s="410" customFormat="true" ht="17.9" hidden="true" customHeight="false" outlineLevel="0" collapsed="false">
      <c r="A33" s="423" t="s">
        <v>41</v>
      </c>
      <c r="B33" s="424" t="s">
        <v>61</v>
      </c>
      <c r="C33" s="424" t="s">
        <v>62</v>
      </c>
      <c r="D33" s="424" t="s">
        <v>63</v>
      </c>
      <c r="E33" s="424" t="s">
        <v>64</v>
      </c>
      <c r="F33" s="424" t="s">
        <v>3135</v>
      </c>
      <c r="G33" s="424" t="s">
        <v>3136</v>
      </c>
    </row>
    <row r="34" customFormat="false" ht="15" hidden="true" customHeight="false" outlineLevel="0" collapsed="false">
      <c r="A34" s="23" t="s">
        <v>417</v>
      </c>
      <c r="B34" s="425" t="n">
        <v>1012.47232383235</v>
      </c>
      <c r="C34" s="174" t="n">
        <v>5098720</v>
      </c>
      <c r="D34" s="174" t="n">
        <v>4292532.8</v>
      </c>
      <c r="E34" s="174" t="n">
        <v>428330</v>
      </c>
      <c r="F34" s="425" t="n">
        <v>5.03591049353394</v>
      </c>
      <c r="G34" s="425" t="n">
        <v>4.23965445667905</v>
      </c>
    </row>
    <row r="35" customFormat="false" ht="15" hidden="true" customHeight="false" outlineLevel="0" collapsed="false">
      <c r="A35" s="23" t="s">
        <v>746</v>
      </c>
      <c r="B35" s="425" t="n">
        <v>360.411259886601</v>
      </c>
      <c r="C35" s="174" t="n">
        <v>1461130</v>
      </c>
      <c r="D35" s="174" t="n">
        <v>1310788.4</v>
      </c>
      <c r="E35" s="174"/>
      <c r="F35" s="425" t="n">
        <v>4.05406312904798</v>
      </c>
      <c r="G35" s="425" t="n">
        <v>3.6369241083434</v>
      </c>
    </row>
    <row r="36" customFormat="false" ht="15" hidden="true" customHeight="false" outlineLevel="0" collapsed="false">
      <c r="A36" s="23" t="s">
        <v>886</v>
      </c>
      <c r="B36" s="425" t="n">
        <v>110.976502254631</v>
      </c>
      <c r="C36" s="174" t="n">
        <v>538290</v>
      </c>
      <c r="D36" s="174" t="n">
        <v>483747.3</v>
      </c>
      <c r="E36" s="174" t="n">
        <v>184360</v>
      </c>
      <c r="F36" s="425" t="n">
        <v>4.85048626568637</v>
      </c>
      <c r="G36" s="425" t="n">
        <v>4.35900654798131</v>
      </c>
    </row>
    <row r="37" customFormat="false" ht="15" hidden="true" customHeight="false" outlineLevel="0" collapsed="false">
      <c r="A37" s="426" t="s">
        <v>264</v>
      </c>
      <c r="B37" s="427" t="n">
        <v>1483.86008597358</v>
      </c>
      <c r="C37" s="428" t="n">
        <v>7098140</v>
      </c>
      <c r="D37" s="428" t="n">
        <v>6087068.5</v>
      </c>
      <c r="E37" s="428" t="n">
        <v>612690</v>
      </c>
      <c r="F37" s="427" t="n">
        <v>4.78356421006016</v>
      </c>
      <c r="G37" s="427" t="n">
        <v>4.10218494151772</v>
      </c>
    </row>
    <row r="38" customFormat="false" ht="15" hidden="true" customHeight="false" outlineLevel="0" collapsed="false"/>
    <row r="39" customFormat="false" ht="15" hidden="true" customHeight="false" outlineLevel="0" collapsed="false"/>
    <row r="41" customFormat="false" ht="15" hidden="false" customHeight="false" outlineLevel="0" collapsed="false">
      <c r="A41" s="24" t="n">
        <v>2025</v>
      </c>
    </row>
    <row r="42" customFormat="false" ht="15" hidden="false" customHeight="false" outlineLevel="0" collapsed="false">
      <c r="A42" s="429" t="s">
        <v>3130</v>
      </c>
      <c r="B42" s="429" t="s">
        <v>333</v>
      </c>
      <c r="C42" s="430" t="s">
        <v>324</v>
      </c>
      <c r="D42" s="430" t="s">
        <v>51</v>
      </c>
      <c r="E42" s="430" t="s">
        <v>325</v>
      </c>
      <c r="F42" s="429" t="s">
        <v>337</v>
      </c>
      <c r="G42" s="429"/>
      <c r="H42" s="429" t="s">
        <v>3137</v>
      </c>
      <c r="I42" s="429"/>
      <c r="J42" s="429" t="s">
        <v>334</v>
      </c>
      <c r="K42" s="430" t="s">
        <v>326</v>
      </c>
      <c r="L42" s="430" t="s">
        <v>327</v>
      </c>
      <c r="M42" s="429" t="s">
        <v>278</v>
      </c>
      <c r="N42" s="429" t="s">
        <v>264</v>
      </c>
    </row>
    <row r="43" customFormat="false" ht="15" hidden="false" customHeight="false" outlineLevel="0" collapsed="false">
      <c r="A43" s="23" t="s">
        <v>417</v>
      </c>
      <c r="B43" s="174" t="n">
        <f aca="false">C43+D43+E43</f>
        <v>875430</v>
      </c>
      <c r="C43" s="431" t="n">
        <v>375610</v>
      </c>
      <c r="D43" s="431" t="n">
        <v>408020</v>
      </c>
      <c r="E43" s="431" t="n">
        <v>91800</v>
      </c>
      <c r="F43" s="174" t="n">
        <v>1706510</v>
      </c>
      <c r="G43" s="174"/>
      <c r="H43" s="174" t="n">
        <v>1320130</v>
      </c>
      <c r="I43" s="174"/>
      <c r="J43" s="174" t="n">
        <f aca="false">K43+L43</f>
        <v>622550</v>
      </c>
      <c r="K43" s="431" t="n">
        <v>155260</v>
      </c>
      <c r="L43" s="431" t="n">
        <v>467290</v>
      </c>
      <c r="M43" s="174" t="n">
        <v>574100</v>
      </c>
      <c r="N43" s="174" t="n">
        <v>5098720</v>
      </c>
    </row>
    <row r="44" customFormat="false" ht="15" hidden="false" customHeight="false" outlineLevel="0" collapsed="false">
      <c r="A44" s="23" t="s">
        <v>746</v>
      </c>
      <c r="B44" s="174" t="n">
        <f aca="false">C44+D44+E44</f>
        <v>399450</v>
      </c>
      <c r="C44" s="431" t="n">
        <v>94030</v>
      </c>
      <c r="D44" s="431" t="n">
        <v>305420</v>
      </c>
      <c r="E44" s="431"/>
      <c r="F44" s="174" t="n">
        <v>170780</v>
      </c>
      <c r="G44" s="174"/>
      <c r="H44" s="174"/>
      <c r="I44" s="174"/>
      <c r="J44" s="174" t="n">
        <f aca="false">K44+L44</f>
        <v>565420</v>
      </c>
      <c r="K44" s="431" t="n">
        <v>484920</v>
      </c>
      <c r="L44" s="431" t="n">
        <v>80500</v>
      </c>
      <c r="M44" s="174" t="n">
        <v>325480</v>
      </c>
      <c r="N44" s="174" t="n">
        <v>1461130</v>
      </c>
    </row>
    <row r="45" customFormat="false" ht="15" hidden="false" customHeight="false" outlineLevel="0" collapsed="false">
      <c r="A45" s="23" t="s">
        <v>886</v>
      </c>
      <c r="B45" s="174" t="n">
        <f aca="false">C45+D45+E45</f>
        <v>89820</v>
      </c>
      <c r="C45" s="431" t="n">
        <v>34010</v>
      </c>
      <c r="D45" s="431" t="n">
        <v>55810</v>
      </c>
      <c r="E45" s="431"/>
      <c r="F45" s="174" t="n">
        <v>114910</v>
      </c>
      <c r="G45" s="174"/>
      <c r="H45" s="174"/>
      <c r="I45" s="174"/>
      <c r="J45" s="174" t="n">
        <f aca="false">K45+L45</f>
        <v>215410</v>
      </c>
      <c r="K45" s="431" t="n">
        <v>201900</v>
      </c>
      <c r="L45" s="431" t="n">
        <v>13510</v>
      </c>
      <c r="M45" s="174" t="n">
        <v>118150</v>
      </c>
      <c r="N45" s="174" t="n">
        <v>538290</v>
      </c>
    </row>
    <row r="46" customFormat="false" ht="15" hidden="false" customHeight="false" outlineLevel="0" collapsed="false">
      <c r="A46" s="426" t="s">
        <v>264</v>
      </c>
      <c r="B46" s="428" t="n">
        <f aca="false">C46+D46+E46</f>
        <v>1364700</v>
      </c>
      <c r="C46" s="432" t="n">
        <v>503650</v>
      </c>
      <c r="D46" s="432" t="n">
        <v>769250</v>
      </c>
      <c r="E46" s="432" t="n">
        <v>91800</v>
      </c>
      <c r="F46" s="428" t="n">
        <v>1992200</v>
      </c>
      <c r="G46" s="428"/>
      <c r="H46" s="428" t="n">
        <v>1320130</v>
      </c>
      <c r="I46" s="428"/>
      <c r="J46" s="428" t="n">
        <f aca="false">K46+L46</f>
        <v>1403380</v>
      </c>
      <c r="K46" s="432" t="n">
        <v>842080</v>
      </c>
      <c r="L46" s="432" t="n">
        <v>561300</v>
      </c>
      <c r="M46" s="428" t="n">
        <v>1017730</v>
      </c>
      <c r="N46" s="428" t="n">
        <v>7098140</v>
      </c>
    </row>
    <row r="49" customFormat="false" ht="15" hidden="false" customHeight="false" outlineLevel="0" collapsed="false">
      <c r="A49" s="24" t="n">
        <v>2024</v>
      </c>
    </row>
    <row r="50" customFormat="false" ht="15" hidden="false" customHeight="false" outlineLevel="0" collapsed="false">
      <c r="A50" s="429" t="s">
        <v>3130</v>
      </c>
      <c r="B50" s="429" t="s">
        <v>333</v>
      </c>
      <c r="C50" s="429"/>
      <c r="D50" s="429"/>
      <c r="E50" s="429"/>
      <c r="F50" s="429" t="s">
        <v>337</v>
      </c>
      <c r="G50" s="429"/>
      <c r="H50" s="429" t="s">
        <v>3137</v>
      </c>
      <c r="I50" s="429" t="s">
        <v>3138</v>
      </c>
      <c r="J50" s="429"/>
      <c r="K50" s="429"/>
      <c r="L50" s="429"/>
      <c r="M50" s="429"/>
      <c r="N50" s="429" t="s">
        <v>264</v>
      </c>
    </row>
    <row r="51" customFormat="false" ht="15" hidden="false" customHeight="false" outlineLevel="0" collapsed="false">
      <c r="A51" s="23" t="s">
        <v>417</v>
      </c>
      <c r="B51" s="174" t="n">
        <v>1631580</v>
      </c>
      <c r="C51" s="174"/>
      <c r="D51" s="174"/>
      <c r="E51" s="174"/>
      <c r="F51" s="174" t="n">
        <v>1454750</v>
      </c>
      <c r="G51" s="174"/>
      <c r="H51" s="174" t="n">
        <v>498630</v>
      </c>
      <c r="I51" s="174" t="n">
        <v>341130</v>
      </c>
      <c r="J51" s="174"/>
      <c r="K51" s="174"/>
      <c r="L51" s="174"/>
      <c r="M51" s="174"/>
      <c r="N51" s="174" t="n">
        <f aca="false">B51+F51+H51+I51</f>
        <v>3926090</v>
      </c>
    </row>
    <row r="52" customFormat="false" ht="15" hidden="false" customHeight="false" outlineLevel="0" collapsed="false">
      <c r="A52" s="23" t="s">
        <v>746</v>
      </c>
      <c r="B52" s="174" t="n">
        <v>9190</v>
      </c>
      <c r="C52" s="174"/>
      <c r="D52" s="174"/>
      <c r="E52" s="174"/>
      <c r="F52" s="174" t="n">
        <v>282730</v>
      </c>
      <c r="G52" s="174"/>
      <c r="H52" s="174"/>
      <c r="I52" s="174" t="n">
        <v>141210</v>
      </c>
      <c r="J52" s="174"/>
      <c r="K52" s="174"/>
      <c r="L52" s="174"/>
      <c r="M52" s="174"/>
      <c r="N52" s="174" t="n">
        <f aca="false">B52+F52+H52+I52</f>
        <v>433130</v>
      </c>
    </row>
    <row r="53" customFormat="false" ht="15" hidden="false" customHeight="false" outlineLevel="0" collapsed="false">
      <c r="A53" s="23" t="s">
        <v>886</v>
      </c>
      <c r="B53" s="174"/>
      <c r="C53" s="174"/>
      <c r="D53" s="174"/>
      <c r="E53" s="174"/>
      <c r="F53" s="174"/>
      <c r="G53" s="174"/>
      <c r="H53" s="174"/>
      <c r="I53" s="174" t="n">
        <v>12700</v>
      </c>
      <c r="J53" s="174"/>
      <c r="K53" s="174"/>
      <c r="L53" s="174"/>
      <c r="M53" s="174"/>
      <c r="N53" s="174" t="n">
        <f aca="false">B53+F53+H53+I53</f>
        <v>12700</v>
      </c>
    </row>
    <row r="54" customFormat="false" ht="15" hidden="false" customHeight="false" outlineLevel="0" collapsed="false">
      <c r="A54" s="426" t="s">
        <v>264</v>
      </c>
      <c r="B54" s="428" t="n">
        <v>1640770</v>
      </c>
      <c r="C54" s="428"/>
      <c r="D54" s="428"/>
      <c r="E54" s="428"/>
      <c r="F54" s="428" t="n">
        <v>1737480</v>
      </c>
      <c r="G54" s="428"/>
      <c r="H54" s="428" t="n">
        <v>498630</v>
      </c>
      <c r="I54" s="428" t="n">
        <v>495040</v>
      </c>
      <c r="J54" s="428"/>
      <c r="K54" s="428"/>
      <c r="L54" s="428"/>
      <c r="M54" s="428"/>
      <c r="N54" s="428" t="n">
        <f aca="false">B54+F54+H54+I54</f>
        <v>4371920</v>
      </c>
    </row>
    <row r="57" customFormat="false" ht="15" hidden="false" customHeight="false" outlineLevel="0" collapsed="false">
      <c r="A57" s="24" t="n">
        <v>2023</v>
      </c>
    </row>
    <row r="58" customFormat="false" ht="15" hidden="false" customHeight="false" outlineLevel="0" collapsed="false">
      <c r="A58" s="429" t="s">
        <v>3130</v>
      </c>
      <c r="B58" s="429" t="s">
        <v>333</v>
      </c>
      <c r="C58" s="429"/>
      <c r="D58" s="429"/>
      <c r="E58" s="429"/>
      <c r="F58" s="429" t="s">
        <v>337</v>
      </c>
      <c r="G58" s="429" t="s">
        <v>1977</v>
      </c>
      <c r="H58" s="429" t="s">
        <v>3137</v>
      </c>
      <c r="I58" s="429"/>
      <c r="J58" s="429"/>
      <c r="K58" s="429"/>
      <c r="L58" s="429"/>
      <c r="M58" s="429"/>
      <c r="N58" s="429" t="s">
        <v>264</v>
      </c>
    </row>
    <row r="59" customFormat="false" ht="15" hidden="false" customHeight="false" outlineLevel="0" collapsed="false">
      <c r="A59" s="23" t="s">
        <v>417</v>
      </c>
      <c r="B59" s="174" t="n">
        <v>1785435.49393185</v>
      </c>
      <c r="C59" s="174"/>
      <c r="D59" s="174"/>
      <c r="E59" s="174"/>
      <c r="F59" s="174" t="n">
        <v>1274380</v>
      </c>
      <c r="G59" s="174" t="n">
        <v>51140</v>
      </c>
      <c r="H59" s="174" t="n">
        <v>752910</v>
      </c>
      <c r="I59" s="174"/>
      <c r="J59" s="174"/>
      <c r="K59" s="174"/>
      <c r="L59" s="174"/>
      <c r="M59" s="174"/>
      <c r="N59" s="174" t="n">
        <f aca="false">B59+F59+G59+H59</f>
        <v>3863865.49393185</v>
      </c>
    </row>
    <row r="60" customFormat="false" ht="15" hidden="false" customHeight="false" outlineLevel="0" collapsed="false">
      <c r="A60" s="23" t="s">
        <v>746</v>
      </c>
      <c r="B60" s="174" t="n">
        <v>671420.646865986</v>
      </c>
      <c r="C60" s="174"/>
      <c r="D60" s="174"/>
      <c r="E60" s="174"/>
      <c r="F60" s="174" t="n">
        <v>386010</v>
      </c>
      <c r="G60" s="174"/>
      <c r="H60" s="174" t="n">
        <v>703380</v>
      </c>
      <c r="I60" s="174"/>
      <c r="J60" s="174"/>
      <c r="K60" s="174"/>
      <c r="L60" s="174"/>
      <c r="M60" s="174"/>
      <c r="N60" s="174" t="n">
        <f aca="false">B60+F60+G60+H60</f>
        <v>1760810.64686599</v>
      </c>
    </row>
    <row r="61" customFormat="false" ht="15" hidden="false" customHeight="false" outlineLevel="0" collapsed="false">
      <c r="A61" s="23" t="s">
        <v>886</v>
      </c>
      <c r="B61" s="174" t="n">
        <v>172353.859202168</v>
      </c>
      <c r="C61" s="174"/>
      <c r="D61" s="174"/>
      <c r="E61" s="174"/>
      <c r="F61" s="174" t="n">
        <v>830340</v>
      </c>
      <c r="G61" s="174"/>
      <c r="H61" s="174" t="n">
        <v>15660</v>
      </c>
      <c r="I61" s="174"/>
      <c r="J61" s="174"/>
      <c r="K61" s="174"/>
      <c r="L61" s="174"/>
      <c r="M61" s="174"/>
      <c r="N61" s="174" t="n">
        <f aca="false">B61+F61+G61+H61</f>
        <v>1018353.85920217</v>
      </c>
    </row>
    <row r="62" customFormat="false" ht="15" hidden="false" customHeight="false" outlineLevel="0" collapsed="false">
      <c r="A62" s="426" t="s">
        <v>264</v>
      </c>
      <c r="B62" s="428" t="n">
        <f aca="false">SUM(B59:B61)</f>
        <v>2629210</v>
      </c>
      <c r="C62" s="428"/>
      <c r="D62" s="428"/>
      <c r="E62" s="428"/>
      <c r="F62" s="428" t="n">
        <f aca="false">SUM(F59:F61)</f>
        <v>2490730</v>
      </c>
      <c r="G62" s="428" t="n">
        <v>51140</v>
      </c>
      <c r="H62" s="428" t="n">
        <v>1471950</v>
      </c>
      <c r="I62" s="428"/>
      <c r="J62" s="428"/>
      <c r="K62" s="428"/>
      <c r="L62" s="428"/>
      <c r="M62" s="428"/>
      <c r="N62" s="428" t="n">
        <f aca="false">B62+F62+G62+H62</f>
        <v>6643030</v>
      </c>
    </row>
    <row r="63" customFormat="false" ht="15" hidden="true" customHeight="false" outlineLevel="0" collapsed="false"/>
    <row r="64" customFormat="false" ht="15" hidden="true" customHeight="false" outlineLevel="0" collapsed="false">
      <c r="A64" s="398" t="s">
        <v>3139</v>
      </c>
      <c r="B64" s="433" t="n">
        <v>2629210</v>
      </c>
    </row>
    <row r="65" customFormat="false" ht="15" hidden="true" customHeight="false" outlineLevel="0" collapsed="false">
      <c r="A65" s="398" t="s">
        <v>3140</v>
      </c>
      <c r="B65" s="433" t="n">
        <v>2641660</v>
      </c>
    </row>
    <row r="66" customFormat="false" ht="15" hidden="tru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22" activeCellId="0" sqref="K2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.29"/>
    <col collapsed="false" customWidth="true" hidden="false" outlineLevel="0" max="2" min="2" style="0" width="16.43"/>
    <col collapsed="false" customWidth="true" hidden="false" outlineLevel="0" max="3" min="3" style="0" width="13.15"/>
    <col collapsed="false" customWidth="true" hidden="false" outlineLevel="0" max="4" min="4" style="0" width="15"/>
    <col collapsed="false" customWidth="true" hidden="false" outlineLevel="0" max="5" min="5" style="0" width="16.29"/>
  </cols>
  <sheetData>
    <row r="1" customFormat="false" ht="15" hidden="false" customHeight="false" outlineLevel="0" collapsed="false">
      <c r="A1" s="24" t="s">
        <v>3141</v>
      </c>
    </row>
    <row r="3" customFormat="false" ht="15" hidden="true" customHeight="false" outlineLevel="0" collapsed="false">
      <c r="A3" s="128" t="s">
        <v>221</v>
      </c>
      <c r="B3" s="29" t="s">
        <v>339</v>
      </c>
      <c r="C3" s="177" t="s">
        <v>61</v>
      </c>
    </row>
    <row r="4" s="435" customFormat="true" ht="42" hidden="false" customHeight="true" outlineLevel="0" collapsed="false">
      <c r="A4" s="153" t="s">
        <v>252</v>
      </c>
      <c r="B4" s="41"/>
      <c r="C4" s="434" t="n">
        <v>287</v>
      </c>
      <c r="D4" s="0"/>
      <c r="E4" s="0"/>
    </row>
    <row r="5" customFormat="false" ht="15" hidden="false" customHeight="false" outlineLevel="0" collapsed="false">
      <c r="A5" s="153" t="s">
        <v>1750</v>
      </c>
      <c r="B5" s="41"/>
      <c r="C5" s="434" t="n">
        <v>269.0000001</v>
      </c>
    </row>
    <row r="6" customFormat="false" ht="15" hidden="false" customHeight="false" outlineLevel="0" collapsed="false">
      <c r="A6" s="153" t="s">
        <v>68</v>
      </c>
      <c r="B6" s="41"/>
      <c r="C6" s="434" t="n">
        <v>249</v>
      </c>
    </row>
    <row r="7" customFormat="false" ht="15" hidden="false" customHeight="false" outlineLevel="0" collapsed="false">
      <c r="A7" s="153" t="s">
        <v>1516</v>
      </c>
      <c r="B7" s="41"/>
      <c r="C7" s="434" t="n">
        <v>162.3</v>
      </c>
    </row>
    <row r="8" customFormat="false" ht="15" hidden="false" customHeight="false" outlineLevel="0" collapsed="false">
      <c r="A8" s="153" t="s">
        <v>2389</v>
      </c>
      <c r="B8" s="41"/>
      <c r="C8" s="434" t="n">
        <v>141.2000001</v>
      </c>
    </row>
    <row r="9" customFormat="false" ht="15" hidden="false" customHeight="false" outlineLevel="0" collapsed="false">
      <c r="A9" s="153" t="s">
        <v>1175</v>
      </c>
      <c r="B9" s="41"/>
      <c r="C9" s="434" t="n">
        <v>137</v>
      </c>
    </row>
    <row r="10" customFormat="false" ht="15" hidden="false" customHeight="false" outlineLevel="0" collapsed="false">
      <c r="A10" s="153" t="s">
        <v>2346</v>
      </c>
      <c r="B10" s="41"/>
      <c r="C10" s="434" t="n">
        <v>93.0000001</v>
      </c>
    </row>
    <row r="11" customFormat="false" ht="15" hidden="false" customHeight="false" outlineLevel="0" collapsed="false">
      <c r="A11" s="153" t="s">
        <v>1843</v>
      </c>
      <c r="B11" s="41"/>
      <c r="C11" s="434" t="n">
        <v>77.5</v>
      </c>
    </row>
    <row r="12" customFormat="false" ht="15" hidden="false" customHeight="false" outlineLevel="0" collapsed="false">
      <c r="A12" s="153" t="s">
        <v>997</v>
      </c>
      <c r="B12" s="41"/>
      <c r="C12" s="434" t="n">
        <v>45</v>
      </c>
    </row>
    <row r="13" customFormat="false" ht="15" hidden="false" customHeight="false" outlineLevel="0" collapsed="false">
      <c r="A13" s="153" t="s">
        <v>2221</v>
      </c>
      <c r="B13" s="41"/>
      <c r="C13" s="434" t="n">
        <v>43</v>
      </c>
    </row>
    <row r="14" customFormat="false" ht="15" hidden="false" customHeight="false" outlineLevel="0" collapsed="false">
      <c r="A14" s="153" t="s">
        <v>1868</v>
      </c>
      <c r="B14" s="41"/>
      <c r="C14" s="434" t="n">
        <v>29</v>
      </c>
    </row>
    <row r="15" customFormat="false" ht="15" hidden="false" customHeight="false" outlineLevel="0" collapsed="false">
      <c r="A15" s="153" t="s">
        <v>2272</v>
      </c>
      <c r="B15" s="41"/>
      <c r="C15" s="434" t="n">
        <v>26.5</v>
      </c>
    </row>
    <row r="16" customFormat="false" ht="15" hidden="false" customHeight="false" outlineLevel="0" collapsed="false">
      <c r="A16" s="153" t="s">
        <v>3142</v>
      </c>
      <c r="B16" s="41"/>
      <c r="C16" s="434" t="n">
        <v>14</v>
      </c>
    </row>
    <row r="17" customFormat="false" ht="15" hidden="false" customHeight="false" outlineLevel="0" collapsed="false">
      <c r="A17" s="153" t="s">
        <v>895</v>
      </c>
      <c r="B17" s="41"/>
      <c r="C17" s="434" t="n">
        <v>4</v>
      </c>
    </row>
    <row r="18" customFormat="false" ht="15" hidden="false" customHeight="false" outlineLevel="0" collapsed="false">
      <c r="A18" s="153" t="s">
        <v>584</v>
      </c>
      <c r="B18" s="41"/>
      <c r="C18" s="434" t="n">
        <v>4</v>
      </c>
    </row>
    <row r="19" customFormat="false" ht="15" hidden="false" customHeight="false" outlineLevel="0" collapsed="false">
      <c r="A19" s="153" t="s">
        <v>1058</v>
      </c>
      <c r="B19" s="41"/>
      <c r="C19" s="434" t="n">
        <v>4</v>
      </c>
    </row>
    <row r="20" customFormat="false" ht="15" hidden="false" customHeight="false" outlineLevel="0" collapsed="false">
      <c r="A20" s="153" t="s">
        <v>893</v>
      </c>
      <c r="B20" s="41"/>
      <c r="C20" s="434" t="n">
        <v>4</v>
      </c>
    </row>
    <row r="21" customFormat="false" ht="15" hidden="false" customHeight="false" outlineLevel="0" collapsed="false">
      <c r="A21" s="153" t="s">
        <v>898</v>
      </c>
      <c r="B21" s="41"/>
      <c r="C21" s="434" t="n">
        <v>4</v>
      </c>
    </row>
    <row r="22" customFormat="false" ht="15" hidden="false" customHeight="false" outlineLevel="0" collapsed="false">
      <c r="A22" s="51" t="s">
        <v>70</v>
      </c>
      <c r="B22" s="54"/>
      <c r="C22" s="436" t="n">
        <v>1593.5000003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3" activeCellId="0" sqref="I23"/>
    </sheetView>
  </sheetViews>
  <sheetFormatPr defaultColWidth="9.1484375" defaultRowHeight="15" customHeight="true" zeroHeight="false" outlineLevelRow="0" outlineLevelCol="1"/>
  <cols>
    <col collapsed="false" customWidth="true" hidden="false" outlineLevel="0" max="1" min="1" style="23" width="35.57"/>
    <col collapsed="false" customWidth="true" hidden="false" outlineLevel="0" max="2" min="2" style="23" width="13.29"/>
    <col collapsed="false" customWidth="true" hidden="false" outlineLevel="0" max="3" min="3" style="23" width="16.29"/>
    <col collapsed="false" customWidth="true" hidden="false" outlineLevel="0" max="4" min="4" style="23" width="12.29"/>
    <col collapsed="false" customWidth="true" hidden="true" outlineLevel="1" max="5" min="5" style="23" width="15.29"/>
    <col collapsed="false" customWidth="true" hidden="false" outlineLevel="0" max="6" min="6" style="23" width="12.71"/>
    <col collapsed="false" customWidth="true" hidden="true" outlineLevel="1" max="7" min="7" style="23" width="15.85"/>
    <col collapsed="false" customWidth="true" hidden="false" outlineLevel="0" max="8" min="8" style="23" width="19.29"/>
    <col collapsed="false" customWidth="true" hidden="false" outlineLevel="0" max="9" min="9" style="23" width="17.42"/>
    <col collapsed="false" customWidth="true" hidden="false" outlineLevel="0" max="10" min="10" style="23" width="17.29"/>
    <col collapsed="false" customWidth="false" hidden="false" outlineLevel="0" max="11" min="11" style="23" width="9.14"/>
    <col collapsed="false" customWidth="true" hidden="false" outlineLevel="0" max="12" min="12" style="23" width="12.57"/>
    <col collapsed="false" customWidth="true" hidden="false" outlineLevel="0" max="15" min="13" style="23" width="11.29"/>
    <col collapsed="false" customWidth="false" hidden="false" outlineLevel="0" max="16384" min="16" style="23" width="9.14"/>
  </cols>
  <sheetData>
    <row r="1" customFormat="false" ht="16.5" hidden="false" customHeight="true" outlineLevel="0" collapsed="false">
      <c r="A1" s="24" t="s">
        <v>3143</v>
      </c>
    </row>
    <row r="3" s="32" customFormat="true" ht="15" hidden="true" customHeight="false" outlineLevel="0" collapsed="false">
      <c r="A3" s="26"/>
      <c r="B3" s="28"/>
      <c r="C3" s="29" t="s">
        <v>60</v>
      </c>
      <c r="D3" s="30"/>
      <c r="E3" s="31"/>
      <c r="F3" s="0"/>
      <c r="G3" s="0"/>
    </row>
    <row r="4" s="438" customFormat="true" ht="15" hidden="false" customHeight="false" outlineLevel="0" collapsed="false">
      <c r="A4" s="33" t="s">
        <v>32</v>
      </c>
      <c r="B4" s="34" t="s">
        <v>34</v>
      </c>
      <c r="C4" s="35" t="s">
        <v>61</v>
      </c>
      <c r="D4" s="36" t="s">
        <v>62</v>
      </c>
      <c r="E4" s="37" t="s">
        <v>63</v>
      </c>
      <c r="F4" s="0"/>
      <c r="G4" s="0"/>
      <c r="H4" s="437"/>
      <c r="I4" s="437"/>
      <c r="J4" s="437"/>
      <c r="K4" s="437"/>
      <c r="L4" s="437"/>
    </row>
    <row r="5" customFormat="false" ht="15" hidden="false" customHeight="false" outlineLevel="0" collapsed="false">
      <c r="A5" s="153" t="s">
        <v>66</v>
      </c>
      <c r="B5" s="41"/>
      <c r="C5" s="42" t="n">
        <v>116</v>
      </c>
      <c r="D5" s="43" t="n">
        <v>633060</v>
      </c>
      <c r="E5" s="44" t="n">
        <v>508513.7</v>
      </c>
      <c r="F5" s="0"/>
      <c r="G5" s="0"/>
    </row>
    <row r="6" customFormat="false" ht="15" hidden="false" customHeight="false" outlineLevel="0" collapsed="false">
      <c r="A6" s="153" t="s">
        <v>47</v>
      </c>
      <c r="B6" s="41"/>
      <c r="C6" s="42" t="n">
        <v>79</v>
      </c>
      <c r="D6" s="43" t="n">
        <v>447050</v>
      </c>
      <c r="E6" s="44" t="n">
        <v>362366.1</v>
      </c>
      <c r="F6" s="0"/>
      <c r="G6" s="0"/>
      <c r="M6" s="47"/>
      <c r="N6" s="47"/>
      <c r="O6" s="47"/>
    </row>
    <row r="7" customFormat="false" ht="15" hidden="false" customHeight="false" outlineLevel="0" collapsed="false">
      <c r="A7" s="153" t="s">
        <v>68</v>
      </c>
      <c r="B7" s="41"/>
      <c r="C7" s="42" t="n">
        <v>40</v>
      </c>
      <c r="D7" s="43" t="n">
        <v>276190</v>
      </c>
      <c r="E7" s="44" t="n">
        <v>244274.7</v>
      </c>
      <c r="F7" s="0"/>
      <c r="G7" s="0"/>
    </row>
    <row r="8" customFormat="false" ht="15" hidden="false" customHeight="false" outlineLevel="0" collapsed="false">
      <c r="A8" s="51" t="s">
        <v>70</v>
      </c>
      <c r="B8" s="54"/>
      <c r="C8" s="55" t="n">
        <v>235</v>
      </c>
      <c r="D8" s="56" t="n">
        <v>1356300</v>
      </c>
      <c r="E8" s="57" t="n">
        <v>1115154.5</v>
      </c>
      <c r="F8" s="0"/>
      <c r="G8" s="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43"/>
  <sheetViews>
    <sheetView showFormulas="false" showGridLines="true" showRowColHeaders="true" showZeros="true" rightToLeft="false" tabSelected="false" showOutlineSymbols="true" defaultGridColor="true" view="normal" topLeftCell="A19" colorId="64" zoomScale="100" zoomScaleNormal="100" zoomScalePageLayoutView="100" workbookViewId="0">
      <selection pane="topLeft" activeCell="D26" activeCellId="0" sqref="D26"/>
    </sheetView>
  </sheetViews>
  <sheetFormatPr defaultColWidth="9.1484375" defaultRowHeight="15" customHeight="true" zeroHeight="false" outlineLevelRow="0" outlineLevelCol="0"/>
  <cols>
    <col collapsed="false" customWidth="true" hidden="false" outlineLevel="0" max="1" min="1" style="439" width="20.42"/>
    <col collapsed="false" customWidth="true" hidden="false" outlineLevel="0" max="2" min="2" style="439" width="12.71"/>
    <col collapsed="false" customWidth="true" hidden="false" outlineLevel="0" max="3" min="3" style="439" width="14.86"/>
    <col collapsed="false" customWidth="true" hidden="false" outlineLevel="0" max="4" min="4" style="439" width="14.57"/>
    <col collapsed="false" customWidth="true" hidden="false" outlineLevel="0" max="5" min="5" style="440" width="17.29"/>
    <col collapsed="false" customWidth="true" hidden="false" outlineLevel="0" max="6" min="6" style="440" width="19.71"/>
    <col collapsed="false" customWidth="true" hidden="false" outlineLevel="0" max="7" min="7" style="440" width="20.29"/>
    <col collapsed="false" customWidth="true" hidden="false" outlineLevel="0" max="8" min="8" style="440" width="15.71"/>
    <col collapsed="false" customWidth="true" hidden="false" outlineLevel="0" max="9" min="9" style="440" width="32.71"/>
    <col collapsed="false" customWidth="true" hidden="false" outlineLevel="0" max="10" min="10" style="441" width="35.85"/>
    <col collapsed="false" customWidth="true" hidden="false" outlineLevel="0" max="11" min="11" style="440" width="28"/>
    <col collapsed="false" customWidth="true" hidden="false" outlineLevel="0" max="12" min="12" style="440" width="30.71"/>
    <col collapsed="false" customWidth="true" hidden="false" outlineLevel="0" max="13" min="13" style="442" width="25.29"/>
    <col collapsed="false" customWidth="false" hidden="false" outlineLevel="0" max="24" min="14" style="443" width="9.14"/>
    <col collapsed="false" customWidth="false" hidden="false" outlineLevel="0" max="16384" min="25" style="439" width="9.14"/>
  </cols>
  <sheetData>
    <row r="1" s="448" customFormat="true" ht="26.85" hidden="false" customHeight="false" outlineLevel="0" collapsed="false">
      <c r="A1" s="444" t="s">
        <v>339</v>
      </c>
      <c r="B1" s="445" t="s">
        <v>340</v>
      </c>
      <c r="C1" s="445" t="s">
        <v>341</v>
      </c>
      <c r="D1" s="445" t="s">
        <v>221</v>
      </c>
      <c r="E1" s="446" t="s">
        <v>76</v>
      </c>
      <c r="F1" s="446" t="s">
        <v>282</v>
      </c>
      <c r="G1" s="446" t="s">
        <v>342</v>
      </c>
      <c r="H1" s="446" t="s">
        <v>343</v>
      </c>
      <c r="I1" s="446" t="s">
        <v>3144</v>
      </c>
      <c r="J1" s="446" t="s">
        <v>3145</v>
      </c>
      <c r="K1" s="446" t="s">
        <v>3146</v>
      </c>
      <c r="L1" s="446" t="s">
        <v>3147</v>
      </c>
      <c r="M1" s="447" t="s">
        <v>348</v>
      </c>
      <c r="N1" s="441"/>
      <c r="O1" s="440"/>
      <c r="P1" s="440"/>
      <c r="Q1" s="440"/>
      <c r="R1" s="440"/>
      <c r="S1" s="440"/>
      <c r="T1" s="440"/>
      <c r="U1" s="440"/>
      <c r="V1" s="440"/>
      <c r="W1" s="440"/>
      <c r="X1" s="440"/>
    </row>
    <row r="2" customFormat="false" ht="15" hidden="false" customHeight="false" outlineLevel="0" collapsed="false">
      <c r="A2" s="449" t="s">
        <v>349</v>
      </c>
      <c r="B2" s="162" t="s">
        <v>52</v>
      </c>
      <c r="C2" s="162" t="s">
        <v>350</v>
      </c>
      <c r="D2" s="162" t="s">
        <v>252</v>
      </c>
      <c r="E2" s="163" t="n">
        <v>48</v>
      </c>
      <c r="F2" s="163" t="n">
        <v>48</v>
      </c>
      <c r="G2" s="163" t="n">
        <f aca="false">E2-F2</f>
        <v>0</v>
      </c>
      <c r="H2" s="164" t="n">
        <f aca="false">IFERROR(F2/E2,"-")</f>
        <v>1</v>
      </c>
      <c r="I2" s="163" t="n">
        <f aca="false">4*0.9</f>
        <v>3.6</v>
      </c>
      <c r="J2" s="165" t="n">
        <f aca="false">IFERROR(L2/F2,)</f>
        <v>2.41020833333333</v>
      </c>
      <c r="K2" s="163" t="n">
        <f aca="false">E2*I2</f>
        <v>172.8</v>
      </c>
      <c r="L2" s="163" t="n">
        <v>115.69</v>
      </c>
      <c r="M2" s="450" t="n">
        <f aca="false">IFERROR(L2/K2,"-")</f>
        <v>0.669502314814815</v>
      </c>
    </row>
    <row r="3" customFormat="false" ht="15" hidden="false" customHeight="false" outlineLevel="0" collapsed="false">
      <c r="A3" s="449" t="s">
        <v>349</v>
      </c>
      <c r="B3" s="162" t="s">
        <v>52</v>
      </c>
      <c r="C3" s="162" t="s">
        <v>350</v>
      </c>
      <c r="D3" s="162" t="s">
        <v>68</v>
      </c>
      <c r="E3" s="163" t="n">
        <v>5</v>
      </c>
      <c r="F3" s="163" t="n">
        <v>5</v>
      </c>
      <c r="G3" s="163" t="n">
        <f aca="false">E3-F3</f>
        <v>0</v>
      </c>
      <c r="H3" s="164" t="n">
        <f aca="false">IFERROR(F3/E3,"-")</f>
        <v>1</v>
      </c>
      <c r="I3" s="163" t="n">
        <f aca="false">4*0.9</f>
        <v>3.6</v>
      </c>
      <c r="J3" s="165" t="n">
        <f aca="false">IFERROR(L3/F3,)</f>
        <v>1.064</v>
      </c>
      <c r="K3" s="163" t="n">
        <f aca="false">E3*I3</f>
        <v>18</v>
      </c>
      <c r="L3" s="163" t="n">
        <v>5.32</v>
      </c>
      <c r="M3" s="450" t="n">
        <f aca="false">IFERROR(L3/K3,"-")</f>
        <v>0.295555555555556</v>
      </c>
    </row>
    <row r="4" customFormat="false" ht="15" hidden="false" customHeight="false" outlineLevel="0" collapsed="false">
      <c r="A4" s="449" t="s">
        <v>349</v>
      </c>
      <c r="B4" s="162" t="s">
        <v>52</v>
      </c>
      <c r="C4" s="162" t="s">
        <v>2124</v>
      </c>
      <c r="D4" s="162" t="s">
        <v>584</v>
      </c>
      <c r="E4" s="163" t="n">
        <v>4</v>
      </c>
      <c r="F4" s="163" t="n">
        <v>4</v>
      </c>
      <c r="G4" s="163" t="n">
        <f aca="false">E4-F4</f>
        <v>0</v>
      </c>
      <c r="H4" s="164" t="n">
        <f aca="false">IFERROR(F4/E4,"-")</f>
        <v>1</v>
      </c>
      <c r="I4" s="163" t="n">
        <f aca="false">4*0.95</f>
        <v>3.8</v>
      </c>
      <c r="J4" s="165" t="n">
        <f aca="false">IFERROR(L4/F4,)</f>
        <v>1.305</v>
      </c>
      <c r="K4" s="163" t="n">
        <f aca="false">E4*I4</f>
        <v>15.2</v>
      </c>
      <c r="L4" s="163" t="n">
        <v>5.22</v>
      </c>
      <c r="M4" s="450" t="n">
        <f aca="false">IFERROR(L4/K4,"-")</f>
        <v>0.343421052631579</v>
      </c>
    </row>
    <row r="5" customFormat="false" ht="15" hidden="false" customHeight="false" outlineLevel="0" collapsed="false">
      <c r="A5" s="449" t="s">
        <v>349</v>
      </c>
      <c r="B5" s="162" t="s">
        <v>52</v>
      </c>
      <c r="C5" s="162" t="s">
        <v>2124</v>
      </c>
      <c r="D5" s="162" t="s">
        <v>252</v>
      </c>
      <c r="E5" s="163" t="n">
        <v>112</v>
      </c>
      <c r="F5" s="163" t="n">
        <v>112</v>
      </c>
      <c r="G5" s="163" t="n">
        <f aca="false">E5-F5</f>
        <v>0</v>
      </c>
      <c r="H5" s="164" t="n">
        <f aca="false">IFERROR(F5/E5,"-")</f>
        <v>1</v>
      </c>
      <c r="I5" s="163" t="n">
        <f aca="false">4*0.75</f>
        <v>3</v>
      </c>
      <c r="J5" s="165" t="n">
        <f aca="false">IFERROR(L5/F5,)</f>
        <v>2.01017857142857</v>
      </c>
      <c r="K5" s="163" t="n">
        <f aca="false">E5*I5</f>
        <v>336</v>
      </c>
      <c r="L5" s="163" t="n">
        <v>225.14</v>
      </c>
      <c r="M5" s="450" t="n">
        <f aca="false">IFERROR(L5/K5,"-")</f>
        <v>0.670059523809524</v>
      </c>
    </row>
    <row r="6" customFormat="false" ht="15" hidden="false" customHeight="false" outlineLevel="0" collapsed="false">
      <c r="A6" s="449" t="s">
        <v>349</v>
      </c>
      <c r="B6" s="162" t="s">
        <v>52</v>
      </c>
      <c r="C6" s="162" t="s">
        <v>2124</v>
      </c>
      <c r="D6" s="162" t="s">
        <v>68</v>
      </c>
      <c r="E6" s="163" t="n">
        <v>85</v>
      </c>
      <c r="F6" s="163" t="n">
        <v>85</v>
      </c>
      <c r="G6" s="163" t="n">
        <f aca="false">E6-F6</f>
        <v>0</v>
      </c>
      <c r="H6" s="164" t="n">
        <f aca="false">IFERROR(F6/E6,"-")</f>
        <v>1</v>
      </c>
      <c r="I6" s="163" t="n">
        <f aca="false">4*0.9</f>
        <v>3.6</v>
      </c>
      <c r="J6" s="165" t="n">
        <f aca="false">IFERROR(L6/F6,)</f>
        <v>2.39270588235294</v>
      </c>
      <c r="K6" s="163" t="n">
        <f aca="false">E6*I6</f>
        <v>306</v>
      </c>
      <c r="L6" s="163" t="n">
        <v>203.38</v>
      </c>
      <c r="M6" s="450" t="n">
        <f aca="false">IFERROR(L6/K6,"-")</f>
        <v>0.664640522875817</v>
      </c>
    </row>
    <row r="7" customFormat="false" ht="15" hidden="false" customHeight="false" outlineLevel="0" collapsed="false">
      <c r="A7" s="449" t="s">
        <v>349</v>
      </c>
      <c r="B7" s="162" t="s">
        <v>52</v>
      </c>
      <c r="C7" s="162" t="s">
        <v>2088</v>
      </c>
      <c r="D7" s="162" t="s">
        <v>1516</v>
      </c>
      <c r="E7" s="163" t="n">
        <v>7</v>
      </c>
      <c r="F7" s="163" t="n">
        <v>7</v>
      </c>
      <c r="G7" s="163" t="n">
        <f aca="false">E7-F7</f>
        <v>0</v>
      </c>
      <c r="H7" s="164" t="n">
        <f aca="false">IFERROR(F7/E7,"-")</f>
        <v>1</v>
      </c>
      <c r="I7" s="163" t="n">
        <f aca="false">4*0.95</f>
        <v>3.8</v>
      </c>
      <c r="J7" s="165" t="n">
        <f aca="false">IFERROR(L7/F7,)</f>
        <v>0.722857142857143</v>
      </c>
      <c r="K7" s="163" t="n">
        <f aca="false">E7*I7</f>
        <v>26.6</v>
      </c>
      <c r="L7" s="163" t="n">
        <v>5.06</v>
      </c>
      <c r="M7" s="450" t="n">
        <f aca="false">IFERROR(L7/K7,"-")</f>
        <v>0.190225563909774</v>
      </c>
    </row>
    <row r="8" customFormat="false" ht="15" hidden="false" customHeight="false" outlineLevel="0" collapsed="false">
      <c r="A8" s="449" t="s">
        <v>349</v>
      </c>
      <c r="B8" s="162" t="s">
        <v>52</v>
      </c>
      <c r="C8" s="162" t="s">
        <v>2088</v>
      </c>
      <c r="D8" s="162" t="s">
        <v>252</v>
      </c>
      <c r="E8" s="163" t="n">
        <v>66</v>
      </c>
      <c r="F8" s="163" t="n">
        <v>66</v>
      </c>
      <c r="G8" s="163" t="n">
        <f aca="false">E8-F8</f>
        <v>0</v>
      </c>
      <c r="H8" s="164" t="n">
        <f aca="false">IFERROR(F8/E8,"-")</f>
        <v>1</v>
      </c>
      <c r="I8" s="163" t="n">
        <f aca="false">4*0.75</f>
        <v>3</v>
      </c>
      <c r="J8" s="165" t="n">
        <f aca="false">IFERROR(L8/F8,)</f>
        <v>1.38863636363636</v>
      </c>
      <c r="K8" s="163" t="n">
        <f aca="false">E8*I8</f>
        <v>198</v>
      </c>
      <c r="L8" s="163" t="n">
        <v>91.65</v>
      </c>
      <c r="M8" s="450" t="n">
        <f aca="false">IFERROR(L8/K8,"-")</f>
        <v>0.462878787878788</v>
      </c>
    </row>
    <row r="9" customFormat="false" ht="15" hidden="false" customHeight="false" outlineLevel="0" collapsed="false">
      <c r="A9" s="449" t="s">
        <v>349</v>
      </c>
      <c r="B9" s="162" t="s">
        <v>52</v>
      </c>
      <c r="C9" s="162" t="s">
        <v>95</v>
      </c>
      <c r="D9" s="162" t="s">
        <v>895</v>
      </c>
      <c r="E9" s="163" t="n">
        <v>4</v>
      </c>
      <c r="F9" s="163" t="n">
        <v>4</v>
      </c>
      <c r="G9" s="163" t="n">
        <f aca="false">E9-F9</f>
        <v>0</v>
      </c>
      <c r="H9" s="164" t="n">
        <f aca="false">IFERROR(F9/E9,"-")</f>
        <v>1</v>
      </c>
      <c r="I9" s="163" t="n">
        <v>4</v>
      </c>
      <c r="J9" s="165" t="n">
        <f aca="false">IFERROR(L9/F9,)</f>
        <v>2.2575</v>
      </c>
      <c r="K9" s="163" t="n">
        <f aca="false">E9*I9</f>
        <v>16</v>
      </c>
      <c r="L9" s="163" t="n">
        <v>9.03</v>
      </c>
      <c r="M9" s="450" t="n">
        <f aca="false">IFERROR(L9/K9,"-")</f>
        <v>0.564375</v>
      </c>
    </row>
    <row r="10" customFormat="false" ht="15" hidden="false" customHeight="false" outlineLevel="0" collapsed="false">
      <c r="A10" s="449" t="s">
        <v>349</v>
      </c>
      <c r="B10" s="162" t="s">
        <v>52</v>
      </c>
      <c r="C10" s="162" t="s">
        <v>95</v>
      </c>
      <c r="D10" s="162" t="s">
        <v>1750</v>
      </c>
      <c r="E10" s="163" t="n">
        <v>20</v>
      </c>
      <c r="F10" s="163" t="n">
        <v>20</v>
      </c>
      <c r="G10" s="163" t="n">
        <f aca="false">E10-F10</f>
        <v>0</v>
      </c>
      <c r="H10" s="164" t="n">
        <f aca="false">IFERROR(F10/E10,"-")</f>
        <v>1</v>
      </c>
      <c r="I10" s="163" t="n">
        <v>4</v>
      </c>
      <c r="J10" s="165" t="n">
        <f aca="false">IFERROR(L10/F10,)</f>
        <v>3.6265</v>
      </c>
      <c r="K10" s="163" t="n">
        <f aca="false">E10*I10</f>
        <v>80</v>
      </c>
      <c r="L10" s="163" t="n">
        <v>72.53</v>
      </c>
      <c r="M10" s="450" t="n">
        <f aca="false">IFERROR(L10/K10,"-")</f>
        <v>0.906625</v>
      </c>
    </row>
    <row r="11" customFormat="false" ht="15" hidden="false" customHeight="false" outlineLevel="0" collapsed="false">
      <c r="A11" s="449" t="s">
        <v>349</v>
      </c>
      <c r="B11" s="162" t="s">
        <v>52</v>
      </c>
      <c r="C11" s="162" t="s">
        <v>95</v>
      </c>
      <c r="D11" s="162" t="s">
        <v>893</v>
      </c>
      <c r="E11" s="163" t="n">
        <v>4</v>
      </c>
      <c r="F11" s="163" t="n">
        <v>4</v>
      </c>
      <c r="G11" s="163" t="n">
        <f aca="false">E11-F11</f>
        <v>0</v>
      </c>
      <c r="H11" s="164" t="n">
        <f aca="false">IFERROR(F11/E11,"-")</f>
        <v>1</v>
      </c>
      <c r="I11" s="163" t="n">
        <v>4</v>
      </c>
      <c r="J11" s="165" t="n">
        <f aca="false">IFERROR(L11/F11,)</f>
        <v>2.9275</v>
      </c>
      <c r="K11" s="163" t="n">
        <f aca="false">E11*I11</f>
        <v>16</v>
      </c>
      <c r="L11" s="163" t="n">
        <v>11.71</v>
      </c>
      <c r="M11" s="450" t="n">
        <f aca="false">IFERROR(L11/K11,"-")</f>
        <v>0.731875</v>
      </c>
    </row>
    <row r="12" customFormat="false" ht="15" hidden="false" customHeight="false" outlineLevel="0" collapsed="false">
      <c r="A12" s="449" t="s">
        <v>349</v>
      </c>
      <c r="B12" s="162" t="s">
        <v>52</v>
      </c>
      <c r="C12" s="162" t="s">
        <v>95</v>
      </c>
      <c r="D12" s="162" t="s">
        <v>68</v>
      </c>
      <c r="E12" s="163" t="n">
        <v>80</v>
      </c>
      <c r="F12" s="163" t="n">
        <v>80</v>
      </c>
      <c r="G12" s="163" t="n">
        <f aca="false">E12-F12</f>
        <v>0</v>
      </c>
      <c r="H12" s="164" t="n">
        <f aca="false">IFERROR(F12/E12,"-")</f>
        <v>1</v>
      </c>
      <c r="I12" s="163" t="n">
        <f aca="false">4*0.9</f>
        <v>3.6</v>
      </c>
      <c r="J12" s="165" t="n">
        <f aca="false">IFERROR(L12/F12,)</f>
        <v>3.224625</v>
      </c>
      <c r="K12" s="163" t="n">
        <f aca="false">E12*I12</f>
        <v>288</v>
      </c>
      <c r="L12" s="163" t="n">
        <v>257.97</v>
      </c>
      <c r="M12" s="450" t="n">
        <f aca="false">IFERROR(L12/K12,"-")</f>
        <v>0.895729166666667</v>
      </c>
    </row>
    <row r="13" customFormat="false" ht="15" hidden="false" customHeight="false" outlineLevel="0" collapsed="false">
      <c r="A13" s="449" t="s">
        <v>349</v>
      </c>
      <c r="B13" s="162" t="s">
        <v>52</v>
      </c>
      <c r="C13" s="162" t="s">
        <v>129</v>
      </c>
      <c r="D13" s="162" t="s">
        <v>1750</v>
      </c>
      <c r="E13" s="163" t="n">
        <v>86</v>
      </c>
      <c r="F13" s="163" t="n">
        <v>86</v>
      </c>
      <c r="G13" s="163" t="n">
        <f aca="false">E13-F13</f>
        <v>0</v>
      </c>
      <c r="H13" s="164" t="n">
        <f aca="false">IFERROR(F13/E13,"-")</f>
        <v>1</v>
      </c>
      <c r="I13" s="163" t="n">
        <v>4</v>
      </c>
      <c r="J13" s="165" t="n">
        <f aca="false">IFERROR(L13/F13,)</f>
        <v>3.96255813953488</v>
      </c>
      <c r="K13" s="163" t="n">
        <f aca="false">E13*I13</f>
        <v>344</v>
      </c>
      <c r="L13" s="163" t="n">
        <v>340.78</v>
      </c>
      <c r="M13" s="450" t="n">
        <f aca="false">IFERROR(L13/K13,"-")</f>
        <v>0.990639534883721</v>
      </c>
    </row>
    <row r="14" customFormat="false" ht="15" hidden="false" customHeight="false" outlineLevel="0" collapsed="false">
      <c r="A14" s="449" t="s">
        <v>349</v>
      </c>
      <c r="B14" s="162" t="s">
        <v>52</v>
      </c>
      <c r="C14" s="162" t="s">
        <v>2220</v>
      </c>
      <c r="D14" s="162" t="s">
        <v>2221</v>
      </c>
      <c r="E14" s="163" t="n">
        <v>43</v>
      </c>
      <c r="F14" s="163" t="n">
        <v>43</v>
      </c>
      <c r="G14" s="163" t="n">
        <f aca="false">E14-F14</f>
        <v>0</v>
      </c>
      <c r="H14" s="164" t="n">
        <f aca="false">IFERROR(F14/E14,"-")</f>
        <v>1</v>
      </c>
      <c r="I14" s="163" t="n">
        <v>4</v>
      </c>
      <c r="J14" s="165" t="n">
        <f aca="false">IFERROR(L14/F14,)</f>
        <v>3.97651162790698</v>
      </c>
      <c r="K14" s="163" t="n">
        <f aca="false">E14*I14</f>
        <v>172</v>
      </c>
      <c r="L14" s="163" t="n">
        <v>170.99</v>
      </c>
      <c r="M14" s="450" t="n">
        <f aca="false">IFERROR(L14/K14,"-")</f>
        <v>0.994127906976744</v>
      </c>
    </row>
    <row r="15" customFormat="false" ht="15" hidden="false" customHeight="false" outlineLevel="0" collapsed="false">
      <c r="A15" s="449" t="s">
        <v>349</v>
      </c>
      <c r="B15" s="162" t="s">
        <v>52</v>
      </c>
      <c r="C15" s="162" t="s">
        <v>2220</v>
      </c>
      <c r="D15" s="162" t="s">
        <v>1750</v>
      </c>
      <c r="E15" s="163" t="n">
        <v>41</v>
      </c>
      <c r="F15" s="163" t="n">
        <v>41</v>
      </c>
      <c r="G15" s="163" t="n">
        <f aca="false">E15-F15</f>
        <v>0</v>
      </c>
      <c r="H15" s="164" t="n">
        <f aca="false">IFERROR(F15/E15,"-")</f>
        <v>1</v>
      </c>
      <c r="I15" s="163" t="n">
        <v>4</v>
      </c>
      <c r="J15" s="165" t="n">
        <f aca="false">IFERROR(L15/F15,)</f>
        <v>2.63439024390244</v>
      </c>
      <c r="K15" s="163" t="n">
        <f aca="false">E15*I15</f>
        <v>164</v>
      </c>
      <c r="L15" s="163" t="n">
        <v>108.01</v>
      </c>
      <c r="M15" s="450" t="n">
        <f aca="false">IFERROR(L15/K15,"-")</f>
        <v>0.65859756097561</v>
      </c>
    </row>
    <row r="16" customFormat="false" ht="15" hidden="false" customHeight="false" outlineLevel="0" collapsed="false">
      <c r="A16" s="449" t="s">
        <v>349</v>
      </c>
      <c r="B16" s="162" t="s">
        <v>52</v>
      </c>
      <c r="C16" s="162" t="s">
        <v>2220</v>
      </c>
      <c r="D16" s="162" t="s">
        <v>1058</v>
      </c>
      <c r="E16" s="163" t="n">
        <v>4</v>
      </c>
      <c r="F16" s="163" t="n">
        <v>4</v>
      </c>
      <c r="G16" s="163" t="n">
        <f aca="false">E16-F16</f>
        <v>0</v>
      </c>
      <c r="H16" s="164" t="n">
        <f aca="false">IFERROR(F16/E16,"-")</f>
        <v>1</v>
      </c>
      <c r="I16" s="163" t="n">
        <v>4</v>
      </c>
      <c r="J16" s="165" t="n">
        <f aca="false">IFERROR(L16/F16,)</f>
        <v>2.27</v>
      </c>
      <c r="K16" s="163" t="n">
        <f aca="false">E16*I16</f>
        <v>16</v>
      </c>
      <c r="L16" s="163" t="n">
        <v>9.08</v>
      </c>
      <c r="M16" s="450" t="n">
        <f aca="false">IFERROR(L16/K16,"-")</f>
        <v>0.5675</v>
      </c>
    </row>
    <row r="17" customFormat="false" ht="15" hidden="false" customHeight="false" outlineLevel="0" collapsed="false">
      <c r="A17" s="449" t="s">
        <v>349</v>
      </c>
      <c r="B17" s="162" t="s">
        <v>52</v>
      </c>
      <c r="C17" s="162" t="s">
        <v>2220</v>
      </c>
      <c r="D17" s="162" t="s">
        <v>898</v>
      </c>
      <c r="E17" s="163" t="n">
        <v>4</v>
      </c>
      <c r="F17" s="163" t="n">
        <v>4</v>
      </c>
      <c r="G17" s="163" t="n">
        <f aca="false">E17-F17</f>
        <v>0</v>
      </c>
      <c r="H17" s="164" t="n">
        <f aca="false">IFERROR(F17/E17,"-")</f>
        <v>1</v>
      </c>
      <c r="I17" s="163" t="n">
        <v>4</v>
      </c>
      <c r="J17" s="165" t="n">
        <f aca="false">IFERROR(L17/F17,)</f>
        <v>2.3025</v>
      </c>
      <c r="K17" s="163" t="n">
        <f aca="false">E17*I17</f>
        <v>16</v>
      </c>
      <c r="L17" s="163" t="n">
        <v>9.21</v>
      </c>
      <c r="M17" s="450" t="n">
        <f aca="false">IFERROR(L17/K17,"-")</f>
        <v>0.575625</v>
      </c>
    </row>
    <row r="18" customFormat="false" ht="15" hidden="false" customHeight="false" outlineLevel="0" collapsed="false">
      <c r="A18" s="449" t="s">
        <v>1785</v>
      </c>
      <c r="B18" s="162" t="s">
        <v>52</v>
      </c>
      <c r="C18" s="162" t="s">
        <v>3148</v>
      </c>
      <c r="D18" s="162" t="s">
        <v>1750</v>
      </c>
      <c r="E18" s="163" t="n">
        <v>32</v>
      </c>
      <c r="F18" s="163" t="n">
        <v>32</v>
      </c>
      <c r="G18" s="163" t="n">
        <f aca="false">E18-F18</f>
        <v>0</v>
      </c>
      <c r="H18" s="164" t="n">
        <f aca="false">IFERROR(F18/E18,"-")</f>
        <v>1</v>
      </c>
      <c r="I18" s="163" t="n">
        <v>5</v>
      </c>
      <c r="J18" s="165" t="n">
        <f aca="false">IFERROR(L18/F18,)</f>
        <v>3.7771875</v>
      </c>
      <c r="K18" s="163" t="n">
        <f aca="false">E18*I18</f>
        <v>160</v>
      </c>
      <c r="L18" s="163" t="n">
        <v>120.87</v>
      </c>
      <c r="M18" s="450" t="n">
        <f aca="false">IFERROR(L18/K18,"-")</f>
        <v>0.7554375</v>
      </c>
    </row>
    <row r="19" customFormat="false" ht="15" hidden="false" customHeight="false" outlineLevel="0" collapsed="false">
      <c r="A19" s="449" t="s">
        <v>1785</v>
      </c>
      <c r="B19" s="162" t="s">
        <v>52</v>
      </c>
      <c r="C19" s="162" t="s">
        <v>3148</v>
      </c>
      <c r="D19" s="162" t="s">
        <v>1843</v>
      </c>
      <c r="E19" s="163" t="n">
        <v>55.9</v>
      </c>
      <c r="F19" s="163" t="n">
        <v>55.9</v>
      </c>
      <c r="G19" s="163" t="n">
        <f aca="false">E19-F19</f>
        <v>0</v>
      </c>
      <c r="H19" s="164" t="n">
        <f aca="false">IFERROR(F19/E19,"-")</f>
        <v>1</v>
      </c>
      <c r="I19" s="163" t="n">
        <v>5</v>
      </c>
      <c r="J19" s="165" t="n">
        <f aca="false">IFERROR(L19/F19,)</f>
        <v>3.72271914132379</v>
      </c>
      <c r="K19" s="163" t="n">
        <f aca="false">E19*I19</f>
        <v>279.5</v>
      </c>
      <c r="L19" s="163" t="n">
        <v>208.1</v>
      </c>
      <c r="M19" s="450" t="n">
        <f aca="false">IFERROR(L19/K19,"-")</f>
        <v>0.744543828264759</v>
      </c>
    </row>
    <row r="20" customFormat="false" ht="15" hidden="false" customHeight="false" outlineLevel="0" collapsed="false">
      <c r="A20" s="449" t="s">
        <v>1785</v>
      </c>
      <c r="B20" s="162" t="s">
        <v>52</v>
      </c>
      <c r="C20" s="162" t="s">
        <v>3149</v>
      </c>
      <c r="D20" s="162" t="s">
        <v>1868</v>
      </c>
      <c r="E20" s="163" t="n">
        <v>29</v>
      </c>
      <c r="F20" s="163" t="n">
        <v>29</v>
      </c>
      <c r="G20" s="163" t="n">
        <f aca="false">E20-F20</f>
        <v>0</v>
      </c>
      <c r="H20" s="164" t="n">
        <f aca="false">IFERROR(F20/E20,"-")</f>
        <v>1</v>
      </c>
      <c r="I20" s="163" t="n">
        <v>5</v>
      </c>
      <c r="J20" s="165" t="n">
        <f aca="false">IFERROR(L20/F20,)</f>
        <v>4.2451724137931</v>
      </c>
      <c r="K20" s="163" t="n">
        <f aca="false">E20*I20</f>
        <v>145</v>
      </c>
      <c r="L20" s="163" t="n">
        <v>123.11</v>
      </c>
      <c r="M20" s="450" t="n">
        <f aca="false">IFERROR(L20/K20,"-")</f>
        <v>0.849034482758621</v>
      </c>
    </row>
    <row r="21" customFormat="false" ht="15" hidden="false" customHeight="false" outlineLevel="0" collapsed="false">
      <c r="A21" s="449" t="s">
        <v>1785</v>
      </c>
      <c r="B21" s="162" t="s">
        <v>52</v>
      </c>
      <c r="C21" s="162" t="s">
        <v>3149</v>
      </c>
      <c r="D21" s="162" t="s">
        <v>997</v>
      </c>
      <c r="E21" s="163" t="n">
        <v>45</v>
      </c>
      <c r="F21" s="163" t="n">
        <v>45</v>
      </c>
      <c r="G21" s="163" t="n">
        <f aca="false">E21-F21</f>
        <v>0</v>
      </c>
      <c r="H21" s="164" t="n">
        <f aca="false">IFERROR(F21/E21,"-")</f>
        <v>1</v>
      </c>
      <c r="I21" s="163" t="n">
        <v>5</v>
      </c>
      <c r="J21" s="165" t="n">
        <f aca="false">IFERROR(L21/F21,)</f>
        <v>2.27133333333333</v>
      </c>
      <c r="K21" s="163" t="n">
        <f aca="false">E21*I21</f>
        <v>225</v>
      </c>
      <c r="L21" s="163" t="n">
        <v>102.21</v>
      </c>
      <c r="M21" s="450" t="n">
        <f aca="false">IFERROR(L21/K21,"-")</f>
        <v>0.454266666666667</v>
      </c>
    </row>
    <row r="22" customFormat="false" ht="15" hidden="false" customHeight="false" outlineLevel="0" collapsed="false">
      <c r="A22" s="449" t="s">
        <v>1785</v>
      </c>
      <c r="B22" s="162" t="s">
        <v>52</v>
      </c>
      <c r="C22" s="162" t="s">
        <v>3149</v>
      </c>
      <c r="D22" s="162" t="s">
        <v>2272</v>
      </c>
      <c r="E22" s="163" t="n">
        <v>18</v>
      </c>
      <c r="F22" s="163" t="n">
        <v>18</v>
      </c>
      <c r="G22" s="163" t="n">
        <f aca="false">E22-F22</f>
        <v>0</v>
      </c>
      <c r="H22" s="164" t="n">
        <f aca="false">IFERROR(F22/E22,"-")</f>
        <v>1</v>
      </c>
      <c r="I22" s="163" t="n">
        <v>5</v>
      </c>
      <c r="J22" s="165" t="n">
        <f aca="false">IFERROR(L22/F22,)</f>
        <v>2.00722222222222</v>
      </c>
      <c r="K22" s="163" t="n">
        <f aca="false">E22*I22</f>
        <v>90</v>
      </c>
      <c r="L22" s="163" t="n">
        <v>36.13</v>
      </c>
      <c r="M22" s="450" t="n">
        <f aca="false">IFERROR(L22/K22,"-")</f>
        <v>0.401444444444445</v>
      </c>
    </row>
    <row r="23" customFormat="false" ht="15" hidden="false" customHeight="false" outlineLevel="0" collapsed="false">
      <c r="A23" s="449" t="s">
        <v>1785</v>
      </c>
      <c r="B23" s="162" t="s">
        <v>52</v>
      </c>
      <c r="C23" s="162" t="s">
        <v>3149</v>
      </c>
      <c r="D23" s="162" t="s">
        <v>1843</v>
      </c>
      <c r="E23" s="163" t="n">
        <v>21.6</v>
      </c>
      <c r="F23" s="163" t="n">
        <v>21.6</v>
      </c>
      <c r="G23" s="163" t="n">
        <f aca="false">E23-F23</f>
        <v>0</v>
      </c>
      <c r="H23" s="164" t="n">
        <f aca="false">IFERROR(F23/E23,"-")</f>
        <v>1</v>
      </c>
      <c r="I23" s="163" t="n">
        <v>5</v>
      </c>
      <c r="J23" s="165" t="n">
        <f aca="false">IFERROR(L23/F23,)</f>
        <v>3.21805555555556</v>
      </c>
      <c r="K23" s="163" t="n">
        <f aca="false">E23*I23</f>
        <v>108</v>
      </c>
      <c r="L23" s="163" t="n">
        <v>69.51</v>
      </c>
      <c r="M23" s="450" t="n">
        <f aca="false">IFERROR(L23/K23,"-")</f>
        <v>0.643611111111111</v>
      </c>
    </row>
    <row r="24" customFormat="false" ht="15" hidden="false" customHeight="false" outlineLevel="0" collapsed="false">
      <c r="A24" s="449" t="s">
        <v>1785</v>
      </c>
      <c r="B24" s="162" t="s">
        <v>315</v>
      </c>
      <c r="C24" s="162" t="s">
        <v>3150</v>
      </c>
      <c r="D24" s="162" t="s">
        <v>2389</v>
      </c>
      <c r="E24" s="163" t="n">
        <v>32.9</v>
      </c>
      <c r="F24" s="163" t="n">
        <v>32.9</v>
      </c>
      <c r="G24" s="163" t="n">
        <f aca="false">E24-F24</f>
        <v>0</v>
      </c>
      <c r="H24" s="164" t="n">
        <f aca="false">IFERROR(F24/E24,"-")</f>
        <v>1</v>
      </c>
      <c r="I24" s="163" t="n">
        <v>5.5</v>
      </c>
      <c r="J24" s="165" t="n">
        <f aca="false">IFERROR(L24/F24,)</f>
        <v>1.38723404255319</v>
      </c>
      <c r="K24" s="163" t="n">
        <f aca="false">E24*I24</f>
        <v>180.95</v>
      </c>
      <c r="L24" s="163" t="n">
        <v>45.64</v>
      </c>
      <c r="M24" s="450" t="n">
        <f aca="false">IFERROR(L24/K24,"-")</f>
        <v>0.252224371373308</v>
      </c>
    </row>
    <row r="25" customFormat="false" ht="15" hidden="false" customHeight="false" outlineLevel="0" collapsed="false">
      <c r="A25" s="449" t="s">
        <v>1785</v>
      </c>
      <c r="B25" s="162" t="s">
        <v>315</v>
      </c>
      <c r="C25" s="162" t="s">
        <v>3151</v>
      </c>
      <c r="D25" s="162" t="s">
        <v>2389</v>
      </c>
      <c r="E25" s="163" t="n">
        <v>70.6</v>
      </c>
      <c r="F25" s="163" t="n">
        <v>60</v>
      </c>
      <c r="G25" s="163" t="n">
        <f aca="false">E25-F25</f>
        <v>10.6</v>
      </c>
      <c r="H25" s="164" t="n">
        <f aca="false">IFERROR(F25/E25,"-")</f>
        <v>0.84985835694051</v>
      </c>
      <c r="I25" s="163" t="n">
        <v>5.5</v>
      </c>
      <c r="J25" s="165" t="n">
        <f aca="false">IFERROR(L25/F25,)</f>
        <v>1.921</v>
      </c>
      <c r="K25" s="163" t="n">
        <f aca="false">E25*I25</f>
        <v>388.3</v>
      </c>
      <c r="L25" s="163" t="n">
        <v>115.26</v>
      </c>
      <c r="M25" s="450" t="n">
        <f aca="false">IFERROR(L25/K25,"-")</f>
        <v>0.296832346124131</v>
      </c>
    </row>
    <row r="26" customFormat="false" ht="15" hidden="false" customHeight="false" outlineLevel="0" collapsed="false">
      <c r="A26" s="449" t="s">
        <v>1785</v>
      </c>
      <c r="B26" s="162" t="s">
        <v>315</v>
      </c>
      <c r="C26" s="162" t="s">
        <v>3152</v>
      </c>
      <c r="D26" s="162" t="s">
        <v>1175</v>
      </c>
      <c r="E26" s="163" t="n">
        <v>97.4</v>
      </c>
      <c r="F26" s="163" t="n">
        <v>97.4</v>
      </c>
      <c r="G26" s="163" t="n">
        <f aca="false">E26-F26</f>
        <v>0</v>
      </c>
      <c r="H26" s="164" t="n">
        <f aca="false">IFERROR(F26/E26,"-")</f>
        <v>1</v>
      </c>
      <c r="I26" s="163" t="n">
        <v>5.5</v>
      </c>
      <c r="J26" s="165" t="n">
        <f aca="false">IFERROR(L26/F26,)</f>
        <v>1.83090349075975</v>
      </c>
      <c r="K26" s="163" t="n">
        <f aca="false">E26*I26</f>
        <v>535.7</v>
      </c>
      <c r="L26" s="163" t="n">
        <v>178.33</v>
      </c>
      <c r="M26" s="450" t="n">
        <f aca="false">IFERROR(L26/K26,"-")</f>
        <v>0.332891543774501</v>
      </c>
    </row>
    <row r="27" customFormat="false" ht="15" hidden="false" customHeight="false" outlineLevel="0" collapsed="false">
      <c r="A27" s="449" t="s">
        <v>1785</v>
      </c>
      <c r="B27" s="162" t="s">
        <v>315</v>
      </c>
      <c r="C27" s="162" t="s">
        <v>3153</v>
      </c>
      <c r="D27" s="162" t="s">
        <v>1175</v>
      </c>
      <c r="E27" s="163" t="n">
        <v>39.6</v>
      </c>
      <c r="F27" s="163" t="n">
        <v>39.6</v>
      </c>
      <c r="G27" s="163" t="n">
        <f aca="false">E27-F27</f>
        <v>0</v>
      </c>
      <c r="H27" s="164" t="n">
        <f aca="false">IFERROR(F27/E27,"-")</f>
        <v>1</v>
      </c>
      <c r="I27" s="163" t="n">
        <v>5.5</v>
      </c>
      <c r="J27" s="165" t="n">
        <f aca="false">IFERROR(L27/F27,)</f>
        <v>3.01515151515151</v>
      </c>
      <c r="K27" s="163" t="n">
        <f aca="false">E27*I27</f>
        <v>217.8</v>
      </c>
      <c r="L27" s="163" t="n">
        <v>119.4</v>
      </c>
      <c r="M27" s="450" t="n">
        <f aca="false">IFERROR(L27/K27,"-")</f>
        <v>0.548209366391185</v>
      </c>
    </row>
    <row r="28" customFormat="false" ht="15" hidden="false" customHeight="false" outlineLevel="0" collapsed="false">
      <c r="A28" s="449" t="s">
        <v>1785</v>
      </c>
      <c r="B28" s="162" t="s">
        <v>315</v>
      </c>
      <c r="C28" s="162" t="s">
        <v>3153</v>
      </c>
      <c r="D28" s="162" t="s">
        <v>2389</v>
      </c>
      <c r="E28" s="163" t="n">
        <v>48.3</v>
      </c>
      <c r="F28" s="163" t="n">
        <v>48.3</v>
      </c>
      <c r="G28" s="163" t="n">
        <f aca="false">E28-F28</f>
        <v>0</v>
      </c>
      <c r="H28" s="164" t="n">
        <f aca="false">IFERROR(F28/E28,"-")</f>
        <v>1</v>
      </c>
      <c r="I28" s="163" t="n">
        <v>5.5</v>
      </c>
      <c r="J28" s="165" t="n">
        <f aca="false">IFERROR(L28/F28,)</f>
        <v>4.87101449275362</v>
      </c>
      <c r="K28" s="163" t="n">
        <f aca="false">E28*I28</f>
        <v>265.65</v>
      </c>
      <c r="L28" s="163" t="n">
        <v>235.27</v>
      </c>
      <c r="M28" s="450" t="n">
        <f aca="false">IFERROR(L28/K28,"-")</f>
        <v>0.885638998682477</v>
      </c>
    </row>
    <row r="29" customFormat="false" ht="15" hidden="false" customHeight="false" outlineLevel="0" collapsed="false">
      <c r="A29" s="449" t="s">
        <v>1785</v>
      </c>
      <c r="B29" s="162" t="s">
        <v>315</v>
      </c>
      <c r="C29" s="162" t="s">
        <v>3154</v>
      </c>
      <c r="D29" s="162" t="s">
        <v>2346</v>
      </c>
      <c r="E29" s="163" t="n">
        <v>93</v>
      </c>
      <c r="F29" s="163" t="n">
        <v>93</v>
      </c>
      <c r="G29" s="163" t="n">
        <f aca="false">E29-F29</f>
        <v>0</v>
      </c>
      <c r="H29" s="164" t="n">
        <f aca="false">IFERROR(F29/E29,"-")</f>
        <v>1</v>
      </c>
      <c r="I29" s="163" t="n">
        <v>5.5</v>
      </c>
      <c r="J29" s="165" t="n">
        <f aca="false">IFERROR(L29/F29,)</f>
        <v>3.36591397849462</v>
      </c>
      <c r="K29" s="163" t="n">
        <f aca="false">E29*I29</f>
        <v>511.5</v>
      </c>
      <c r="L29" s="163" t="n">
        <v>313.03</v>
      </c>
      <c r="M29" s="450" t="n">
        <f aca="false">IFERROR(L29/K29,"-")</f>
        <v>0.611984359726295</v>
      </c>
    </row>
    <row r="30" customFormat="false" ht="15" hidden="false" customHeight="false" outlineLevel="0" collapsed="false">
      <c r="A30" s="449" t="s">
        <v>1785</v>
      </c>
      <c r="B30" s="162" t="s">
        <v>315</v>
      </c>
      <c r="C30" s="162" t="s">
        <v>3154</v>
      </c>
      <c r="D30" s="162" t="s">
        <v>3142</v>
      </c>
      <c r="E30" s="163" t="n">
        <v>3.5</v>
      </c>
      <c r="F30" s="163" t="n">
        <v>3.5</v>
      </c>
      <c r="G30" s="163" t="n">
        <f aca="false">E30-F30</f>
        <v>0</v>
      </c>
      <c r="H30" s="164" t="n">
        <f aca="false">IFERROR(F30/E30,"-")</f>
        <v>1</v>
      </c>
      <c r="I30" s="163" t="n">
        <v>5.5</v>
      </c>
      <c r="J30" s="165" t="n">
        <f aca="false">IFERROR(L30/F30,)</f>
        <v>3.89142857142857</v>
      </c>
      <c r="K30" s="163" t="n">
        <f aca="false">E30*I30</f>
        <v>19.25</v>
      </c>
      <c r="L30" s="163" t="n">
        <v>13.62</v>
      </c>
      <c r="M30" s="450" t="n">
        <f aca="false">IFERROR(L30/K30,"-")</f>
        <v>0.707532467532468</v>
      </c>
    </row>
    <row r="31" customFormat="false" ht="15" hidden="false" customHeight="false" outlineLevel="0" collapsed="false">
      <c r="A31" s="449" t="s">
        <v>1785</v>
      </c>
      <c r="B31" s="162" t="s">
        <v>315</v>
      </c>
      <c r="C31" s="162" t="s">
        <v>3155</v>
      </c>
      <c r="D31" s="162" t="s">
        <v>2346</v>
      </c>
      <c r="E31" s="163" t="n">
        <v>35</v>
      </c>
      <c r="F31" s="451" t="n">
        <v>1E-007</v>
      </c>
      <c r="G31" s="163" t="n">
        <f aca="false">E31-F31</f>
        <v>34.9999999</v>
      </c>
      <c r="H31" s="164" t="n">
        <f aca="false">IFERROR(F31/E31,"-")</f>
        <v>2.85714285714286E-009</v>
      </c>
      <c r="I31" s="163" t="n">
        <v>5.5</v>
      </c>
      <c r="J31" s="451" t="n">
        <f aca="false">IFERROR(L31/F31,)</f>
        <v>0.001</v>
      </c>
      <c r="K31" s="163" t="n">
        <f aca="false">E31*I31</f>
        <v>192.5</v>
      </c>
      <c r="L31" s="451" t="n">
        <v>1E-010</v>
      </c>
      <c r="M31" s="450" t="n">
        <f aca="false">IFERROR(L31/K31,"-")</f>
        <v>5.19480519480519E-013</v>
      </c>
    </row>
    <row r="32" customFormat="false" ht="15" hidden="false" customHeight="false" outlineLevel="0" collapsed="false">
      <c r="A32" s="449" t="s">
        <v>1785</v>
      </c>
      <c r="B32" s="162" t="s">
        <v>315</v>
      </c>
      <c r="C32" s="162" t="s">
        <v>3155</v>
      </c>
      <c r="D32" s="162" t="s">
        <v>2272</v>
      </c>
      <c r="E32" s="163" t="n">
        <v>8.5</v>
      </c>
      <c r="F32" s="163" t="n">
        <v>8.5</v>
      </c>
      <c r="G32" s="163" t="n">
        <f aca="false">E32-F32</f>
        <v>0</v>
      </c>
      <c r="H32" s="164" t="n">
        <f aca="false">IFERROR(F32/E32,"-")</f>
        <v>1</v>
      </c>
      <c r="I32" s="163" t="n">
        <v>5.5</v>
      </c>
      <c r="J32" s="165" t="n">
        <f aca="false">IFERROR(L32/F32,)</f>
        <v>0.762352941176471</v>
      </c>
      <c r="K32" s="163" t="n">
        <f aca="false">E32*I32</f>
        <v>46.75</v>
      </c>
      <c r="L32" s="163" t="n">
        <v>6.48</v>
      </c>
      <c r="M32" s="450" t="n">
        <f aca="false">IFERROR(L32/K32,"-")</f>
        <v>0.138609625668449</v>
      </c>
    </row>
    <row r="33" customFormat="false" ht="15" hidden="false" customHeight="false" outlineLevel="0" collapsed="false">
      <c r="A33" s="449" t="s">
        <v>1785</v>
      </c>
      <c r="B33" s="162" t="s">
        <v>315</v>
      </c>
      <c r="C33" s="162" t="s">
        <v>3155</v>
      </c>
      <c r="D33" s="162" t="s">
        <v>2389</v>
      </c>
      <c r="E33" s="163" t="n">
        <v>8</v>
      </c>
      <c r="F33" s="451" t="n">
        <v>1E-007</v>
      </c>
      <c r="G33" s="163" t="n">
        <f aca="false">E33-F33</f>
        <v>7.9999999</v>
      </c>
      <c r="H33" s="164" t="n">
        <f aca="false">IFERROR(F33/E33,"-")</f>
        <v>1.25E-008</v>
      </c>
      <c r="I33" s="163" t="n">
        <v>5.5</v>
      </c>
      <c r="J33" s="451" t="n">
        <f aca="false">IFERROR(L33/F33,)</f>
        <v>0.001</v>
      </c>
      <c r="K33" s="163" t="n">
        <f aca="false">E33*I33</f>
        <v>44</v>
      </c>
      <c r="L33" s="451" t="n">
        <v>1E-010</v>
      </c>
      <c r="M33" s="450" t="n">
        <f aca="false">IFERROR(L33/K33,"-")</f>
        <v>2.27272727272727E-012</v>
      </c>
    </row>
    <row r="34" customFormat="false" ht="15" hidden="false" customHeight="false" outlineLevel="0" collapsed="false">
      <c r="A34" s="449" t="s">
        <v>1785</v>
      </c>
      <c r="B34" s="162" t="s">
        <v>315</v>
      </c>
      <c r="C34" s="162" t="s">
        <v>3155</v>
      </c>
      <c r="D34" s="162" t="s">
        <v>3142</v>
      </c>
      <c r="E34" s="163" t="n">
        <v>10.5</v>
      </c>
      <c r="F34" s="163" t="n">
        <v>10.5</v>
      </c>
      <c r="G34" s="163" t="n">
        <f aca="false">E34-F34</f>
        <v>0</v>
      </c>
      <c r="H34" s="164" t="n">
        <f aca="false">IFERROR(F34/E34,"-")</f>
        <v>1</v>
      </c>
      <c r="I34" s="163" t="n">
        <v>5.5</v>
      </c>
      <c r="J34" s="165" t="n">
        <f aca="false">IFERROR(L34/F34,)</f>
        <v>4.81142857142857</v>
      </c>
      <c r="K34" s="163" t="n">
        <f aca="false">E34*I34</f>
        <v>57.75</v>
      </c>
      <c r="L34" s="163" t="n">
        <v>50.52</v>
      </c>
      <c r="M34" s="450" t="n">
        <f aca="false">IFERROR(L34/K34,"-")</f>
        <v>0.874805194805195</v>
      </c>
    </row>
    <row r="35" customFormat="false" ht="15" hidden="false" customHeight="false" outlineLevel="0" collapsed="false">
      <c r="A35" s="449" t="s">
        <v>3156</v>
      </c>
      <c r="B35" s="162" t="s">
        <v>315</v>
      </c>
      <c r="C35" s="162" t="s">
        <v>3157</v>
      </c>
      <c r="D35" s="162" t="s">
        <v>1750</v>
      </c>
      <c r="E35" s="163" t="n">
        <v>72</v>
      </c>
      <c r="F35" s="451" t="n">
        <v>1E-007</v>
      </c>
      <c r="G35" s="163" t="n">
        <f aca="false">E35-F35</f>
        <v>71.9999999</v>
      </c>
      <c r="H35" s="164" t="n">
        <f aca="false">IFERROR(F35/E35,"-")</f>
        <v>1.38888888888889E-009</v>
      </c>
      <c r="I35" s="163" t="n">
        <v>5.5</v>
      </c>
      <c r="J35" s="451" t="n">
        <f aca="false">IFERROR(L35/F35,)</f>
        <v>0.001</v>
      </c>
      <c r="K35" s="163" t="n">
        <f aca="false">E35*I35</f>
        <v>396</v>
      </c>
      <c r="L35" s="451" t="n">
        <v>1E-010</v>
      </c>
      <c r="M35" s="450" t="n">
        <f aca="false">IFERROR(L35/K35,"-")</f>
        <v>2.52525252525253E-013</v>
      </c>
    </row>
    <row r="36" customFormat="false" ht="15" hidden="false" customHeight="false" outlineLevel="0" collapsed="false">
      <c r="A36" s="449" t="s">
        <v>3156</v>
      </c>
      <c r="B36" s="162" t="s">
        <v>315</v>
      </c>
      <c r="C36" s="162" t="s">
        <v>3158</v>
      </c>
      <c r="D36" s="162" t="s">
        <v>1750</v>
      </c>
      <c r="E36" s="163" t="n">
        <v>52</v>
      </c>
      <c r="F36" s="163" t="n">
        <v>45</v>
      </c>
      <c r="G36" s="163" t="n">
        <f aca="false">E36-F36</f>
        <v>7</v>
      </c>
      <c r="H36" s="164" t="n">
        <f aca="false">IFERROR(F36/E36,"-")</f>
        <v>0.865384615384615</v>
      </c>
      <c r="I36" s="163" t="n">
        <v>5.5</v>
      </c>
      <c r="J36" s="165" t="n">
        <f aca="false">IFERROR(L36/F36,)</f>
        <v>5.78666666666667</v>
      </c>
      <c r="K36" s="163" t="n">
        <f aca="false">E36*I36</f>
        <v>286</v>
      </c>
      <c r="L36" s="163" t="n">
        <v>260.4</v>
      </c>
      <c r="M36" s="450" t="n">
        <f aca="false">IFERROR(L36/K36,"-")</f>
        <v>0.91048951048951</v>
      </c>
    </row>
    <row r="37" customFormat="false" ht="15" hidden="false" customHeight="false" outlineLevel="0" collapsed="false">
      <c r="A37" s="449" t="s">
        <v>3156</v>
      </c>
      <c r="B37" s="162" t="s">
        <v>315</v>
      </c>
      <c r="C37" s="162" t="s">
        <v>3159</v>
      </c>
      <c r="D37" s="162" t="s">
        <v>1750</v>
      </c>
      <c r="E37" s="163" t="n">
        <v>45</v>
      </c>
      <c r="F37" s="163" t="n">
        <v>45</v>
      </c>
      <c r="G37" s="163" t="n">
        <f aca="false">E37-F37</f>
        <v>0</v>
      </c>
      <c r="H37" s="164" t="n">
        <f aca="false">IFERROR(F37/E37,"-")</f>
        <v>1</v>
      </c>
      <c r="I37" s="163" t="n">
        <v>5.5</v>
      </c>
      <c r="J37" s="165" t="n">
        <f aca="false">IFERROR(L37/F37,)</f>
        <v>5.21422222222222</v>
      </c>
      <c r="K37" s="163" t="n">
        <f aca="false">E37*I37</f>
        <v>247.5</v>
      </c>
      <c r="L37" s="163" t="n">
        <v>234.64</v>
      </c>
      <c r="M37" s="450" t="n">
        <f aca="false">IFERROR(L37/K37,"-")</f>
        <v>0.948040404040404</v>
      </c>
    </row>
    <row r="38" customFormat="false" ht="15" hidden="false" customHeight="false" outlineLevel="0" collapsed="false">
      <c r="A38" s="449" t="s">
        <v>3137</v>
      </c>
      <c r="B38" s="162" t="s">
        <v>52</v>
      </c>
      <c r="C38" s="162" t="s">
        <v>3160</v>
      </c>
      <c r="D38" s="162" t="s">
        <v>1516</v>
      </c>
      <c r="E38" s="163" t="n">
        <v>81.9</v>
      </c>
      <c r="F38" s="163" t="n">
        <v>81.9</v>
      </c>
      <c r="G38" s="163" t="n">
        <f aca="false">E38-F38</f>
        <v>0</v>
      </c>
      <c r="H38" s="164" t="n">
        <f aca="false">IFERROR(F38/E38,"-")</f>
        <v>1</v>
      </c>
      <c r="I38" s="163" t="n">
        <v>4.5</v>
      </c>
      <c r="J38" s="165" t="n">
        <f aca="false">IFERROR(L38/F38,)</f>
        <v>0.935164835164835</v>
      </c>
      <c r="K38" s="163" t="n">
        <f aca="false">E38*I38</f>
        <v>368.55</v>
      </c>
      <c r="L38" s="163" t="n">
        <v>76.59</v>
      </c>
      <c r="M38" s="450" t="n">
        <f aca="false">IFERROR(L38/K38,"-")</f>
        <v>0.207814407814408</v>
      </c>
    </row>
    <row r="39" customFormat="false" ht="15" hidden="false" customHeight="false" outlineLevel="0" collapsed="false">
      <c r="A39" s="449" t="s">
        <v>3137</v>
      </c>
      <c r="B39" s="162" t="s">
        <v>52</v>
      </c>
      <c r="C39" s="162" t="s">
        <v>3160</v>
      </c>
      <c r="D39" s="162" t="s">
        <v>68</v>
      </c>
      <c r="E39" s="163" t="n">
        <v>50.7</v>
      </c>
      <c r="F39" s="163" t="n">
        <v>50.7</v>
      </c>
      <c r="G39" s="163" t="n">
        <f aca="false">E39-F39</f>
        <v>0</v>
      </c>
      <c r="H39" s="164" t="n">
        <f aca="false">IFERROR(F39/E39,"-")</f>
        <v>1</v>
      </c>
      <c r="I39" s="163" t="n">
        <v>4.5</v>
      </c>
      <c r="J39" s="165" t="n">
        <f aca="false">IFERROR(L39/F39,)</f>
        <v>2.53865877712032</v>
      </c>
      <c r="K39" s="163" t="n">
        <f aca="false">E39*I39</f>
        <v>228.15</v>
      </c>
      <c r="L39" s="163" t="n">
        <v>128.71</v>
      </c>
      <c r="M39" s="450" t="n">
        <f aca="false">IFERROR(L39/K39,"-")</f>
        <v>0.564146394915626</v>
      </c>
    </row>
    <row r="40" customFormat="false" ht="15" hidden="false" customHeight="false" outlineLevel="0" collapsed="false">
      <c r="A40" s="449" t="s">
        <v>3137</v>
      </c>
      <c r="B40" s="162" t="s">
        <v>52</v>
      </c>
      <c r="C40" s="162" t="s">
        <v>3161</v>
      </c>
      <c r="D40" s="162" t="s">
        <v>1516</v>
      </c>
      <c r="E40" s="163" t="n">
        <v>73.4</v>
      </c>
      <c r="F40" s="163" t="n">
        <v>73.4</v>
      </c>
      <c r="G40" s="163" t="n">
        <f aca="false">E40-F40</f>
        <v>0</v>
      </c>
      <c r="H40" s="164" t="n">
        <f aca="false">IFERROR(F40/E40,"-")</f>
        <v>1</v>
      </c>
      <c r="I40" s="163" t="n">
        <v>4.5</v>
      </c>
      <c r="J40" s="165" t="n">
        <f aca="false">IFERROR(L40/F40,)</f>
        <v>1.59193460490463</v>
      </c>
      <c r="K40" s="163" t="n">
        <f aca="false">E40*I40</f>
        <v>330.3</v>
      </c>
      <c r="L40" s="163" t="n">
        <v>116.848</v>
      </c>
      <c r="M40" s="450" t="n">
        <f aca="false">IFERROR(L40/K40,"-")</f>
        <v>0.353763245534363</v>
      </c>
    </row>
    <row r="41" customFormat="false" ht="15" hidden="false" customHeight="false" outlineLevel="0" collapsed="false">
      <c r="A41" s="449" t="s">
        <v>3137</v>
      </c>
      <c r="B41" s="162" t="s">
        <v>52</v>
      </c>
      <c r="C41" s="162" t="s">
        <v>3161</v>
      </c>
      <c r="D41" s="162" t="s">
        <v>252</v>
      </c>
      <c r="E41" s="163" t="n">
        <v>61</v>
      </c>
      <c r="F41" s="163" t="n">
        <v>61</v>
      </c>
      <c r="G41" s="163" t="n">
        <f aca="false">E41-F41</f>
        <v>0</v>
      </c>
      <c r="H41" s="164" t="n">
        <f aca="false">IFERROR(F41/E41,"-")</f>
        <v>1</v>
      </c>
      <c r="I41" s="163" t="n">
        <v>4.5</v>
      </c>
      <c r="J41" s="165" t="n">
        <f aca="false">IFERROR(L41/F41,)</f>
        <v>1.52790163934426</v>
      </c>
      <c r="K41" s="163" t="n">
        <f aca="false">E41*I41</f>
        <v>274.5</v>
      </c>
      <c r="L41" s="163" t="n">
        <v>93.202</v>
      </c>
      <c r="M41" s="450" t="n">
        <f aca="false">IFERROR(L41/K41,"-")</f>
        <v>0.339533697632058</v>
      </c>
    </row>
    <row r="42" customFormat="false" ht="15" hidden="false" customHeight="false" outlineLevel="0" collapsed="false">
      <c r="A42" s="452" t="s">
        <v>3137</v>
      </c>
      <c r="B42" s="453" t="s">
        <v>52</v>
      </c>
      <c r="C42" s="453" t="s">
        <v>3162</v>
      </c>
      <c r="D42" s="453" t="s">
        <v>68</v>
      </c>
      <c r="E42" s="454" t="n">
        <v>28.3</v>
      </c>
      <c r="F42" s="454" t="n">
        <v>28.3</v>
      </c>
      <c r="G42" s="454" t="n">
        <f aca="false">E42-F42</f>
        <v>0</v>
      </c>
      <c r="H42" s="455" t="n">
        <f aca="false">IFERROR(F42/E42,"-")</f>
        <v>1</v>
      </c>
      <c r="I42" s="454" t="n">
        <v>4.5</v>
      </c>
      <c r="J42" s="456" t="n">
        <f aca="false">IFERROR(L42/F42,)</f>
        <v>2.94275618374558</v>
      </c>
      <c r="K42" s="454" t="n">
        <f aca="false">E42*I42</f>
        <v>127.35</v>
      </c>
      <c r="L42" s="454" t="n">
        <v>83.28</v>
      </c>
      <c r="M42" s="457" t="n">
        <f aca="false">IFERROR(L42/K42,"-")</f>
        <v>0.65394581861013</v>
      </c>
    </row>
    <row r="43" customFormat="false" ht="15" hidden="false" customHeight="false" outlineLevel="0" collapsed="false">
      <c r="L43" s="440" t="n">
        <f aca="false">SUM(L2:L42)</f>
        <v>4371.9200000003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T16" activeCellId="0" sqref="T16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3.29"/>
    <col collapsed="false" customWidth="true" hidden="false" outlineLevel="0" max="2" min="2" style="0" width="11.57"/>
    <col collapsed="false" customWidth="true" hidden="false" outlineLevel="0" max="3" min="3" style="0" width="15.29"/>
    <col collapsed="false" customWidth="true" hidden="false" outlineLevel="0" max="4" min="4" style="0" width="16"/>
    <col collapsed="false" customWidth="true" hidden="false" outlineLevel="0" max="5" min="5" style="0" width="13.57"/>
    <col collapsed="false" customWidth="true" hidden="false" outlineLevel="0" max="7" min="6" style="0" width="9"/>
    <col collapsed="false" customWidth="true" hidden="false" outlineLevel="0" max="8" min="8" style="0" width="30.57"/>
    <col collapsed="false" customWidth="true" hidden="false" outlineLevel="0" max="9" min="9" style="0" width="12.71"/>
    <col collapsed="false" customWidth="true" hidden="false" outlineLevel="0" max="10" min="10" style="0" width="8.86"/>
    <col collapsed="false" customWidth="true" hidden="false" outlineLevel="0" max="187" min="187" style="0" width="48.57"/>
    <col collapsed="false" customWidth="true" hidden="false" outlineLevel="0" max="188" min="188" style="0" width="11.57"/>
    <col collapsed="false" customWidth="true" hidden="false" outlineLevel="0" max="189" min="189" style="0" width="15.29"/>
    <col collapsed="false" customWidth="true" hidden="false" outlineLevel="0" max="190" min="190" style="0" width="16"/>
    <col collapsed="false" customWidth="true" hidden="false" outlineLevel="0" max="191" min="191" style="0" width="13.57"/>
    <col collapsed="false" customWidth="true" hidden="false" outlineLevel="0" max="199" min="192" style="0" width="9"/>
    <col collapsed="false" customWidth="true" hidden="false" outlineLevel="0" max="443" min="443" style="0" width="48.57"/>
    <col collapsed="false" customWidth="true" hidden="false" outlineLevel="0" max="444" min="444" style="0" width="11.57"/>
    <col collapsed="false" customWidth="true" hidden="false" outlineLevel="0" max="445" min="445" style="0" width="15.29"/>
    <col collapsed="false" customWidth="true" hidden="false" outlineLevel="0" max="446" min="446" style="0" width="16"/>
    <col collapsed="false" customWidth="true" hidden="false" outlineLevel="0" max="447" min="447" style="0" width="13.57"/>
    <col collapsed="false" customWidth="true" hidden="false" outlineLevel="0" max="455" min="448" style="0" width="9"/>
    <col collapsed="false" customWidth="true" hidden="false" outlineLevel="0" max="699" min="699" style="0" width="48.57"/>
    <col collapsed="false" customWidth="true" hidden="false" outlineLevel="0" max="700" min="700" style="0" width="11.57"/>
    <col collapsed="false" customWidth="true" hidden="false" outlineLevel="0" max="701" min="701" style="0" width="15.29"/>
    <col collapsed="false" customWidth="true" hidden="false" outlineLevel="0" max="702" min="702" style="0" width="16"/>
    <col collapsed="false" customWidth="true" hidden="false" outlineLevel="0" max="703" min="703" style="0" width="13.57"/>
    <col collapsed="false" customWidth="true" hidden="false" outlineLevel="0" max="711" min="704" style="0" width="9"/>
    <col collapsed="false" customWidth="true" hidden="false" outlineLevel="0" max="955" min="955" style="0" width="48.57"/>
    <col collapsed="false" customWidth="true" hidden="false" outlineLevel="0" max="956" min="956" style="0" width="11.57"/>
    <col collapsed="false" customWidth="true" hidden="false" outlineLevel="0" max="957" min="957" style="0" width="15.29"/>
    <col collapsed="false" customWidth="true" hidden="false" outlineLevel="0" max="958" min="958" style="0" width="16"/>
    <col collapsed="false" customWidth="true" hidden="false" outlineLevel="0" max="959" min="959" style="0" width="13.57"/>
    <col collapsed="false" customWidth="true" hidden="false" outlineLevel="0" max="967" min="960" style="0" width="9"/>
    <col collapsed="false" customWidth="true" hidden="false" outlineLevel="0" max="1211" min="1211" style="0" width="48.57"/>
    <col collapsed="false" customWidth="true" hidden="false" outlineLevel="0" max="1212" min="1212" style="0" width="11.57"/>
    <col collapsed="false" customWidth="true" hidden="false" outlineLevel="0" max="1213" min="1213" style="0" width="15.29"/>
    <col collapsed="false" customWidth="true" hidden="false" outlineLevel="0" max="1214" min="1214" style="0" width="16"/>
    <col collapsed="false" customWidth="true" hidden="false" outlineLevel="0" max="1215" min="1215" style="0" width="13.57"/>
    <col collapsed="false" customWidth="true" hidden="false" outlineLevel="0" max="1223" min="1216" style="0" width="9"/>
    <col collapsed="false" customWidth="true" hidden="false" outlineLevel="0" max="1467" min="1467" style="0" width="48.57"/>
    <col collapsed="false" customWidth="true" hidden="false" outlineLevel="0" max="1468" min="1468" style="0" width="11.57"/>
    <col collapsed="false" customWidth="true" hidden="false" outlineLevel="0" max="1469" min="1469" style="0" width="15.29"/>
    <col collapsed="false" customWidth="true" hidden="false" outlineLevel="0" max="1470" min="1470" style="0" width="16"/>
    <col collapsed="false" customWidth="true" hidden="false" outlineLevel="0" max="1471" min="1471" style="0" width="13.57"/>
    <col collapsed="false" customWidth="true" hidden="false" outlineLevel="0" max="1479" min="1472" style="0" width="9"/>
    <col collapsed="false" customWidth="true" hidden="false" outlineLevel="0" max="1723" min="1723" style="0" width="48.57"/>
    <col collapsed="false" customWidth="true" hidden="false" outlineLevel="0" max="1724" min="1724" style="0" width="11.57"/>
    <col collapsed="false" customWidth="true" hidden="false" outlineLevel="0" max="1725" min="1725" style="0" width="15.29"/>
    <col collapsed="false" customWidth="true" hidden="false" outlineLevel="0" max="1726" min="1726" style="0" width="16"/>
    <col collapsed="false" customWidth="true" hidden="false" outlineLevel="0" max="1727" min="1727" style="0" width="13.57"/>
    <col collapsed="false" customWidth="true" hidden="false" outlineLevel="0" max="1735" min="1728" style="0" width="9"/>
    <col collapsed="false" customWidth="true" hidden="false" outlineLevel="0" max="1979" min="1979" style="0" width="48.57"/>
    <col collapsed="false" customWidth="true" hidden="false" outlineLevel="0" max="1980" min="1980" style="0" width="11.57"/>
    <col collapsed="false" customWidth="true" hidden="false" outlineLevel="0" max="1981" min="1981" style="0" width="15.29"/>
    <col collapsed="false" customWidth="true" hidden="false" outlineLevel="0" max="1982" min="1982" style="0" width="16"/>
    <col collapsed="false" customWidth="true" hidden="false" outlineLevel="0" max="1983" min="1983" style="0" width="13.57"/>
    <col collapsed="false" customWidth="true" hidden="false" outlineLevel="0" max="1991" min="1984" style="0" width="9"/>
    <col collapsed="false" customWidth="true" hidden="false" outlineLevel="0" max="2235" min="2235" style="0" width="48.57"/>
    <col collapsed="false" customWidth="true" hidden="false" outlineLevel="0" max="2236" min="2236" style="0" width="11.57"/>
    <col collapsed="false" customWidth="true" hidden="false" outlineLevel="0" max="2237" min="2237" style="0" width="15.29"/>
    <col collapsed="false" customWidth="true" hidden="false" outlineLevel="0" max="2238" min="2238" style="0" width="16"/>
    <col collapsed="false" customWidth="true" hidden="false" outlineLevel="0" max="2239" min="2239" style="0" width="13.57"/>
    <col collapsed="false" customWidth="true" hidden="false" outlineLevel="0" max="2247" min="2240" style="0" width="9"/>
    <col collapsed="false" customWidth="true" hidden="false" outlineLevel="0" max="2491" min="2491" style="0" width="48.57"/>
    <col collapsed="false" customWidth="true" hidden="false" outlineLevel="0" max="2492" min="2492" style="0" width="11.57"/>
    <col collapsed="false" customWidth="true" hidden="false" outlineLevel="0" max="2493" min="2493" style="0" width="15.29"/>
    <col collapsed="false" customWidth="true" hidden="false" outlineLevel="0" max="2494" min="2494" style="0" width="16"/>
    <col collapsed="false" customWidth="true" hidden="false" outlineLevel="0" max="2495" min="2495" style="0" width="13.57"/>
    <col collapsed="false" customWidth="true" hidden="false" outlineLevel="0" max="2503" min="2496" style="0" width="9"/>
    <col collapsed="false" customWidth="true" hidden="false" outlineLevel="0" max="2747" min="2747" style="0" width="48.57"/>
    <col collapsed="false" customWidth="true" hidden="false" outlineLevel="0" max="2748" min="2748" style="0" width="11.57"/>
    <col collapsed="false" customWidth="true" hidden="false" outlineLevel="0" max="2749" min="2749" style="0" width="15.29"/>
    <col collapsed="false" customWidth="true" hidden="false" outlineLevel="0" max="2750" min="2750" style="0" width="16"/>
    <col collapsed="false" customWidth="true" hidden="false" outlineLevel="0" max="2751" min="2751" style="0" width="13.57"/>
    <col collapsed="false" customWidth="true" hidden="false" outlineLevel="0" max="2759" min="2752" style="0" width="9"/>
    <col collapsed="false" customWidth="true" hidden="false" outlineLevel="0" max="3003" min="3003" style="0" width="48.57"/>
    <col collapsed="false" customWidth="true" hidden="false" outlineLevel="0" max="3004" min="3004" style="0" width="11.57"/>
    <col collapsed="false" customWidth="true" hidden="false" outlineLevel="0" max="3005" min="3005" style="0" width="15.29"/>
    <col collapsed="false" customWidth="true" hidden="false" outlineLevel="0" max="3006" min="3006" style="0" width="16"/>
    <col collapsed="false" customWidth="true" hidden="false" outlineLevel="0" max="3007" min="3007" style="0" width="13.57"/>
    <col collapsed="false" customWidth="true" hidden="false" outlineLevel="0" max="3015" min="3008" style="0" width="9"/>
    <col collapsed="false" customWidth="true" hidden="false" outlineLevel="0" max="3259" min="3259" style="0" width="48.57"/>
    <col collapsed="false" customWidth="true" hidden="false" outlineLevel="0" max="3260" min="3260" style="0" width="11.57"/>
    <col collapsed="false" customWidth="true" hidden="false" outlineLevel="0" max="3261" min="3261" style="0" width="15.29"/>
    <col collapsed="false" customWidth="true" hidden="false" outlineLevel="0" max="3262" min="3262" style="0" width="16"/>
    <col collapsed="false" customWidth="true" hidden="false" outlineLevel="0" max="3263" min="3263" style="0" width="13.57"/>
    <col collapsed="false" customWidth="true" hidden="false" outlineLevel="0" max="3271" min="3264" style="0" width="9"/>
    <col collapsed="false" customWidth="true" hidden="false" outlineLevel="0" max="3515" min="3515" style="0" width="48.57"/>
    <col collapsed="false" customWidth="true" hidden="false" outlineLevel="0" max="3516" min="3516" style="0" width="11.57"/>
    <col collapsed="false" customWidth="true" hidden="false" outlineLevel="0" max="3517" min="3517" style="0" width="15.29"/>
    <col collapsed="false" customWidth="true" hidden="false" outlineLevel="0" max="3518" min="3518" style="0" width="16"/>
    <col collapsed="false" customWidth="true" hidden="false" outlineLevel="0" max="3519" min="3519" style="0" width="13.57"/>
    <col collapsed="false" customWidth="true" hidden="false" outlineLevel="0" max="3527" min="3520" style="0" width="9"/>
    <col collapsed="false" customWidth="true" hidden="false" outlineLevel="0" max="3771" min="3771" style="0" width="48.57"/>
    <col collapsed="false" customWidth="true" hidden="false" outlineLevel="0" max="3772" min="3772" style="0" width="11.57"/>
    <col collapsed="false" customWidth="true" hidden="false" outlineLevel="0" max="3773" min="3773" style="0" width="15.29"/>
    <col collapsed="false" customWidth="true" hidden="false" outlineLevel="0" max="3774" min="3774" style="0" width="16"/>
    <col collapsed="false" customWidth="true" hidden="false" outlineLevel="0" max="3775" min="3775" style="0" width="13.57"/>
    <col collapsed="false" customWidth="true" hidden="false" outlineLevel="0" max="3783" min="3776" style="0" width="9"/>
    <col collapsed="false" customWidth="true" hidden="false" outlineLevel="0" max="4027" min="4027" style="0" width="48.57"/>
    <col collapsed="false" customWidth="true" hidden="false" outlineLevel="0" max="4028" min="4028" style="0" width="11.57"/>
    <col collapsed="false" customWidth="true" hidden="false" outlineLevel="0" max="4029" min="4029" style="0" width="15.29"/>
    <col collapsed="false" customWidth="true" hidden="false" outlineLevel="0" max="4030" min="4030" style="0" width="16"/>
    <col collapsed="false" customWidth="true" hidden="false" outlineLevel="0" max="4031" min="4031" style="0" width="13.57"/>
    <col collapsed="false" customWidth="true" hidden="false" outlineLevel="0" max="4039" min="4032" style="0" width="9"/>
    <col collapsed="false" customWidth="true" hidden="false" outlineLevel="0" max="4283" min="4283" style="0" width="48.57"/>
    <col collapsed="false" customWidth="true" hidden="false" outlineLevel="0" max="4284" min="4284" style="0" width="11.57"/>
    <col collapsed="false" customWidth="true" hidden="false" outlineLevel="0" max="4285" min="4285" style="0" width="15.29"/>
    <col collapsed="false" customWidth="true" hidden="false" outlineLevel="0" max="4286" min="4286" style="0" width="16"/>
    <col collapsed="false" customWidth="true" hidden="false" outlineLevel="0" max="4287" min="4287" style="0" width="13.57"/>
    <col collapsed="false" customWidth="true" hidden="false" outlineLevel="0" max="4295" min="4288" style="0" width="9"/>
    <col collapsed="false" customWidth="true" hidden="false" outlineLevel="0" max="4539" min="4539" style="0" width="48.57"/>
    <col collapsed="false" customWidth="true" hidden="false" outlineLevel="0" max="4540" min="4540" style="0" width="11.57"/>
    <col collapsed="false" customWidth="true" hidden="false" outlineLevel="0" max="4541" min="4541" style="0" width="15.29"/>
    <col collapsed="false" customWidth="true" hidden="false" outlineLevel="0" max="4542" min="4542" style="0" width="16"/>
    <col collapsed="false" customWidth="true" hidden="false" outlineLevel="0" max="4543" min="4543" style="0" width="13.57"/>
    <col collapsed="false" customWidth="true" hidden="false" outlineLevel="0" max="4551" min="4544" style="0" width="9"/>
    <col collapsed="false" customWidth="true" hidden="false" outlineLevel="0" max="4795" min="4795" style="0" width="48.57"/>
    <col collapsed="false" customWidth="true" hidden="false" outlineLevel="0" max="4796" min="4796" style="0" width="11.57"/>
    <col collapsed="false" customWidth="true" hidden="false" outlineLevel="0" max="4797" min="4797" style="0" width="15.29"/>
    <col collapsed="false" customWidth="true" hidden="false" outlineLevel="0" max="4798" min="4798" style="0" width="16"/>
    <col collapsed="false" customWidth="true" hidden="false" outlineLevel="0" max="4799" min="4799" style="0" width="13.57"/>
    <col collapsed="false" customWidth="true" hidden="false" outlineLevel="0" max="4807" min="4800" style="0" width="9"/>
    <col collapsed="false" customWidth="true" hidden="false" outlineLevel="0" max="5051" min="5051" style="0" width="48.57"/>
    <col collapsed="false" customWidth="true" hidden="false" outlineLevel="0" max="5052" min="5052" style="0" width="11.57"/>
    <col collapsed="false" customWidth="true" hidden="false" outlineLevel="0" max="5053" min="5053" style="0" width="15.29"/>
    <col collapsed="false" customWidth="true" hidden="false" outlineLevel="0" max="5054" min="5054" style="0" width="16"/>
    <col collapsed="false" customWidth="true" hidden="false" outlineLevel="0" max="5055" min="5055" style="0" width="13.57"/>
    <col collapsed="false" customWidth="true" hidden="false" outlineLevel="0" max="5063" min="5056" style="0" width="9"/>
    <col collapsed="false" customWidth="true" hidden="false" outlineLevel="0" max="5307" min="5307" style="0" width="48.57"/>
    <col collapsed="false" customWidth="true" hidden="false" outlineLevel="0" max="5308" min="5308" style="0" width="11.57"/>
    <col collapsed="false" customWidth="true" hidden="false" outlineLevel="0" max="5309" min="5309" style="0" width="15.29"/>
    <col collapsed="false" customWidth="true" hidden="false" outlineLevel="0" max="5310" min="5310" style="0" width="16"/>
    <col collapsed="false" customWidth="true" hidden="false" outlineLevel="0" max="5311" min="5311" style="0" width="13.57"/>
    <col collapsed="false" customWidth="true" hidden="false" outlineLevel="0" max="5319" min="5312" style="0" width="9"/>
    <col collapsed="false" customWidth="true" hidden="false" outlineLevel="0" max="5563" min="5563" style="0" width="48.57"/>
    <col collapsed="false" customWidth="true" hidden="false" outlineLevel="0" max="5564" min="5564" style="0" width="11.57"/>
    <col collapsed="false" customWidth="true" hidden="false" outlineLevel="0" max="5565" min="5565" style="0" width="15.29"/>
    <col collapsed="false" customWidth="true" hidden="false" outlineLevel="0" max="5566" min="5566" style="0" width="16"/>
    <col collapsed="false" customWidth="true" hidden="false" outlineLevel="0" max="5567" min="5567" style="0" width="13.57"/>
    <col collapsed="false" customWidth="true" hidden="false" outlineLevel="0" max="5575" min="5568" style="0" width="9"/>
    <col collapsed="false" customWidth="true" hidden="false" outlineLevel="0" max="5819" min="5819" style="0" width="48.57"/>
    <col collapsed="false" customWidth="true" hidden="false" outlineLevel="0" max="5820" min="5820" style="0" width="11.57"/>
    <col collapsed="false" customWidth="true" hidden="false" outlineLevel="0" max="5821" min="5821" style="0" width="15.29"/>
    <col collapsed="false" customWidth="true" hidden="false" outlineLevel="0" max="5822" min="5822" style="0" width="16"/>
    <col collapsed="false" customWidth="true" hidden="false" outlineLevel="0" max="5823" min="5823" style="0" width="13.57"/>
    <col collapsed="false" customWidth="true" hidden="false" outlineLevel="0" max="5831" min="5824" style="0" width="9"/>
    <col collapsed="false" customWidth="true" hidden="false" outlineLevel="0" max="6075" min="6075" style="0" width="48.57"/>
    <col collapsed="false" customWidth="true" hidden="false" outlineLevel="0" max="6076" min="6076" style="0" width="11.57"/>
    <col collapsed="false" customWidth="true" hidden="false" outlineLevel="0" max="6077" min="6077" style="0" width="15.29"/>
    <col collapsed="false" customWidth="true" hidden="false" outlineLevel="0" max="6078" min="6078" style="0" width="16"/>
    <col collapsed="false" customWidth="true" hidden="false" outlineLevel="0" max="6079" min="6079" style="0" width="13.57"/>
    <col collapsed="false" customWidth="true" hidden="false" outlineLevel="0" max="6087" min="6080" style="0" width="9"/>
    <col collapsed="false" customWidth="true" hidden="false" outlineLevel="0" max="6331" min="6331" style="0" width="48.57"/>
    <col collapsed="false" customWidth="true" hidden="false" outlineLevel="0" max="6332" min="6332" style="0" width="11.57"/>
    <col collapsed="false" customWidth="true" hidden="false" outlineLevel="0" max="6333" min="6333" style="0" width="15.29"/>
    <col collapsed="false" customWidth="true" hidden="false" outlineLevel="0" max="6334" min="6334" style="0" width="16"/>
    <col collapsed="false" customWidth="true" hidden="false" outlineLevel="0" max="6335" min="6335" style="0" width="13.57"/>
    <col collapsed="false" customWidth="true" hidden="false" outlineLevel="0" max="6343" min="6336" style="0" width="9"/>
    <col collapsed="false" customWidth="true" hidden="false" outlineLevel="0" max="6587" min="6587" style="0" width="48.57"/>
    <col collapsed="false" customWidth="true" hidden="false" outlineLevel="0" max="6588" min="6588" style="0" width="11.57"/>
    <col collapsed="false" customWidth="true" hidden="false" outlineLevel="0" max="6589" min="6589" style="0" width="15.29"/>
    <col collapsed="false" customWidth="true" hidden="false" outlineLevel="0" max="6590" min="6590" style="0" width="16"/>
    <col collapsed="false" customWidth="true" hidden="false" outlineLevel="0" max="6591" min="6591" style="0" width="13.57"/>
    <col collapsed="false" customWidth="true" hidden="false" outlineLevel="0" max="6599" min="6592" style="0" width="9"/>
    <col collapsed="false" customWidth="true" hidden="false" outlineLevel="0" max="6843" min="6843" style="0" width="48.57"/>
    <col collapsed="false" customWidth="true" hidden="false" outlineLevel="0" max="6844" min="6844" style="0" width="11.57"/>
    <col collapsed="false" customWidth="true" hidden="false" outlineLevel="0" max="6845" min="6845" style="0" width="15.29"/>
    <col collapsed="false" customWidth="true" hidden="false" outlineLevel="0" max="6846" min="6846" style="0" width="16"/>
    <col collapsed="false" customWidth="true" hidden="false" outlineLevel="0" max="6847" min="6847" style="0" width="13.57"/>
    <col collapsed="false" customWidth="true" hidden="false" outlineLevel="0" max="6855" min="6848" style="0" width="9"/>
    <col collapsed="false" customWidth="true" hidden="false" outlineLevel="0" max="7099" min="7099" style="0" width="48.57"/>
    <col collapsed="false" customWidth="true" hidden="false" outlineLevel="0" max="7100" min="7100" style="0" width="11.57"/>
    <col collapsed="false" customWidth="true" hidden="false" outlineLevel="0" max="7101" min="7101" style="0" width="15.29"/>
    <col collapsed="false" customWidth="true" hidden="false" outlineLevel="0" max="7102" min="7102" style="0" width="16"/>
    <col collapsed="false" customWidth="true" hidden="false" outlineLevel="0" max="7103" min="7103" style="0" width="13.57"/>
    <col collapsed="false" customWidth="true" hidden="false" outlineLevel="0" max="7111" min="7104" style="0" width="9"/>
    <col collapsed="false" customWidth="true" hidden="false" outlineLevel="0" max="7355" min="7355" style="0" width="48.57"/>
    <col collapsed="false" customWidth="true" hidden="false" outlineLevel="0" max="7356" min="7356" style="0" width="11.57"/>
    <col collapsed="false" customWidth="true" hidden="false" outlineLevel="0" max="7357" min="7357" style="0" width="15.29"/>
    <col collapsed="false" customWidth="true" hidden="false" outlineLevel="0" max="7358" min="7358" style="0" width="16"/>
    <col collapsed="false" customWidth="true" hidden="false" outlineLevel="0" max="7359" min="7359" style="0" width="13.57"/>
    <col collapsed="false" customWidth="true" hidden="false" outlineLevel="0" max="7367" min="7360" style="0" width="9"/>
    <col collapsed="false" customWidth="true" hidden="false" outlineLevel="0" max="7611" min="7611" style="0" width="48.57"/>
    <col collapsed="false" customWidth="true" hidden="false" outlineLevel="0" max="7612" min="7612" style="0" width="11.57"/>
    <col collapsed="false" customWidth="true" hidden="false" outlineLevel="0" max="7613" min="7613" style="0" width="15.29"/>
    <col collapsed="false" customWidth="true" hidden="false" outlineLevel="0" max="7614" min="7614" style="0" width="16"/>
    <col collapsed="false" customWidth="true" hidden="false" outlineLevel="0" max="7615" min="7615" style="0" width="13.57"/>
    <col collapsed="false" customWidth="true" hidden="false" outlineLevel="0" max="7623" min="7616" style="0" width="9"/>
    <col collapsed="false" customWidth="true" hidden="false" outlineLevel="0" max="7867" min="7867" style="0" width="48.57"/>
    <col collapsed="false" customWidth="true" hidden="false" outlineLevel="0" max="7868" min="7868" style="0" width="11.57"/>
    <col collapsed="false" customWidth="true" hidden="false" outlineLevel="0" max="7869" min="7869" style="0" width="15.29"/>
    <col collapsed="false" customWidth="true" hidden="false" outlineLevel="0" max="7870" min="7870" style="0" width="16"/>
    <col collapsed="false" customWidth="true" hidden="false" outlineLevel="0" max="7871" min="7871" style="0" width="13.57"/>
    <col collapsed="false" customWidth="true" hidden="false" outlineLevel="0" max="7879" min="7872" style="0" width="9"/>
    <col collapsed="false" customWidth="true" hidden="false" outlineLevel="0" max="8123" min="8123" style="0" width="48.57"/>
    <col collapsed="false" customWidth="true" hidden="false" outlineLevel="0" max="8124" min="8124" style="0" width="11.57"/>
    <col collapsed="false" customWidth="true" hidden="false" outlineLevel="0" max="8125" min="8125" style="0" width="15.29"/>
    <col collapsed="false" customWidth="true" hidden="false" outlineLevel="0" max="8126" min="8126" style="0" width="16"/>
    <col collapsed="false" customWidth="true" hidden="false" outlineLevel="0" max="8127" min="8127" style="0" width="13.57"/>
    <col collapsed="false" customWidth="true" hidden="false" outlineLevel="0" max="8135" min="8128" style="0" width="9"/>
    <col collapsed="false" customWidth="true" hidden="false" outlineLevel="0" max="8379" min="8379" style="0" width="48.57"/>
    <col collapsed="false" customWidth="true" hidden="false" outlineLevel="0" max="8380" min="8380" style="0" width="11.57"/>
    <col collapsed="false" customWidth="true" hidden="false" outlineLevel="0" max="8381" min="8381" style="0" width="15.29"/>
    <col collapsed="false" customWidth="true" hidden="false" outlineLevel="0" max="8382" min="8382" style="0" width="16"/>
    <col collapsed="false" customWidth="true" hidden="false" outlineLevel="0" max="8383" min="8383" style="0" width="13.57"/>
    <col collapsed="false" customWidth="true" hidden="false" outlineLevel="0" max="8391" min="8384" style="0" width="9"/>
    <col collapsed="false" customWidth="true" hidden="false" outlineLevel="0" max="8635" min="8635" style="0" width="48.57"/>
    <col collapsed="false" customWidth="true" hidden="false" outlineLevel="0" max="8636" min="8636" style="0" width="11.57"/>
    <col collapsed="false" customWidth="true" hidden="false" outlineLevel="0" max="8637" min="8637" style="0" width="15.29"/>
    <col collapsed="false" customWidth="true" hidden="false" outlineLevel="0" max="8638" min="8638" style="0" width="16"/>
    <col collapsed="false" customWidth="true" hidden="false" outlineLevel="0" max="8639" min="8639" style="0" width="13.57"/>
    <col collapsed="false" customWidth="true" hidden="false" outlineLevel="0" max="8647" min="8640" style="0" width="9"/>
    <col collapsed="false" customWidth="true" hidden="false" outlineLevel="0" max="8891" min="8891" style="0" width="48.57"/>
    <col collapsed="false" customWidth="true" hidden="false" outlineLevel="0" max="8892" min="8892" style="0" width="11.57"/>
    <col collapsed="false" customWidth="true" hidden="false" outlineLevel="0" max="8893" min="8893" style="0" width="15.29"/>
    <col collapsed="false" customWidth="true" hidden="false" outlineLevel="0" max="8894" min="8894" style="0" width="16"/>
    <col collapsed="false" customWidth="true" hidden="false" outlineLevel="0" max="8895" min="8895" style="0" width="13.57"/>
    <col collapsed="false" customWidth="true" hidden="false" outlineLevel="0" max="8903" min="8896" style="0" width="9"/>
    <col collapsed="false" customWidth="true" hidden="false" outlineLevel="0" max="9147" min="9147" style="0" width="48.57"/>
    <col collapsed="false" customWidth="true" hidden="false" outlineLevel="0" max="9148" min="9148" style="0" width="11.57"/>
    <col collapsed="false" customWidth="true" hidden="false" outlineLevel="0" max="9149" min="9149" style="0" width="15.29"/>
    <col collapsed="false" customWidth="true" hidden="false" outlineLevel="0" max="9150" min="9150" style="0" width="16"/>
    <col collapsed="false" customWidth="true" hidden="false" outlineLevel="0" max="9151" min="9151" style="0" width="13.57"/>
    <col collapsed="false" customWidth="true" hidden="false" outlineLevel="0" max="9159" min="9152" style="0" width="9"/>
    <col collapsed="false" customWidth="true" hidden="false" outlineLevel="0" max="9403" min="9403" style="0" width="48.57"/>
    <col collapsed="false" customWidth="true" hidden="false" outlineLevel="0" max="9404" min="9404" style="0" width="11.57"/>
    <col collapsed="false" customWidth="true" hidden="false" outlineLevel="0" max="9405" min="9405" style="0" width="15.29"/>
    <col collapsed="false" customWidth="true" hidden="false" outlineLevel="0" max="9406" min="9406" style="0" width="16"/>
    <col collapsed="false" customWidth="true" hidden="false" outlineLevel="0" max="9407" min="9407" style="0" width="13.57"/>
    <col collapsed="false" customWidth="true" hidden="false" outlineLevel="0" max="9415" min="9408" style="0" width="9"/>
    <col collapsed="false" customWidth="true" hidden="false" outlineLevel="0" max="9659" min="9659" style="0" width="48.57"/>
    <col collapsed="false" customWidth="true" hidden="false" outlineLevel="0" max="9660" min="9660" style="0" width="11.57"/>
    <col collapsed="false" customWidth="true" hidden="false" outlineLevel="0" max="9661" min="9661" style="0" width="15.29"/>
    <col collapsed="false" customWidth="true" hidden="false" outlineLevel="0" max="9662" min="9662" style="0" width="16"/>
    <col collapsed="false" customWidth="true" hidden="false" outlineLevel="0" max="9663" min="9663" style="0" width="13.57"/>
    <col collapsed="false" customWidth="true" hidden="false" outlineLevel="0" max="9671" min="9664" style="0" width="9"/>
    <col collapsed="false" customWidth="true" hidden="false" outlineLevel="0" max="9915" min="9915" style="0" width="48.57"/>
    <col collapsed="false" customWidth="true" hidden="false" outlineLevel="0" max="9916" min="9916" style="0" width="11.57"/>
    <col collapsed="false" customWidth="true" hidden="false" outlineLevel="0" max="9917" min="9917" style="0" width="15.29"/>
    <col collapsed="false" customWidth="true" hidden="false" outlineLevel="0" max="9918" min="9918" style="0" width="16"/>
    <col collapsed="false" customWidth="true" hidden="false" outlineLevel="0" max="9919" min="9919" style="0" width="13.57"/>
    <col collapsed="false" customWidth="true" hidden="false" outlineLevel="0" max="9927" min="9920" style="0" width="9"/>
    <col collapsed="false" customWidth="true" hidden="false" outlineLevel="0" max="10171" min="10171" style="0" width="48.57"/>
    <col collapsed="false" customWidth="true" hidden="false" outlineLevel="0" max="10172" min="10172" style="0" width="11.57"/>
    <col collapsed="false" customWidth="true" hidden="false" outlineLevel="0" max="10173" min="10173" style="0" width="15.29"/>
    <col collapsed="false" customWidth="true" hidden="false" outlineLevel="0" max="10174" min="10174" style="0" width="16"/>
    <col collapsed="false" customWidth="true" hidden="false" outlineLevel="0" max="10175" min="10175" style="0" width="13.57"/>
    <col collapsed="false" customWidth="true" hidden="false" outlineLevel="0" max="10183" min="10176" style="0" width="9"/>
    <col collapsed="false" customWidth="true" hidden="false" outlineLevel="0" max="10427" min="10427" style="0" width="48.57"/>
    <col collapsed="false" customWidth="true" hidden="false" outlineLevel="0" max="10428" min="10428" style="0" width="11.57"/>
    <col collapsed="false" customWidth="true" hidden="false" outlineLevel="0" max="10429" min="10429" style="0" width="15.29"/>
    <col collapsed="false" customWidth="true" hidden="false" outlineLevel="0" max="10430" min="10430" style="0" width="16"/>
    <col collapsed="false" customWidth="true" hidden="false" outlineLevel="0" max="10431" min="10431" style="0" width="13.57"/>
    <col collapsed="false" customWidth="true" hidden="false" outlineLevel="0" max="10439" min="10432" style="0" width="9"/>
    <col collapsed="false" customWidth="true" hidden="false" outlineLevel="0" max="10683" min="10683" style="0" width="48.57"/>
    <col collapsed="false" customWidth="true" hidden="false" outlineLevel="0" max="10684" min="10684" style="0" width="11.57"/>
    <col collapsed="false" customWidth="true" hidden="false" outlineLevel="0" max="10685" min="10685" style="0" width="15.29"/>
    <col collapsed="false" customWidth="true" hidden="false" outlineLevel="0" max="10686" min="10686" style="0" width="16"/>
    <col collapsed="false" customWidth="true" hidden="false" outlineLevel="0" max="10687" min="10687" style="0" width="13.57"/>
    <col collapsed="false" customWidth="true" hidden="false" outlineLevel="0" max="10695" min="10688" style="0" width="9"/>
    <col collapsed="false" customWidth="true" hidden="false" outlineLevel="0" max="10939" min="10939" style="0" width="48.57"/>
    <col collapsed="false" customWidth="true" hidden="false" outlineLevel="0" max="10940" min="10940" style="0" width="11.57"/>
    <col collapsed="false" customWidth="true" hidden="false" outlineLevel="0" max="10941" min="10941" style="0" width="15.29"/>
    <col collapsed="false" customWidth="true" hidden="false" outlineLevel="0" max="10942" min="10942" style="0" width="16"/>
    <col collapsed="false" customWidth="true" hidden="false" outlineLevel="0" max="10943" min="10943" style="0" width="13.57"/>
    <col collapsed="false" customWidth="true" hidden="false" outlineLevel="0" max="10951" min="10944" style="0" width="9"/>
    <col collapsed="false" customWidth="true" hidden="false" outlineLevel="0" max="11195" min="11195" style="0" width="48.57"/>
    <col collapsed="false" customWidth="true" hidden="false" outlineLevel="0" max="11196" min="11196" style="0" width="11.57"/>
    <col collapsed="false" customWidth="true" hidden="false" outlineLevel="0" max="11197" min="11197" style="0" width="15.29"/>
    <col collapsed="false" customWidth="true" hidden="false" outlineLevel="0" max="11198" min="11198" style="0" width="16"/>
    <col collapsed="false" customWidth="true" hidden="false" outlineLevel="0" max="11199" min="11199" style="0" width="13.57"/>
    <col collapsed="false" customWidth="true" hidden="false" outlineLevel="0" max="11207" min="11200" style="0" width="9"/>
    <col collapsed="false" customWidth="true" hidden="false" outlineLevel="0" max="11451" min="11451" style="0" width="48.57"/>
    <col collapsed="false" customWidth="true" hidden="false" outlineLevel="0" max="11452" min="11452" style="0" width="11.57"/>
    <col collapsed="false" customWidth="true" hidden="false" outlineLevel="0" max="11453" min="11453" style="0" width="15.29"/>
    <col collapsed="false" customWidth="true" hidden="false" outlineLevel="0" max="11454" min="11454" style="0" width="16"/>
    <col collapsed="false" customWidth="true" hidden="false" outlineLevel="0" max="11455" min="11455" style="0" width="13.57"/>
    <col collapsed="false" customWidth="true" hidden="false" outlineLevel="0" max="11463" min="11456" style="0" width="9"/>
    <col collapsed="false" customWidth="true" hidden="false" outlineLevel="0" max="11707" min="11707" style="0" width="48.57"/>
    <col collapsed="false" customWidth="true" hidden="false" outlineLevel="0" max="11708" min="11708" style="0" width="11.57"/>
    <col collapsed="false" customWidth="true" hidden="false" outlineLevel="0" max="11709" min="11709" style="0" width="15.29"/>
    <col collapsed="false" customWidth="true" hidden="false" outlineLevel="0" max="11710" min="11710" style="0" width="16"/>
    <col collapsed="false" customWidth="true" hidden="false" outlineLevel="0" max="11711" min="11711" style="0" width="13.57"/>
    <col collapsed="false" customWidth="true" hidden="false" outlineLevel="0" max="11719" min="11712" style="0" width="9"/>
    <col collapsed="false" customWidth="true" hidden="false" outlineLevel="0" max="11963" min="11963" style="0" width="48.57"/>
    <col collapsed="false" customWidth="true" hidden="false" outlineLevel="0" max="11964" min="11964" style="0" width="11.57"/>
    <col collapsed="false" customWidth="true" hidden="false" outlineLevel="0" max="11965" min="11965" style="0" width="15.29"/>
    <col collapsed="false" customWidth="true" hidden="false" outlineLevel="0" max="11966" min="11966" style="0" width="16"/>
    <col collapsed="false" customWidth="true" hidden="false" outlineLevel="0" max="11967" min="11967" style="0" width="13.57"/>
    <col collapsed="false" customWidth="true" hidden="false" outlineLevel="0" max="11975" min="11968" style="0" width="9"/>
    <col collapsed="false" customWidth="true" hidden="false" outlineLevel="0" max="12219" min="12219" style="0" width="48.57"/>
    <col collapsed="false" customWidth="true" hidden="false" outlineLevel="0" max="12220" min="12220" style="0" width="11.57"/>
    <col collapsed="false" customWidth="true" hidden="false" outlineLevel="0" max="12221" min="12221" style="0" width="15.29"/>
    <col collapsed="false" customWidth="true" hidden="false" outlineLevel="0" max="12222" min="12222" style="0" width="16"/>
    <col collapsed="false" customWidth="true" hidden="false" outlineLevel="0" max="12223" min="12223" style="0" width="13.57"/>
    <col collapsed="false" customWidth="true" hidden="false" outlineLevel="0" max="12231" min="12224" style="0" width="9"/>
    <col collapsed="false" customWidth="true" hidden="false" outlineLevel="0" max="12475" min="12475" style="0" width="48.57"/>
    <col collapsed="false" customWidth="true" hidden="false" outlineLevel="0" max="12476" min="12476" style="0" width="11.57"/>
    <col collapsed="false" customWidth="true" hidden="false" outlineLevel="0" max="12477" min="12477" style="0" width="15.29"/>
    <col collapsed="false" customWidth="true" hidden="false" outlineLevel="0" max="12478" min="12478" style="0" width="16"/>
    <col collapsed="false" customWidth="true" hidden="false" outlineLevel="0" max="12479" min="12479" style="0" width="13.57"/>
    <col collapsed="false" customWidth="true" hidden="false" outlineLevel="0" max="12487" min="12480" style="0" width="9"/>
    <col collapsed="false" customWidth="true" hidden="false" outlineLevel="0" max="12731" min="12731" style="0" width="48.57"/>
    <col collapsed="false" customWidth="true" hidden="false" outlineLevel="0" max="12732" min="12732" style="0" width="11.57"/>
    <col collapsed="false" customWidth="true" hidden="false" outlineLevel="0" max="12733" min="12733" style="0" width="15.29"/>
    <col collapsed="false" customWidth="true" hidden="false" outlineLevel="0" max="12734" min="12734" style="0" width="16"/>
    <col collapsed="false" customWidth="true" hidden="false" outlineLevel="0" max="12735" min="12735" style="0" width="13.57"/>
    <col collapsed="false" customWidth="true" hidden="false" outlineLevel="0" max="12743" min="12736" style="0" width="9"/>
    <col collapsed="false" customWidth="true" hidden="false" outlineLevel="0" max="12987" min="12987" style="0" width="48.57"/>
    <col collapsed="false" customWidth="true" hidden="false" outlineLevel="0" max="12988" min="12988" style="0" width="11.57"/>
    <col collapsed="false" customWidth="true" hidden="false" outlineLevel="0" max="12989" min="12989" style="0" width="15.29"/>
    <col collapsed="false" customWidth="true" hidden="false" outlineLevel="0" max="12990" min="12990" style="0" width="16"/>
    <col collapsed="false" customWidth="true" hidden="false" outlineLevel="0" max="12991" min="12991" style="0" width="13.57"/>
    <col collapsed="false" customWidth="true" hidden="false" outlineLevel="0" max="12999" min="12992" style="0" width="9"/>
    <col collapsed="false" customWidth="true" hidden="false" outlineLevel="0" max="13243" min="13243" style="0" width="48.57"/>
    <col collapsed="false" customWidth="true" hidden="false" outlineLevel="0" max="13244" min="13244" style="0" width="11.57"/>
    <col collapsed="false" customWidth="true" hidden="false" outlineLevel="0" max="13245" min="13245" style="0" width="15.29"/>
    <col collapsed="false" customWidth="true" hidden="false" outlineLevel="0" max="13246" min="13246" style="0" width="16"/>
    <col collapsed="false" customWidth="true" hidden="false" outlineLevel="0" max="13247" min="13247" style="0" width="13.57"/>
    <col collapsed="false" customWidth="true" hidden="false" outlineLevel="0" max="13255" min="13248" style="0" width="9"/>
    <col collapsed="false" customWidth="true" hidden="false" outlineLevel="0" max="13499" min="13499" style="0" width="48.57"/>
    <col collapsed="false" customWidth="true" hidden="false" outlineLevel="0" max="13500" min="13500" style="0" width="11.57"/>
    <col collapsed="false" customWidth="true" hidden="false" outlineLevel="0" max="13501" min="13501" style="0" width="15.29"/>
    <col collapsed="false" customWidth="true" hidden="false" outlineLevel="0" max="13502" min="13502" style="0" width="16"/>
    <col collapsed="false" customWidth="true" hidden="false" outlineLevel="0" max="13503" min="13503" style="0" width="13.57"/>
    <col collapsed="false" customWidth="true" hidden="false" outlineLevel="0" max="13511" min="13504" style="0" width="9"/>
    <col collapsed="false" customWidth="true" hidden="false" outlineLevel="0" max="13755" min="13755" style="0" width="48.57"/>
    <col collapsed="false" customWidth="true" hidden="false" outlineLevel="0" max="13756" min="13756" style="0" width="11.57"/>
    <col collapsed="false" customWidth="true" hidden="false" outlineLevel="0" max="13757" min="13757" style="0" width="15.29"/>
    <col collapsed="false" customWidth="true" hidden="false" outlineLevel="0" max="13758" min="13758" style="0" width="16"/>
    <col collapsed="false" customWidth="true" hidden="false" outlineLevel="0" max="13759" min="13759" style="0" width="13.57"/>
    <col collapsed="false" customWidth="true" hidden="false" outlineLevel="0" max="13767" min="13760" style="0" width="9"/>
    <col collapsed="false" customWidth="true" hidden="false" outlineLevel="0" max="14011" min="14011" style="0" width="48.57"/>
    <col collapsed="false" customWidth="true" hidden="false" outlineLevel="0" max="14012" min="14012" style="0" width="11.57"/>
    <col collapsed="false" customWidth="true" hidden="false" outlineLevel="0" max="14013" min="14013" style="0" width="15.29"/>
    <col collapsed="false" customWidth="true" hidden="false" outlineLevel="0" max="14014" min="14014" style="0" width="16"/>
    <col collapsed="false" customWidth="true" hidden="false" outlineLevel="0" max="14015" min="14015" style="0" width="13.57"/>
    <col collapsed="false" customWidth="true" hidden="false" outlineLevel="0" max="14023" min="14016" style="0" width="9"/>
    <col collapsed="false" customWidth="true" hidden="false" outlineLevel="0" max="14267" min="14267" style="0" width="48.57"/>
    <col collapsed="false" customWidth="true" hidden="false" outlineLevel="0" max="14268" min="14268" style="0" width="11.57"/>
    <col collapsed="false" customWidth="true" hidden="false" outlineLevel="0" max="14269" min="14269" style="0" width="15.29"/>
    <col collapsed="false" customWidth="true" hidden="false" outlineLevel="0" max="14270" min="14270" style="0" width="16"/>
    <col collapsed="false" customWidth="true" hidden="false" outlineLevel="0" max="14271" min="14271" style="0" width="13.57"/>
    <col collapsed="false" customWidth="true" hidden="false" outlineLevel="0" max="14279" min="14272" style="0" width="9"/>
    <col collapsed="false" customWidth="true" hidden="false" outlineLevel="0" max="14523" min="14523" style="0" width="48.57"/>
    <col collapsed="false" customWidth="true" hidden="false" outlineLevel="0" max="14524" min="14524" style="0" width="11.57"/>
    <col collapsed="false" customWidth="true" hidden="false" outlineLevel="0" max="14525" min="14525" style="0" width="15.29"/>
    <col collapsed="false" customWidth="true" hidden="false" outlineLevel="0" max="14526" min="14526" style="0" width="16"/>
    <col collapsed="false" customWidth="true" hidden="false" outlineLevel="0" max="14527" min="14527" style="0" width="13.57"/>
    <col collapsed="false" customWidth="true" hidden="false" outlineLevel="0" max="14535" min="14528" style="0" width="9"/>
    <col collapsed="false" customWidth="true" hidden="false" outlineLevel="0" max="14779" min="14779" style="0" width="48.57"/>
    <col collapsed="false" customWidth="true" hidden="false" outlineLevel="0" max="14780" min="14780" style="0" width="11.57"/>
    <col collapsed="false" customWidth="true" hidden="false" outlineLevel="0" max="14781" min="14781" style="0" width="15.29"/>
    <col collapsed="false" customWidth="true" hidden="false" outlineLevel="0" max="14782" min="14782" style="0" width="16"/>
    <col collapsed="false" customWidth="true" hidden="false" outlineLevel="0" max="14783" min="14783" style="0" width="13.57"/>
    <col collapsed="false" customWidth="true" hidden="false" outlineLevel="0" max="14791" min="14784" style="0" width="9"/>
    <col collapsed="false" customWidth="true" hidden="false" outlineLevel="0" max="15035" min="15035" style="0" width="48.57"/>
    <col collapsed="false" customWidth="true" hidden="false" outlineLevel="0" max="15036" min="15036" style="0" width="11.57"/>
    <col collapsed="false" customWidth="true" hidden="false" outlineLevel="0" max="15037" min="15037" style="0" width="15.29"/>
    <col collapsed="false" customWidth="true" hidden="false" outlineLevel="0" max="15038" min="15038" style="0" width="16"/>
    <col collapsed="false" customWidth="true" hidden="false" outlineLevel="0" max="15039" min="15039" style="0" width="13.57"/>
    <col collapsed="false" customWidth="true" hidden="false" outlineLevel="0" max="15047" min="15040" style="0" width="9"/>
    <col collapsed="false" customWidth="true" hidden="false" outlineLevel="0" max="15291" min="15291" style="0" width="48.57"/>
    <col collapsed="false" customWidth="true" hidden="false" outlineLevel="0" max="15292" min="15292" style="0" width="11.57"/>
    <col collapsed="false" customWidth="true" hidden="false" outlineLevel="0" max="15293" min="15293" style="0" width="15.29"/>
    <col collapsed="false" customWidth="true" hidden="false" outlineLevel="0" max="15294" min="15294" style="0" width="16"/>
    <col collapsed="false" customWidth="true" hidden="false" outlineLevel="0" max="15295" min="15295" style="0" width="13.57"/>
    <col collapsed="false" customWidth="true" hidden="false" outlineLevel="0" max="15303" min="15296" style="0" width="9"/>
    <col collapsed="false" customWidth="true" hidden="false" outlineLevel="0" max="15547" min="15547" style="0" width="48.57"/>
    <col collapsed="false" customWidth="true" hidden="false" outlineLevel="0" max="15548" min="15548" style="0" width="11.57"/>
    <col collapsed="false" customWidth="true" hidden="false" outlineLevel="0" max="15549" min="15549" style="0" width="15.29"/>
    <col collapsed="false" customWidth="true" hidden="false" outlineLevel="0" max="15550" min="15550" style="0" width="16"/>
    <col collapsed="false" customWidth="true" hidden="false" outlineLevel="0" max="15551" min="15551" style="0" width="13.57"/>
    <col collapsed="false" customWidth="true" hidden="false" outlineLevel="0" max="15559" min="15552" style="0" width="9"/>
    <col collapsed="false" customWidth="true" hidden="false" outlineLevel="0" max="15803" min="15803" style="0" width="48.57"/>
    <col collapsed="false" customWidth="true" hidden="false" outlineLevel="0" max="15804" min="15804" style="0" width="11.57"/>
    <col collapsed="false" customWidth="true" hidden="false" outlineLevel="0" max="15805" min="15805" style="0" width="15.29"/>
    <col collapsed="false" customWidth="true" hidden="false" outlineLevel="0" max="15806" min="15806" style="0" width="16"/>
    <col collapsed="false" customWidth="true" hidden="false" outlineLevel="0" max="15807" min="15807" style="0" width="13.57"/>
    <col collapsed="false" customWidth="true" hidden="false" outlineLevel="0" max="15815" min="15808" style="0" width="9"/>
    <col collapsed="false" customWidth="true" hidden="false" outlineLevel="0" max="16059" min="16059" style="0" width="48.57"/>
    <col collapsed="false" customWidth="true" hidden="false" outlineLevel="0" max="16060" min="16060" style="0" width="11.57"/>
    <col collapsed="false" customWidth="true" hidden="false" outlineLevel="0" max="16061" min="16061" style="0" width="15.29"/>
    <col collapsed="false" customWidth="true" hidden="false" outlineLevel="0" max="16062" min="16062" style="0" width="16"/>
    <col collapsed="false" customWidth="true" hidden="false" outlineLevel="0" max="16063" min="16063" style="0" width="13.57"/>
    <col collapsed="false" customWidth="true" hidden="false" outlineLevel="0" max="16071" min="16064" style="0" width="9"/>
  </cols>
  <sheetData>
    <row r="1" s="458" customFormat="true" ht="3" hidden="false" customHeight="true" outlineLevel="0" collapsed="false"/>
    <row r="2" s="458" customFormat="true" ht="12.75" hidden="false" customHeight="true" outlineLevel="0" collapsed="false">
      <c r="A2" s="459" t="s">
        <v>3163</v>
      </c>
      <c r="B2" s="459"/>
      <c r="C2" s="459"/>
      <c r="D2" s="459"/>
      <c r="E2" s="459"/>
      <c r="F2" s="460"/>
      <c r="G2" s="460"/>
      <c r="H2" s="460"/>
      <c r="I2" s="460"/>
    </row>
    <row r="3" s="458" customFormat="true" ht="3" hidden="false" customHeight="true" outlineLevel="0" collapsed="false"/>
    <row r="4" s="458" customFormat="true" ht="14.25" hidden="false" customHeight="true" outlineLevel="0" collapsed="false">
      <c r="A4" s="461" t="s">
        <v>3164</v>
      </c>
      <c r="B4" s="461"/>
      <c r="C4" s="461"/>
      <c r="D4" s="461"/>
      <c r="E4" s="461"/>
    </row>
    <row r="5" s="458" customFormat="true" ht="18.75" hidden="false" customHeight="true" outlineLevel="0" collapsed="false">
      <c r="A5" s="462" t="s">
        <v>220</v>
      </c>
      <c r="B5" s="462" t="s">
        <v>13</v>
      </c>
      <c r="C5" s="462" t="s">
        <v>3165</v>
      </c>
      <c r="D5" s="462" t="s">
        <v>3166</v>
      </c>
      <c r="E5" s="462" t="s">
        <v>3167</v>
      </c>
    </row>
    <row r="6" customFormat="false" ht="12.75" hidden="false" customHeight="true" outlineLevel="0" collapsed="false">
      <c r="A6" s="462" t="s">
        <v>3168</v>
      </c>
      <c r="B6" s="462"/>
      <c r="C6" s="462"/>
      <c r="D6" s="462"/>
      <c r="E6" s="462"/>
    </row>
    <row r="7" customFormat="false" ht="12.75" hidden="false" customHeight="true" outlineLevel="0" collapsed="false">
      <c r="A7" s="462" t="s">
        <v>12</v>
      </c>
      <c r="B7" s="462"/>
      <c r="C7" s="462"/>
      <c r="D7" s="462"/>
      <c r="E7" s="462"/>
    </row>
    <row r="8" customFormat="false" ht="12.75" hidden="false" customHeight="true" outlineLevel="0" collapsed="false">
      <c r="A8" s="462" t="s">
        <v>1415</v>
      </c>
      <c r="B8" s="462"/>
      <c r="C8" s="462"/>
      <c r="D8" s="462"/>
      <c r="E8" s="462"/>
    </row>
    <row r="9" customFormat="false" ht="12" hidden="false" customHeight="true" outlineLevel="0" collapsed="false">
      <c r="A9" s="463" t="s">
        <v>3018</v>
      </c>
      <c r="B9" s="464" t="n">
        <v>984073</v>
      </c>
      <c r="C9" s="465"/>
      <c r="D9" s="465"/>
      <c r="E9" s="466"/>
    </row>
    <row r="10" customFormat="false" ht="12.75" hidden="false" customHeight="true" outlineLevel="0" collapsed="false">
      <c r="A10" s="467" t="s">
        <v>54</v>
      </c>
      <c r="B10" s="468" t="n">
        <v>984073</v>
      </c>
      <c r="C10" s="469"/>
      <c r="D10" s="469"/>
      <c r="E10" s="470"/>
      <c r="H10" s="471" t="s">
        <v>3169</v>
      </c>
    </row>
    <row r="11" customFormat="false" ht="12.75" hidden="false" customHeight="true" outlineLevel="0" collapsed="false">
      <c r="A11" s="467" t="s">
        <v>358</v>
      </c>
      <c r="B11" s="468" t="n">
        <v>984073</v>
      </c>
      <c r="C11" s="469"/>
      <c r="D11" s="472" t="n">
        <v>50.5</v>
      </c>
      <c r="E11" s="470"/>
      <c r="H11" s="20" t="s">
        <v>407</v>
      </c>
      <c r="I11" s="20" t="s">
        <v>40</v>
      </c>
    </row>
    <row r="12" customFormat="false" ht="12.75" hidden="false" customHeight="true" outlineLevel="0" collapsed="false">
      <c r="A12" s="467" t="s">
        <v>3074</v>
      </c>
      <c r="B12" s="468" t="n">
        <v>3740.8</v>
      </c>
      <c r="C12" s="469"/>
      <c r="D12" s="472" t="n">
        <v>48</v>
      </c>
      <c r="E12" s="473"/>
      <c r="H12" s="0" t="n">
        <v>70</v>
      </c>
      <c r="I12" s="474" t="n">
        <f aca="false">D12</f>
        <v>48</v>
      </c>
    </row>
    <row r="13" customFormat="false" ht="24.75" hidden="false" customHeight="true" outlineLevel="0" collapsed="false">
      <c r="A13" s="467" t="s">
        <v>3073</v>
      </c>
      <c r="B13" s="468" t="n">
        <v>10827.2</v>
      </c>
      <c r="C13" s="469"/>
      <c r="D13" s="472" t="n">
        <v>48</v>
      </c>
      <c r="E13" s="473"/>
      <c r="H13" s="0" t="n">
        <v>69</v>
      </c>
      <c r="I13" s="474" t="n">
        <f aca="false">D13</f>
        <v>48</v>
      </c>
    </row>
    <row r="14" customFormat="false" ht="24.75" hidden="false" customHeight="true" outlineLevel="0" collapsed="false">
      <c r="A14" s="467" t="s">
        <v>3024</v>
      </c>
      <c r="B14" s="468" t="n">
        <v>10907.4</v>
      </c>
      <c r="C14" s="469"/>
      <c r="D14" s="472" t="n">
        <v>52</v>
      </c>
      <c r="E14" s="473"/>
      <c r="H14" s="0" t="n">
        <v>20</v>
      </c>
      <c r="I14" s="474" t="n">
        <f aca="false">D14</f>
        <v>52</v>
      </c>
    </row>
    <row r="15" customFormat="false" ht="24.75" hidden="false" customHeight="true" outlineLevel="0" collapsed="false">
      <c r="A15" s="467" t="s">
        <v>3066</v>
      </c>
      <c r="B15" s="468" t="n">
        <v>3866.5</v>
      </c>
      <c r="C15" s="469"/>
      <c r="D15" s="472" t="n">
        <v>57</v>
      </c>
      <c r="E15" s="473"/>
      <c r="H15" s="0" t="n">
        <v>62</v>
      </c>
      <c r="I15" s="474" t="n">
        <f aca="false">D15</f>
        <v>57</v>
      </c>
    </row>
    <row r="16" customFormat="false" ht="24.75" hidden="false" customHeight="true" outlineLevel="0" collapsed="false">
      <c r="A16" s="467" t="s">
        <v>3035</v>
      </c>
      <c r="B16" s="468" t="n">
        <v>11418</v>
      </c>
      <c r="C16" s="469"/>
      <c r="D16" s="472" t="n">
        <v>53</v>
      </c>
      <c r="E16" s="473"/>
      <c r="H16" s="0" t="n">
        <v>30</v>
      </c>
      <c r="I16" s="474" t="n">
        <f aca="false">D16</f>
        <v>53</v>
      </c>
    </row>
    <row r="17" customFormat="false" ht="24.75" hidden="false" customHeight="true" outlineLevel="0" collapsed="false">
      <c r="A17" s="467" t="s">
        <v>3084</v>
      </c>
      <c r="B17" s="468" t="n">
        <v>10700.7</v>
      </c>
      <c r="C17" s="469"/>
      <c r="D17" s="472" t="n">
        <v>49</v>
      </c>
      <c r="E17" s="473"/>
      <c r="H17" s="0" t="n">
        <v>80</v>
      </c>
      <c r="I17" s="474" t="n">
        <f aca="false">D17</f>
        <v>49</v>
      </c>
    </row>
    <row r="18" customFormat="false" ht="24.75" hidden="false" customHeight="true" outlineLevel="0" collapsed="false">
      <c r="A18" s="467" t="s">
        <v>3047</v>
      </c>
      <c r="B18" s="468" t="n">
        <v>7609.5</v>
      </c>
      <c r="C18" s="469"/>
      <c r="D18" s="472" t="n">
        <v>54</v>
      </c>
      <c r="E18" s="473"/>
      <c r="H18" s="0" t="n">
        <v>37</v>
      </c>
      <c r="I18" s="474" t="n">
        <f aca="false">D18</f>
        <v>54</v>
      </c>
    </row>
    <row r="19" customFormat="false" ht="24.75" hidden="false" customHeight="true" outlineLevel="0" collapsed="false">
      <c r="A19" s="467" t="s">
        <v>3082</v>
      </c>
      <c r="B19" s="468" t="n">
        <v>3720.7</v>
      </c>
      <c r="C19" s="469"/>
      <c r="D19" s="472" t="n">
        <v>48</v>
      </c>
      <c r="E19" s="473"/>
      <c r="H19" s="0" t="n">
        <v>78</v>
      </c>
      <c r="I19" s="474" t="n">
        <f aca="false">D19</f>
        <v>48</v>
      </c>
    </row>
    <row r="20" customFormat="false" ht="24.75" hidden="false" customHeight="true" outlineLevel="0" collapsed="false">
      <c r="A20" s="467" t="s">
        <v>3099</v>
      </c>
      <c r="B20" s="468" t="n">
        <v>10873.5</v>
      </c>
      <c r="C20" s="469"/>
      <c r="D20" s="472" t="n">
        <v>50</v>
      </c>
      <c r="E20" s="473"/>
      <c r="H20" s="0" t="n">
        <v>93</v>
      </c>
      <c r="I20" s="474" t="n">
        <f aca="false">D20</f>
        <v>50</v>
      </c>
    </row>
    <row r="21" customFormat="false" ht="24.75" hidden="false" customHeight="true" outlineLevel="0" collapsed="false">
      <c r="A21" s="467" t="s">
        <v>3091</v>
      </c>
      <c r="B21" s="468" t="n">
        <v>5653.2</v>
      </c>
      <c r="C21" s="469"/>
      <c r="D21" s="472" t="n">
        <v>49</v>
      </c>
      <c r="E21" s="473"/>
      <c r="H21" s="0" t="n">
        <v>87</v>
      </c>
      <c r="I21" s="474" t="n">
        <f aca="false">D21</f>
        <v>49</v>
      </c>
    </row>
    <row r="22" customFormat="false" ht="24.75" hidden="false" customHeight="true" outlineLevel="0" collapsed="false">
      <c r="A22" s="467" t="s">
        <v>3118</v>
      </c>
      <c r="B22" s="468" t="n">
        <v>11238.5</v>
      </c>
      <c r="C22" s="469"/>
      <c r="D22" s="472" t="n">
        <v>54</v>
      </c>
      <c r="E22" s="473"/>
      <c r="H22" s="0" t="n">
        <v>111</v>
      </c>
      <c r="I22" s="474" t="n">
        <f aca="false">D22</f>
        <v>54</v>
      </c>
    </row>
    <row r="23" customFormat="false" ht="24.75" hidden="false" customHeight="true" outlineLevel="0" collapsed="false">
      <c r="A23" s="467" t="s">
        <v>3026</v>
      </c>
      <c r="B23" s="468" t="n">
        <v>10674.3</v>
      </c>
      <c r="C23" s="469"/>
      <c r="D23" s="472" t="n">
        <v>51</v>
      </c>
      <c r="E23" s="473"/>
      <c r="H23" s="0" t="n">
        <v>22</v>
      </c>
      <c r="I23" s="474" t="n">
        <f aca="false">D23</f>
        <v>51</v>
      </c>
    </row>
    <row r="24" customFormat="false" ht="24.75" hidden="false" customHeight="true" outlineLevel="0" collapsed="false">
      <c r="A24" s="467" t="s">
        <v>3107</v>
      </c>
      <c r="B24" s="468" t="n">
        <v>5510.3</v>
      </c>
      <c r="C24" s="469"/>
      <c r="D24" s="472" t="n">
        <v>50</v>
      </c>
      <c r="E24" s="473"/>
      <c r="H24" s="0" t="n">
        <v>103</v>
      </c>
      <c r="I24" s="474" t="n">
        <f aca="false">D24</f>
        <v>50</v>
      </c>
    </row>
    <row r="25" customFormat="false" ht="24.75" hidden="false" customHeight="true" outlineLevel="0" collapsed="false">
      <c r="A25" s="467" t="s">
        <v>3059</v>
      </c>
      <c r="B25" s="468" t="n">
        <v>12303.2</v>
      </c>
      <c r="C25" s="469"/>
      <c r="D25" s="472" t="n">
        <v>49</v>
      </c>
      <c r="E25" s="473"/>
      <c r="H25" s="0" t="n">
        <v>55</v>
      </c>
      <c r="I25" s="474" t="n">
        <f aca="false">D25</f>
        <v>49</v>
      </c>
    </row>
    <row r="26" customFormat="false" ht="24.75" hidden="false" customHeight="true" outlineLevel="0" collapsed="false">
      <c r="A26" s="467" t="s">
        <v>3076</v>
      </c>
      <c r="B26" s="468" t="n">
        <v>10997.5</v>
      </c>
      <c r="C26" s="469"/>
      <c r="D26" s="472" t="n">
        <v>56</v>
      </c>
      <c r="E26" s="473"/>
      <c r="H26" s="0" t="n">
        <v>72</v>
      </c>
      <c r="I26" s="474" t="n">
        <f aca="false">D26</f>
        <v>56</v>
      </c>
    </row>
    <row r="27" customFormat="false" ht="24.75" hidden="false" customHeight="true" outlineLevel="0" collapsed="false">
      <c r="A27" s="467" t="s">
        <v>3077</v>
      </c>
      <c r="B27" s="468" t="n">
        <v>10714.5</v>
      </c>
      <c r="C27" s="469"/>
      <c r="D27" s="472" t="n">
        <v>50</v>
      </c>
      <c r="E27" s="473"/>
      <c r="H27" s="0" t="n">
        <v>73</v>
      </c>
      <c r="I27" s="474" t="n">
        <f aca="false">D27</f>
        <v>50</v>
      </c>
    </row>
    <row r="28" customFormat="false" ht="24.75" hidden="false" customHeight="true" outlineLevel="0" collapsed="false">
      <c r="A28" s="467" t="s">
        <v>3083</v>
      </c>
      <c r="B28" s="468" t="n">
        <v>10819.2</v>
      </c>
      <c r="C28" s="469"/>
      <c r="D28" s="472" t="n">
        <v>50</v>
      </c>
      <c r="E28" s="473"/>
      <c r="H28" s="0" t="n">
        <v>79</v>
      </c>
      <c r="I28" s="474" t="n">
        <f aca="false">D28</f>
        <v>50</v>
      </c>
    </row>
    <row r="29" customFormat="false" ht="24.75" hidden="false" customHeight="true" outlineLevel="0" collapsed="false">
      <c r="A29" s="467" t="s">
        <v>3056</v>
      </c>
      <c r="B29" s="468" t="n">
        <v>11002.8</v>
      </c>
      <c r="C29" s="469"/>
      <c r="D29" s="472" t="n">
        <v>50</v>
      </c>
      <c r="E29" s="473"/>
      <c r="H29" s="0" t="n">
        <v>39</v>
      </c>
      <c r="I29" s="474" t="n">
        <f aca="false">D29</f>
        <v>50</v>
      </c>
    </row>
    <row r="30" customFormat="false" ht="24.75" hidden="false" customHeight="true" outlineLevel="0" collapsed="false">
      <c r="A30" s="467" t="s">
        <v>3048</v>
      </c>
      <c r="B30" s="468" t="n">
        <v>3617.2</v>
      </c>
      <c r="C30" s="469"/>
      <c r="D30" s="472" t="n">
        <v>46</v>
      </c>
      <c r="E30" s="473"/>
      <c r="H30" s="0" t="n">
        <v>42</v>
      </c>
      <c r="I30" s="474" t="n">
        <f aca="false">D30</f>
        <v>46</v>
      </c>
    </row>
    <row r="31" customFormat="false" ht="24.75" hidden="false" customHeight="true" outlineLevel="0" collapsed="false">
      <c r="A31" s="467" t="s">
        <v>3090</v>
      </c>
      <c r="B31" s="468" t="n">
        <v>11517.3</v>
      </c>
      <c r="C31" s="469"/>
      <c r="D31" s="472" t="n">
        <v>48</v>
      </c>
      <c r="E31" s="473"/>
      <c r="H31" s="0" t="n">
        <v>86</v>
      </c>
      <c r="I31" s="474" t="n">
        <f aca="false">D31</f>
        <v>48</v>
      </c>
    </row>
    <row r="32" customFormat="false" ht="24.75" hidden="false" customHeight="true" outlineLevel="0" collapsed="false">
      <c r="A32" s="467" t="s">
        <v>3029</v>
      </c>
      <c r="B32" s="468" t="n">
        <v>10362</v>
      </c>
      <c r="C32" s="469"/>
      <c r="D32" s="472" t="n">
        <v>50</v>
      </c>
      <c r="E32" s="473"/>
      <c r="H32" s="0" t="n">
        <v>25</v>
      </c>
      <c r="I32" s="474" t="n">
        <f aca="false">D32</f>
        <v>50</v>
      </c>
    </row>
    <row r="33" customFormat="false" ht="24.75" hidden="false" customHeight="true" outlineLevel="0" collapsed="false">
      <c r="A33" s="467" t="s">
        <v>3021</v>
      </c>
      <c r="B33" s="468" t="n">
        <v>10648.5</v>
      </c>
      <c r="C33" s="469"/>
      <c r="D33" s="472" t="n">
        <v>54</v>
      </c>
      <c r="E33" s="473"/>
      <c r="H33" s="0" t="n">
        <v>17</v>
      </c>
      <c r="I33" s="474" t="n">
        <f aca="false">D33</f>
        <v>54</v>
      </c>
    </row>
    <row r="34" customFormat="false" ht="24.75" hidden="false" customHeight="true" outlineLevel="0" collapsed="false">
      <c r="A34" s="467" t="s">
        <v>3034</v>
      </c>
      <c r="B34" s="468" t="n">
        <v>10823.2</v>
      </c>
      <c r="C34" s="469"/>
      <c r="D34" s="472" t="n">
        <v>55</v>
      </c>
      <c r="E34" s="473"/>
      <c r="H34" s="0" t="n">
        <v>29</v>
      </c>
      <c r="I34" s="474" t="n">
        <f aca="false">D34</f>
        <v>55</v>
      </c>
    </row>
    <row r="35" customFormat="false" ht="24.75" hidden="false" customHeight="true" outlineLevel="0" collapsed="false">
      <c r="A35" s="467" t="s">
        <v>3085</v>
      </c>
      <c r="B35" s="468" t="n">
        <v>3609.3</v>
      </c>
      <c r="C35" s="469"/>
      <c r="D35" s="469" t="n">
        <v>47</v>
      </c>
      <c r="E35" s="473"/>
      <c r="H35" s="0" t="n">
        <v>81</v>
      </c>
      <c r="I35" s="474" t="n">
        <f aca="false">D35</f>
        <v>47</v>
      </c>
    </row>
    <row r="36" customFormat="false" ht="24.75" hidden="false" customHeight="true" outlineLevel="0" collapsed="false">
      <c r="A36" s="467" t="s">
        <v>3045</v>
      </c>
      <c r="B36" s="468" t="n">
        <v>3687.7</v>
      </c>
      <c r="C36" s="469"/>
      <c r="D36" s="472" t="n">
        <v>47</v>
      </c>
      <c r="E36" s="473"/>
      <c r="H36" s="0" t="n">
        <v>54</v>
      </c>
      <c r="I36" s="474" t="n">
        <f aca="false">D36</f>
        <v>47</v>
      </c>
    </row>
    <row r="37" customFormat="false" ht="24.75" hidden="false" customHeight="true" outlineLevel="0" collapsed="false">
      <c r="A37" s="467" t="s">
        <v>3106</v>
      </c>
      <c r="B37" s="468" t="n">
        <v>9935.8</v>
      </c>
      <c r="C37" s="469"/>
      <c r="D37" s="472" t="n">
        <v>50</v>
      </c>
      <c r="E37" s="473"/>
      <c r="H37" s="0" t="n">
        <v>102</v>
      </c>
      <c r="I37" s="474" t="n">
        <f aca="false">D37</f>
        <v>50</v>
      </c>
    </row>
    <row r="38" customFormat="false" ht="24.75" hidden="false" customHeight="true" outlineLevel="0" collapsed="false">
      <c r="A38" s="467" t="s">
        <v>3069</v>
      </c>
      <c r="B38" s="468" t="n">
        <v>1564.6</v>
      </c>
      <c r="C38" s="469"/>
      <c r="D38" s="472" t="n">
        <v>50</v>
      </c>
      <c r="E38" s="473"/>
      <c r="H38" s="0" t="n">
        <v>65</v>
      </c>
      <c r="I38" s="474" t="n">
        <f aca="false">D38</f>
        <v>50</v>
      </c>
    </row>
    <row r="39" customFormat="false" ht="24.75" hidden="false" customHeight="true" outlineLevel="0" collapsed="false">
      <c r="A39" s="467" t="s">
        <v>3088</v>
      </c>
      <c r="B39" s="468" t="n">
        <v>10661</v>
      </c>
      <c r="C39" s="469"/>
      <c r="D39" s="472" t="n">
        <v>47</v>
      </c>
      <c r="E39" s="473"/>
      <c r="H39" s="0" t="n">
        <v>84</v>
      </c>
      <c r="I39" s="474" t="n">
        <f aca="false">D39</f>
        <v>47</v>
      </c>
    </row>
    <row r="40" customFormat="false" ht="24.75" hidden="false" customHeight="true" outlineLevel="0" collapsed="false">
      <c r="A40" s="467" t="s">
        <v>3051</v>
      </c>
      <c r="B40" s="468" t="n">
        <v>10707.4</v>
      </c>
      <c r="C40" s="469"/>
      <c r="D40" s="472" t="n">
        <v>44</v>
      </c>
      <c r="E40" s="473"/>
      <c r="H40" s="0" t="n">
        <v>45</v>
      </c>
      <c r="I40" s="474" t="n">
        <f aca="false">D40</f>
        <v>44</v>
      </c>
    </row>
    <row r="41" customFormat="false" ht="24.75" hidden="false" customHeight="true" outlineLevel="0" collapsed="false">
      <c r="A41" s="467" t="s">
        <v>3067</v>
      </c>
      <c r="B41" s="468" t="n">
        <v>11589.8</v>
      </c>
      <c r="C41" s="469"/>
      <c r="D41" s="472" t="n">
        <v>50</v>
      </c>
      <c r="E41" s="473"/>
      <c r="H41" s="0" t="n">
        <v>63</v>
      </c>
      <c r="I41" s="474" t="n">
        <f aca="false">D41</f>
        <v>50</v>
      </c>
    </row>
    <row r="42" customFormat="false" ht="24.75" hidden="false" customHeight="true" outlineLevel="0" collapsed="false">
      <c r="A42" s="467" t="s">
        <v>3092</v>
      </c>
      <c r="B42" s="468" t="n">
        <v>5558.3</v>
      </c>
      <c r="C42" s="469"/>
      <c r="D42" s="472" t="n">
        <v>49</v>
      </c>
      <c r="E42" s="473"/>
      <c r="H42" s="0" t="n">
        <v>88</v>
      </c>
      <c r="I42" s="474" t="n">
        <f aca="false">D42</f>
        <v>49</v>
      </c>
    </row>
    <row r="43" customFormat="false" ht="24.75" hidden="false" customHeight="true" outlineLevel="0" collapsed="false">
      <c r="A43" s="467" t="s">
        <v>3028</v>
      </c>
      <c r="B43" s="468" t="n">
        <v>10815.1</v>
      </c>
      <c r="C43" s="469"/>
      <c r="D43" s="472" t="n">
        <v>55</v>
      </c>
      <c r="E43" s="473"/>
      <c r="H43" s="0" t="n">
        <v>24</v>
      </c>
      <c r="I43" s="474" t="n">
        <f aca="false">D43</f>
        <v>55</v>
      </c>
    </row>
    <row r="44" customFormat="false" ht="24.75" hidden="false" customHeight="true" outlineLevel="0" collapsed="false">
      <c r="A44" s="467" t="s">
        <v>3121</v>
      </c>
      <c r="B44" s="468" t="n">
        <v>3743.4</v>
      </c>
      <c r="C44" s="469"/>
      <c r="D44" s="472" t="n">
        <v>53</v>
      </c>
      <c r="E44" s="473"/>
      <c r="H44" s="0" t="n">
        <v>114</v>
      </c>
      <c r="I44" s="474" t="n">
        <f aca="false">D44</f>
        <v>53</v>
      </c>
    </row>
    <row r="45" customFormat="false" ht="24.75" hidden="false" customHeight="true" outlineLevel="0" collapsed="false">
      <c r="A45" s="467" t="s">
        <v>3023</v>
      </c>
      <c r="B45" s="468" t="n">
        <v>10645.1</v>
      </c>
      <c r="C45" s="469"/>
      <c r="D45" s="472" t="n">
        <v>53</v>
      </c>
      <c r="E45" s="473"/>
      <c r="H45" s="0" t="n">
        <v>19</v>
      </c>
      <c r="I45" s="474" t="n">
        <f aca="false">D45</f>
        <v>53</v>
      </c>
    </row>
    <row r="46" customFormat="false" ht="24.75" hidden="false" customHeight="true" outlineLevel="0" collapsed="false">
      <c r="A46" s="467" t="s">
        <v>3075</v>
      </c>
      <c r="B46" s="468" t="n">
        <v>10827.2</v>
      </c>
      <c r="C46" s="469"/>
      <c r="D46" s="472" t="n">
        <v>46</v>
      </c>
      <c r="E46" s="473"/>
      <c r="H46" s="0" t="n">
        <v>71</v>
      </c>
      <c r="I46" s="474" t="n">
        <f aca="false">D46</f>
        <v>46</v>
      </c>
    </row>
    <row r="47" customFormat="false" ht="24.75" hidden="false" customHeight="true" outlineLevel="0" collapsed="false">
      <c r="A47" s="467" t="s">
        <v>3068</v>
      </c>
      <c r="B47" s="468" t="n">
        <v>8403.6</v>
      </c>
      <c r="C47" s="469"/>
      <c r="D47" s="472" t="n">
        <v>55</v>
      </c>
      <c r="E47" s="473"/>
      <c r="H47" s="0" t="n">
        <v>64</v>
      </c>
      <c r="I47" s="474" t="n">
        <f aca="false">D47</f>
        <v>55</v>
      </c>
    </row>
    <row r="48" customFormat="false" ht="24.75" hidden="false" customHeight="true" outlineLevel="0" collapsed="false">
      <c r="A48" s="467" t="s">
        <v>3101</v>
      </c>
      <c r="B48" s="468" t="n">
        <v>10611.3</v>
      </c>
      <c r="C48" s="469"/>
      <c r="D48" s="472" t="n">
        <v>53</v>
      </c>
      <c r="E48" s="473"/>
      <c r="H48" s="0" t="n">
        <v>97</v>
      </c>
      <c r="I48" s="474" t="n">
        <f aca="false">D48</f>
        <v>53</v>
      </c>
    </row>
    <row r="49" customFormat="false" ht="24.75" hidden="false" customHeight="true" outlineLevel="0" collapsed="false">
      <c r="A49" s="467" t="s">
        <v>3095</v>
      </c>
      <c r="B49" s="468" t="n">
        <v>11362.7</v>
      </c>
      <c r="C49" s="469"/>
      <c r="D49" s="472" t="n">
        <v>49</v>
      </c>
      <c r="E49" s="473"/>
      <c r="H49" s="0" t="n">
        <v>91</v>
      </c>
      <c r="I49" s="474" t="n">
        <f aca="false">D49</f>
        <v>49</v>
      </c>
    </row>
    <row r="50" customFormat="false" ht="24.75" hidden="false" customHeight="true" outlineLevel="0" collapsed="false">
      <c r="A50" s="467" t="s">
        <v>3079</v>
      </c>
      <c r="B50" s="468" t="n">
        <v>3622.5</v>
      </c>
      <c r="C50" s="469"/>
      <c r="D50" s="472" t="n">
        <v>48</v>
      </c>
      <c r="E50" s="473"/>
      <c r="H50" s="0" t="n">
        <v>74</v>
      </c>
      <c r="I50" s="474" t="n">
        <f aca="false">D50</f>
        <v>48</v>
      </c>
    </row>
    <row r="51" customFormat="false" ht="24.75" hidden="false" customHeight="true" outlineLevel="0" collapsed="false">
      <c r="A51" s="467" t="s">
        <v>3062</v>
      </c>
      <c r="B51" s="468" t="n">
        <v>11112.8</v>
      </c>
      <c r="C51" s="469"/>
      <c r="D51" s="472" t="n">
        <v>48</v>
      </c>
      <c r="E51" s="473"/>
      <c r="H51" s="0" t="n">
        <v>57</v>
      </c>
      <c r="I51" s="474" t="n">
        <f aca="false">D51</f>
        <v>48</v>
      </c>
    </row>
    <row r="52" customFormat="false" ht="24.75" hidden="false" customHeight="true" outlineLevel="0" collapsed="false">
      <c r="A52" s="467" t="s">
        <v>3058</v>
      </c>
      <c r="B52" s="468" t="n">
        <v>3728.5</v>
      </c>
      <c r="C52" s="469"/>
      <c r="D52" s="472" t="n">
        <v>45</v>
      </c>
      <c r="E52" s="473"/>
      <c r="H52" s="0" t="n">
        <v>40</v>
      </c>
      <c r="I52" s="474" t="n">
        <f aca="false">D52</f>
        <v>45</v>
      </c>
    </row>
    <row r="53" customFormat="false" ht="24.75" hidden="false" customHeight="true" outlineLevel="0" collapsed="false">
      <c r="A53" s="467" t="s">
        <v>3017</v>
      </c>
      <c r="B53" s="468" t="n">
        <v>12936.4</v>
      </c>
      <c r="C53" s="469"/>
      <c r="D53" s="472" t="n">
        <v>49</v>
      </c>
      <c r="E53" s="473"/>
      <c r="H53" s="0" t="n">
        <v>14</v>
      </c>
      <c r="I53" s="474" t="n">
        <f aca="false">D53</f>
        <v>49</v>
      </c>
    </row>
    <row r="54" customFormat="false" ht="24.75" hidden="false" customHeight="true" outlineLevel="0" collapsed="false">
      <c r="A54" s="467" t="s">
        <v>3052</v>
      </c>
      <c r="B54" s="468" t="n">
        <v>3658.1</v>
      </c>
      <c r="C54" s="469"/>
      <c r="D54" s="472" t="n">
        <v>43</v>
      </c>
      <c r="E54" s="473"/>
      <c r="H54" s="0" t="n">
        <v>46</v>
      </c>
      <c r="I54" s="474" t="n">
        <f aca="false">D54</f>
        <v>43</v>
      </c>
    </row>
    <row r="55" customFormat="false" ht="24.75" hidden="false" customHeight="true" outlineLevel="0" collapsed="false">
      <c r="A55" s="467" t="s">
        <v>3038</v>
      </c>
      <c r="B55" s="468" t="n">
        <v>11739.8</v>
      </c>
      <c r="C55" s="469"/>
      <c r="D55" s="472" t="n">
        <v>53</v>
      </c>
      <c r="E55" s="473"/>
      <c r="H55" s="0" t="n">
        <v>33</v>
      </c>
      <c r="I55" s="474" t="n">
        <f aca="false">D55</f>
        <v>53</v>
      </c>
    </row>
    <row r="56" customFormat="false" ht="24.75" hidden="false" customHeight="true" outlineLevel="0" collapsed="false">
      <c r="A56" s="467" t="s">
        <v>3063</v>
      </c>
      <c r="B56" s="468" t="n">
        <v>11067.7</v>
      </c>
      <c r="C56" s="469"/>
      <c r="D56" s="472" t="n">
        <v>47</v>
      </c>
      <c r="E56" s="473"/>
      <c r="H56" s="0" t="n">
        <v>59</v>
      </c>
      <c r="I56" s="474" t="n">
        <f aca="false">D56</f>
        <v>47</v>
      </c>
    </row>
    <row r="57" customFormat="false" ht="24.75" hidden="false" customHeight="true" outlineLevel="0" collapsed="false">
      <c r="A57" s="467" t="s">
        <v>3027</v>
      </c>
      <c r="B57" s="468" t="n">
        <v>10779</v>
      </c>
      <c r="C57" s="469"/>
      <c r="D57" s="472" t="n">
        <v>53</v>
      </c>
      <c r="E57" s="473"/>
      <c r="H57" s="0" t="n">
        <v>23</v>
      </c>
      <c r="I57" s="474" t="n">
        <f aca="false">D57</f>
        <v>53</v>
      </c>
    </row>
    <row r="58" customFormat="false" ht="24.75" hidden="false" customHeight="true" outlineLevel="0" collapsed="false">
      <c r="A58" s="467" t="s">
        <v>3098</v>
      </c>
      <c r="B58" s="468" t="n">
        <v>11952.9</v>
      </c>
      <c r="C58" s="469"/>
      <c r="D58" s="472" t="n">
        <v>51</v>
      </c>
      <c r="E58" s="473"/>
      <c r="H58" s="0" t="n">
        <v>92</v>
      </c>
      <c r="I58" s="474" t="n">
        <f aca="false">D58</f>
        <v>51</v>
      </c>
    </row>
    <row r="59" customFormat="false" ht="24.75" hidden="false" customHeight="true" outlineLevel="0" collapsed="false">
      <c r="A59" s="467" t="s">
        <v>3032</v>
      </c>
      <c r="B59" s="468" t="n">
        <v>10516.7</v>
      </c>
      <c r="C59" s="469"/>
      <c r="D59" s="472" t="n">
        <v>55</v>
      </c>
      <c r="E59" s="473"/>
      <c r="H59" s="0" t="n">
        <v>28</v>
      </c>
      <c r="I59" s="474" t="n">
        <f aca="false">D59</f>
        <v>55</v>
      </c>
    </row>
    <row r="60" customFormat="false" ht="24.75" hidden="false" customHeight="true" outlineLevel="0" collapsed="false">
      <c r="A60" s="467" t="s">
        <v>3114</v>
      </c>
      <c r="B60" s="468" t="n">
        <v>3762</v>
      </c>
      <c r="C60" s="469"/>
      <c r="D60" s="472" t="n">
        <v>50</v>
      </c>
      <c r="E60" s="473"/>
      <c r="H60" s="0" t="n">
        <v>105</v>
      </c>
      <c r="I60" s="474" t="n">
        <f aca="false">D60</f>
        <v>50</v>
      </c>
    </row>
    <row r="61" customFormat="false" ht="24.75" hidden="false" customHeight="true" outlineLevel="0" collapsed="false">
      <c r="A61" s="467" t="s">
        <v>3049</v>
      </c>
      <c r="B61" s="468" t="n">
        <v>10835.8</v>
      </c>
      <c r="C61" s="469"/>
      <c r="D61" s="472" t="n">
        <v>47</v>
      </c>
      <c r="E61" s="473"/>
      <c r="H61" s="0" t="n">
        <v>43</v>
      </c>
      <c r="I61" s="474" t="n">
        <f aca="false">D61</f>
        <v>47</v>
      </c>
    </row>
    <row r="62" customFormat="false" ht="24.75" hidden="false" customHeight="true" outlineLevel="0" collapsed="false">
      <c r="A62" s="467" t="s">
        <v>3078</v>
      </c>
      <c r="B62" s="468" t="n">
        <v>11130.3</v>
      </c>
      <c r="C62" s="469"/>
      <c r="D62" s="472" t="n">
        <v>50</v>
      </c>
      <c r="E62" s="473"/>
      <c r="H62" s="0" t="n">
        <v>75</v>
      </c>
      <c r="I62" s="474" t="n">
        <f aca="false">D62</f>
        <v>50</v>
      </c>
    </row>
    <row r="63" customFormat="false" ht="24.75" hidden="false" customHeight="true" outlineLevel="0" collapsed="false">
      <c r="A63" s="467" t="s">
        <v>3080</v>
      </c>
      <c r="B63" s="468" t="n">
        <v>10827.2</v>
      </c>
      <c r="C63" s="469"/>
      <c r="D63" s="472" t="n">
        <v>53</v>
      </c>
      <c r="E63" s="473"/>
      <c r="H63" s="0" t="n">
        <v>76</v>
      </c>
      <c r="I63" s="474" t="n">
        <f aca="false">D63</f>
        <v>53</v>
      </c>
    </row>
    <row r="64" customFormat="false" ht="24.75" hidden="false" customHeight="true" outlineLevel="0" collapsed="false">
      <c r="A64" s="467" t="s">
        <v>3109</v>
      </c>
      <c r="B64" s="468" t="n">
        <v>11513.8</v>
      </c>
      <c r="C64" s="469"/>
      <c r="D64" s="472" t="n">
        <v>53</v>
      </c>
      <c r="E64" s="473"/>
      <c r="H64" s="0" t="n">
        <v>106</v>
      </c>
      <c r="I64" s="474" t="n">
        <f aca="false">D64</f>
        <v>53</v>
      </c>
    </row>
    <row r="65" customFormat="false" ht="24.75" hidden="false" customHeight="true" outlineLevel="0" collapsed="false">
      <c r="A65" s="467" t="s">
        <v>3055</v>
      </c>
      <c r="B65" s="468" t="n">
        <v>10472.9</v>
      </c>
      <c r="C65" s="469"/>
      <c r="D65" s="472" t="n">
        <v>50</v>
      </c>
      <c r="E65" s="473"/>
      <c r="H65" s="0" t="n">
        <v>49</v>
      </c>
      <c r="I65" s="474" t="n">
        <f aca="false">D65</f>
        <v>50</v>
      </c>
    </row>
    <row r="66" customFormat="false" ht="24.75" hidden="false" customHeight="true" outlineLevel="0" collapsed="false">
      <c r="A66" s="467" t="s">
        <v>3097</v>
      </c>
      <c r="B66" s="468" t="n">
        <v>10738.7</v>
      </c>
      <c r="C66" s="469"/>
      <c r="D66" s="472" t="n">
        <v>48</v>
      </c>
      <c r="E66" s="473"/>
      <c r="H66" s="0" t="n">
        <v>96</v>
      </c>
      <c r="I66" s="474" t="n">
        <f aca="false">D66</f>
        <v>48</v>
      </c>
    </row>
    <row r="67" customFormat="false" ht="24.75" hidden="false" customHeight="true" outlineLevel="0" collapsed="false">
      <c r="A67" s="467" t="s">
        <v>3065</v>
      </c>
      <c r="B67" s="468" t="n">
        <v>11034.6</v>
      </c>
      <c r="C67" s="469"/>
      <c r="D67" s="472" t="n">
        <v>56</v>
      </c>
      <c r="E67" s="473"/>
      <c r="H67" s="0" t="n">
        <v>61</v>
      </c>
      <c r="I67" s="474" t="n">
        <f aca="false">D67</f>
        <v>56</v>
      </c>
    </row>
    <row r="68" customFormat="false" ht="24.75" hidden="false" customHeight="true" outlineLevel="0" collapsed="false">
      <c r="A68" s="467" t="s">
        <v>3105</v>
      </c>
      <c r="B68" s="468" t="n">
        <v>9988.7</v>
      </c>
      <c r="C68" s="469"/>
      <c r="D68" s="472" t="n">
        <v>48</v>
      </c>
      <c r="E68" s="473"/>
      <c r="H68" s="0" t="n">
        <v>101</v>
      </c>
      <c r="I68" s="474" t="n">
        <f aca="false">D68</f>
        <v>48</v>
      </c>
    </row>
    <row r="69" customFormat="false" ht="24.75" hidden="false" customHeight="true" outlineLevel="0" collapsed="false">
      <c r="A69" s="467" t="s">
        <v>3127</v>
      </c>
      <c r="B69" s="468" t="n">
        <v>11688.7</v>
      </c>
      <c r="C69" s="469"/>
      <c r="D69" s="472" t="n">
        <v>54</v>
      </c>
      <c r="E69" s="473"/>
      <c r="H69" s="0" t="n">
        <v>121</v>
      </c>
      <c r="I69" s="474" t="n">
        <f aca="false">D69</f>
        <v>54</v>
      </c>
    </row>
    <row r="70" customFormat="false" ht="24.75" hidden="false" customHeight="true" outlineLevel="0" collapsed="false">
      <c r="A70" s="467" t="s">
        <v>3044</v>
      </c>
      <c r="B70" s="468" t="n">
        <v>10772.3</v>
      </c>
      <c r="C70" s="469"/>
      <c r="D70" s="472" t="n">
        <v>48</v>
      </c>
      <c r="E70" s="473"/>
      <c r="H70" s="0" t="n">
        <v>53</v>
      </c>
      <c r="I70" s="474" t="n">
        <f aca="false">D70</f>
        <v>48</v>
      </c>
    </row>
    <row r="71" customFormat="false" ht="24.75" hidden="false" customHeight="true" outlineLevel="0" collapsed="false">
      <c r="A71" s="467" t="s">
        <v>3060</v>
      </c>
      <c r="B71" s="468" t="n">
        <v>3883.8</v>
      </c>
      <c r="C71" s="469"/>
      <c r="D71" s="472" t="n">
        <v>45</v>
      </c>
      <c r="E71" s="473"/>
      <c r="H71" s="0" t="n">
        <v>58</v>
      </c>
      <c r="I71" s="474" t="n">
        <f aca="false">D71</f>
        <v>45</v>
      </c>
    </row>
    <row r="72" customFormat="false" ht="24.75" hidden="false" customHeight="true" outlineLevel="0" collapsed="false">
      <c r="A72" s="467" t="s">
        <v>3086</v>
      </c>
      <c r="B72" s="468" t="n">
        <v>10931.9</v>
      </c>
      <c r="C72" s="469"/>
      <c r="D72" s="472" t="n">
        <v>49</v>
      </c>
      <c r="E72" s="473"/>
      <c r="H72" s="0" t="n">
        <v>82</v>
      </c>
      <c r="I72" s="474" t="n">
        <f aca="false">D72</f>
        <v>49</v>
      </c>
    </row>
    <row r="73" customFormat="false" ht="24.75" hidden="false" customHeight="true" outlineLevel="0" collapsed="false">
      <c r="A73" s="467" t="s">
        <v>3115</v>
      </c>
      <c r="B73" s="468" t="n">
        <v>3456.1</v>
      </c>
      <c r="C73" s="469"/>
      <c r="D73" s="472" t="n">
        <v>54</v>
      </c>
      <c r="E73" s="473"/>
      <c r="H73" s="0" t="n">
        <v>109</v>
      </c>
      <c r="I73" s="474" t="n">
        <f aca="false">D73</f>
        <v>54</v>
      </c>
    </row>
    <row r="74" customFormat="false" ht="24.75" hidden="false" customHeight="true" outlineLevel="0" collapsed="false">
      <c r="A74" s="467" t="s">
        <v>3081</v>
      </c>
      <c r="B74" s="468" t="n">
        <v>11458.2</v>
      </c>
      <c r="C74" s="469"/>
      <c r="D74" s="472" t="n">
        <v>53</v>
      </c>
      <c r="E74" s="473"/>
      <c r="H74" s="0" t="n">
        <v>77</v>
      </c>
      <c r="I74" s="474" t="n">
        <f aca="false">D74</f>
        <v>53</v>
      </c>
    </row>
    <row r="75" customFormat="false" ht="24.75" hidden="false" customHeight="true" outlineLevel="0" collapsed="false">
      <c r="A75" s="467" t="s">
        <v>3087</v>
      </c>
      <c r="B75" s="468" t="n">
        <v>10790.6</v>
      </c>
      <c r="C75" s="469"/>
      <c r="D75" s="472" t="n">
        <v>48</v>
      </c>
      <c r="E75" s="473"/>
      <c r="H75" s="0" t="n">
        <v>83</v>
      </c>
      <c r="I75" s="474" t="n">
        <f aca="false">D75</f>
        <v>48</v>
      </c>
    </row>
    <row r="76" customFormat="false" ht="24.75" hidden="false" customHeight="true" outlineLevel="0" collapsed="false">
      <c r="A76" s="467" t="s">
        <v>3103</v>
      </c>
      <c r="B76" s="468" t="n">
        <v>10605.3</v>
      </c>
      <c r="C76" s="469"/>
      <c r="D76" s="472" t="n">
        <v>53</v>
      </c>
      <c r="E76" s="473"/>
      <c r="H76" s="0" t="n">
        <v>99</v>
      </c>
      <c r="I76" s="474" t="n">
        <f aca="false">D76</f>
        <v>53</v>
      </c>
    </row>
    <row r="77" customFormat="false" ht="24.75" hidden="false" customHeight="true" outlineLevel="0" collapsed="false">
      <c r="A77" s="467" t="s">
        <v>3102</v>
      </c>
      <c r="B77" s="468" t="n">
        <v>11113.9</v>
      </c>
      <c r="C77" s="469"/>
      <c r="D77" s="472" t="n">
        <v>52</v>
      </c>
      <c r="E77" s="473"/>
      <c r="H77" s="0" t="n">
        <v>98</v>
      </c>
      <c r="I77" s="474" t="n">
        <f aca="false">D77</f>
        <v>52</v>
      </c>
    </row>
    <row r="78" customFormat="false" ht="24.75" hidden="false" customHeight="true" outlineLevel="0" collapsed="false">
      <c r="A78" s="467" t="s">
        <v>3064</v>
      </c>
      <c r="B78" s="468" t="n">
        <v>11035.1</v>
      </c>
      <c r="C78" s="469"/>
      <c r="D78" s="472" t="n">
        <v>50</v>
      </c>
      <c r="E78" s="473"/>
      <c r="H78" s="0" t="n">
        <v>60</v>
      </c>
      <c r="I78" s="474" t="n">
        <f aca="false">D78</f>
        <v>50</v>
      </c>
    </row>
    <row r="79" customFormat="false" ht="24.75" hidden="false" customHeight="true" outlineLevel="0" collapsed="false">
      <c r="A79" s="467" t="s">
        <v>3119</v>
      </c>
      <c r="B79" s="468" t="n">
        <v>11566.9</v>
      </c>
      <c r="C79" s="469"/>
      <c r="D79" s="472" t="n">
        <v>51</v>
      </c>
      <c r="E79" s="473"/>
      <c r="H79" s="0" t="n">
        <v>112</v>
      </c>
      <c r="I79" s="474" t="n">
        <f aca="false">D79</f>
        <v>51</v>
      </c>
    </row>
    <row r="80" customFormat="false" ht="24.75" hidden="false" customHeight="true" outlineLevel="0" collapsed="false">
      <c r="A80" s="467" t="s">
        <v>3042</v>
      </c>
      <c r="B80" s="468" t="n">
        <v>12322.5</v>
      </c>
      <c r="C80" s="469"/>
      <c r="D80" s="472" t="n">
        <v>49</v>
      </c>
      <c r="E80" s="473"/>
      <c r="H80" s="0" t="n">
        <v>51</v>
      </c>
      <c r="I80" s="474" t="n">
        <f aca="false">D80</f>
        <v>49</v>
      </c>
    </row>
    <row r="81" customFormat="false" ht="24.75" hidden="false" customHeight="true" outlineLevel="0" collapsed="false">
      <c r="A81" s="467" t="s">
        <v>3030</v>
      </c>
      <c r="B81" s="468" t="n">
        <v>10489.2</v>
      </c>
      <c r="C81" s="469"/>
      <c r="D81" s="472" t="n">
        <v>53</v>
      </c>
      <c r="E81" s="473"/>
      <c r="H81" s="0" t="n">
        <v>26</v>
      </c>
      <c r="I81" s="474" t="n">
        <f aca="false">D81</f>
        <v>53</v>
      </c>
    </row>
    <row r="82" customFormat="false" ht="24.75" hidden="false" customHeight="true" outlineLevel="0" collapsed="false">
      <c r="A82" s="467" t="s">
        <v>3020</v>
      </c>
      <c r="B82" s="468" t="n">
        <v>10683.9</v>
      </c>
      <c r="C82" s="469"/>
      <c r="D82" s="472" t="n">
        <v>50</v>
      </c>
      <c r="E82" s="473"/>
      <c r="H82" s="0" t="n">
        <v>16</v>
      </c>
      <c r="I82" s="474" t="n">
        <f aca="false">D82</f>
        <v>50</v>
      </c>
    </row>
    <row r="83" customFormat="false" ht="24.75" hidden="false" customHeight="true" outlineLevel="0" collapsed="false">
      <c r="A83" s="467" t="s">
        <v>3025</v>
      </c>
      <c r="B83" s="468" t="n">
        <v>11060.7</v>
      </c>
      <c r="C83" s="469"/>
      <c r="D83" s="472" t="n">
        <v>52</v>
      </c>
      <c r="E83" s="473"/>
      <c r="H83" s="0" t="n">
        <v>21</v>
      </c>
      <c r="I83" s="474" t="n">
        <f aca="false">D83</f>
        <v>52</v>
      </c>
    </row>
    <row r="84" customFormat="false" ht="24.75" hidden="false" customHeight="true" outlineLevel="0" collapsed="false">
      <c r="A84" s="467" t="s">
        <v>3071</v>
      </c>
      <c r="B84" s="468" t="n">
        <v>10653</v>
      </c>
      <c r="C84" s="469"/>
      <c r="D84" s="472" t="n">
        <v>52</v>
      </c>
      <c r="E84" s="473"/>
      <c r="H84" s="0" t="n">
        <v>67</v>
      </c>
      <c r="I84" s="474" t="n">
        <f aca="false">D84</f>
        <v>52</v>
      </c>
    </row>
    <row r="85" customFormat="false" ht="24.75" hidden="false" customHeight="true" outlineLevel="0" collapsed="false">
      <c r="A85" s="467" t="s">
        <v>3089</v>
      </c>
      <c r="B85" s="468" t="n">
        <v>11124.7</v>
      </c>
      <c r="C85" s="469"/>
      <c r="D85" s="472" t="n">
        <v>48</v>
      </c>
      <c r="E85" s="473"/>
      <c r="H85" s="0" t="n">
        <v>85</v>
      </c>
      <c r="I85" s="474" t="n">
        <f aca="false">D85</f>
        <v>48</v>
      </c>
    </row>
    <row r="86" customFormat="false" ht="24.75" hidden="false" customHeight="true" outlineLevel="0" collapsed="false">
      <c r="A86" s="467" t="s">
        <v>3104</v>
      </c>
      <c r="B86" s="468" t="n">
        <v>10605.3</v>
      </c>
      <c r="C86" s="469"/>
      <c r="D86" s="472" t="n">
        <v>50</v>
      </c>
      <c r="E86" s="473"/>
      <c r="H86" s="0" t="n">
        <v>100</v>
      </c>
      <c r="I86" s="474" t="n">
        <f aca="false">D86</f>
        <v>50</v>
      </c>
    </row>
    <row r="87" customFormat="false" ht="24.75" hidden="false" customHeight="true" outlineLevel="0" collapsed="false">
      <c r="A87" s="467" t="s">
        <v>3037</v>
      </c>
      <c r="B87" s="468" t="n">
        <v>11467.1</v>
      </c>
      <c r="C87" s="469"/>
      <c r="D87" s="472" t="n">
        <v>52</v>
      </c>
      <c r="E87" s="473"/>
      <c r="H87" s="0" t="n">
        <v>32</v>
      </c>
      <c r="I87" s="474" t="n">
        <f aca="false">D87</f>
        <v>52</v>
      </c>
    </row>
    <row r="88" customFormat="false" ht="24.75" hidden="false" customHeight="true" outlineLevel="0" collapsed="false">
      <c r="A88" s="467" t="s">
        <v>3117</v>
      </c>
      <c r="B88" s="468" t="n">
        <v>12136.1</v>
      </c>
      <c r="C88" s="469"/>
      <c r="D88" s="472" t="n">
        <v>56</v>
      </c>
      <c r="E88" s="473"/>
      <c r="H88" s="0" t="n">
        <v>110</v>
      </c>
      <c r="I88" s="474" t="n">
        <f aca="false">D88</f>
        <v>56</v>
      </c>
    </row>
    <row r="89" customFormat="false" ht="24.75" hidden="false" customHeight="true" outlineLevel="0" collapsed="false">
      <c r="A89" s="467" t="s">
        <v>3031</v>
      </c>
      <c r="B89" s="468" t="n">
        <v>10939.2</v>
      </c>
      <c r="C89" s="469"/>
      <c r="D89" s="472" t="n">
        <v>54</v>
      </c>
      <c r="E89" s="473"/>
      <c r="H89" s="0" t="n">
        <v>27</v>
      </c>
      <c r="I89" s="474" t="n">
        <f aca="false">D89</f>
        <v>54</v>
      </c>
    </row>
    <row r="90" customFormat="false" ht="24.75" hidden="false" customHeight="true" outlineLevel="0" collapsed="false">
      <c r="A90" s="467" t="s">
        <v>3041</v>
      </c>
      <c r="B90" s="468" t="n">
        <v>4039.2</v>
      </c>
      <c r="C90" s="469"/>
      <c r="D90" s="472" t="n">
        <v>42</v>
      </c>
      <c r="E90" s="473"/>
      <c r="H90" s="0" t="n">
        <v>36</v>
      </c>
      <c r="I90" s="474" t="n">
        <f aca="false">D90</f>
        <v>42</v>
      </c>
    </row>
    <row r="91" customFormat="false" ht="24.75" hidden="false" customHeight="true" outlineLevel="0" collapsed="false">
      <c r="A91" s="467" t="s">
        <v>3111</v>
      </c>
      <c r="B91" s="468" t="n">
        <v>10978</v>
      </c>
      <c r="C91" s="469"/>
      <c r="D91" s="472" t="n">
        <v>53</v>
      </c>
      <c r="E91" s="473"/>
      <c r="H91" s="0" t="n">
        <v>107</v>
      </c>
      <c r="I91" s="474" t="n">
        <f aca="false">D91</f>
        <v>53</v>
      </c>
    </row>
    <row r="92" customFormat="false" ht="24.75" hidden="false" customHeight="true" outlineLevel="0" collapsed="false">
      <c r="A92" s="467" t="s">
        <v>3050</v>
      </c>
      <c r="B92" s="468" t="n">
        <v>10726</v>
      </c>
      <c r="C92" s="469"/>
      <c r="D92" s="472" t="n">
        <v>47</v>
      </c>
      <c r="E92" s="473"/>
      <c r="H92" s="0" t="n">
        <v>44</v>
      </c>
      <c r="I92" s="474" t="n">
        <f aca="false">D92</f>
        <v>47</v>
      </c>
    </row>
    <row r="93" customFormat="false" ht="24.75" hidden="false" customHeight="true" outlineLevel="0" collapsed="false">
      <c r="A93" s="467" t="s">
        <v>3022</v>
      </c>
      <c r="B93" s="468" t="n">
        <v>10996.3</v>
      </c>
      <c r="C93" s="469"/>
      <c r="D93" s="472" t="n">
        <v>53</v>
      </c>
      <c r="E93" s="473"/>
      <c r="H93" s="0" t="n">
        <v>18</v>
      </c>
      <c r="I93" s="474" t="n">
        <f aca="false">D93</f>
        <v>53</v>
      </c>
    </row>
    <row r="94" customFormat="false" ht="24.75" hidden="false" customHeight="true" outlineLevel="0" collapsed="false">
      <c r="A94" s="467" t="s">
        <v>3054</v>
      </c>
      <c r="B94" s="468" t="n">
        <v>11233.3</v>
      </c>
      <c r="C94" s="469"/>
      <c r="D94" s="472" t="n">
        <v>45</v>
      </c>
      <c r="E94" s="473"/>
      <c r="H94" s="0" t="n">
        <v>48</v>
      </c>
      <c r="I94" s="474" t="n">
        <f aca="false">D94</f>
        <v>45</v>
      </c>
    </row>
    <row r="95" customFormat="false" ht="24.75" hidden="false" customHeight="true" outlineLevel="0" collapsed="false">
      <c r="A95" s="467" t="s">
        <v>3113</v>
      </c>
      <c r="B95" s="468" t="n">
        <v>10756.3</v>
      </c>
      <c r="C95" s="469"/>
      <c r="D95" s="472" t="n">
        <v>56</v>
      </c>
      <c r="E95" s="473"/>
      <c r="H95" s="0" t="n">
        <v>108</v>
      </c>
      <c r="I95" s="474" t="n">
        <f aca="false">D95</f>
        <v>56</v>
      </c>
    </row>
    <row r="96" customFormat="false" ht="24.75" hidden="false" customHeight="true" outlineLevel="0" collapsed="false">
      <c r="A96" s="467" t="s">
        <v>3036</v>
      </c>
      <c r="B96" s="468" t="n">
        <v>11334.4</v>
      </c>
      <c r="C96" s="469"/>
      <c r="D96" s="472" t="n">
        <v>53</v>
      </c>
      <c r="E96" s="473"/>
      <c r="H96" s="0" t="n">
        <v>31</v>
      </c>
      <c r="I96" s="474" t="n">
        <f aca="false">D96</f>
        <v>53</v>
      </c>
    </row>
    <row r="97" customFormat="false" ht="16.5" hidden="false" customHeight="true" outlineLevel="0" collapsed="false">
      <c r="A97" s="467" t="s">
        <v>3061</v>
      </c>
      <c r="B97" s="468" t="n">
        <v>11457</v>
      </c>
      <c r="C97" s="469"/>
      <c r="D97" s="472" t="n">
        <v>47</v>
      </c>
      <c r="E97" s="473"/>
      <c r="H97" s="0" t="n">
        <v>56</v>
      </c>
      <c r="I97" s="474" t="n">
        <f aca="false">D97</f>
        <v>47</v>
      </c>
    </row>
    <row r="98" customFormat="false" ht="24.75" hidden="false" customHeight="true" outlineLevel="0" collapsed="false">
      <c r="A98" s="467" t="s">
        <v>3043</v>
      </c>
      <c r="B98" s="468" t="n">
        <v>10342.8</v>
      </c>
      <c r="C98" s="469"/>
      <c r="D98" s="472" t="n">
        <v>49</v>
      </c>
      <c r="E98" s="473"/>
      <c r="H98" s="0" t="n">
        <v>52</v>
      </c>
      <c r="I98" s="474" t="n">
        <f aca="false">D98</f>
        <v>49</v>
      </c>
    </row>
    <row r="99" customFormat="false" ht="24.75" hidden="false" customHeight="true" outlineLevel="0" collapsed="false">
      <c r="A99" s="467" t="s">
        <v>3070</v>
      </c>
      <c r="B99" s="468" t="n">
        <v>13321</v>
      </c>
      <c r="C99" s="469"/>
      <c r="D99" s="472" t="n">
        <v>50</v>
      </c>
      <c r="E99" s="473"/>
      <c r="H99" s="0" t="n">
        <v>66</v>
      </c>
      <c r="I99" s="474" t="n">
        <f aca="false">D99</f>
        <v>50</v>
      </c>
    </row>
    <row r="100" customFormat="false" ht="24.75" hidden="false" customHeight="true" outlineLevel="0" collapsed="false">
      <c r="A100" s="467" t="s">
        <v>3040</v>
      </c>
      <c r="B100" s="468" t="n">
        <v>11185.7</v>
      </c>
      <c r="C100" s="469"/>
      <c r="D100" s="472" t="n">
        <v>52</v>
      </c>
      <c r="E100" s="473"/>
      <c r="H100" s="0" t="n">
        <v>34</v>
      </c>
      <c r="I100" s="474" t="n">
        <f aca="false">D100</f>
        <v>52</v>
      </c>
    </row>
    <row r="101" customFormat="false" ht="24.75" hidden="false" customHeight="true" outlineLevel="0" collapsed="false">
      <c r="A101" s="467" t="s">
        <v>3057</v>
      </c>
      <c r="B101" s="468" t="n">
        <v>11244.8</v>
      </c>
      <c r="C101" s="469"/>
      <c r="D101" s="472" t="n">
        <v>53</v>
      </c>
      <c r="E101" s="473"/>
      <c r="H101" s="0" t="n">
        <v>38</v>
      </c>
      <c r="I101" s="474" t="n">
        <f aca="false">D101</f>
        <v>53</v>
      </c>
    </row>
    <row r="102" customFormat="false" ht="24.75" hidden="false" customHeight="true" outlineLevel="0" collapsed="false">
      <c r="A102" s="467" t="s">
        <v>3094</v>
      </c>
      <c r="B102" s="468" t="n">
        <v>10915.8</v>
      </c>
      <c r="C102" s="469"/>
      <c r="D102" s="472" t="n">
        <v>51</v>
      </c>
      <c r="E102" s="473"/>
      <c r="H102" s="0" t="n">
        <v>90</v>
      </c>
      <c r="I102" s="474" t="n">
        <f aca="false">D102</f>
        <v>51</v>
      </c>
    </row>
    <row r="103" customFormat="false" ht="24.75" hidden="false" customHeight="true" outlineLevel="0" collapsed="false">
      <c r="A103" s="467" t="s">
        <v>3093</v>
      </c>
      <c r="B103" s="468" t="n">
        <v>11547.7</v>
      </c>
      <c r="C103" s="469"/>
      <c r="D103" s="472" t="n">
        <v>50</v>
      </c>
      <c r="E103" s="473"/>
      <c r="H103" s="0" t="n">
        <v>89</v>
      </c>
      <c r="I103" s="474" t="n">
        <f aca="false">D103</f>
        <v>50</v>
      </c>
    </row>
    <row r="104" customFormat="false" ht="24.75" hidden="false" customHeight="true" outlineLevel="0" collapsed="false">
      <c r="A104" s="467" t="s">
        <v>3128</v>
      </c>
      <c r="B104" s="468" t="n">
        <v>11701.6</v>
      </c>
      <c r="C104" s="469"/>
      <c r="D104" s="472" t="n">
        <v>54</v>
      </c>
      <c r="E104" s="473"/>
      <c r="H104" s="0" t="n">
        <v>122</v>
      </c>
      <c r="I104" s="474" t="n">
        <f aca="false">D104</f>
        <v>54</v>
      </c>
    </row>
    <row r="105" customFormat="false" ht="24.75" hidden="false" customHeight="true" outlineLevel="0" collapsed="false">
      <c r="A105" s="467" t="s">
        <v>3046</v>
      </c>
      <c r="B105" s="468" t="n">
        <v>13308.8</v>
      </c>
      <c r="C105" s="469"/>
      <c r="D105" s="472" t="n">
        <v>50</v>
      </c>
      <c r="E105" s="473"/>
      <c r="H105" s="0" t="n">
        <v>41</v>
      </c>
      <c r="I105" s="474" t="n">
        <f aca="false">D105</f>
        <v>50</v>
      </c>
    </row>
    <row r="106" customFormat="false" ht="24.75" hidden="false" customHeight="true" outlineLevel="0" collapsed="false">
      <c r="A106" s="467" t="s">
        <v>3108</v>
      </c>
      <c r="B106" s="468" t="n">
        <v>10653</v>
      </c>
      <c r="C106" s="469"/>
      <c r="D106" s="472" t="n">
        <v>51</v>
      </c>
      <c r="E106" s="473"/>
      <c r="H106" s="0" t="n">
        <v>104</v>
      </c>
      <c r="I106" s="474" t="n">
        <f aca="false">D106</f>
        <v>51</v>
      </c>
    </row>
    <row r="107" customFormat="false" ht="24.75" hidden="false" customHeight="true" outlineLevel="0" collapsed="false">
      <c r="A107" s="467" t="s">
        <v>3072</v>
      </c>
      <c r="B107" s="468" t="n">
        <v>10585.7</v>
      </c>
      <c r="C107" s="469"/>
      <c r="D107" s="472" t="n">
        <v>55</v>
      </c>
      <c r="E107" s="473"/>
      <c r="H107" s="0" t="n">
        <v>68</v>
      </c>
      <c r="I107" s="474" t="n">
        <f aca="false">D107</f>
        <v>55</v>
      </c>
    </row>
    <row r="108" customFormat="false" ht="24.75" hidden="false" customHeight="true" outlineLevel="0" collapsed="false">
      <c r="A108" s="467" t="s">
        <v>3100</v>
      </c>
      <c r="B108" s="468" t="n">
        <v>11230.1</v>
      </c>
      <c r="C108" s="469"/>
      <c r="D108" s="472" t="n">
        <v>48</v>
      </c>
      <c r="E108" s="473"/>
      <c r="H108" s="0" t="n">
        <v>94</v>
      </c>
      <c r="I108" s="474" t="n">
        <f aca="false">D108</f>
        <v>48</v>
      </c>
    </row>
    <row r="109" customFormat="false" ht="24.75" hidden="false" customHeight="true" outlineLevel="0" collapsed="false">
      <c r="A109" s="467" t="s">
        <v>3096</v>
      </c>
      <c r="B109" s="468" t="n">
        <v>10863.9</v>
      </c>
      <c r="C109" s="469"/>
      <c r="D109" s="472" t="n">
        <v>51</v>
      </c>
      <c r="E109" s="473"/>
      <c r="H109" s="0" t="n">
        <v>95</v>
      </c>
      <c r="I109" s="474" t="n">
        <f aca="false">D109</f>
        <v>51</v>
      </c>
    </row>
    <row r="110" customFormat="false" ht="24.75" hidden="false" customHeight="true" outlineLevel="0" collapsed="false">
      <c r="A110" s="467" t="s">
        <v>3019</v>
      </c>
      <c r="B110" s="468" t="n">
        <v>9637.4</v>
      </c>
      <c r="C110" s="469"/>
      <c r="D110" s="472" t="n">
        <v>53</v>
      </c>
      <c r="E110" s="473"/>
      <c r="H110" s="0" t="n">
        <v>15</v>
      </c>
      <c r="I110" s="474" t="n">
        <f aca="false">D110</f>
        <v>53</v>
      </c>
    </row>
    <row r="111" customFormat="false" ht="24.75" hidden="false" customHeight="true" outlineLevel="0" collapsed="false">
      <c r="A111" s="467" t="s">
        <v>3039</v>
      </c>
      <c r="B111" s="468" t="n">
        <v>11781.8</v>
      </c>
      <c r="C111" s="469"/>
      <c r="D111" s="472" t="n">
        <v>53</v>
      </c>
      <c r="E111" s="473"/>
      <c r="H111" s="0" t="n">
        <v>35</v>
      </c>
      <c r="I111" s="474" t="n">
        <f aca="false">D111</f>
        <v>53</v>
      </c>
    </row>
    <row r="112" customFormat="false" ht="24.75" hidden="false" customHeight="true" outlineLevel="0" collapsed="false">
      <c r="A112" s="467" t="s">
        <v>3053</v>
      </c>
      <c r="B112" s="468" t="n">
        <v>10762.4</v>
      </c>
      <c r="C112" s="469"/>
      <c r="D112" s="472" t="n">
        <v>47</v>
      </c>
      <c r="E112" s="473"/>
      <c r="H112" s="0" t="n">
        <v>47</v>
      </c>
      <c r="I112" s="474" t="n">
        <f aca="false">D112</f>
        <v>47</v>
      </c>
    </row>
    <row r="113" customFormat="false" ht="14.25" hidden="false" customHeight="true" outlineLevel="0" collapsed="false">
      <c r="A113" s="475" t="s">
        <v>3170</v>
      </c>
      <c r="B113" s="464" t="n">
        <v>984073</v>
      </c>
      <c r="C113" s="465"/>
      <c r="D113" s="476"/>
      <c r="E113" s="477"/>
      <c r="I113" s="474" t="n">
        <f aca="false">D113</f>
        <v>0</v>
      </c>
    </row>
    <row r="114" customFormat="false" ht="24.75" hidden="false" customHeight="true" outlineLevel="0" collapsed="false">
      <c r="I114" s="474" t="n">
        <f aca="false">D114</f>
        <v>0</v>
      </c>
    </row>
    <row r="115" customFormat="false" ht="24.75" hidden="false" customHeight="true" outlineLevel="0" collapsed="false">
      <c r="I115" s="474" t="n">
        <f aca="false">D115</f>
        <v>0</v>
      </c>
    </row>
    <row r="116" customFormat="false" ht="24.75" hidden="false" customHeight="true" outlineLevel="0" collapsed="false">
      <c r="I116" s="474" t="n">
        <f aca="false">D116</f>
        <v>0</v>
      </c>
    </row>
    <row r="117" customFormat="false" ht="24.75" hidden="false" customHeight="true" outlineLevel="0" collapsed="false">
      <c r="I117" s="474" t="n">
        <f aca="false">D117</f>
        <v>0</v>
      </c>
    </row>
    <row r="118" customFormat="false" ht="24.75" hidden="false" customHeight="true" outlineLevel="0" collapsed="false">
      <c r="I118" s="474" t="n">
        <f aca="false">D118</f>
        <v>0</v>
      </c>
    </row>
    <row r="119" customFormat="false" ht="24.75" hidden="false" customHeight="true" outlineLevel="0" collapsed="false">
      <c r="I119" s="474" t="n">
        <f aca="false">D119</f>
        <v>0</v>
      </c>
    </row>
    <row r="120" customFormat="false" ht="24.75" hidden="false" customHeight="true" outlineLevel="0" collapsed="false">
      <c r="I120" s="474" t="n">
        <f aca="false">D120</f>
        <v>0</v>
      </c>
    </row>
    <row r="121" customFormat="false" ht="24.75" hidden="false" customHeight="true" outlineLevel="0" collapsed="false">
      <c r="I121" s="474" t="n">
        <f aca="false">D121</f>
        <v>0</v>
      </c>
    </row>
    <row r="122" customFormat="false" ht="24.75" hidden="false" customHeight="true" outlineLevel="0" collapsed="false">
      <c r="I122" s="474" t="n">
        <f aca="false">D122</f>
        <v>0</v>
      </c>
    </row>
    <row r="123" customFormat="false" ht="24.75" hidden="false" customHeight="true" outlineLevel="0" collapsed="false">
      <c r="I123" s="474" t="n">
        <f aca="false">D123</f>
        <v>0</v>
      </c>
    </row>
    <row r="124" customFormat="false" ht="24.75" hidden="false" customHeight="true" outlineLevel="0" collapsed="false">
      <c r="I124" s="474" t="n">
        <f aca="false">D124</f>
        <v>0</v>
      </c>
    </row>
    <row r="125" customFormat="false" ht="24.75" hidden="false" customHeight="true" outlineLevel="0" collapsed="false">
      <c r="I125" s="474" t="n">
        <f aca="false">D125</f>
        <v>0</v>
      </c>
    </row>
    <row r="126" customFormat="false" ht="24.75" hidden="false" customHeight="true" outlineLevel="0" collapsed="false">
      <c r="I126" s="474" t="n">
        <f aca="false">D126</f>
        <v>0</v>
      </c>
    </row>
    <row r="127" customFormat="false" ht="24.75" hidden="false" customHeight="true" outlineLevel="0" collapsed="false">
      <c r="I127" s="474" t="n">
        <f aca="false">D127</f>
        <v>0</v>
      </c>
    </row>
    <row r="128" customFormat="false" ht="24.75" hidden="false" customHeight="true" outlineLevel="0" collapsed="false">
      <c r="I128" s="474" t="n">
        <f aca="false">D128</f>
        <v>0</v>
      </c>
    </row>
    <row r="129" customFormat="false" ht="24.75" hidden="false" customHeight="true" outlineLevel="0" collapsed="false">
      <c r="I129" s="474" t="n">
        <f aca="false">D129</f>
        <v>0</v>
      </c>
    </row>
    <row r="130" customFormat="false" ht="24.75" hidden="false" customHeight="true" outlineLevel="0" collapsed="false">
      <c r="I130" s="474" t="n">
        <f aca="false">D130</f>
        <v>0</v>
      </c>
    </row>
    <row r="131" customFormat="false" ht="24.75" hidden="false" customHeight="true" outlineLevel="0" collapsed="false">
      <c r="I131" s="474" t="n">
        <f aca="false">D131</f>
        <v>0</v>
      </c>
    </row>
    <row r="132" customFormat="false" ht="24.75" hidden="false" customHeight="true" outlineLevel="0" collapsed="false">
      <c r="I132" s="474" t="n">
        <f aca="false">D132</f>
        <v>0</v>
      </c>
    </row>
    <row r="133" customFormat="false" ht="24.75" hidden="false" customHeight="true" outlineLevel="0" collapsed="false">
      <c r="I133" s="474" t="n">
        <f aca="false">D133</f>
        <v>0</v>
      </c>
    </row>
    <row r="134" customFormat="false" ht="24.75" hidden="false" customHeight="true" outlineLevel="0" collapsed="false">
      <c r="I134" s="474" t="n">
        <f aca="false">D134</f>
        <v>0</v>
      </c>
    </row>
    <row r="135" customFormat="false" ht="24.75" hidden="false" customHeight="true" outlineLevel="0" collapsed="false">
      <c r="I135" s="474" t="n">
        <f aca="false">D135</f>
        <v>0</v>
      </c>
    </row>
    <row r="136" customFormat="false" ht="24.75" hidden="false" customHeight="true" outlineLevel="0" collapsed="false">
      <c r="I136" s="474" t="n">
        <f aca="false">D136</f>
        <v>0</v>
      </c>
    </row>
    <row r="137" customFormat="false" ht="24.75" hidden="false" customHeight="true" outlineLevel="0" collapsed="false">
      <c r="I137" s="474" t="n">
        <f aca="false">D137</f>
        <v>0</v>
      </c>
    </row>
    <row r="138" customFormat="false" ht="24.75" hidden="false" customHeight="true" outlineLevel="0" collapsed="false">
      <c r="I138" s="474" t="n">
        <f aca="false">D138</f>
        <v>0</v>
      </c>
    </row>
    <row r="139" customFormat="false" ht="24.75" hidden="false" customHeight="true" outlineLevel="0" collapsed="false">
      <c r="I139" s="474" t="n">
        <f aca="false">D139</f>
        <v>0</v>
      </c>
    </row>
    <row r="140" customFormat="false" ht="24.75" hidden="false" customHeight="true" outlineLevel="0" collapsed="false">
      <c r="I140" s="474" t="n">
        <f aca="false">D140</f>
        <v>0</v>
      </c>
    </row>
    <row r="141" customFormat="false" ht="24.75" hidden="false" customHeight="true" outlineLevel="0" collapsed="false">
      <c r="I141" s="474" t="n">
        <f aca="false">D141</f>
        <v>0</v>
      </c>
    </row>
    <row r="142" customFormat="false" ht="24.75" hidden="false" customHeight="true" outlineLevel="0" collapsed="false">
      <c r="I142" s="474" t="n">
        <f aca="false">D142</f>
        <v>0</v>
      </c>
    </row>
    <row r="143" customFormat="false" ht="24.75" hidden="false" customHeight="true" outlineLevel="0" collapsed="false">
      <c r="I143" s="474" t="n">
        <f aca="false">D143</f>
        <v>0</v>
      </c>
    </row>
    <row r="144" customFormat="false" ht="24.75" hidden="false" customHeight="true" outlineLevel="0" collapsed="false">
      <c r="I144" s="474" t="n">
        <f aca="false">D144</f>
        <v>0</v>
      </c>
    </row>
    <row r="145" customFormat="false" ht="24.75" hidden="false" customHeight="true" outlineLevel="0" collapsed="false">
      <c r="I145" s="474" t="n">
        <f aca="false">D145</f>
        <v>0</v>
      </c>
    </row>
    <row r="146" customFormat="false" ht="24.75" hidden="false" customHeight="true" outlineLevel="0" collapsed="false">
      <c r="I146" s="474" t="n">
        <f aca="false">D146</f>
        <v>0</v>
      </c>
    </row>
    <row r="147" customFormat="false" ht="24.75" hidden="false" customHeight="true" outlineLevel="0" collapsed="false">
      <c r="I147" s="474" t="n">
        <f aca="false">D147</f>
        <v>0</v>
      </c>
    </row>
    <row r="148" customFormat="false" ht="24.75" hidden="false" customHeight="true" outlineLevel="0" collapsed="false">
      <c r="I148" s="474" t="n">
        <f aca="false">D148</f>
        <v>0</v>
      </c>
    </row>
    <row r="149" customFormat="false" ht="24.75" hidden="false" customHeight="true" outlineLevel="0" collapsed="false">
      <c r="I149" s="474" t="n">
        <f aca="false">D149</f>
        <v>0</v>
      </c>
    </row>
    <row r="150" customFormat="false" ht="24.75" hidden="false" customHeight="true" outlineLevel="0" collapsed="false">
      <c r="I150" s="474" t="n">
        <f aca="false">D150</f>
        <v>0</v>
      </c>
    </row>
    <row r="151" customFormat="false" ht="24.75" hidden="false" customHeight="true" outlineLevel="0" collapsed="false">
      <c r="I151" s="474" t="n">
        <f aca="false">D151</f>
        <v>0</v>
      </c>
    </row>
    <row r="152" customFormat="false" ht="24.75" hidden="false" customHeight="true" outlineLevel="0" collapsed="false">
      <c r="I152" s="474" t="n">
        <f aca="false">D152</f>
        <v>0</v>
      </c>
    </row>
    <row r="153" customFormat="false" ht="24.75" hidden="false" customHeight="true" outlineLevel="0" collapsed="false">
      <c r="I153" s="474" t="n">
        <f aca="false">D153</f>
        <v>0</v>
      </c>
    </row>
    <row r="154" customFormat="false" ht="24.75" hidden="false" customHeight="true" outlineLevel="0" collapsed="false">
      <c r="I154" s="474" t="n">
        <f aca="false">D154</f>
        <v>0</v>
      </c>
    </row>
    <row r="155" customFormat="false" ht="24.75" hidden="false" customHeight="true" outlineLevel="0" collapsed="false">
      <c r="I155" s="474" t="n">
        <f aca="false">D155</f>
        <v>0</v>
      </c>
    </row>
    <row r="156" customFormat="false" ht="24.75" hidden="false" customHeight="true" outlineLevel="0" collapsed="false">
      <c r="I156" s="474" t="n">
        <f aca="false">D156</f>
        <v>0</v>
      </c>
    </row>
    <row r="157" customFormat="false" ht="24.75" hidden="false" customHeight="true" outlineLevel="0" collapsed="false">
      <c r="I157" s="474" t="n">
        <f aca="false">D157</f>
        <v>0</v>
      </c>
    </row>
    <row r="158" customFormat="false" ht="24.75" hidden="false" customHeight="true" outlineLevel="0" collapsed="false">
      <c r="I158" s="474" t="n">
        <f aca="false">D158</f>
        <v>0</v>
      </c>
    </row>
    <row r="159" customFormat="false" ht="24.75" hidden="false" customHeight="true" outlineLevel="0" collapsed="false">
      <c r="I159" s="474" t="n">
        <f aca="false">D159</f>
        <v>0</v>
      </c>
    </row>
    <row r="160" customFormat="false" ht="24.75" hidden="false" customHeight="true" outlineLevel="0" collapsed="false">
      <c r="I160" s="474" t="n">
        <f aca="false">D160</f>
        <v>0</v>
      </c>
    </row>
    <row r="161" customFormat="false" ht="24.75" hidden="false" customHeight="true" outlineLevel="0" collapsed="false">
      <c r="I161" s="474" t="n">
        <f aca="false">D161</f>
        <v>0</v>
      </c>
    </row>
    <row r="162" customFormat="false" ht="24.75" hidden="false" customHeight="true" outlineLevel="0" collapsed="false">
      <c r="I162" s="474" t="n">
        <f aca="false">D162</f>
        <v>0</v>
      </c>
    </row>
    <row r="163" customFormat="false" ht="24.75" hidden="false" customHeight="true" outlineLevel="0" collapsed="false">
      <c r="I163" s="474" t="n">
        <f aca="false">D163</f>
        <v>0</v>
      </c>
    </row>
    <row r="164" customFormat="false" ht="24.75" hidden="false" customHeight="true" outlineLevel="0" collapsed="false">
      <c r="I164" s="474" t="n">
        <f aca="false">D164</f>
        <v>0</v>
      </c>
    </row>
    <row r="165" customFormat="false" ht="24.75" hidden="false" customHeight="true" outlineLevel="0" collapsed="false">
      <c r="I165" s="474" t="n">
        <f aca="false">D165</f>
        <v>0</v>
      </c>
    </row>
    <row r="166" customFormat="false" ht="24.75" hidden="false" customHeight="true" outlineLevel="0" collapsed="false">
      <c r="I166" s="474" t="n">
        <f aca="false">D166</f>
        <v>0</v>
      </c>
    </row>
    <row r="167" customFormat="false" ht="24.75" hidden="false" customHeight="true" outlineLevel="0" collapsed="false">
      <c r="I167" s="474" t="n">
        <f aca="false">D167</f>
        <v>0</v>
      </c>
    </row>
    <row r="168" customFormat="false" ht="12.75" hidden="false" customHeight="true" outlineLevel="0" collapsed="false">
      <c r="I168" s="474" t="n">
        <f aca="false">D168</f>
        <v>0</v>
      </c>
    </row>
    <row r="169" customFormat="false" ht="24.75" hidden="false" customHeight="true" outlineLevel="0" collapsed="false">
      <c r="I169" s="474" t="n">
        <f aca="false">D169</f>
        <v>0</v>
      </c>
    </row>
    <row r="170" customFormat="false" ht="24.75" hidden="false" customHeight="true" outlineLevel="0" collapsed="false">
      <c r="I170" s="474" t="n">
        <f aca="false">D170</f>
        <v>0</v>
      </c>
    </row>
    <row r="171" customFormat="false" ht="24.75" hidden="false" customHeight="true" outlineLevel="0" collapsed="false">
      <c r="I171" s="474" t="n">
        <f aca="false">D171</f>
        <v>0</v>
      </c>
    </row>
    <row r="172" customFormat="false" ht="24.75" hidden="false" customHeight="true" outlineLevel="0" collapsed="false">
      <c r="I172" s="474" t="n">
        <f aca="false">D172</f>
        <v>0</v>
      </c>
    </row>
    <row r="173" customFormat="false" ht="24.75" hidden="false" customHeight="true" outlineLevel="0" collapsed="false">
      <c r="I173" s="474" t="n">
        <f aca="false">D173</f>
        <v>0</v>
      </c>
    </row>
    <row r="174" customFormat="false" ht="24.75" hidden="false" customHeight="true" outlineLevel="0" collapsed="false">
      <c r="I174" s="474" t="n">
        <f aca="false">D174</f>
        <v>0</v>
      </c>
    </row>
    <row r="175" customFormat="false" ht="24.75" hidden="false" customHeight="true" outlineLevel="0" collapsed="false">
      <c r="I175" s="474" t="n">
        <f aca="false">D175</f>
        <v>0</v>
      </c>
    </row>
    <row r="176" customFormat="false" ht="24.75" hidden="false" customHeight="true" outlineLevel="0" collapsed="false">
      <c r="I176" s="474" t="n">
        <f aca="false">D176</f>
        <v>0</v>
      </c>
    </row>
    <row r="177" customFormat="false" ht="24.75" hidden="false" customHeight="true" outlineLevel="0" collapsed="false">
      <c r="I177" s="474" t="n">
        <f aca="false">D177</f>
        <v>0</v>
      </c>
    </row>
    <row r="178" customFormat="false" ht="24.75" hidden="false" customHeight="true" outlineLevel="0" collapsed="false">
      <c r="I178" s="474" t="n">
        <f aca="false">D178</f>
        <v>0</v>
      </c>
    </row>
    <row r="179" customFormat="false" ht="24.75" hidden="false" customHeight="true" outlineLevel="0" collapsed="false">
      <c r="I179" s="474" t="n">
        <f aca="false">D179</f>
        <v>0</v>
      </c>
    </row>
    <row r="180" customFormat="false" ht="24.75" hidden="false" customHeight="true" outlineLevel="0" collapsed="false">
      <c r="I180" s="474" t="n">
        <f aca="false">D180</f>
        <v>0</v>
      </c>
    </row>
    <row r="181" customFormat="false" ht="24.75" hidden="false" customHeight="true" outlineLevel="0" collapsed="false">
      <c r="I181" s="474" t="n">
        <f aca="false">D181</f>
        <v>0</v>
      </c>
    </row>
    <row r="182" customFormat="false" ht="24.75" hidden="false" customHeight="true" outlineLevel="0" collapsed="false">
      <c r="I182" s="474" t="n">
        <f aca="false">D182</f>
        <v>0</v>
      </c>
    </row>
    <row r="183" customFormat="false" ht="24.75" hidden="false" customHeight="true" outlineLevel="0" collapsed="false">
      <c r="I183" s="474" t="n">
        <f aca="false">D183</f>
        <v>0</v>
      </c>
    </row>
    <row r="184" customFormat="false" ht="24.75" hidden="false" customHeight="true" outlineLevel="0" collapsed="false">
      <c r="I184" s="474" t="n">
        <f aca="false">D184</f>
        <v>0</v>
      </c>
    </row>
    <row r="185" customFormat="false" ht="24.75" hidden="false" customHeight="true" outlineLevel="0" collapsed="false">
      <c r="I185" s="474" t="n">
        <f aca="false">D185</f>
        <v>0</v>
      </c>
    </row>
    <row r="186" customFormat="false" ht="24.75" hidden="false" customHeight="true" outlineLevel="0" collapsed="false">
      <c r="I186" s="474" t="n">
        <f aca="false">D186</f>
        <v>0</v>
      </c>
    </row>
    <row r="187" customFormat="false" ht="24.75" hidden="false" customHeight="true" outlineLevel="0" collapsed="false">
      <c r="I187" s="474" t="n">
        <f aca="false">D187</f>
        <v>0</v>
      </c>
    </row>
    <row r="188" customFormat="false" ht="24.75" hidden="false" customHeight="true" outlineLevel="0" collapsed="false">
      <c r="I188" s="474" t="n">
        <f aca="false">D188</f>
        <v>0</v>
      </c>
    </row>
    <row r="189" customFormat="false" ht="24.75" hidden="false" customHeight="true" outlineLevel="0" collapsed="false">
      <c r="I189" s="474" t="n">
        <f aca="false">D189</f>
        <v>0</v>
      </c>
    </row>
    <row r="190" customFormat="false" ht="24.75" hidden="false" customHeight="true" outlineLevel="0" collapsed="false">
      <c r="I190" s="474" t="n">
        <f aca="false">D190</f>
        <v>0</v>
      </c>
    </row>
    <row r="191" customFormat="false" ht="24.75" hidden="false" customHeight="true" outlineLevel="0" collapsed="false">
      <c r="I191" s="474" t="n">
        <f aca="false">D191</f>
        <v>0</v>
      </c>
    </row>
    <row r="192" customFormat="false" ht="24.75" hidden="false" customHeight="true" outlineLevel="0" collapsed="false">
      <c r="I192" s="474" t="n">
        <f aca="false">D192</f>
        <v>0</v>
      </c>
    </row>
    <row r="193" customFormat="false" ht="24.75" hidden="false" customHeight="true" outlineLevel="0" collapsed="false">
      <c r="I193" s="474" t="n">
        <f aca="false">D193</f>
        <v>0</v>
      </c>
    </row>
    <row r="194" customFormat="false" ht="24.75" hidden="false" customHeight="true" outlineLevel="0" collapsed="false">
      <c r="I194" s="474" t="n">
        <f aca="false">D194</f>
        <v>0</v>
      </c>
    </row>
    <row r="195" customFormat="false" ht="12.75" hidden="false" customHeight="true" outlineLevel="0" collapsed="false">
      <c r="I195" s="474" t="n">
        <f aca="false">D195</f>
        <v>0</v>
      </c>
    </row>
    <row r="196" customFormat="false" ht="12.75" hidden="false" customHeight="true" outlineLevel="0" collapsed="false">
      <c r="I196" s="474" t="n">
        <f aca="false">D196</f>
        <v>0</v>
      </c>
    </row>
    <row r="197" customFormat="false" ht="24.75" hidden="false" customHeight="true" outlineLevel="0" collapsed="false">
      <c r="I197" s="474" t="n">
        <f aca="false">D197</f>
        <v>0</v>
      </c>
    </row>
    <row r="198" customFormat="false" ht="24.75" hidden="false" customHeight="true" outlineLevel="0" collapsed="false">
      <c r="I198" s="474" t="n">
        <f aca="false">D198</f>
        <v>0</v>
      </c>
    </row>
    <row r="199" customFormat="false" ht="24.75" hidden="false" customHeight="true" outlineLevel="0" collapsed="false">
      <c r="I199" s="474" t="n">
        <f aca="false">D199</f>
        <v>0</v>
      </c>
    </row>
    <row r="200" customFormat="false" ht="24.75" hidden="false" customHeight="true" outlineLevel="0" collapsed="false">
      <c r="I200" s="474" t="n">
        <f aca="false">D200</f>
        <v>0</v>
      </c>
    </row>
    <row r="201" customFormat="false" ht="24.75" hidden="false" customHeight="true" outlineLevel="0" collapsed="false">
      <c r="I201" s="474" t="n">
        <f aca="false">D201</f>
        <v>0</v>
      </c>
    </row>
    <row r="202" customFormat="false" ht="24.75" hidden="false" customHeight="true" outlineLevel="0" collapsed="false">
      <c r="I202" s="474" t="n">
        <f aca="false">D202</f>
        <v>0</v>
      </c>
    </row>
    <row r="203" customFormat="false" ht="24.75" hidden="false" customHeight="true" outlineLevel="0" collapsed="false">
      <c r="I203" s="474" t="n">
        <f aca="false">D203</f>
        <v>0</v>
      </c>
    </row>
    <row r="204" customFormat="false" ht="24.75" hidden="false" customHeight="true" outlineLevel="0" collapsed="false">
      <c r="I204" s="474" t="n">
        <f aca="false">D204</f>
        <v>0</v>
      </c>
    </row>
    <row r="205" customFormat="false" ht="24.75" hidden="false" customHeight="true" outlineLevel="0" collapsed="false">
      <c r="I205" s="474" t="n">
        <f aca="false">D205</f>
        <v>0</v>
      </c>
    </row>
    <row r="206" customFormat="false" ht="24.75" hidden="false" customHeight="true" outlineLevel="0" collapsed="false">
      <c r="I206" s="474" t="n">
        <f aca="false">D206</f>
        <v>0</v>
      </c>
    </row>
    <row r="207" customFormat="false" ht="24.75" hidden="false" customHeight="true" outlineLevel="0" collapsed="false">
      <c r="I207" s="474" t="n">
        <f aca="false">D207</f>
        <v>0</v>
      </c>
    </row>
    <row r="208" customFormat="false" ht="24.75" hidden="false" customHeight="true" outlineLevel="0" collapsed="false">
      <c r="I208" s="474" t="n">
        <f aca="false">D208</f>
        <v>0</v>
      </c>
    </row>
    <row r="209" customFormat="false" ht="24.75" hidden="false" customHeight="true" outlineLevel="0" collapsed="false">
      <c r="I209" s="474" t="n">
        <f aca="false">D209</f>
        <v>0</v>
      </c>
    </row>
    <row r="210" customFormat="false" ht="24.75" hidden="false" customHeight="true" outlineLevel="0" collapsed="false">
      <c r="I210" s="474" t="n">
        <f aca="false">D210</f>
        <v>0</v>
      </c>
    </row>
    <row r="211" customFormat="false" ht="24.75" hidden="false" customHeight="true" outlineLevel="0" collapsed="false">
      <c r="I211" s="474" t="n">
        <f aca="false">D211</f>
        <v>0</v>
      </c>
    </row>
    <row r="212" customFormat="false" ht="24.75" hidden="false" customHeight="true" outlineLevel="0" collapsed="false">
      <c r="I212" s="474" t="n">
        <f aca="false">D212</f>
        <v>0</v>
      </c>
    </row>
    <row r="213" customFormat="false" ht="24.75" hidden="false" customHeight="true" outlineLevel="0" collapsed="false">
      <c r="I213" s="474" t="n">
        <f aca="false">D213</f>
        <v>0</v>
      </c>
    </row>
    <row r="214" customFormat="false" ht="24.75" hidden="false" customHeight="true" outlineLevel="0" collapsed="false">
      <c r="I214" s="474" t="n">
        <f aca="false">D214</f>
        <v>0</v>
      </c>
    </row>
    <row r="215" customFormat="false" ht="24.75" hidden="false" customHeight="true" outlineLevel="0" collapsed="false">
      <c r="I215" s="474" t="n">
        <f aca="false">D215</f>
        <v>0</v>
      </c>
    </row>
    <row r="216" customFormat="false" ht="24.75" hidden="false" customHeight="true" outlineLevel="0" collapsed="false">
      <c r="I216" s="474" t="n">
        <f aca="false">D216</f>
        <v>0</v>
      </c>
    </row>
    <row r="217" customFormat="false" ht="24.75" hidden="false" customHeight="true" outlineLevel="0" collapsed="false">
      <c r="I217" s="474" t="n">
        <f aca="false">D217</f>
        <v>0</v>
      </c>
    </row>
    <row r="218" customFormat="false" ht="24.75" hidden="false" customHeight="true" outlineLevel="0" collapsed="false">
      <c r="I218" s="474" t="n">
        <f aca="false">D218</f>
        <v>0</v>
      </c>
    </row>
    <row r="219" customFormat="false" ht="24.75" hidden="false" customHeight="true" outlineLevel="0" collapsed="false">
      <c r="I219" s="474" t="n">
        <f aca="false">D219</f>
        <v>0</v>
      </c>
    </row>
    <row r="220" customFormat="false" ht="24.75" hidden="false" customHeight="true" outlineLevel="0" collapsed="false">
      <c r="I220" s="474" t="n">
        <f aca="false">D220</f>
        <v>0</v>
      </c>
    </row>
    <row r="221" customFormat="false" ht="12.75" hidden="false" customHeight="true" outlineLevel="0" collapsed="false">
      <c r="I221" s="474" t="n">
        <f aca="false">D221</f>
        <v>0</v>
      </c>
    </row>
    <row r="222" customFormat="false" ht="12.75" hidden="false" customHeight="true" outlineLevel="0" collapsed="false">
      <c r="I222" s="474" t="n">
        <f aca="false">D222</f>
        <v>0</v>
      </c>
    </row>
    <row r="223" customFormat="false" ht="24.75" hidden="false" customHeight="true" outlineLevel="0" collapsed="false">
      <c r="I223" s="474" t="n">
        <f aca="false">D223</f>
        <v>0</v>
      </c>
    </row>
    <row r="224" customFormat="false" ht="24.75" hidden="false" customHeight="true" outlineLevel="0" collapsed="false">
      <c r="I224" s="474" t="n">
        <f aca="false">D224</f>
        <v>0</v>
      </c>
    </row>
    <row r="225" customFormat="false" ht="24.75" hidden="false" customHeight="true" outlineLevel="0" collapsed="false">
      <c r="I225" s="474" t="n">
        <f aca="false">D225</f>
        <v>0</v>
      </c>
    </row>
    <row r="226" customFormat="false" ht="12.75" hidden="false" customHeight="true" outlineLevel="0" collapsed="false">
      <c r="I226" s="474" t="n">
        <f aca="false">D226</f>
        <v>0</v>
      </c>
    </row>
    <row r="227" customFormat="false" ht="15" hidden="false" customHeight="false" outlineLevel="0" collapsed="false">
      <c r="I227" s="474" t="n">
        <f aca="false">D227</f>
        <v>0</v>
      </c>
    </row>
    <row r="228" customFormat="false" ht="15" hidden="false" customHeight="false" outlineLevel="0" collapsed="false">
      <c r="I228" s="474" t="n">
        <f aca="false">D228</f>
        <v>0</v>
      </c>
    </row>
    <row r="229" customFormat="false" ht="15" hidden="false" customHeight="false" outlineLevel="0" collapsed="false">
      <c r="I229" s="474" t="n">
        <f aca="false">D229</f>
        <v>0</v>
      </c>
    </row>
    <row r="230" customFormat="false" ht="15" hidden="false" customHeight="false" outlineLevel="0" collapsed="false">
      <c r="I230" s="474" t="n">
        <f aca="false">D230</f>
        <v>0</v>
      </c>
    </row>
    <row r="231" customFormat="false" ht="15" hidden="false" customHeight="false" outlineLevel="0" collapsed="false">
      <c r="I231" s="474" t="n">
        <f aca="false">D231</f>
        <v>0</v>
      </c>
    </row>
    <row r="232" customFormat="false" ht="15" hidden="false" customHeight="false" outlineLevel="0" collapsed="false">
      <c r="I232" s="474" t="n">
        <f aca="false">D232</f>
        <v>0</v>
      </c>
    </row>
    <row r="233" customFormat="false" ht="15" hidden="false" customHeight="false" outlineLevel="0" collapsed="false">
      <c r="I233" s="474" t="n">
        <f aca="false">D233</f>
        <v>0</v>
      </c>
    </row>
    <row r="234" customFormat="false" ht="15" hidden="false" customHeight="false" outlineLevel="0" collapsed="false">
      <c r="I234" s="474" t="n">
        <f aca="false">D234</f>
        <v>0</v>
      </c>
    </row>
    <row r="235" customFormat="false" ht="15" hidden="false" customHeight="false" outlineLevel="0" collapsed="false">
      <c r="I235" s="474" t="n">
        <f aca="false">D235</f>
        <v>0</v>
      </c>
    </row>
    <row r="236" customFormat="false" ht="15" hidden="false" customHeight="false" outlineLevel="0" collapsed="false">
      <c r="I236" s="474" t="n">
        <f aca="false">D236</f>
        <v>0</v>
      </c>
    </row>
    <row r="237" customFormat="false" ht="15" hidden="false" customHeight="false" outlineLevel="0" collapsed="false">
      <c r="I237" s="474" t="n">
        <f aca="false">D237</f>
        <v>0</v>
      </c>
    </row>
    <row r="238" customFormat="false" ht="15" hidden="false" customHeight="false" outlineLevel="0" collapsed="false">
      <c r="I238" s="474" t="n">
        <f aca="false">D238</f>
        <v>0</v>
      </c>
    </row>
    <row r="239" customFormat="false" ht="15" hidden="false" customHeight="false" outlineLevel="0" collapsed="false">
      <c r="I239" s="474" t="n">
        <f aca="false">D239</f>
        <v>0</v>
      </c>
    </row>
    <row r="240" customFormat="false" ht="15" hidden="false" customHeight="false" outlineLevel="0" collapsed="false">
      <c r="I240" s="474" t="n">
        <f aca="false">D240</f>
        <v>0</v>
      </c>
    </row>
    <row r="241" customFormat="false" ht="15" hidden="false" customHeight="false" outlineLevel="0" collapsed="false">
      <c r="I241" s="474" t="n">
        <f aca="false">D241</f>
        <v>0</v>
      </c>
    </row>
    <row r="242" customFormat="false" ht="15" hidden="false" customHeight="false" outlineLevel="0" collapsed="false">
      <c r="I242" s="474" t="n">
        <f aca="false">D242</f>
        <v>0</v>
      </c>
    </row>
    <row r="243" customFormat="false" ht="15" hidden="false" customHeight="false" outlineLevel="0" collapsed="false">
      <c r="I243" s="474" t="n">
        <f aca="false">D243</f>
        <v>0</v>
      </c>
    </row>
    <row r="244" customFormat="false" ht="15" hidden="false" customHeight="false" outlineLevel="0" collapsed="false">
      <c r="I244" s="474" t="n">
        <f aca="false">D244</f>
        <v>0</v>
      </c>
    </row>
    <row r="245" customFormat="false" ht="15" hidden="false" customHeight="false" outlineLevel="0" collapsed="false">
      <c r="I245" s="474" t="n">
        <f aca="false">D245</f>
        <v>0</v>
      </c>
    </row>
    <row r="246" customFormat="false" ht="15" hidden="false" customHeight="false" outlineLevel="0" collapsed="false">
      <c r="I246" s="474" t="n">
        <f aca="false">D246</f>
        <v>0</v>
      </c>
    </row>
    <row r="247" customFormat="false" ht="15" hidden="false" customHeight="false" outlineLevel="0" collapsed="false">
      <c r="I247" s="474" t="n">
        <f aca="false">D247</f>
        <v>0</v>
      </c>
    </row>
    <row r="248" customFormat="false" ht="15" hidden="false" customHeight="false" outlineLevel="0" collapsed="false">
      <c r="I248" s="474" t="n">
        <f aca="false">D248</f>
        <v>0</v>
      </c>
    </row>
    <row r="249" customFormat="false" ht="15" hidden="false" customHeight="false" outlineLevel="0" collapsed="false">
      <c r="I249" s="474" t="n">
        <f aca="false">D249</f>
        <v>0</v>
      </c>
    </row>
    <row r="250" customFormat="false" ht="15" hidden="false" customHeight="false" outlineLevel="0" collapsed="false">
      <c r="I250" s="474" t="n">
        <f aca="false">D250</f>
        <v>0</v>
      </c>
    </row>
    <row r="251" customFormat="false" ht="15" hidden="false" customHeight="false" outlineLevel="0" collapsed="false">
      <c r="I251" s="474" t="n">
        <f aca="false">D251</f>
        <v>0</v>
      </c>
    </row>
    <row r="252" customFormat="false" ht="15" hidden="false" customHeight="false" outlineLevel="0" collapsed="false">
      <c r="I252" s="474" t="n">
        <f aca="false">D252</f>
        <v>0</v>
      </c>
    </row>
    <row r="253" customFormat="false" ht="15" hidden="false" customHeight="false" outlineLevel="0" collapsed="false">
      <c r="I253" s="474" t="n">
        <f aca="false">D253</f>
        <v>0</v>
      </c>
    </row>
    <row r="254" customFormat="false" ht="15" hidden="false" customHeight="false" outlineLevel="0" collapsed="false">
      <c r="I254" s="474" t="n">
        <f aca="false">D254</f>
        <v>0</v>
      </c>
    </row>
    <row r="255" customFormat="false" ht="15" hidden="false" customHeight="false" outlineLevel="0" collapsed="false">
      <c r="I255" s="474" t="n">
        <f aca="false">D255</f>
        <v>0</v>
      </c>
    </row>
    <row r="256" customFormat="false" ht="15" hidden="false" customHeight="false" outlineLevel="0" collapsed="false">
      <c r="I256" s="474" t="n">
        <f aca="false">D256</f>
        <v>0</v>
      </c>
    </row>
    <row r="257" customFormat="false" ht="15" hidden="false" customHeight="false" outlineLevel="0" collapsed="false">
      <c r="I257" s="474" t="n">
        <f aca="false">D257</f>
        <v>0</v>
      </c>
    </row>
    <row r="258" customFormat="false" ht="15" hidden="false" customHeight="false" outlineLevel="0" collapsed="false">
      <c r="I258" s="474" t="n">
        <f aca="false">D258</f>
        <v>0</v>
      </c>
    </row>
    <row r="259" customFormat="false" ht="15" hidden="false" customHeight="false" outlineLevel="0" collapsed="false">
      <c r="I259" s="474" t="n">
        <f aca="false">D259</f>
        <v>0</v>
      </c>
    </row>
    <row r="260" customFormat="false" ht="15" hidden="false" customHeight="false" outlineLevel="0" collapsed="false">
      <c r="I260" s="474" t="n">
        <f aca="false">D260</f>
        <v>0</v>
      </c>
    </row>
    <row r="261" customFormat="false" ht="15" hidden="false" customHeight="false" outlineLevel="0" collapsed="false">
      <c r="I261" s="474" t="n">
        <f aca="false">D261</f>
        <v>0</v>
      </c>
    </row>
    <row r="262" customFormat="false" ht="15" hidden="false" customHeight="false" outlineLevel="0" collapsed="false">
      <c r="I262" s="474" t="n">
        <f aca="false">D262</f>
        <v>0</v>
      </c>
    </row>
    <row r="263" customFormat="false" ht="15" hidden="false" customHeight="false" outlineLevel="0" collapsed="false">
      <c r="I263" s="474" t="n">
        <f aca="false">D263</f>
        <v>0</v>
      </c>
    </row>
    <row r="264" customFormat="false" ht="15" hidden="false" customHeight="false" outlineLevel="0" collapsed="false">
      <c r="I264" s="474" t="n">
        <f aca="false">D264</f>
        <v>0</v>
      </c>
    </row>
    <row r="265" customFormat="false" ht="15" hidden="false" customHeight="false" outlineLevel="0" collapsed="false">
      <c r="I265" s="474" t="n">
        <f aca="false">D265</f>
        <v>0</v>
      </c>
    </row>
    <row r="266" customFormat="false" ht="15" hidden="false" customHeight="false" outlineLevel="0" collapsed="false">
      <c r="I266" s="474" t="n">
        <f aca="false">D266</f>
        <v>0</v>
      </c>
    </row>
    <row r="267" customFormat="false" ht="15" hidden="false" customHeight="false" outlineLevel="0" collapsed="false">
      <c r="I267" s="474" t="n">
        <f aca="false">D267</f>
        <v>0</v>
      </c>
    </row>
    <row r="268" customFormat="false" ht="15" hidden="false" customHeight="false" outlineLevel="0" collapsed="false">
      <c r="I268" s="474" t="n">
        <f aca="false">D268</f>
        <v>0</v>
      </c>
    </row>
    <row r="269" customFormat="false" ht="15" hidden="false" customHeight="false" outlineLevel="0" collapsed="false">
      <c r="I269" s="474" t="n">
        <f aca="false">D269</f>
        <v>0</v>
      </c>
    </row>
    <row r="270" customFormat="false" ht="15" hidden="false" customHeight="false" outlineLevel="0" collapsed="false">
      <c r="I270" s="474" t="n">
        <f aca="false">D270</f>
        <v>0</v>
      </c>
    </row>
    <row r="271" customFormat="false" ht="15" hidden="false" customHeight="false" outlineLevel="0" collapsed="false">
      <c r="I271" s="474" t="n">
        <f aca="false">D271</f>
        <v>0</v>
      </c>
    </row>
    <row r="272" customFormat="false" ht="15" hidden="false" customHeight="false" outlineLevel="0" collapsed="false">
      <c r="I272" s="474" t="n">
        <f aca="false">D272</f>
        <v>0</v>
      </c>
    </row>
    <row r="273" customFormat="false" ht="15" hidden="false" customHeight="false" outlineLevel="0" collapsed="false">
      <c r="I273" s="474" t="n">
        <f aca="false">D273</f>
        <v>0</v>
      </c>
    </row>
    <row r="274" customFormat="false" ht="15" hidden="false" customHeight="false" outlineLevel="0" collapsed="false">
      <c r="I274" s="474" t="n">
        <f aca="false">D274</f>
        <v>0</v>
      </c>
    </row>
    <row r="275" customFormat="false" ht="15" hidden="false" customHeight="false" outlineLevel="0" collapsed="false">
      <c r="I275" s="474" t="n">
        <f aca="false">D275</f>
        <v>0</v>
      </c>
    </row>
    <row r="276" customFormat="false" ht="15" hidden="false" customHeight="false" outlineLevel="0" collapsed="false">
      <c r="I276" s="474" t="n">
        <f aca="false">D276</f>
        <v>0</v>
      </c>
    </row>
    <row r="277" customFormat="false" ht="15" hidden="false" customHeight="false" outlineLevel="0" collapsed="false">
      <c r="I277" s="474" t="n">
        <f aca="false">D277</f>
        <v>0</v>
      </c>
    </row>
    <row r="278" customFormat="false" ht="15" hidden="false" customHeight="false" outlineLevel="0" collapsed="false">
      <c r="I278" s="474" t="n">
        <f aca="false">D278</f>
        <v>0</v>
      </c>
    </row>
    <row r="279" customFormat="false" ht="15" hidden="false" customHeight="false" outlineLevel="0" collapsed="false">
      <c r="I279" s="474" t="n">
        <f aca="false">D279</f>
        <v>0</v>
      </c>
    </row>
    <row r="280" customFormat="false" ht="15" hidden="false" customHeight="false" outlineLevel="0" collapsed="false">
      <c r="I280" s="474" t="n">
        <f aca="false">D280</f>
        <v>0</v>
      </c>
    </row>
    <row r="281" customFormat="false" ht="15" hidden="false" customHeight="false" outlineLevel="0" collapsed="false">
      <c r="I281" s="474" t="n">
        <f aca="false">D281</f>
        <v>0</v>
      </c>
    </row>
    <row r="282" customFormat="false" ht="15" hidden="false" customHeight="false" outlineLevel="0" collapsed="false">
      <c r="I282" s="474" t="n">
        <f aca="false">D282</f>
        <v>0</v>
      </c>
    </row>
    <row r="283" customFormat="false" ht="15" hidden="false" customHeight="false" outlineLevel="0" collapsed="false">
      <c r="I283" s="474" t="n">
        <f aca="false">D283</f>
        <v>0</v>
      </c>
    </row>
    <row r="284" customFormat="false" ht="15" hidden="false" customHeight="false" outlineLevel="0" collapsed="false">
      <c r="I284" s="474" t="n">
        <f aca="false">D284</f>
        <v>0</v>
      </c>
    </row>
    <row r="285" customFormat="false" ht="15" hidden="false" customHeight="false" outlineLevel="0" collapsed="false">
      <c r="I285" s="474" t="n">
        <f aca="false">D285</f>
        <v>0</v>
      </c>
    </row>
    <row r="286" customFormat="false" ht="15" hidden="false" customHeight="false" outlineLevel="0" collapsed="false">
      <c r="I286" s="474" t="n">
        <f aca="false">D286</f>
        <v>0</v>
      </c>
    </row>
    <row r="287" customFormat="false" ht="15" hidden="false" customHeight="false" outlineLevel="0" collapsed="false">
      <c r="I287" s="474" t="n">
        <f aca="false">D287</f>
        <v>0</v>
      </c>
    </row>
    <row r="288" customFormat="false" ht="15" hidden="false" customHeight="false" outlineLevel="0" collapsed="false">
      <c r="I288" s="474" t="n">
        <f aca="false">D288</f>
        <v>0</v>
      </c>
    </row>
    <row r="289" customFormat="false" ht="15" hidden="false" customHeight="false" outlineLevel="0" collapsed="false">
      <c r="I289" s="474" t="n">
        <f aca="false">D289</f>
        <v>0</v>
      </c>
    </row>
    <row r="290" customFormat="false" ht="15" hidden="false" customHeight="false" outlineLevel="0" collapsed="false">
      <c r="I290" s="474" t="n">
        <f aca="false">D290</f>
        <v>0</v>
      </c>
    </row>
    <row r="291" customFormat="false" ht="15" hidden="false" customHeight="false" outlineLevel="0" collapsed="false">
      <c r="I291" s="474" t="n">
        <f aca="false">D291</f>
        <v>0</v>
      </c>
    </row>
    <row r="292" customFormat="false" ht="15" hidden="false" customHeight="false" outlineLevel="0" collapsed="false">
      <c r="I292" s="474" t="n">
        <f aca="false">D292</f>
        <v>0</v>
      </c>
    </row>
    <row r="293" customFormat="false" ht="15" hidden="false" customHeight="false" outlineLevel="0" collapsed="false">
      <c r="I293" s="474" t="n">
        <f aca="false">D293</f>
        <v>0</v>
      </c>
    </row>
    <row r="294" customFormat="false" ht="15" hidden="false" customHeight="false" outlineLevel="0" collapsed="false">
      <c r="I294" s="474" t="n">
        <f aca="false">D294</f>
        <v>0</v>
      </c>
    </row>
    <row r="295" customFormat="false" ht="15" hidden="false" customHeight="false" outlineLevel="0" collapsed="false">
      <c r="I295" s="474" t="n">
        <f aca="false">D295</f>
        <v>0</v>
      </c>
    </row>
    <row r="296" customFormat="false" ht="15" hidden="false" customHeight="false" outlineLevel="0" collapsed="false">
      <c r="I296" s="474" t="n">
        <f aca="false">D296</f>
        <v>0</v>
      </c>
    </row>
    <row r="297" customFormat="false" ht="15" hidden="false" customHeight="false" outlineLevel="0" collapsed="false">
      <c r="I297" s="474" t="n">
        <f aca="false">D297</f>
        <v>0</v>
      </c>
    </row>
    <row r="298" customFormat="false" ht="15" hidden="false" customHeight="false" outlineLevel="0" collapsed="false">
      <c r="I298" s="474" t="n">
        <f aca="false">D298</f>
        <v>0</v>
      </c>
    </row>
    <row r="299" customFormat="false" ht="15" hidden="false" customHeight="false" outlineLevel="0" collapsed="false">
      <c r="I299" s="474" t="n">
        <f aca="false">D299</f>
        <v>0</v>
      </c>
    </row>
    <row r="300" customFormat="false" ht="15" hidden="false" customHeight="false" outlineLevel="0" collapsed="false">
      <c r="I300" s="474" t="n">
        <f aca="false">D300</f>
        <v>0</v>
      </c>
    </row>
    <row r="301" customFormat="false" ht="15" hidden="false" customHeight="false" outlineLevel="0" collapsed="false">
      <c r="I301" s="474" t="n">
        <f aca="false">D301</f>
        <v>0</v>
      </c>
    </row>
    <row r="302" customFormat="false" ht="15" hidden="false" customHeight="false" outlineLevel="0" collapsed="false">
      <c r="I302" s="474" t="n">
        <f aca="false">D302</f>
        <v>0</v>
      </c>
    </row>
    <row r="303" customFormat="false" ht="15" hidden="false" customHeight="false" outlineLevel="0" collapsed="false">
      <c r="I303" s="474" t="n">
        <f aca="false">D303</f>
        <v>0</v>
      </c>
    </row>
    <row r="304" customFormat="false" ht="15" hidden="false" customHeight="false" outlineLevel="0" collapsed="false">
      <c r="I304" s="474" t="n">
        <f aca="false">D304</f>
        <v>0</v>
      </c>
    </row>
    <row r="305" customFormat="false" ht="15" hidden="false" customHeight="false" outlineLevel="0" collapsed="false">
      <c r="I305" s="474" t="n">
        <f aca="false">D305</f>
        <v>0</v>
      </c>
    </row>
    <row r="306" customFormat="false" ht="15" hidden="false" customHeight="false" outlineLevel="0" collapsed="false">
      <c r="I306" s="474" t="n">
        <f aca="false">D306</f>
        <v>0</v>
      </c>
    </row>
    <row r="307" customFormat="false" ht="15" hidden="false" customHeight="false" outlineLevel="0" collapsed="false">
      <c r="I307" s="474" t="n">
        <f aca="false">D307</f>
        <v>0</v>
      </c>
    </row>
    <row r="308" customFormat="false" ht="15" hidden="false" customHeight="false" outlineLevel="0" collapsed="false">
      <c r="I308" s="474" t="n">
        <f aca="false">D308</f>
        <v>0</v>
      </c>
    </row>
    <row r="309" customFormat="false" ht="15" hidden="false" customHeight="false" outlineLevel="0" collapsed="false">
      <c r="I309" s="474" t="n">
        <f aca="false">D309</f>
        <v>0</v>
      </c>
    </row>
    <row r="310" customFormat="false" ht="15" hidden="false" customHeight="false" outlineLevel="0" collapsed="false">
      <c r="I310" s="474" t="n">
        <f aca="false">D310</f>
        <v>0</v>
      </c>
    </row>
    <row r="311" customFormat="false" ht="15" hidden="false" customHeight="false" outlineLevel="0" collapsed="false">
      <c r="I311" s="474" t="n">
        <f aca="false">D311</f>
        <v>0</v>
      </c>
    </row>
    <row r="312" customFormat="false" ht="15" hidden="false" customHeight="false" outlineLevel="0" collapsed="false">
      <c r="I312" s="474" t="n">
        <f aca="false">D312</f>
        <v>0</v>
      </c>
    </row>
    <row r="313" customFormat="false" ht="15" hidden="false" customHeight="false" outlineLevel="0" collapsed="false">
      <c r="I313" s="474" t="n">
        <f aca="false">D313</f>
        <v>0</v>
      </c>
    </row>
    <row r="314" customFormat="false" ht="15" hidden="false" customHeight="false" outlineLevel="0" collapsed="false">
      <c r="I314" s="474" t="n">
        <f aca="false">D314</f>
        <v>0</v>
      </c>
    </row>
    <row r="315" customFormat="false" ht="15" hidden="false" customHeight="false" outlineLevel="0" collapsed="false">
      <c r="I315" s="474" t="n">
        <f aca="false">D315</f>
        <v>0</v>
      </c>
    </row>
    <row r="316" customFormat="false" ht="15" hidden="false" customHeight="false" outlineLevel="0" collapsed="false">
      <c r="I316" s="474" t="n">
        <f aca="false">D316</f>
        <v>0</v>
      </c>
    </row>
    <row r="317" customFormat="false" ht="15" hidden="false" customHeight="false" outlineLevel="0" collapsed="false">
      <c r="I317" s="474" t="n">
        <f aca="false">D317</f>
        <v>0</v>
      </c>
    </row>
    <row r="318" customFormat="false" ht="15" hidden="false" customHeight="false" outlineLevel="0" collapsed="false">
      <c r="I318" s="474" t="n">
        <f aca="false">D318</f>
        <v>0</v>
      </c>
    </row>
    <row r="319" customFormat="false" ht="15" hidden="false" customHeight="false" outlineLevel="0" collapsed="false">
      <c r="I319" s="474" t="n">
        <f aca="false">D319</f>
        <v>0</v>
      </c>
    </row>
    <row r="320" customFormat="false" ht="15" hidden="false" customHeight="false" outlineLevel="0" collapsed="false">
      <c r="I320" s="474" t="n">
        <f aca="false">D320</f>
        <v>0</v>
      </c>
    </row>
    <row r="321" customFormat="false" ht="15" hidden="false" customHeight="false" outlineLevel="0" collapsed="false">
      <c r="I321" s="474" t="n">
        <f aca="false">D321</f>
        <v>0</v>
      </c>
    </row>
    <row r="322" customFormat="false" ht="15" hidden="false" customHeight="false" outlineLevel="0" collapsed="false">
      <c r="I322" s="474" t="n">
        <f aca="false">D322</f>
        <v>0</v>
      </c>
    </row>
    <row r="323" customFormat="false" ht="15" hidden="false" customHeight="false" outlineLevel="0" collapsed="false">
      <c r="I323" s="474" t="n">
        <f aca="false">D323</f>
        <v>0</v>
      </c>
    </row>
    <row r="324" customFormat="false" ht="15" hidden="false" customHeight="false" outlineLevel="0" collapsed="false">
      <c r="I324" s="474" t="n">
        <f aca="false">D324</f>
        <v>0</v>
      </c>
    </row>
    <row r="325" customFormat="false" ht="15" hidden="false" customHeight="false" outlineLevel="0" collapsed="false">
      <c r="I325" s="474" t="n">
        <f aca="false">D325</f>
        <v>0</v>
      </c>
    </row>
    <row r="326" customFormat="false" ht="15" hidden="false" customHeight="false" outlineLevel="0" collapsed="false">
      <c r="I326" s="474" t="n">
        <f aca="false">D326</f>
        <v>0</v>
      </c>
    </row>
    <row r="327" customFormat="false" ht="15" hidden="false" customHeight="false" outlineLevel="0" collapsed="false">
      <c r="I327" s="474" t="n">
        <f aca="false">D327</f>
        <v>0</v>
      </c>
    </row>
    <row r="328" customFormat="false" ht="15" hidden="false" customHeight="false" outlineLevel="0" collapsed="false">
      <c r="I328" s="474" t="n">
        <f aca="false">D328</f>
        <v>0</v>
      </c>
    </row>
    <row r="329" customFormat="false" ht="15" hidden="false" customHeight="false" outlineLevel="0" collapsed="false">
      <c r="I329" s="474" t="n">
        <f aca="false">D329</f>
        <v>0</v>
      </c>
    </row>
    <row r="330" customFormat="false" ht="15" hidden="false" customHeight="false" outlineLevel="0" collapsed="false">
      <c r="I330" s="474" t="n">
        <f aca="false">D330</f>
        <v>0</v>
      </c>
    </row>
    <row r="331" customFormat="false" ht="15" hidden="false" customHeight="false" outlineLevel="0" collapsed="false">
      <c r="I331" s="474" t="n">
        <f aca="false">D331</f>
        <v>0</v>
      </c>
    </row>
    <row r="332" customFormat="false" ht="15" hidden="false" customHeight="false" outlineLevel="0" collapsed="false">
      <c r="I332" s="474" t="n">
        <f aca="false">D332</f>
        <v>0</v>
      </c>
    </row>
    <row r="333" customFormat="false" ht="15" hidden="false" customHeight="false" outlineLevel="0" collapsed="false">
      <c r="I333" s="474" t="n">
        <f aca="false">D333</f>
        <v>0</v>
      </c>
    </row>
    <row r="334" customFormat="false" ht="15" hidden="false" customHeight="false" outlineLevel="0" collapsed="false">
      <c r="I334" s="474" t="n">
        <f aca="false">D334</f>
        <v>0</v>
      </c>
    </row>
    <row r="335" customFormat="false" ht="15" hidden="false" customHeight="false" outlineLevel="0" collapsed="false">
      <c r="I335" s="474" t="n">
        <f aca="false">D335</f>
        <v>0</v>
      </c>
    </row>
    <row r="336" customFormat="false" ht="15" hidden="false" customHeight="false" outlineLevel="0" collapsed="false">
      <c r="I336" s="474" t="n">
        <f aca="false">D336</f>
        <v>0</v>
      </c>
    </row>
    <row r="337" customFormat="false" ht="15" hidden="false" customHeight="false" outlineLevel="0" collapsed="false">
      <c r="I337" s="474" t="n">
        <f aca="false">D337</f>
        <v>0</v>
      </c>
    </row>
    <row r="338" customFormat="false" ht="15" hidden="false" customHeight="false" outlineLevel="0" collapsed="false">
      <c r="I338" s="474" t="n">
        <f aca="false">D338</f>
        <v>0</v>
      </c>
    </row>
    <row r="339" customFormat="false" ht="15" hidden="false" customHeight="false" outlineLevel="0" collapsed="false">
      <c r="I339" s="474" t="n">
        <f aca="false">D339</f>
        <v>0</v>
      </c>
    </row>
    <row r="340" customFormat="false" ht="15" hidden="false" customHeight="false" outlineLevel="0" collapsed="false">
      <c r="I340" s="474" t="n">
        <f aca="false">D340</f>
        <v>0</v>
      </c>
    </row>
    <row r="341" customFormat="false" ht="15" hidden="false" customHeight="false" outlineLevel="0" collapsed="false">
      <c r="I341" s="474" t="n">
        <f aca="false">D341</f>
        <v>0</v>
      </c>
    </row>
    <row r="342" customFormat="false" ht="15" hidden="false" customHeight="false" outlineLevel="0" collapsed="false">
      <c r="I342" s="474" t="n">
        <f aca="false">D342</f>
        <v>0</v>
      </c>
    </row>
    <row r="343" customFormat="false" ht="15" hidden="false" customHeight="false" outlineLevel="0" collapsed="false">
      <c r="I343" s="474" t="n">
        <f aca="false">D343</f>
        <v>0</v>
      </c>
    </row>
    <row r="344" customFormat="false" ht="15" hidden="false" customHeight="false" outlineLevel="0" collapsed="false">
      <c r="I344" s="474" t="n">
        <f aca="false">D344</f>
        <v>0</v>
      </c>
    </row>
    <row r="345" customFormat="false" ht="15" hidden="false" customHeight="false" outlineLevel="0" collapsed="false">
      <c r="I345" s="474" t="n">
        <f aca="false">D345</f>
        <v>0</v>
      </c>
    </row>
    <row r="346" customFormat="false" ht="15" hidden="false" customHeight="false" outlineLevel="0" collapsed="false">
      <c r="I346" s="474" t="n">
        <f aca="false">D346</f>
        <v>0</v>
      </c>
    </row>
    <row r="347" customFormat="false" ht="15" hidden="false" customHeight="false" outlineLevel="0" collapsed="false">
      <c r="I347" s="474" t="n">
        <f aca="false">D347</f>
        <v>0</v>
      </c>
    </row>
    <row r="348" customFormat="false" ht="15" hidden="false" customHeight="false" outlineLevel="0" collapsed="false">
      <c r="I348" s="474" t="n">
        <f aca="false">D348</f>
        <v>0</v>
      </c>
    </row>
    <row r="349" customFormat="false" ht="15" hidden="false" customHeight="false" outlineLevel="0" collapsed="false">
      <c r="I349" s="474" t="n">
        <f aca="false">D349</f>
        <v>0</v>
      </c>
    </row>
    <row r="350" customFormat="false" ht="15" hidden="false" customHeight="false" outlineLevel="0" collapsed="false">
      <c r="I350" s="474" t="n">
        <f aca="false">D350</f>
        <v>0</v>
      </c>
    </row>
    <row r="351" customFormat="false" ht="15" hidden="false" customHeight="false" outlineLevel="0" collapsed="false">
      <c r="I351" s="474" t="n">
        <f aca="false">D351</f>
        <v>0</v>
      </c>
    </row>
    <row r="352" customFormat="false" ht="15" hidden="false" customHeight="false" outlineLevel="0" collapsed="false">
      <c r="I352" s="474" t="n">
        <f aca="false">D352</f>
        <v>0</v>
      </c>
    </row>
    <row r="353" customFormat="false" ht="15" hidden="false" customHeight="false" outlineLevel="0" collapsed="false">
      <c r="I353" s="474" t="n">
        <f aca="false">D353</f>
        <v>0</v>
      </c>
    </row>
    <row r="354" customFormat="false" ht="15" hidden="false" customHeight="false" outlineLevel="0" collapsed="false">
      <c r="I354" s="474" t="n">
        <f aca="false">D354</f>
        <v>0</v>
      </c>
    </row>
    <row r="355" customFormat="false" ht="15" hidden="false" customHeight="false" outlineLevel="0" collapsed="false">
      <c r="I355" s="474" t="n">
        <f aca="false">D355</f>
        <v>0</v>
      </c>
    </row>
    <row r="356" customFormat="false" ht="15" hidden="false" customHeight="false" outlineLevel="0" collapsed="false">
      <c r="I356" s="474" t="n">
        <f aca="false">D356</f>
        <v>0</v>
      </c>
    </row>
    <row r="357" customFormat="false" ht="15" hidden="false" customHeight="false" outlineLevel="0" collapsed="false">
      <c r="I357" s="474" t="n">
        <f aca="false">D357</f>
        <v>0</v>
      </c>
    </row>
    <row r="358" customFormat="false" ht="15" hidden="false" customHeight="false" outlineLevel="0" collapsed="false">
      <c r="I358" s="474" t="n">
        <f aca="false">D358</f>
        <v>0</v>
      </c>
    </row>
    <row r="359" customFormat="false" ht="15" hidden="false" customHeight="false" outlineLevel="0" collapsed="false">
      <c r="I359" s="474" t="n">
        <f aca="false">D359</f>
        <v>0</v>
      </c>
    </row>
    <row r="360" customFormat="false" ht="15" hidden="false" customHeight="false" outlineLevel="0" collapsed="false">
      <c r="I360" s="474" t="n">
        <f aca="false">D360</f>
        <v>0</v>
      </c>
    </row>
    <row r="361" customFormat="false" ht="15" hidden="false" customHeight="false" outlineLevel="0" collapsed="false">
      <c r="I361" s="474" t="n">
        <f aca="false">D361</f>
        <v>0</v>
      </c>
    </row>
    <row r="362" customFormat="false" ht="15" hidden="false" customHeight="false" outlineLevel="0" collapsed="false">
      <c r="I362" s="474" t="n">
        <f aca="false">D362</f>
        <v>0</v>
      </c>
    </row>
    <row r="363" customFormat="false" ht="15" hidden="false" customHeight="false" outlineLevel="0" collapsed="false">
      <c r="I363" s="474" t="n">
        <f aca="false">D363</f>
        <v>0</v>
      </c>
    </row>
    <row r="364" customFormat="false" ht="15" hidden="false" customHeight="false" outlineLevel="0" collapsed="false">
      <c r="I364" s="474" t="n">
        <f aca="false">D364</f>
        <v>0</v>
      </c>
    </row>
    <row r="365" customFormat="false" ht="15" hidden="false" customHeight="false" outlineLevel="0" collapsed="false">
      <c r="I365" s="474" t="n">
        <f aca="false">D365</f>
        <v>0</v>
      </c>
    </row>
    <row r="366" customFormat="false" ht="15" hidden="false" customHeight="false" outlineLevel="0" collapsed="false">
      <c r="I366" s="474" t="n">
        <f aca="false">D366</f>
        <v>0</v>
      </c>
    </row>
    <row r="367" customFormat="false" ht="15" hidden="false" customHeight="false" outlineLevel="0" collapsed="false">
      <c r="I367" s="474" t="n">
        <f aca="false">D367</f>
        <v>0</v>
      </c>
    </row>
    <row r="368" customFormat="false" ht="15" hidden="false" customHeight="false" outlineLevel="0" collapsed="false">
      <c r="I368" s="474" t="n">
        <f aca="false">D368</f>
        <v>0</v>
      </c>
    </row>
    <row r="369" customFormat="false" ht="15" hidden="false" customHeight="false" outlineLevel="0" collapsed="false">
      <c r="I369" s="474" t="n">
        <f aca="false">D369</f>
        <v>0</v>
      </c>
    </row>
    <row r="370" customFormat="false" ht="15" hidden="false" customHeight="false" outlineLevel="0" collapsed="false">
      <c r="I370" s="474" t="n">
        <f aca="false">D370</f>
        <v>0</v>
      </c>
    </row>
    <row r="371" customFormat="false" ht="15" hidden="false" customHeight="false" outlineLevel="0" collapsed="false">
      <c r="I371" s="474" t="n">
        <f aca="false">D371</f>
        <v>0</v>
      </c>
    </row>
    <row r="372" customFormat="false" ht="15" hidden="false" customHeight="false" outlineLevel="0" collapsed="false">
      <c r="I372" s="474" t="n">
        <f aca="false">D372</f>
        <v>0</v>
      </c>
    </row>
    <row r="373" customFormat="false" ht="15" hidden="false" customHeight="false" outlineLevel="0" collapsed="false">
      <c r="I373" s="474" t="n">
        <f aca="false">D373</f>
        <v>0</v>
      </c>
    </row>
    <row r="374" customFormat="false" ht="15" hidden="false" customHeight="false" outlineLevel="0" collapsed="false">
      <c r="I374" s="474" t="n">
        <f aca="false">D374</f>
        <v>0</v>
      </c>
    </row>
    <row r="375" customFormat="false" ht="15" hidden="false" customHeight="false" outlineLevel="0" collapsed="false">
      <c r="I375" s="474" t="n">
        <f aca="false">D375</f>
        <v>0</v>
      </c>
    </row>
    <row r="376" customFormat="false" ht="15" hidden="false" customHeight="false" outlineLevel="0" collapsed="false">
      <c r="I376" s="474" t="n">
        <f aca="false">D376</f>
        <v>0</v>
      </c>
    </row>
    <row r="377" customFormat="false" ht="15" hidden="false" customHeight="false" outlineLevel="0" collapsed="false">
      <c r="I377" s="474" t="n">
        <f aca="false">D377</f>
        <v>0</v>
      </c>
    </row>
    <row r="378" customFormat="false" ht="15" hidden="false" customHeight="false" outlineLevel="0" collapsed="false">
      <c r="I378" s="474" t="n">
        <f aca="false">D378</f>
        <v>0</v>
      </c>
    </row>
    <row r="379" customFormat="false" ht="15" hidden="false" customHeight="false" outlineLevel="0" collapsed="false">
      <c r="I379" s="474" t="n">
        <f aca="false">D379</f>
        <v>0</v>
      </c>
    </row>
    <row r="380" customFormat="false" ht="15" hidden="false" customHeight="false" outlineLevel="0" collapsed="false">
      <c r="I380" s="474" t="n">
        <f aca="false">D380</f>
        <v>0</v>
      </c>
    </row>
    <row r="381" customFormat="false" ht="15" hidden="false" customHeight="false" outlineLevel="0" collapsed="false">
      <c r="I381" s="474" t="n">
        <f aca="false">D381</f>
        <v>0</v>
      </c>
    </row>
    <row r="382" customFormat="false" ht="15" hidden="false" customHeight="false" outlineLevel="0" collapsed="false">
      <c r="I382" s="474" t="n">
        <f aca="false">D382</f>
        <v>0</v>
      </c>
    </row>
    <row r="383" customFormat="false" ht="15" hidden="false" customHeight="false" outlineLevel="0" collapsed="false">
      <c r="I383" s="474" t="n">
        <f aca="false">D383</f>
        <v>0</v>
      </c>
    </row>
    <row r="384" customFormat="false" ht="15" hidden="false" customHeight="false" outlineLevel="0" collapsed="false">
      <c r="I384" s="474" t="n">
        <f aca="false">D384</f>
        <v>0</v>
      </c>
    </row>
    <row r="385" customFormat="false" ht="15" hidden="false" customHeight="false" outlineLevel="0" collapsed="false">
      <c r="I385" s="474" t="n">
        <f aca="false">D385</f>
        <v>0</v>
      </c>
    </row>
    <row r="386" customFormat="false" ht="15" hidden="false" customHeight="false" outlineLevel="0" collapsed="false">
      <c r="I386" s="474" t="n">
        <f aca="false">D386</f>
        <v>0</v>
      </c>
    </row>
    <row r="387" customFormat="false" ht="15" hidden="false" customHeight="false" outlineLevel="0" collapsed="false">
      <c r="I387" s="474" t="n">
        <f aca="false">D387</f>
        <v>0</v>
      </c>
    </row>
    <row r="388" customFormat="false" ht="15" hidden="false" customHeight="false" outlineLevel="0" collapsed="false">
      <c r="I388" s="474" t="n">
        <f aca="false">D388</f>
        <v>0</v>
      </c>
    </row>
    <row r="389" customFormat="false" ht="15" hidden="false" customHeight="false" outlineLevel="0" collapsed="false">
      <c r="I389" s="474" t="n">
        <f aca="false">D389</f>
        <v>0</v>
      </c>
    </row>
    <row r="390" customFormat="false" ht="15" hidden="false" customHeight="false" outlineLevel="0" collapsed="false">
      <c r="I390" s="474" t="n">
        <f aca="false">D390</f>
        <v>0</v>
      </c>
    </row>
    <row r="391" customFormat="false" ht="15" hidden="false" customHeight="false" outlineLevel="0" collapsed="false">
      <c r="I391" s="474" t="n">
        <f aca="false">D391</f>
        <v>0</v>
      </c>
    </row>
    <row r="392" customFormat="false" ht="15" hidden="false" customHeight="false" outlineLevel="0" collapsed="false">
      <c r="I392" s="474" t="n">
        <f aca="false">D392</f>
        <v>0</v>
      </c>
    </row>
    <row r="393" customFormat="false" ht="15" hidden="false" customHeight="false" outlineLevel="0" collapsed="false">
      <c r="I393" s="474" t="n">
        <f aca="false">D393</f>
        <v>0</v>
      </c>
    </row>
    <row r="394" customFormat="false" ht="15" hidden="false" customHeight="false" outlineLevel="0" collapsed="false">
      <c r="I394" s="474" t="n">
        <f aca="false">D394</f>
        <v>0</v>
      </c>
    </row>
    <row r="395" customFormat="false" ht="15" hidden="false" customHeight="false" outlineLevel="0" collapsed="false">
      <c r="I395" s="474" t="n">
        <f aca="false">D395</f>
        <v>0</v>
      </c>
    </row>
    <row r="396" customFormat="false" ht="15" hidden="false" customHeight="false" outlineLevel="0" collapsed="false">
      <c r="I396" s="474" t="n">
        <f aca="false">D396</f>
        <v>0</v>
      </c>
    </row>
    <row r="397" customFormat="false" ht="15" hidden="false" customHeight="false" outlineLevel="0" collapsed="false">
      <c r="I397" s="474" t="n">
        <f aca="false">D397</f>
        <v>0</v>
      </c>
    </row>
    <row r="398" customFormat="false" ht="15" hidden="false" customHeight="false" outlineLevel="0" collapsed="false">
      <c r="I398" s="474" t="n">
        <f aca="false">D398</f>
        <v>0</v>
      </c>
    </row>
    <row r="399" customFormat="false" ht="15" hidden="false" customHeight="false" outlineLevel="0" collapsed="false">
      <c r="I399" s="474" t="n">
        <f aca="false">D399</f>
        <v>0</v>
      </c>
    </row>
    <row r="400" customFormat="false" ht="15" hidden="false" customHeight="false" outlineLevel="0" collapsed="false">
      <c r="I400" s="474" t="n">
        <f aca="false">D400</f>
        <v>0</v>
      </c>
    </row>
    <row r="401" customFormat="false" ht="15" hidden="false" customHeight="false" outlineLevel="0" collapsed="false">
      <c r="I401" s="474" t="n">
        <f aca="false">D401</f>
        <v>0</v>
      </c>
    </row>
    <row r="402" customFormat="false" ht="15" hidden="false" customHeight="false" outlineLevel="0" collapsed="false">
      <c r="I402" s="474" t="n">
        <f aca="false">D402</f>
        <v>0</v>
      </c>
    </row>
    <row r="403" customFormat="false" ht="15" hidden="false" customHeight="false" outlineLevel="0" collapsed="false">
      <c r="I403" s="474" t="n">
        <f aca="false">D403</f>
        <v>0</v>
      </c>
    </row>
    <row r="404" customFormat="false" ht="15" hidden="false" customHeight="false" outlineLevel="0" collapsed="false">
      <c r="I404" s="474" t="n">
        <f aca="false">D404</f>
        <v>0</v>
      </c>
    </row>
    <row r="405" customFormat="false" ht="15" hidden="false" customHeight="false" outlineLevel="0" collapsed="false">
      <c r="I405" s="474" t="n">
        <f aca="false">D405</f>
        <v>0</v>
      </c>
    </row>
    <row r="406" customFormat="false" ht="15" hidden="false" customHeight="false" outlineLevel="0" collapsed="false">
      <c r="I406" s="474" t="n">
        <f aca="false">D406</f>
        <v>0</v>
      </c>
    </row>
    <row r="407" customFormat="false" ht="15" hidden="false" customHeight="false" outlineLevel="0" collapsed="false">
      <c r="I407" s="474" t="n">
        <f aca="false">D407</f>
        <v>0</v>
      </c>
    </row>
    <row r="408" customFormat="false" ht="15" hidden="false" customHeight="false" outlineLevel="0" collapsed="false">
      <c r="I408" s="474" t="n">
        <f aca="false">D408</f>
        <v>0</v>
      </c>
    </row>
    <row r="409" customFormat="false" ht="15" hidden="false" customHeight="false" outlineLevel="0" collapsed="false">
      <c r="I409" s="474" t="n">
        <f aca="false">D409</f>
        <v>0</v>
      </c>
    </row>
    <row r="410" customFormat="false" ht="15" hidden="false" customHeight="false" outlineLevel="0" collapsed="false">
      <c r="I410" s="474" t="n">
        <f aca="false">D410</f>
        <v>0</v>
      </c>
    </row>
    <row r="411" customFormat="false" ht="15" hidden="false" customHeight="false" outlineLevel="0" collapsed="false">
      <c r="I411" s="474" t="n">
        <f aca="false">D411</f>
        <v>0</v>
      </c>
    </row>
    <row r="412" customFormat="false" ht="15" hidden="false" customHeight="false" outlineLevel="0" collapsed="false">
      <c r="I412" s="474" t="n">
        <f aca="false">D412</f>
        <v>0</v>
      </c>
    </row>
    <row r="413" customFormat="false" ht="15" hidden="false" customHeight="false" outlineLevel="0" collapsed="false">
      <c r="I413" s="474" t="n">
        <f aca="false">D413</f>
        <v>0</v>
      </c>
    </row>
    <row r="414" customFormat="false" ht="15" hidden="false" customHeight="false" outlineLevel="0" collapsed="false">
      <c r="I414" s="474" t="n">
        <f aca="false">D414</f>
        <v>0</v>
      </c>
    </row>
    <row r="415" customFormat="false" ht="15" hidden="false" customHeight="false" outlineLevel="0" collapsed="false">
      <c r="I415" s="474" t="n">
        <f aca="false">D415</f>
        <v>0</v>
      </c>
    </row>
    <row r="416" customFormat="false" ht="15" hidden="false" customHeight="false" outlineLevel="0" collapsed="false">
      <c r="I416" s="474" t="n">
        <f aca="false">D416</f>
        <v>0</v>
      </c>
    </row>
    <row r="417" customFormat="false" ht="15" hidden="false" customHeight="false" outlineLevel="0" collapsed="false">
      <c r="I417" s="474" t="n">
        <f aca="false">D417</f>
        <v>0</v>
      </c>
    </row>
    <row r="418" customFormat="false" ht="15" hidden="false" customHeight="false" outlineLevel="0" collapsed="false">
      <c r="I418" s="474" t="n">
        <f aca="false">D418</f>
        <v>0</v>
      </c>
    </row>
    <row r="419" customFormat="false" ht="15" hidden="false" customHeight="false" outlineLevel="0" collapsed="false">
      <c r="I419" s="474" t="n">
        <f aca="false">D419</f>
        <v>0</v>
      </c>
    </row>
    <row r="420" customFormat="false" ht="15" hidden="false" customHeight="false" outlineLevel="0" collapsed="false">
      <c r="I420" s="474" t="n">
        <f aca="false">D420</f>
        <v>0</v>
      </c>
    </row>
    <row r="421" customFormat="false" ht="15" hidden="false" customHeight="false" outlineLevel="0" collapsed="false">
      <c r="I421" s="474" t="n">
        <f aca="false">D421</f>
        <v>0</v>
      </c>
    </row>
    <row r="422" customFormat="false" ht="15" hidden="false" customHeight="false" outlineLevel="0" collapsed="false">
      <c r="I422" s="474" t="n">
        <f aca="false">D422</f>
        <v>0</v>
      </c>
    </row>
    <row r="423" customFormat="false" ht="15" hidden="false" customHeight="false" outlineLevel="0" collapsed="false">
      <c r="I423" s="474" t="n">
        <f aca="false">D423</f>
        <v>0</v>
      </c>
    </row>
    <row r="424" customFormat="false" ht="15" hidden="false" customHeight="false" outlineLevel="0" collapsed="false">
      <c r="I424" s="474" t="n">
        <f aca="false">D424</f>
        <v>0</v>
      </c>
    </row>
    <row r="425" customFormat="false" ht="15" hidden="false" customHeight="false" outlineLevel="0" collapsed="false">
      <c r="I425" s="474" t="n">
        <f aca="false">D425</f>
        <v>0</v>
      </c>
    </row>
    <row r="426" customFormat="false" ht="15" hidden="false" customHeight="false" outlineLevel="0" collapsed="false">
      <c r="I426" s="474" t="n">
        <f aca="false">D426</f>
        <v>0</v>
      </c>
    </row>
    <row r="427" customFormat="false" ht="15" hidden="false" customHeight="false" outlineLevel="0" collapsed="false">
      <c r="I427" s="474" t="n">
        <f aca="false">D427</f>
        <v>0</v>
      </c>
    </row>
    <row r="428" customFormat="false" ht="15" hidden="false" customHeight="false" outlineLevel="0" collapsed="false">
      <c r="I428" s="474" t="n">
        <f aca="false">D428</f>
        <v>0</v>
      </c>
    </row>
    <row r="429" customFormat="false" ht="15" hidden="false" customHeight="false" outlineLevel="0" collapsed="false">
      <c r="I429" s="474" t="n">
        <f aca="false">D429</f>
        <v>0</v>
      </c>
    </row>
    <row r="430" customFormat="false" ht="15" hidden="false" customHeight="false" outlineLevel="0" collapsed="false">
      <c r="I430" s="474" t="n">
        <f aca="false">D430</f>
        <v>0</v>
      </c>
    </row>
    <row r="431" customFormat="false" ht="15" hidden="false" customHeight="false" outlineLevel="0" collapsed="false">
      <c r="I431" s="474" t="n">
        <f aca="false">D431</f>
        <v>0</v>
      </c>
    </row>
    <row r="432" customFormat="false" ht="15" hidden="false" customHeight="false" outlineLevel="0" collapsed="false">
      <c r="I432" s="474" t="n">
        <f aca="false">D432</f>
        <v>0</v>
      </c>
    </row>
    <row r="433" customFormat="false" ht="15" hidden="false" customHeight="false" outlineLevel="0" collapsed="false">
      <c r="I433" s="474" t="n">
        <f aca="false">D433</f>
        <v>0</v>
      </c>
    </row>
    <row r="434" customFormat="false" ht="15" hidden="false" customHeight="false" outlineLevel="0" collapsed="false">
      <c r="I434" s="474" t="n">
        <f aca="false">D434</f>
        <v>0</v>
      </c>
    </row>
    <row r="435" customFormat="false" ht="15" hidden="false" customHeight="false" outlineLevel="0" collapsed="false">
      <c r="I435" s="474" t="n">
        <f aca="false">D435</f>
        <v>0</v>
      </c>
    </row>
    <row r="436" customFormat="false" ht="15" hidden="false" customHeight="false" outlineLevel="0" collapsed="false">
      <c r="I436" s="474" t="n">
        <f aca="false">D436</f>
        <v>0</v>
      </c>
    </row>
    <row r="437" customFormat="false" ht="15" hidden="false" customHeight="false" outlineLevel="0" collapsed="false">
      <c r="I437" s="474" t="n">
        <f aca="false">D437</f>
        <v>0</v>
      </c>
    </row>
    <row r="438" customFormat="false" ht="15" hidden="false" customHeight="false" outlineLevel="0" collapsed="false">
      <c r="I438" s="474" t="n">
        <f aca="false">D438</f>
        <v>0</v>
      </c>
    </row>
    <row r="439" customFormat="false" ht="15" hidden="false" customHeight="false" outlineLevel="0" collapsed="false">
      <c r="I439" s="474" t="n">
        <f aca="false">D439</f>
        <v>0</v>
      </c>
    </row>
    <row r="440" customFormat="false" ht="15" hidden="false" customHeight="false" outlineLevel="0" collapsed="false">
      <c r="I440" s="474" t="n">
        <f aca="false">D440</f>
        <v>0</v>
      </c>
    </row>
    <row r="441" customFormat="false" ht="15" hidden="false" customHeight="false" outlineLevel="0" collapsed="false">
      <c r="I441" s="474" t="n">
        <f aca="false">D441</f>
        <v>0</v>
      </c>
    </row>
    <row r="442" customFormat="false" ht="15" hidden="false" customHeight="false" outlineLevel="0" collapsed="false">
      <c r="I442" s="474" t="n">
        <f aca="false">D442</f>
        <v>0</v>
      </c>
    </row>
    <row r="443" customFormat="false" ht="15" hidden="false" customHeight="false" outlineLevel="0" collapsed="false">
      <c r="I443" s="474" t="n">
        <f aca="false">D443</f>
        <v>0</v>
      </c>
    </row>
    <row r="444" customFormat="false" ht="15" hidden="false" customHeight="false" outlineLevel="0" collapsed="false">
      <c r="I444" s="474" t="n">
        <f aca="false">D444</f>
        <v>0</v>
      </c>
    </row>
    <row r="445" customFormat="false" ht="15" hidden="false" customHeight="false" outlineLevel="0" collapsed="false">
      <c r="I445" s="474" t="n">
        <f aca="false">D445</f>
        <v>0</v>
      </c>
    </row>
    <row r="446" customFormat="false" ht="15" hidden="false" customHeight="false" outlineLevel="0" collapsed="false">
      <c r="I446" s="474" t="n">
        <f aca="false">D446</f>
        <v>0</v>
      </c>
    </row>
    <row r="447" customFormat="false" ht="15" hidden="false" customHeight="false" outlineLevel="0" collapsed="false">
      <c r="I447" s="474" t="n">
        <f aca="false">D447</f>
        <v>0</v>
      </c>
    </row>
    <row r="448" customFormat="false" ht="15" hidden="false" customHeight="false" outlineLevel="0" collapsed="false">
      <c r="I448" s="474" t="n">
        <f aca="false">D448</f>
        <v>0</v>
      </c>
    </row>
    <row r="449" customFormat="false" ht="15" hidden="false" customHeight="false" outlineLevel="0" collapsed="false">
      <c r="I449" s="474" t="n">
        <f aca="false">D449</f>
        <v>0</v>
      </c>
    </row>
    <row r="450" customFormat="false" ht="15" hidden="false" customHeight="false" outlineLevel="0" collapsed="false">
      <c r="I450" s="474" t="n">
        <f aca="false">D450</f>
        <v>0</v>
      </c>
    </row>
    <row r="451" customFormat="false" ht="15" hidden="false" customHeight="false" outlineLevel="0" collapsed="false">
      <c r="I451" s="474" t="n">
        <f aca="false">D451</f>
        <v>0</v>
      </c>
    </row>
    <row r="452" customFormat="false" ht="15" hidden="false" customHeight="false" outlineLevel="0" collapsed="false">
      <c r="I452" s="474" t="n">
        <f aca="false">D452</f>
        <v>0</v>
      </c>
    </row>
    <row r="453" customFormat="false" ht="15" hidden="false" customHeight="false" outlineLevel="0" collapsed="false">
      <c r="I453" s="474" t="n">
        <f aca="false">D453</f>
        <v>0</v>
      </c>
    </row>
    <row r="454" customFormat="false" ht="15" hidden="false" customHeight="false" outlineLevel="0" collapsed="false">
      <c r="I454" s="474" t="n">
        <f aca="false">D454</f>
        <v>0</v>
      </c>
    </row>
    <row r="455" customFormat="false" ht="15" hidden="false" customHeight="false" outlineLevel="0" collapsed="false">
      <c r="I455" s="474" t="n">
        <f aca="false">D455</f>
        <v>0</v>
      </c>
    </row>
    <row r="456" customFormat="false" ht="15" hidden="false" customHeight="false" outlineLevel="0" collapsed="false">
      <c r="I456" s="474" t="n">
        <f aca="false">D456</f>
        <v>0</v>
      </c>
    </row>
    <row r="457" customFormat="false" ht="15" hidden="false" customHeight="false" outlineLevel="0" collapsed="false">
      <c r="I457" s="474" t="n">
        <f aca="false">D457</f>
        <v>0</v>
      </c>
    </row>
    <row r="458" customFormat="false" ht="15" hidden="false" customHeight="false" outlineLevel="0" collapsed="false">
      <c r="I458" s="474" t="n">
        <f aca="false">D458</f>
        <v>0</v>
      </c>
    </row>
    <row r="459" customFormat="false" ht="15" hidden="false" customHeight="false" outlineLevel="0" collapsed="false">
      <c r="I459" s="474" t="n">
        <f aca="false">D459</f>
        <v>0</v>
      </c>
    </row>
    <row r="460" customFormat="false" ht="15" hidden="false" customHeight="false" outlineLevel="0" collapsed="false">
      <c r="I460" s="474" t="n">
        <f aca="false">D460</f>
        <v>0</v>
      </c>
    </row>
    <row r="461" customFormat="false" ht="15" hidden="false" customHeight="false" outlineLevel="0" collapsed="false">
      <c r="I461" s="474" t="n">
        <f aca="false">D461</f>
        <v>0</v>
      </c>
    </row>
    <row r="462" customFormat="false" ht="15" hidden="false" customHeight="false" outlineLevel="0" collapsed="false">
      <c r="I462" s="474" t="n">
        <f aca="false">D462</f>
        <v>0</v>
      </c>
    </row>
    <row r="463" customFormat="false" ht="15" hidden="false" customHeight="false" outlineLevel="0" collapsed="false">
      <c r="I463" s="474" t="n">
        <f aca="false">D463</f>
        <v>0</v>
      </c>
    </row>
    <row r="464" customFormat="false" ht="15" hidden="false" customHeight="false" outlineLevel="0" collapsed="false">
      <c r="I464" s="474" t="n">
        <f aca="false">D464</f>
        <v>0</v>
      </c>
    </row>
    <row r="465" customFormat="false" ht="15" hidden="false" customHeight="false" outlineLevel="0" collapsed="false">
      <c r="I465" s="474" t="n">
        <f aca="false">D465</f>
        <v>0</v>
      </c>
    </row>
    <row r="466" customFormat="false" ht="15" hidden="false" customHeight="false" outlineLevel="0" collapsed="false">
      <c r="I466" s="474" t="n">
        <f aca="false">D466</f>
        <v>0</v>
      </c>
    </row>
    <row r="467" customFormat="false" ht="15" hidden="false" customHeight="false" outlineLevel="0" collapsed="false">
      <c r="I467" s="474" t="n">
        <f aca="false">D467</f>
        <v>0</v>
      </c>
    </row>
    <row r="468" customFormat="false" ht="15" hidden="false" customHeight="false" outlineLevel="0" collapsed="false">
      <c r="I468" s="474" t="n">
        <f aca="false">D468</f>
        <v>0</v>
      </c>
    </row>
    <row r="469" customFormat="false" ht="15" hidden="false" customHeight="false" outlineLevel="0" collapsed="false">
      <c r="I469" s="474" t="n">
        <f aca="false">D469</f>
        <v>0</v>
      </c>
    </row>
    <row r="470" customFormat="false" ht="15" hidden="false" customHeight="false" outlineLevel="0" collapsed="false">
      <c r="I470" s="474" t="n">
        <f aca="false">D470</f>
        <v>0</v>
      </c>
    </row>
    <row r="471" customFormat="false" ht="15" hidden="false" customHeight="false" outlineLevel="0" collapsed="false">
      <c r="I471" s="474" t="n">
        <f aca="false">D471</f>
        <v>0</v>
      </c>
    </row>
    <row r="472" customFormat="false" ht="15" hidden="false" customHeight="false" outlineLevel="0" collapsed="false">
      <c r="I472" s="474" t="n">
        <f aca="false">D472</f>
        <v>0</v>
      </c>
    </row>
    <row r="473" customFormat="false" ht="15" hidden="false" customHeight="false" outlineLevel="0" collapsed="false">
      <c r="I473" s="474" t="n">
        <f aca="false">D473</f>
        <v>0</v>
      </c>
    </row>
    <row r="474" customFormat="false" ht="15" hidden="false" customHeight="false" outlineLevel="0" collapsed="false">
      <c r="I474" s="474" t="n">
        <f aca="false">D474</f>
        <v>0</v>
      </c>
    </row>
    <row r="475" customFormat="false" ht="15" hidden="false" customHeight="false" outlineLevel="0" collapsed="false">
      <c r="I475" s="474" t="n">
        <f aca="false">D475</f>
        <v>0</v>
      </c>
    </row>
    <row r="476" customFormat="false" ht="15" hidden="false" customHeight="false" outlineLevel="0" collapsed="false">
      <c r="I476" s="474" t="n">
        <f aca="false">D476</f>
        <v>0</v>
      </c>
    </row>
    <row r="477" customFormat="false" ht="15" hidden="false" customHeight="false" outlineLevel="0" collapsed="false">
      <c r="I477" s="474" t="n">
        <f aca="false">D477</f>
        <v>0</v>
      </c>
    </row>
    <row r="478" customFormat="false" ht="15" hidden="false" customHeight="false" outlineLevel="0" collapsed="false">
      <c r="I478" s="474" t="n">
        <f aca="false">D478</f>
        <v>0</v>
      </c>
    </row>
    <row r="479" customFormat="false" ht="15" hidden="false" customHeight="false" outlineLevel="0" collapsed="false">
      <c r="I479" s="474" t="n">
        <f aca="false">D479</f>
        <v>0</v>
      </c>
    </row>
    <row r="480" customFormat="false" ht="15" hidden="false" customHeight="false" outlineLevel="0" collapsed="false">
      <c r="I480" s="474" t="n">
        <f aca="false">D480</f>
        <v>0</v>
      </c>
    </row>
    <row r="481" customFormat="false" ht="15" hidden="false" customHeight="false" outlineLevel="0" collapsed="false">
      <c r="I481" s="474" t="n">
        <f aca="false">D481</f>
        <v>0</v>
      </c>
    </row>
    <row r="482" customFormat="false" ht="15" hidden="false" customHeight="false" outlineLevel="0" collapsed="false">
      <c r="I482" s="474" t="n">
        <f aca="false">D482</f>
        <v>0</v>
      </c>
    </row>
    <row r="483" customFormat="false" ht="15" hidden="false" customHeight="false" outlineLevel="0" collapsed="false">
      <c r="I483" s="474" t="n">
        <f aca="false">D483</f>
        <v>0</v>
      </c>
    </row>
    <row r="484" customFormat="false" ht="15" hidden="false" customHeight="false" outlineLevel="0" collapsed="false">
      <c r="I484" s="474" t="n">
        <f aca="false">D484</f>
        <v>0</v>
      </c>
    </row>
    <row r="485" customFormat="false" ht="15" hidden="false" customHeight="false" outlineLevel="0" collapsed="false">
      <c r="I485" s="474" t="n">
        <f aca="false">D485</f>
        <v>0</v>
      </c>
    </row>
    <row r="486" customFormat="false" ht="15" hidden="false" customHeight="false" outlineLevel="0" collapsed="false">
      <c r="I486" s="474" t="n">
        <f aca="false">D486</f>
        <v>0</v>
      </c>
    </row>
    <row r="487" customFormat="false" ht="15" hidden="false" customHeight="false" outlineLevel="0" collapsed="false">
      <c r="I487" s="474" t="n">
        <f aca="false">D487</f>
        <v>0</v>
      </c>
    </row>
    <row r="488" customFormat="false" ht="15" hidden="false" customHeight="false" outlineLevel="0" collapsed="false">
      <c r="I488" s="474" t="n">
        <f aca="false">D488</f>
        <v>0</v>
      </c>
    </row>
    <row r="489" customFormat="false" ht="15" hidden="false" customHeight="false" outlineLevel="0" collapsed="false">
      <c r="I489" s="474" t="n">
        <f aca="false">D489</f>
        <v>0</v>
      </c>
    </row>
    <row r="490" customFormat="false" ht="15" hidden="false" customHeight="false" outlineLevel="0" collapsed="false">
      <c r="I490" s="474" t="n">
        <f aca="false">D490</f>
        <v>0</v>
      </c>
    </row>
    <row r="491" customFormat="false" ht="15" hidden="false" customHeight="false" outlineLevel="0" collapsed="false">
      <c r="I491" s="474" t="n">
        <f aca="false">D491</f>
        <v>0</v>
      </c>
    </row>
    <row r="492" customFormat="false" ht="15" hidden="false" customHeight="false" outlineLevel="0" collapsed="false">
      <c r="I492" s="474" t="n">
        <f aca="false">D492</f>
        <v>0</v>
      </c>
    </row>
    <row r="493" customFormat="false" ht="15" hidden="false" customHeight="false" outlineLevel="0" collapsed="false">
      <c r="I493" s="474" t="n">
        <f aca="false">D493</f>
        <v>0</v>
      </c>
    </row>
    <row r="494" customFormat="false" ht="15" hidden="false" customHeight="false" outlineLevel="0" collapsed="false">
      <c r="I494" s="474" t="n">
        <f aca="false">D494</f>
        <v>0</v>
      </c>
    </row>
    <row r="495" customFormat="false" ht="15" hidden="false" customHeight="false" outlineLevel="0" collapsed="false">
      <c r="I495" s="474" t="n">
        <f aca="false">D495</f>
        <v>0</v>
      </c>
    </row>
    <row r="496" customFormat="false" ht="15" hidden="false" customHeight="false" outlineLevel="0" collapsed="false">
      <c r="I496" s="474" t="n">
        <f aca="false">D496</f>
        <v>0</v>
      </c>
    </row>
    <row r="497" customFormat="false" ht="15" hidden="false" customHeight="false" outlineLevel="0" collapsed="false">
      <c r="I497" s="474" t="n">
        <f aca="false">D497</f>
        <v>0</v>
      </c>
    </row>
    <row r="498" customFormat="false" ht="15" hidden="false" customHeight="false" outlineLevel="0" collapsed="false">
      <c r="I498" s="474" t="n">
        <f aca="false">D498</f>
        <v>0</v>
      </c>
    </row>
    <row r="499" customFormat="false" ht="15" hidden="false" customHeight="false" outlineLevel="0" collapsed="false">
      <c r="I499" s="474" t="n">
        <f aca="false">D499</f>
        <v>0</v>
      </c>
    </row>
    <row r="500" customFormat="false" ht="15" hidden="false" customHeight="false" outlineLevel="0" collapsed="false">
      <c r="I500" s="474" t="n">
        <f aca="false">D500</f>
        <v>0</v>
      </c>
    </row>
    <row r="501" customFormat="false" ht="15" hidden="false" customHeight="false" outlineLevel="0" collapsed="false">
      <c r="I501" s="474" t="n">
        <f aca="false">D501</f>
        <v>0</v>
      </c>
    </row>
    <row r="502" customFormat="false" ht="15" hidden="false" customHeight="false" outlineLevel="0" collapsed="false">
      <c r="I502" s="474" t="n">
        <f aca="false">D502</f>
        <v>0</v>
      </c>
    </row>
    <row r="503" customFormat="false" ht="15" hidden="false" customHeight="false" outlineLevel="0" collapsed="false">
      <c r="I503" s="474" t="n">
        <f aca="false">D503</f>
        <v>0</v>
      </c>
    </row>
    <row r="504" customFormat="false" ht="15" hidden="false" customHeight="false" outlineLevel="0" collapsed="false">
      <c r="I504" s="474" t="n">
        <f aca="false">D504</f>
        <v>0</v>
      </c>
    </row>
    <row r="505" customFormat="false" ht="15" hidden="false" customHeight="false" outlineLevel="0" collapsed="false">
      <c r="I505" s="474" t="n">
        <f aca="false">D505</f>
        <v>0</v>
      </c>
    </row>
    <row r="506" customFormat="false" ht="15" hidden="false" customHeight="false" outlineLevel="0" collapsed="false">
      <c r="I506" s="474" t="n">
        <f aca="false">D506</f>
        <v>0</v>
      </c>
    </row>
    <row r="507" customFormat="false" ht="15" hidden="false" customHeight="false" outlineLevel="0" collapsed="false">
      <c r="I507" s="474" t="n">
        <f aca="false">D507</f>
        <v>0</v>
      </c>
    </row>
    <row r="508" customFormat="false" ht="15" hidden="false" customHeight="false" outlineLevel="0" collapsed="false">
      <c r="I508" s="474" t="n">
        <f aca="false">D508</f>
        <v>0</v>
      </c>
    </row>
    <row r="509" customFormat="false" ht="15" hidden="false" customHeight="false" outlineLevel="0" collapsed="false">
      <c r="I509" s="474" t="n">
        <f aca="false">D509</f>
        <v>0</v>
      </c>
    </row>
    <row r="510" customFormat="false" ht="15" hidden="false" customHeight="false" outlineLevel="0" collapsed="false">
      <c r="I510" s="474" t="n">
        <f aca="false">D510</f>
        <v>0</v>
      </c>
    </row>
    <row r="511" customFormat="false" ht="15" hidden="false" customHeight="false" outlineLevel="0" collapsed="false">
      <c r="I511" s="474" t="n">
        <f aca="false">D511</f>
        <v>0</v>
      </c>
    </row>
    <row r="512" customFormat="false" ht="15" hidden="false" customHeight="false" outlineLevel="0" collapsed="false">
      <c r="I512" s="474" t="n">
        <f aca="false">D512</f>
        <v>0</v>
      </c>
    </row>
    <row r="513" customFormat="false" ht="15" hidden="false" customHeight="false" outlineLevel="0" collapsed="false">
      <c r="I513" s="474" t="n">
        <f aca="false">D513</f>
        <v>0</v>
      </c>
    </row>
    <row r="514" customFormat="false" ht="15" hidden="false" customHeight="false" outlineLevel="0" collapsed="false">
      <c r="I514" s="474" t="n">
        <f aca="false">D514</f>
        <v>0</v>
      </c>
    </row>
    <row r="515" customFormat="false" ht="15" hidden="false" customHeight="false" outlineLevel="0" collapsed="false">
      <c r="I515" s="474" t="n">
        <f aca="false">D515</f>
        <v>0</v>
      </c>
    </row>
    <row r="516" customFormat="false" ht="15" hidden="false" customHeight="false" outlineLevel="0" collapsed="false">
      <c r="I516" s="474" t="n">
        <f aca="false">D516</f>
        <v>0</v>
      </c>
    </row>
    <row r="517" customFormat="false" ht="15" hidden="false" customHeight="false" outlineLevel="0" collapsed="false">
      <c r="I517" s="474" t="n">
        <f aca="false">D517</f>
        <v>0</v>
      </c>
    </row>
    <row r="518" customFormat="false" ht="15" hidden="false" customHeight="false" outlineLevel="0" collapsed="false">
      <c r="I518" s="474" t="n">
        <f aca="false">D518</f>
        <v>0</v>
      </c>
    </row>
    <row r="519" customFormat="false" ht="15" hidden="false" customHeight="false" outlineLevel="0" collapsed="false">
      <c r="I519" s="474" t="n">
        <f aca="false">D519</f>
        <v>0</v>
      </c>
    </row>
    <row r="520" customFormat="false" ht="15" hidden="false" customHeight="false" outlineLevel="0" collapsed="false">
      <c r="I520" s="474" t="n">
        <f aca="false">D520</f>
        <v>0</v>
      </c>
    </row>
    <row r="521" customFormat="false" ht="15" hidden="false" customHeight="false" outlineLevel="0" collapsed="false">
      <c r="I521" s="474" t="n">
        <f aca="false">D521</f>
        <v>0</v>
      </c>
    </row>
    <row r="522" customFormat="false" ht="15" hidden="false" customHeight="false" outlineLevel="0" collapsed="false">
      <c r="I522" s="474" t="n">
        <f aca="false">D522</f>
        <v>0</v>
      </c>
    </row>
    <row r="523" customFormat="false" ht="15" hidden="false" customHeight="false" outlineLevel="0" collapsed="false">
      <c r="I523" s="474" t="n">
        <f aca="false">D523</f>
        <v>0</v>
      </c>
    </row>
    <row r="524" customFormat="false" ht="15" hidden="false" customHeight="false" outlineLevel="0" collapsed="false">
      <c r="I524" s="474" t="n">
        <f aca="false">D524</f>
        <v>0</v>
      </c>
    </row>
    <row r="525" customFormat="false" ht="15" hidden="false" customHeight="false" outlineLevel="0" collapsed="false">
      <c r="I525" s="474" t="n">
        <f aca="false">D525</f>
        <v>0</v>
      </c>
    </row>
    <row r="526" customFormat="false" ht="15" hidden="false" customHeight="false" outlineLevel="0" collapsed="false">
      <c r="I526" s="474" t="n">
        <f aca="false">D526</f>
        <v>0</v>
      </c>
    </row>
    <row r="527" customFormat="false" ht="15" hidden="false" customHeight="false" outlineLevel="0" collapsed="false">
      <c r="I527" s="474" t="n">
        <f aca="false">D527</f>
        <v>0</v>
      </c>
    </row>
    <row r="528" customFormat="false" ht="15" hidden="false" customHeight="false" outlineLevel="0" collapsed="false">
      <c r="I528" s="474" t="n">
        <f aca="false">D528</f>
        <v>0</v>
      </c>
    </row>
    <row r="529" customFormat="false" ht="15" hidden="false" customHeight="false" outlineLevel="0" collapsed="false">
      <c r="I529" s="474" t="n">
        <f aca="false">D529</f>
        <v>0</v>
      </c>
    </row>
    <row r="530" customFormat="false" ht="15" hidden="false" customHeight="false" outlineLevel="0" collapsed="false">
      <c r="I530" s="474" t="n">
        <f aca="false">D530</f>
        <v>0</v>
      </c>
    </row>
    <row r="531" customFormat="false" ht="15" hidden="false" customHeight="false" outlineLevel="0" collapsed="false">
      <c r="I531" s="474" t="n">
        <f aca="false">D531</f>
        <v>0</v>
      </c>
    </row>
    <row r="532" customFormat="false" ht="15" hidden="false" customHeight="false" outlineLevel="0" collapsed="false">
      <c r="I532" s="474" t="n">
        <f aca="false">D532</f>
        <v>0</v>
      </c>
    </row>
    <row r="533" customFormat="false" ht="15" hidden="false" customHeight="false" outlineLevel="0" collapsed="false">
      <c r="I533" s="474" t="n">
        <f aca="false">D533</f>
        <v>0</v>
      </c>
    </row>
    <row r="534" customFormat="false" ht="15" hidden="false" customHeight="false" outlineLevel="0" collapsed="false">
      <c r="I534" s="474" t="n">
        <f aca="false">D534</f>
        <v>0</v>
      </c>
    </row>
    <row r="535" customFormat="false" ht="15" hidden="false" customHeight="false" outlineLevel="0" collapsed="false">
      <c r="I535" s="474" t="n">
        <f aca="false">D535</f>
        <v>0</v>
      </c>
    </row>
    <row r="536" customFormat="false" ht="15" hidden="false" customHeight="false" outlineLevel="0" collapsed="false">
      <c r="I536" s="474" t="n">
        <f aca="false">D536</f>
        <v>0</v>
      </c>
    </row>
    <row r="537" customFormat="false" ht="15" hidden="false" customHeight="false" outlineLevel="0" collapsed="false">
      <c r="I537" s="474" t="n">
        <f aca="false">D537</f>
        <v>0</v>
      </c>
    </row>
    <row r="538" customFormat="false" ht="15" hidden="false" customHeight="false" outlineLevel="0" collapsed="false">
      <c r="I538" s="474" t="n">
        <f aca="false">D538</f>
        <v>0</v>
      </c>
    </row>
    <row r="539" customFormat="false" ht="15" hidden="false" customHeight="false" outlineLevel="0" collapsed="false">
      <c r="I539" s="474" t="n">
        <f aca="false">D539</f>
        <v>0</v>
      </c>
    </row>
    <row r="540" customFormat="false" ht="15" hidden="false" customHeight="false" outlineLevel="0" collapsed="false">
      <c r="I540" s="474" t="n">
        <f aca="false">D540</f>
        <v>0</v>
      </c>
    </row>
    <row r="541" customFormat="false" ht="15" hidden="false" customHeight="false" outlineLevel="0" collapsed="false">
      <c r="I541" s="474" t="n">
        <f aca="false">D541</f>
        <v>0</v>
      </c>
    </row>
    <row r="542" customFormat="false" ht="15" hidden="false" customHeight="false" outlineLevel="0" collapsed="false">
      <c r="I542" s="474" t="n">
        <f aca="false">D542</f>
        <v>0</v>
      </c>
    </row>
    <row r="543" customFormat="false" ht="15" hidden="false" customHeight="false" outlineLevel="0" collapsed="false">
      <c r="I543" s="474" t="n">
        <f aca="false">D543</f>
        <v>0</v>
      </c>
    </row>
    <row r="544" customFormat="false" ht="15" hidden="false" customHeight="false" outlineLevel="0" collapsed="false">
      <c r="I544" s="474" t="n">
        <f aca="false">D544</f>
        <v>0</v>
      </c>
    </row>
    <row r="545" customFormat="false" ht="15" hidden="false" customHeight="false" outlineLevel="0" collapsed="false">
      <c r="I545" s="474" t="n">
        <f aca="false">D545</f>
        <v>0</v>
      </c>
    </row>
    <row r="546" customFormat="false" ht="15" hidden="false" customHeight="false" outlineLevel="0" collapsed="false">
      <c r="I546" s="474" t="n">
        <f aca="false">D546</f>
        <v>0</v>
      </c>
    </row>
    <row r="547" customFormat="false" ht="15" hidden="false" customHeight="false" outlineLevel="0" collapsed="false">
      <c r="I547" s="474" t="n">
        <f aca="false">D547</f>
        <v>0</v>
      </c>
    </row>
    <row r="548" customFormat="false" ht="15" hidden="false" customHeight="false" outlineLevel="0" collapsed="false">
      <c r="I548" s="474" t="n">
        <f aca="false">D548</f>
        <v>0</v>
      </c>
    </row>
    <row r="549" customFormat="false" ht="15" hidden="false" customHeight="false" outlineLevel="0" collapsed="false">
      <c r="I549" s="474" t="n">
        <f aca="false">D549</f>
        <v>0</v>
      </c>
    </row>
    <row r="550" customFormat="false" ht="15" hidden="false" customHeight="false" outlineLevel="0" collapsed="false">
      <c r="I550" s="474" t="n">
        <f aca="false">D550</f>
        <v>0</v>
      </c>
    </row>
    <row r="551" customFormat="false" ht="15" hidden="false" customHeight="false" outlineLevel="0" collapsed="false">
      <c r="I551" s="474" t="n">
        <f aca="false">D551</f>
        <v>0</v>
      </c>
    </row>
    <row r="552" customFormat="false" ht="15" hidden="false" customHeight="false" outlineLevel="0" collapsed="false">
      <c r="I552" s="474" t="n">
        <f aca="false">D552</f>
        <v>0</v>
      </c>
    </row>
    <row r="553" customFormat="false" ht="15" hidden="false" customHeight="false" outlineLevel="0" collapsed="false">
      <c r="I553" s="474" t="n">
        <f aca="false">D553</f>
        <v>0</v>
      </c>
    </row>
    <row r="554" customFormat="false" ht="15" hidden="false" customHeight="false" outlineLevel="0" collapsed="false">
      <c r="I554" s="474" t="n">
        <f aca="false">D554</f>
        <v>0</v>
      </c>
    </row>
    <row r="555" customFormat="false" ht="15" hidden="false" customHeight="false" outlineLevel="0" collapsed="false">
      <c r="I555" s="474" t="n">
        <f aca="false">D555</f>
        <v>0</v>
      </c>
    </row>
    <row r="556" customFormat="false" ht="15" hidden="false" customHeight="false" outlineLevel="0" collapsed="false">
      <c r="I556" s="474" t="n">
        <f aca="false">D556</f>
        <v>0</v>
      </c>
    </row>
    <row r="557" customFormat="false" ht="15" hidden="false" customHeight="false" outlineLevel="0" collapsed="false">
      <c r="I557" s="474" t="n">
        <f aca="false">D557</f>
        <v>0</v>
      </c>
    </row>
    <row r="558" customFormat="false" ht="15" hidden="false" customHeight="false" outlineLevel="0" collapsed="false">
      <c r="I558" s="474" t="n">
        <f aca="false">D558</f>
        <v>0</v>
      </c>
    </row>
    <row r="559" customFormat="false" ht="15" hidden="false" customHeight="false" outlineLevel="0" collapsed="false">
      <c r="I559" s="474" t="n">
        <f aca="false">D559</f>
        <v>0</v>
      </c>
    </row>
    <row r="560" customFormat="false" ht="15" hidden="false" customHeight="false" outlineLevel="0" collapsed="false">
      <c r="I560" s="474" t="n">
        <f aca="false">D560</f>
        <v>0</v>
      </c>
    </row>
    <row r="561" customFormat="false" ht="15" hidden="false" customHeight="false" outlineLevel="0" collapsed="false">
      <c r="I561" s="474" t="n">
        <f aca="false">D561</f>
        <v>0</v>
      </c>
    </row>
    <row r="562" customFormat="false" ht="15" hidden="false" customHeight="false" outlineLevel="0" collapsed="false">
      <c r="I562" s="474" t="n">
        <f aca="false">D562</f>
        <v>0</v>
      </c>
    </row>
    <row r="563" customFormat="false" ht="15" hidden="false" customHeight="false" outlineLevel="0" collapsed="false">
      <c r="I563" s="474" t="n">
        <f aca="false">D563</f>
        <v>0</v>
      </c>
    </row>
    <row r="564" customFormat="false" ht="15" hidden="false" customHeight="false" outlineLevel="0" collapsed="false">
      <c r="I564" s="474" t="n">
        <f aca="false">D564</f>
        <v>0</v>
      </c>
    </row>
    <row r="565" customFormat="false" ht="15" hidden="false" customHeight="false" outlineLevel="0" collapsed="false">
      <c r="I565" s="474" t="n">
        <f aca="false">D565</f>
        <v>0</v>
      </c>
    </row>
    <row r="566" customFormat="false" ht="15" hidden="false" customHeight="false" outlineLevel="0" collapsed="false">
      <c r="I566" s="474" t="n">
        <f aca="false">D566</f>
        <v>0</v>
      </c>
    </row>
    <row r="567" customFormat="false" ht="15" hidden="false" customHeight="false" outlineLevel="0" collapsed="false">
      <c r="I567" s="474" t="n">
        <f aca="false">D567</f>
        <v>0</v>
      </c>
    </row>
    <row r="568" customFormat="false" ht="15" hidden="false" customHeight="false" outlineLevel="0" collapsed="false">
      <c r="I568" s="474" t="n">
        <f aca="false">D568</f>
        <v>0</v>
      </c>
    </row>
    <row r="569" customFormat="false" ht="15" hidden="false" customHeight="false" outlineLevel="0" collapsed="false">
      <c r="I569" s="474" t="n">
        <f aca="false">D569</f>
        <v>0</v>
      </c>
    </row>
    <row r="570" customFormat="false" ht="15" hidden="false" customHeight="false" outlineLevel="0" collapsed="false">
      <c r="I570" s="474" t="n">
        <f aca="false">D570</f>
        <v>0</v>
      </c>
    </row>
    <row r="571" customFormat="false" ht="15" hidden="false" customHeight="false" outlineLevel="0" collapsed="false">
      <c r="I571" s="474" t="n">
        <f aca="false">D571</f>
        <v>0</v>
      </c>
    </row>
    <row r="572" customFormat="false" ht="15" hidden="false" customHeight="false" outlineLevel="0" collapsed="false">
      <c r="I572" s="474" t="n">
        <f aca="false">D572</f>
        <v>0</v>
      </c>
    </row>
    <row r="573" customFormat="false" ht="15" hidden="false" customHeight="false" outlineLevel="0" collapsed="false">
      <c r="I573" s="474" t="n">
        <f aca="false">D573</f>
        <v>0</v>
      </c>
    </row>
    <row r="574" customFormat="false" ht="15" hidden="false" customHeight="false" outlineLevel="0" collapsed="false">
      <c r="I574" s="474" t="n">
        <f aca="false">D574</f>
        <v>0</v>
      </c>
    </row>
    <row r="575" customFormat="false" ht="15" hidden="false" customHeight="false" outlineLevel="0" collapsed="false">
      <c r="I575" s="474" t="n">
        <f aca="false">D575</f>
        <v>0</v>
      </c>
    </row>
    <row r="576" customFormat="false" ht="15" hidden="false" customHeight="false" outlineLevel="0" collapsed="false">
      <c r="I576" s="474" t="n">
        <f aca="false">D576</f>
        <v>0</v>
      </c>
    </row>
    <row r="577" customFormat="false" ht="15" hidden="false" customHeight="false" outlineLevel="0" collapsed="false">
      <c r="I577" s="474" t="n">
        <f aca="false">D577</f>
        <v>0</v>
      </c>
    </row>
    <row r="578" customFormat="false" ht="15" hidden="false" customHeight="false" outlineLevel="0" collapsed="false">
      <c r="I578" s="474" t="n">
        <f aca="false">D578</f>
        <v>0</v>
      </c>
    </row>
    <row r="579" customFormat="false" ht="15" hidden="false" customHeight="false" outlineLevel="0" collapsed="false">
      <c r="I579" s="474" t="n">
        <f aca="false">D579</f>
        <v>0</v>
      </c>
    </row>
    <row r="580" customFormat="false" ht="15" hidden="false" customHeight="false" outlineLevel="0" collapsed="false">
      <c r="I580" s="474" t="n">
        <f aca="false">D580</f>
        <v>0</v>
      </c>
    </row>
    <row r="581" customFormat="false" ht="15" hidden="false" customHeight="false" outlineLevel="0" collapsed="false">
      <c r="I581" s="474" t="n">
        <f aca="false">D581</f>
        <v>0</v>
      </c>
    </row>
    <row r="582" customFormat="false" ht="15" hidden="false" customHeight="false" outlineLevel="0" collapsed="false">
      <c r="I582" s="474" t="n">
        <f aca="false">D582</f>
        <v>0</v>
      </c>
    </row>
  </sheetData>
  <autoFilter ref="H11:I582"/>
  <mergeCells count="6">
    <mergeCell ref="A2:E2"/>
    <mergeCell ref="A4:E4"/>
    <mergeCell ref="B5:B8"/>
    <mergeCell ref="C5:C8"/>
    <mergeCell ref="D5:D8"/>
    <mergeCell ref="E5:E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84"/>
  <sheetViews>
    <sheetView showFormulas="false" showGridLines="true" showRowColHeaders="true" showZeros="true" rightToLeft="false" tabSelected="false" showOutlineSymbols="true" defaultGridColor="true" view="normal" topLeftCell="A496" colorId="64" zoomScale="100" zoomScaleNormal="100" zoomScalePageLayoutView="100" workbookViewId="0">
      <selection pane="topLeft" activeCell="F515" activeCellId="0" sqref="F515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4.14"/>
    <col collapsed="false" customWidth="true" hidden="false" outlineLevel="0" max="2" min="2" style="0" width="10.42"/>
    <col collapsed="false" customWidth="true" hidden="false" outlineLevel="0" max="3" min="3" style="0" width="13.86"/>
    <col collapsed="false" customWidth="true" hidden="false" outlineLevel="0" max="4" min="4" style="0" width="14.57"/>
    <col collapsed="false" customWidth="true" hidden="false" outlineLevel="0" max="5" min="5" style="0" width="12.29"/>
    <col collapsed="false" customWidth="true" hidden="false" outlineLevel="0" max="7" min="6" style="0" width="9"/>
    <col collapsed="false" customWidth="true" hidden="false" outlineLevel="0" max="8" min="8" style="0" width="13.29"/>
    <col collapsed="false" customWidth="true" hidden="false" outlineLevel="0" max="9" min="9" style="0" width="12.71"/>
    <col collapsed="false" customWidth="true" hidden="false" outlineLevel="0" max="10" min="10" style="0" width="8.86"/>
    <col collapsed="false" customWidth="true" hidden="false" outlineLevel="0" max="224" min="224" style="0" width="48.57"/>
    <col collapsed="false" customWidth="true" hidden="false" outlineLevel="0" max="225" min="225" style="0" width="11.57"/>
    <col collapsed="false" customWidth="true" hidden="false" outlineLevel="0" max="226" min="226" style="0" width="15.29"/>
    <col collapsed="false" customWidth="true" hidden="false" outlineLevel="0" max="227" min="227" style="0" width="16"/>
    <col collapsed="false" customWidth="true" hidden="false" outlineLevel="0" max="228" min="228" style="0" width="13.57"/>
    <col collapsed="false" customWidth="true" hidden="false" outlineLevel="0" max="236" min="229" style="0" width="9"/>
    <col collapsed="false" customWidth="true" hidden="false" outlineLevel="0" max="480" min="480" style="0" width="48.57"/>
    <col collapsed="false" customWidth="true" hidden="false" outlineLevel="0" max="481" min="481" style="0" width="11.57"/>
    <col collapsed="false" customWidth="true" hidden="false" outlineLevel="0" max="482" min="482" style="0" width="15.29"/>
    <col collapsed="false" customWidth="true" hidden="false" outlineLevel="0" max="483" min="483" style="0" width="16"/>
    <col collapsed="false" customWidth="true" hidden="false" outlineLevel="0" max="484" min="484" style="0" width="13.57"/>
    <col collapsed="false" customWidth="true" hidden="false" outlineLevel="0" max="492" min="485" style="0" width="9"/>
    <col collapsed="false" customWidth="true" hidden="false" outlineLevel="0" max="736" min="736" style="0" width="48.57"/>
    <col collapsed="false" customWidth="true" hidden="false" outlineLevel="0" max="737" min="737" style="0" width="11.57"/>
    <col collapsed="false" customWidth="true" hidden="false" outlineLevel="0" max="738" min="738" style="0" width="15.29"/>
    <col collapsed="false" customWidth="true" hidden="false" outlineLevel="0" max="739" min="739" style="0" width="16"/>
    <col collapsed="false" customWidth="true" hidden="false" outlineLevel="0" max="740" min="740" style="0" width="13.57"/>
    <col collapsed="false" customWidth="true" hidden="false" outlineLevel="0" max="748" min="741" style="0" width="9"/>
    <col collapsed="false" customWidth="true" hidden="false" outlineLevel="0" max="992" min="992" style="0" width="48.57"/>
    <col collapsed="false" customWidth="true" hidden="false" outlineLevel="0" max="993" min="993" style="0" width="11.57"/>
    <col collapsed="false" customWidth="true" hidden="false" outlineLevel="0" max="994" min="994" style="0" width="15.29"/>
    <col collapsed="false" customWidth="true" hidden="false" outlineLevel="0" max="995" min="995" style="0" width="16"/>
    <col collapsed="false" customWidth="true" hidden="false" outlineLevel="0" max="996" min="996" style="0" width="13.57"/>
    <col collapsed="false" customWidth="true" hidden="false" outlineLevel="0" max="1004" min="997" style="0" width="9"/>
    <col collapsed="false" customWidth="true" hidden="false" outlineLevel="0" max="1248" min="1248" style="0" width="48.57"/>
    <col collapsed="false" customWidth="true" hidden="false" outlineLevel="0" max="1249" min="1249" style="0" width="11.57"/>
    <col collapsed="false" customWidth="true" hidden="false" outlineLevel="0" max="1250" min="1250" style="0" width="15.29"/>
    <col collapsed="false" customWidth="true" hidden="false" outlineLevel="0" max="1251" min="1251" style="0" width="16"/>
    <col collapsed="false" customWidth="true" hidden="false" outlineLevel="0" max="1252" min="1252" style="0" width="13.57"/>
    <col collapsed="false" customWidth="true" hidden="false" outlineLevel="0" max="1260" min="1253" style="0" width="9"/>
    <col collapsed="false" customWidth="true" hidden="false" outlineLevel="0" max="1504" min="1504" style="0" width="48.57"/>
    <col collapsed="false" customWidth="true" hidden="false" outlineLevel="0" max="1505" min="1505" style="0" width="11.57"/>
    <col collapsed="false" customWidth="true" hidden="false" outlineLevel="0" max="1506" min="1506" style="0" width="15.29"/>
    <col collapsed="false" customWidth="true" hidden="false" outlineLevel="0" max="1507" min="1507" style="0" width="16"/>
    <col collapsed="false" customWidth="true" hidden="false" outlineLevel="0" max="1508" min="1508" style="0" width="13.57"/>
    <col collapsed="false" customWidth="true" hidden="false" outlineLevel="0" max="1516" min="1509" style="0" width="9"/>
    <col collapsed="false" customWidth="true" hidden="false" outlineLevel="0" max="1760" min="1760" style="0" width="48.57"/>
    <col collapsed="false" customWidth="true" hidden="false" outlineLevel="0" max="1761" min="1761" style="0" width="11.57"/>
    <col collapsed="false" customWidth="true" hidden="false" outlineLevel="0" max="1762" min="1762" style="0" width="15.29"/>
    <col collapsed="false" customWidth="true" hidden="false" outlineLevel="0" max="1763" min="1763" style="0" width="16"/>
    <col collapsed="false" customWidth="true" hidden="false" outlineLevel="0" max="1764" min="1764" style="0" width="13.57"/>
    <col collapsed="false" customWidth="true" hidden="false" outlineLevel="0" max="1772" min="1765" style="0" width="9"/>
    <col collapsed="false" customWidth="true" hidden="false" outlineLevel="0" max="2016" min="2016" style="0" width="48.57"/>
    <col collapsed="false" customWidth="true" hidden="false" outlineLevel="0" max="2017" min="2017" style="0" width="11.57"/>
    <col collapsed="false" customWidth="true" hidden="false" outlineLevel="0" max="2018" min="2018" style="0" width="15.29"/>
    <col collapsed="false" customWidth="true" hidden="false" outlineLevel="0" max="2019" min="2019" style="0" width="16"/>
    <col collapsed="false" customWidth="true" hidden="false" outlineLevel="0" max="2020" min="2020" style="0" width="13.57"/>
    <col collapsed="false" customWidth="true" hidden="false" outlineLevel="0" max="2028" min="2021" style="0" width="9"/>
    <col collapsed="false" customWidth="true" hidden="false" outlineLevel="0" max="2272" min="2272" style="0" width="48.57"/>
    <col collapsed="false" customWidth="true" hidden="false" outlineLevel="0" max="2273" min="2273" style="0" width="11.57"/>
    <col collapsed="false" customWidth="true" hidden="false" outlineLevel="0" max="2274" min="2274" style="0" width="15.29"/>
    <col collapsed="false" customWidth="true" hidden="false" outlineLevel="0" max="2275" min="2275" style="0" width="16"/>
    <col collapsed="false" customWidth="true" hidden="false" outlineLevel="0" max="2276" min="2276" style="0" width="13.57"/>
    <col collapsed="false" customWidth="true" hidden="false" outlineLevel="0" max="2284" min="2277" style="0" width="9"/>
    <col collapsed="false" customWidth="true" hidden="false" outlineLevel="0" max="2528" min="2528" style="0" width="48.57"/>
    <col collapsed="false" customWidth="true" hidden="false" outlineLevel="0" max="2529" min="2529" style="0" width="11.57"/>
    <col collapsed="false" customWidth="true" hidden="false" outlineLevel="0" max="2530" min="2530" style="0" width="15.29"/>
    <col collapsed="false" customWidth="true" hidden="false" outlineLevel="0" max="2531" min="2531" style="0" width="16"/>
    <col collapsed="false" customWidth="true" hidden="false" outlineLevel="0" max="2532" min="2532" style="0" width="13.57"/>
    <col collapsed="false" customWidth="true" hidden="false" outlineLevel="0" max="2540" min="2533" style="0" width="9"/>
    <col collapsed="false" customWidth="true" hidden="false" outlineLevel="0" max="2784" min="2784" style="0" width="48.57"/>
    <col collapsed="false" customWidth="true" hidden="false" outlineLevel="0" max="2785" min="2785" style="0" width="11.57"/>
    <col collapsed="false" customWidth="true" hidden="false" outlineLevel="0" max="2786" min="2786" style="0" width="15.29"/>
    <col collapsed="false" customWidth="true" hidden="false" outlineLevel="0" max="2787" min="2787" style="0" width="16"/>
    <col collapsed="false" customWidth="true" hidden="false" outlineLevel="0" max="2788" min="2788" style="0" width="13.57"/>
    <col collapsed="false" customWidth="true" hidden="false" outlineLevel="0" max="2796" min="2789" style="0" width="9"/>
    <col collapsed="false" customWidth="true" hidden="false" outlineLevel="0" max="3040" min="3040" style="0" width="48.57"/>
    <col collapsed="false" customWidth="true" hidden="false" outlineLevel="0" max="3041" min="3041" style="0" width="11.57"/>
    <col collapsed="false" customWidth="true" hidden="false" outlineLevel="0" max="3042" min="3042" style="0" width="15.29"/>
    <col collapsed="false" customWidth="true" hidden="false" outlineLevel="0" max="3043" min="3043" style="0" width="16"/>
    <col collapsed="false" customWidth="true" hidden="false" outlineLevel="0" max="3044" min="3044" style="0" width="13.57"/>
    <col collapsed="false" customWidth="true" hidden="false" outlineLevel="0" max="3052" min="3045" style="0" width="9"/>
    <col collapsed="false" customWidth="true" hidden="false" outlineLevel="0" max="3296" min="3296" style="0" width="48.57"/>
    <col collapsed="false" customWidth="true" hidden="false" outlineLevel="0" max="3297" min="3297" style="0" width="11.57"/>
    <col collapsed="false" customWidth="true" hidden="false" outlineLevel="0" max="3298" min="3298" style="0" width="15.29"/>
    <col collapsed="false" customWidth="true" hidden="false" outlineLevel="0" max="3299" min="3299" style="0" width="16"/>
    <col collapsed="false" customWidth="true" hidden="false" outlineLevel="0" max="3300" min="3300" style="0" width="13.57"/>
    <col collapsed="false" customWidth="true" hidden="false" outlineLevel="0" max="3308" min="3301" style="0" width="9"/>
    <col collapsed="false" customWidth="true" hidden="false" outlineLevel="0" max="3552" min="3552" style="0" width="48.57"/>
    <col collapsed="false" customWidth="true" hidden="false" outlineLevel="0" max="3553" min="3553" style="0" width="11.57"/>
    <col collapsed="false" customWidth="true" hidden="false" outlineLevel="0" max="3554" min="3554" style="0" width="15.29"/>
    <col collapsed="false" customWidth="true" hidden="false" outlineLevel="0" max="3555" min="3555" style="0" width="16"/>
    <col collapsed="false" customWidth="true" hidden="false" outlineLevel="0" max="3556" min="3556" style="0" width="13.57"/>
    <col collapsed="false" customWidth="true" hidden="false" outlineLevel="0" max="3564" min="3557" style="0" width="9"/>
    <col collapsed="false" customWidth="true" hidden="false" outlineLevel="0" max="3808" min="3808" style="0" width="48.57"/>
    <col collapsed="false" customWidth="true" hidden="false" outlineLevel="0" max="3809" min="3809" style="0" width="11.57"/>
    <col collapsed="false" customWidth="true" hidden="false" outlineLevel="0" max="3810" min="3810" style="0" width="15.29"/>
    <col collapsed="false" customWidth="true" hidden="false" outlineLevel="0" max="3811" min="3811" style="0" width="16"/>
    <col collapsed="false" customWidth="true" hidden="false" outlineLevel="0" max="3812" min="3812" style="0" width="13.57"/>
    <col collapsed="false" customWidth="true" hidden="false" outlineLevel="0" max="3820" min="3813" style="0" width="9"/>
    <col collapsed="false" customWidth="true" hidden="false" outlineLevel="0" max="4064" min="4064" style="0" width="48.57"/>
    <col collapsed="false" customWidth="true" hidden="false" outlineLevel="0" max="4065" min="4065" style="0" width="11.57"/>
    <col collapsed="false" customWidth="true" hidden="false" outlineLevel="0" max="4066" min="4066" style="0" width="15.29"/>
    <col collapsed="false" customWidth="true" hidden="false" outlineLevel="0" max="4067" min="4067" style="0" width="16"/>
    <col collapsed="false" customWidth="true" hidden="false" outlineLevel="0" max="4068" min="4068" style="0" width="13.57"/>
    <col collapsed="false" customWidth="true" hidden="false" outlineLevel="0" max="4076" min="4069" style="0" width="9"/>
    <col collapsed="false" customWidth="true" hidden="false" outlineLevel="0" max="4320" min="4320" style="0" width="48.57"/>
    <col collapsed="false" customWidth="true" hidden="false" outlineLevel="0" max="4321" min="4321" style="0" width="11.57"/>
    <col collapsed="false" customWidth="true" hidden="false" outlineLevel="0" max="4322" min="4322" style="0" width="15.29"/>
    <col collapsed="false" customWidth="true" hidden="false" outlineLevel="0" max="4323" min="4323" style="0" width="16"/>
    <col collapsed="false" customWidth="true" hidden="false" outlineLevel="0" max="4324" min="4324" style="0" width="13.57"/>
    <col collapsed="false" customWidth="true" hidden="false" outlineLevel="0" max="4332" min="4325" style="0" width="9"/>
    <col collapsed="false" customWidth="true" hidden="false" outlineLevel="0" max="4576" min="4576" style="0" width="48.57"/>
    <col collapsed="false" customWidth="true" hidden="false" outlineLevel="0" max="4577" min="4577" style="0" width="11.57"/>
    <col collapsed="false" customWidth="true" hidden="false" outlineLevel="0" max="4578" min="4578" style="0" width="15.29"/>
    <col collapsed="false" customWidth="true" hidden="false" outlineLevel="0" max="4579" min="4579" style="0" width="16"/>
    <col collapsed="false" customWidth="true" hidden="false" outlineLevel="0" max="4580" min="4580" style="0" width="13.57"/>
    <col collapsed="false" customWidth="true" hidden="false" outlineLevel="0" max="4588" min="4581" style="0" width="9"/>
    <col collapsed="false" customWidth="true" hidden="false" outlineLevel="0" max="4832" min="4832" style="0" width="48.57"/>
    <col collapsed="false" customWidth="true" hidden="false" outlineLevel="0" max="4833" min="4833" style="0" width="11.57"/>
    <col collapsed="false" customWidth="true" hidden="false" outlineLevel="0" max="4834" min="4834" style="0" width="15.29"/>
    <col collapsed="false" customWidth="true" hidden="false" outlineLevel="0" max="4835" min="4835" style="0" width="16"/>
    <col collapsed="false" customWidth="true" hidden="false" outlineLevel="0" max="4836" min="4836" style="0" width="13.57"/>
    <col collapsed="false" customWidth="true" hidden="false" outlineLevel="0" max="4844" min="4837" style="0" width="9"/>
    <col collapsed="false" customWidth="true" hidden="false" outlineLevel="0" max="5088" min="5088" style="0" width="48.57"/>
    <col collapsed="false" customWidth="true" hidden="false" outlineLevel="0" max="5089" min="5089" style="0" width="11.57"/>
    <col collapsed="false" customWidth="true" hidden="false" outlineLevel="0" max="5090" min="5090" style="0" width="15.29"/>
    <col collapsed="false" customWidth="true" hidden="false" outlineLevel="0" max="5091" min="5091" style="0" width="16"/>
    <col collapsed="false" customWidth="true" hidden="false" outlineLevel="0" max="5092" min="5092" style="0" width="13.57"/>
    <col collapsed="false" customWidth="true" hidden="false" outlineLevel="0" max="5100" min="5093" style="0" width="9"/>
    <col collapsed="false" customWidth="true" hidden="false" outlineLevel="0" max="5344" min="5344" style="0" width="48.57"/>
    <col collapsed="false" customWidth="true" hidden="false" outlineLevel="0" max="5345" min="5345" style="0" width="11.57"/>
    <col collapsed="false" customWidth="true" hidden="false" outlineLevel="0" max="5346" min="5346" style="0" width="15.29"/>
    <col collapsed="false" customWidth="true" hidden="false" outlineLevel="0" max="5347" min="5347" style="0" width="16"/>
    <col collapsed="false" customWidth="true" hidden="false" outlineLevel="0" max="5348" min="5348" style="0" width="13.57"/>
    <col collapsed="false" customWidth="true" hidden="false" outlineLevel="0" max="5356" min="5349" style="0" width="9"/>
    <col collapsed="false" customWidth="true" hidden="false" outlineLevel="0" max="5600" min="5600" style="0" width="48.57"/>
    <col collapsed="false" customWidth="true" hidden="false" outlineLevel="0" max="5601" min="5601" style="0" width="11.57"/>
    <col collapsed="false" customWidth="true" hidden="false" outlineLevel="0" max="5602" min="5602" style="0" width="15.29"/>
    <col collapsed="false" customWidth="true" hidden="false" outlineLevel="0" max="5603" min="5603" style="0" width="16"/>
    <col collapsed="false" customWidth="true" hidden="false" outlineLevel="0" max="5604" min="5604" style="0" width="13.57"/>
    <col collapsed="false" customWidth="true" hidden="false" outlineLevel="0" max="5612" min="5605" style="0" width="9"/>
    <col collapsed="false" customWidth="true" hidden="false" outlineLevel="0" max="5856" min="5856" style="0" width="48.57"/>
    <col collapsed="false" customWidth="true" hidden="false" outlineLevel="0" max="5857" min="5857" style="0" width="11.57"/>
    <col collapsed="false" customWidth="true" hidden="false" outlineLevel="0" max="5858" min="5858" style="0" width="15.29"/>
    <col collapsed="false" customWidth="true" hidden="false" outlineLevel="0" max="5859" min="5859" style="0" width="16"/>
    <col collapsed="false" customWidth="true" hidden="false" outlineLevel="0" max="5860" min="5860" style="0" width="13.57"/>
    <col collapsed="false" customWidth="true" hidden="false" outlineLevel="0" max="5868" min="5861" style="0" width="9"/>
    <col collapsed="false" customWidth="true" hidden="false" outlineLevel="0" max="6112" min="6112" style="0" width="48.57"/>
    <col collapsed="false" customWidth="true" hidden="false" outlineLevel="0" max="6113" min="6113" style="0" width="11.57"/>
    <col collapsed="false" customWidth="true" hidden="false" outlineLevel="0" max="6114" min="6114" style="0" width="15.29"/>
    <col collapsed="false" customWidth="true" hidden="false" outlineLevel="0" max="6115" min="6115" style="0" width="16"/>
    <col collapsed="false" customWidth="true" hidden="false" outlineLevel="0" max="6116" min="6116" style="0" width="13.57"/>
    <col collapsed="false" customWidth="true" hidden="false" outlineLevel="0" max="6124" min="6117" style="0" width="9"/>
    <col collapsed="false" customWidth="true" hidden="false" outlineLevel="0" max="6368" min="6368" style="0" width="48.57"/>
    <col collapsed="false" customWidth="true" hidden="false" outlineLevel="0" max="6369" min="6369" style="0" width="11.57"/>
    <col collapsed="false" customWidth="true" hidden="false" outlineLevel="0" max="6370" min="6370" style="0" width="15.29"/>
    <col collapsed="false" customWidth="true" hidden="false" outlineLevel="0" max="6371" min="6371" style="0" width="16"/>
    <col collapsed="false" customWidth="true" hidden="false" outlineLevel="0" max="6372" min="6372" style="0" width="13.57"/>
    <col collapsed="false" customWidth="true" hidden="false" outlineLevel="0" max="6380" min="6373" style="0" width="9"/>
    <col collapsed="false" customWidth="true" hidden="false" outlineLevel="0" max="6624" min="6624" style="0" width="48.57"/>
    <col collapsed="false" customWidth="true" hidden="false" outlineLevel="0" max="6625" min="6625" style="0" width="11.57"/>
    <col collapsed="false" customWidth="true" hidden="false" outlineLevel="0" max="6626" min="6626" style="0" width="15.29"/>
    <col collapsed="false" customWidth="true" hidden="false" outlineLevel="0" max="6627" min="6627" style="0" width="16"/>
    <col collapsed="false" customWidth="true" hidden="false" outlineLevel="0" max="6628" min="6628" style="0" width="13.57"/>
    <col collapsed="false" customWidth="true" hidden="false" outlineLevel="0" max="6636" min="6629" style="0" width="9"/>
    <col collapsed="false" customWidth="true" hidden="false" outlineLevel="0" max="6880" min="6880" style="0" width="48.57"/>
    <col collapsed="false" customWidth="true" hidden="false" outlineLevel="0" max="6881" min="6881" style="0" width="11.57"/>
    <col collapsed="false" customWidth="true" hidden="false" outlineLevel="0" max="6882" min="6882" style="0" width="15.29"/>
    <col collapsed="false" customWidth="true" hidden="false" outlineLevel="0" max="6883" min="6883" style="0" width="16"/>
    <col collapsed="false" customWidth="true" hidden="false" outlineLevel="0" max="6884" min="6884" style="0" width="13.57"/>
    <col collapsed="false" customWidth="true" hidden="false" outlineLevel="0" max="6892" min="6885" style="0" width="9"/>
    <col collapsed="false" customWidth="true" hidden="false" outlineLevel="0" max="7136" min="7136" style="0" width="48.57"/>
    <col collapsed="false" customWidth="true" hidden="false" outlineLevel="0" max="7137" min="7137" style="0" width="11.57"/>
    <col collapsed="false" customWidth="true" hidden="false" outlineLevel="0" max="7138" min="7138" style="0" width="15.29"/>
    <col collapsed="false" customWidth="true" hidden="false" outlineLevel="0" max="7139" min="7139" style="0" width="16"/>
    <col collapsed="false" customWidth="true" hidden="false" outlineLevel="0" max="7140" min="7140" style="0" width="13.57"/>
    <col collapsed="false" customWidth="true" hidden="false" outlineLevel="0" max="7148" min="7141" style="0" width="9"/>
    <col collapsed="false" customWidth="true" hidden="false" outlineLevel="0" max="7392" min="7392" style="0" width="48.57"/>
    <col collapsed="false" customWidth="true" hidden="false" outlineLevel="0" max="7393" min="7393" style="0" width="11.57"/>
    <col collapsed="false" customWidth="true" hidden="false" outlineLevel="0" max="7394" min="7394" style="0" width="15.29"/>
    <col collapsed="false" customWidth="true" hidden="false" outlineLevel="0" max="7395" min="7395" style="0" width="16"/>
    <col collapsed="false" customWidth="true" hidden="false" outlineLevel="0" max="7396" min="7396" style="0" width="13.57"/>
    <col collapsed="false" customWidth="true" hidden="false" outlineLevel="0" max="7404" min="7397" style="0" width="9"/>
    <col collapsed="false" customWidth="true" hidden="false" outlineLevel="0" max="7648" min="7648" style="0" width="48.57"/>
    <col collapsed="false" customWidth="true" hidden="false" outlineLevel="0" max="7649" min="7649" style="0" width="11.57"/>
    <col collapsed="false" customWidth="true" hidden="false" outlineLevel="0" max="7650" min="7650" style="0" width="15.29"/>
    <col collapsed="false" customWidth="true" hidden="false" outlineLevel="0" max="7651" min="7651" style="0" width="16"/>
    <col collapsed="false" customWidth="true" hidden="false" outlineLevel="0" max="7652" min="7652" style="0" width="13.57"/>
    <col collapsed="false" customWidth="true" hidden="false" outlineLevel="0" max="7660" min="7653" style="0" width="9"/>
    <col collapsed="false" customWidth="true" hidden="false" outlineLevel="0" max="7904" min="7904" style="0" width="48.57"/>
    <col collapsed="false" customWidth="true" hidden="false" outlineLevel="0" max="7905" min="7905" style="0" width="11.57"/>
    <col collapsed="false" customWidth="true" hidden="false" outlineLevel="0" max="7906" min="7906" style="0" width="15.29"/>
    <col collapsed="false" customWidth="true" hidden="false" outlineLevel="0" max="7907" min="7907" style="0" width="16"/>
    <col collapsed="false" customWidth="true" hidden="false" outlineLevel="0" max="7908" min="7908" style="0" width="13.57"/>
    <col collapsed="false" customWidth="true" hidden="false" outlineLevel="0" max="7916" min="7909" style="0" width="9"/>
    <col collapsed="false" customWidth="true" hidden="false" outlineLevel="0" max="8160" min="8160" style="0" width="48.57"/>
    <col collapsed="false" customWidth="true" hidden="false" outlineLevel="0" max="8161" min="8161" style="0" width="11.57"/>
    <col collapsed="false" customWidth="true" hidden="false" outlineLevel="0" max="8162" min="8162" style="0" width="15.29"/>
    <col collapsed="false" customWidth="true" hidden="false" outlineLevel="0" max="8163" min="8163" style="0" width="16"/>
    <col collapsed="false" customWidth="true" hidden="false" outlineLevel="0" max="8164" min="8164" style="0" width="13.57"/>
    <col collapsed="false" customWidth="true" hidden="false" outlineLevel="0" max="8172" min="8165" style="0" width="9"/>
    <col collapsed="false" customWidth="true" hidden="false" outlineLevel="0" max="8416" min="8416" style="0" width="48.57"/>
    <col collapsed="false" customWidth="true" hidden="false" outlineLevel="0" max="8417" min="8417" style="0" width="11.57"/>
    <col collapsed="false" customWidth="true" hidden="false" outlineLevel="0" max="8418" min="8418" style="0" width="15.29"/>
    <col collapsed="false" customWidth="true" hidden="false" outlineLevel="0" max="8419" min="8419" style="0" width="16"/>
    <col collapsed="false" customWidth="true" hidden="false" outlineLevel="0" max="8420" min="8420" style="0" width="13.57"/>
    <col collapsed="false" customWidth="true" hidden="false" outlineLevel="0" max="8428" min="8421" style="0" width="9"/>
    <col collapsed="false" customWidth="true" hidden="false" outlineLevel="0" max="8672" min="8672" style="0" width="48.57"/>
    <col collapsed="false" customWidth="true" hidden="false" outlineLevel="0" max="8673" min="8673" style="0" width="11.57"/>
    <col collapsed="false" customWidth="true" hidden="false" outlineLevel="0" max="8674" min="8674" style="0" width="15.29"/>
    <col collapsed="false" customWidth="true" hidden="false" outlineLevel="0" max="8675" min="8675" style="0" width="16"/>
    <col collapsed="false" customWidth="true" hidden="false" outlineLevel="0" max="8676" min="8676" style="0" width="13.57"/>
    <col collapsed="false" customWidth="true" hidden="false" outlineLevel="0" max="8684" min="8677" style="0" width="9"/>
    <col collapsed="false" customWidth="true" hidden="false" outlineLevel="0" max="8928" min="8928" style="0" width="48.57"/>
    <col collapsed="false" customWidth="true" hidden="false" outlineLevel="0" max="8929" min="8929" style="0" width="11.57"/>
    <col collapsed="false" customWidth="true" hidden="false" outlineLevel="0" max="8930" min="8930" style="0" width="15.29"/>
    <col collapsed="false" customWidth="true" hidden="false" outlineLevel="0" max="8931" min="8931" style="0" width="16"/>
    <col collapsed="false" customWidth="true" hidden="false" outlineLevel="0" max="8932" min="8932" style="0" width="13.57"/>
    <col collapsed="false" customWidth="true" hidden="false" outlineLevel="0" max="8940" min="8933" style="0" width="9"/>
    <col collapsed="false" customWidth="true" hidden="false" outlineLevel="0" max="9184" min="9184" style="0" width="48.57"/>
    <col collapsed="false" customWidth="true" hidden="false" outlineLevel="0" max="9185" min="9185" style="0" width="11.57"/>
    <col collapsed="false" customWidth="true" hidden="false" outlineLevel="0" max="9186" min="9186" style="0" width="15.29"/>
    <col collapsed="false" customWidth="true" hidden="false" outlineLevel="0" max="9187" min="9187" style="0" width="16"/>
    <col collapsed="false" customWidth="true" hidden="false" outlineLevel="0" max="9188" min="9188" style="0" width="13.57"/>
    <col collapsed="false" customWidth="true" hidden="false" outlineLevel="0" max="9196" min="9189" style="0" width="9"/>
    <col collapsed="false" customWidth="true" hidden="false" outlineLevel="0" max="9440" min="9440" style="0" width="48.57"/>
    <col collapsed="false" customWidth="true" hidden="false" outlineLevel="0" max="9441" min="9441" style="0" width="11.57"/>
    <col collapsed="false" customWidth="true" hidden="false" outlineLevel="0" max="9442" min="9442" style="0" width="15.29"/>
    <col collapsed="false" customWidth="true" hidden="false" outlineLevel="0" max="9443" min="9443" style="0" width="16"/>
    <col collapsed="false" customWidth="true" hidden="false" outlineLevel="0" max="9444" min="9444" style="0" width="13.57"/>
    <col collapsed="false" customWidth="true" hidden="false" outlineLevel="0" max="9452" min="9445" style="0" width="9"/>
    <col collapsed="false" customWidth="true" hidden="false" outlineLevel="0" max="9696" min="9696" style="0" width="48.57"/>
    <col collapsed="false" customWidth="true" hidden="false" outlineLevel="0" max="9697" min="9697" style="0" width="11.57"/>
    <col collapsed="false" customWidth="true" hidden="false" outlineLevel="0" max="9698" min="9698" style="0" width="15.29"/>
    <col collapsed="false" customWidth="true" hidden="false" outlineLevel="0" max="9699" min="9699" style="0" width="16"/>
    <col collapsed="false" customWidth="true" hidden="false" outlineLevel="0" max="9700" min="9700" style="0" width="13.57"/>
    <col collapsed="false" customWidth="true" hidden="false" outlineLevel="0" max="9708" min="9701" style="0" width="9"/>
    <col collapsed="false" customWidth="true" hidden="false" outlineLevel="0" max="9952" min="9952" style="0" width="48.57"/>
    <col collapsed="false" customWidth="true" hidden="false" outlineLevel="0" max="9953" min="9953" style="0" width="11.57"/>
    <col collapsed="false" customWidth="true" hidden="false" outlineLevel="0" max="9954" min="9954" style="0" width="15.29"/>
    <col collapsed="false" customWidth="true" hidden="false" outlineLevel="0" max="9955" min="9955" style="0" width="16"/>
    <col collapsed="false" customWidth="true" hidden="false" outlineLevel="0" max="9956" min="9956" style="0" width="13.57"/>
    <col collapsed="false" customWidth="true" hidden="false" outlineLevel="0" max="9964" min="9957" style="0" width="9"/>
    <col collapsed="false" customWidth="true" hidden="false" outlineLevel="0" max="10208" min="10208" style="0" width="48.57"/>
    <col collapsed="false" customWidth="true" hidden="false" outlineLevel="0" max="10209" min="10209" style="0" width="11.57"/>
    <col collapsed="false" customWidth="true" hidden="false" outlineLevel="0" max="10210" min="10210" style="0" width="15.29"/>
    <col collapsed="false" customWidth="true" hidden="false" outlineLevel="0" max="10211" min="10211" style="0" width="16"/>
    <col collapsed="false" customWidth="true" hidden="false" outlineLevel="0" max="10212" min="10212" style="0" width="13.57"/>
    <col collapsed="false" customWidth="true" hidden="false" outlineLevel="0" max="10220" min="10213" style="0" width="9"/>
    <col collapsed="false" customWidth="true" hidden="false" outlineLevel="0" max="10464" min="10464" style="0" width="48.57"/>
    <col collapsed="false" customWidth="true" hidden="false" outlineLevel="0" max="10465" min="10465" style="0" width="11.57"/>
    <col collapsed="false" customWidth="true" hidden="false" outlineLevel="0" max="10466" min="10466" style="0" width="15.29"/>
    <col collapsed="false" customWidth="true" hidden="false" outlineLevel="0" max="10467" min="10467" style="0" width="16"/>
    <col collapsed="false" customWidth="true" hidden="false" outlineLevel="0" max="10468" min="10468" style="0" width="13.57"/>
    <col collapsed="false" customWidth="true" hidden="false" outlineLevel="0" max="10476" min="10469" style="0" width="9"/>
    <col collapsed="false" customWidth="true" hidden="false" outlineLevel="0" max="10720" min="10720" style="0" width="48.57"/>
    <col collapsed="false" customWidth="true" hidden="false" outlineLevel="0" max="10721" min="10721" style="0" width="11.57"/>
    <col collapsed="false" customWidth="true" hidden="false" outlineLevel="0" max="10722" min="10722" style="0" width="15.29"/>
    <col collapsed="false" customWidth="true" hidden="false" outlineLevel="0" max="10723" min="10723" style="0" width="16"/>
    <col collapsed="false" customWidth="true" hidden="false" outlineLevel="0" max="10724" min="10724" style="0" width="13.57"/>
    <col collapsed="false" customWidth="true" hidden="false" outlineLevel="0" max="10732" min="10725" style="0" width="9"/>
    <col collapsed="false" customWidth="true" hidden="false" outlineLevel="0" max="10976" min="10976" style="0" width="48.57"/>
    <col collapsed="false" customWidth="true" hidden="false" outlineLevel="0" max="10977" min="10977" style="0" width="11.57"/>
    <col collapsed="false" customWidth="true" hidden="false" outlineLevel="0" max="10978" min="10978" style="0" width="15.29"/>
    <col collapsed="false" customWidth="true" hidden="false" outlineLevel="0" max="10979" min="10979" style="0" width="16"/>
    <col collapsed="false" customWidth="true" hidden="false" outlineLevel="0" max="10980" min="10980" style="0" width="13.57"/>
    <col collapsed="false" customWidth="true" hidden="false" outlineLevel="0" max="10988" min="10981" style="0" width="9"/>
    <col collapsed="false" customWidth="true" hidden="false" outlineLevel="0" max="11232" min="11232" style="0" width="48.57"/>
    <col collapsed="false" customWidth="true" hidden="false" outlineLevel="0" max="11233" min="11233" style="0" width="11.57"/>
    <col collapsed="false" customWidth="true" hidden="false" outlineLevel="0" max="11234" min="11234" style="0" width="15.29"/>
    <col collapsed="false" customWidth="true" hidden="false" outlineLevel="0" max="11235" min="11235" style="0" width="16"/>
    <col collapsed="false" customWidth="true" hidden="false" outlineLevel="0" max="11236" min="11236" style="0" width="13.57"/>
    <col collapsed="false" customWidth="true" hidden="false" outlineLevel="0" max="11244" min="11237" style="0" width="9"/>
    <col collapsed="false" customWidth="true" hidden="false" outlineLevel="0" max="11488" min="11488" style="0" width="48.57"/>
    <col collapsed="false" customWidth="true" hidden="false" outlineLevel="0" max="11489" min="11489" style="0" width="11.57"/>
    <col collapsed="false" customWidth="true" hidden="false" outlineLevel="0" max="11490" min="11490" style="0" width="15.29"/>
    <col collapsed="false" customWidth="true" hidden="false" outlineLevel="0" max="11491" min="11491" style="0" width="16"/>
    <col collapsed="false" customWidth="true" hidden="false" outlineLevel="0" max="11492" min="11492" style="0" width="13.57"/>
    <col collapsed="false" customWidth="true" hidden="false" outlineLevel="0" max="11500" min="11493" style="0" width="9"/>
    <col collapsed="false" customWidth="true" hidden="false" outlineLevel="0" max="11744" min="11744" style="0" width="48.57"/>
    <col collapsed="false" customWidth="true" hidden="false" outlineLevel="0" max="11745" min="11745" style="0" width="11.57"/>
    <col collapsed="false" customWidth="true" hidden="false" outlineLevel="0" max="11746" min="11746" style="0" width="15.29"/>
    <col collapsed="false" customWidth="true" hidden="false" outlineLevel="0" max="11747" min="11747" style="0" width="16"/>
    <col collapsed="false" customWidth="true" hidden="false" outlineLevel="0" max="11748" min="11748" style="0" width="13.57"/>
    <col collapsed="false" customWidth="true" hidden="false" outlineLevel="0" max="11756" min="11749" style="0" width="9"/>
    <col collapsed="false" customWidth="true" hidden="false" outlineLevel="0" max="12000" min="12000" style="0" width="48.57"/>
    <col collapsed="false" customWidth="true" hidden="false" outlineLevel="0" max="12001" min="12001" style="0" width="11.57"/>
    <col collapsed="false" customWidth="true" hidden="false" outlineLevel="0" max="12002" min="12002" style="0" width="15.29"/>
    <col collapsed="false" customWidth="true" hidden="false" outlineLevel="0" max="12003" min="12003" style="0" width="16"/>
    <col collapsed="false" customWidth="true" hidden="false" outlineLevel="0" max="12004" min="12004" style="0" width="13.57"/>
    <col collapsed="false" customWidth="true" hidden="false" outlineLevel="0" max="12012" min="12005" style="0" width="9"/>
    <col collapsed="false" customWidth="true" hidden="false" outlineLevel="0" max="12256" min="12256" style="0" width="48.57"/>
    <col collapsed="false" customWidth="true" hidden="false" outlineLevel="0" max="12257" min="12257" style="0" width="11.57"/>
    <col collapsed="false" customWidth="true" hidden="false" outlineLevel="0" max="12258" min="12258" style="0" width="15.29"/>
    <col collapsed="false" customWidth="true" hidden="false" outlineLevel="0" max="12259" min="12259" style="0" width="16"/>
    <col collapsed="false" customWidth="true" hidden="false" outlineLevel="0" max="12260" min="12260" style="0" width="13.57"/>
    <col collapsed="false" customWidth="true" hidden="false" outlineLevel="0" max="12268" min="12261" style="0" width="9"/>
    <col collapsed="false" customWidth="true" hidden="false" outlineLevel="0" max="12512" min="12512" style="0" width="48.57"/>
    <col collapsed="false" customWidth="true" hidden="false" outlineLevel="0" max="12513" min="12513" style="0" width="11.57"/>
    <col collapsed="false" customWidth="true" hidden="false" outlineLevel="0" max="12514" min="12514" style="0" width="15.29"/>
    <col collapsed="false" customWidth="true" hidden="false" outlineLevel="0" max="12515" min="12515" style="0" width="16"/>
    <col collapsed="false" customWidth="true" hidden="false" outlineLevel="0" max="12516" min="12516" style="0" width="13.57"/>
    <col collapsed="false" customWidth="true" hidden="false" outlineLevel="0" max="12524" min="12517" style="0" width="9"/>
    <col collapsed="false" customWidth="true" hidden="false" outlineLevel="0" max="12768" min="12768" style="0" width="48.57"/>
    <col collapsed="false" customWidth="true" hidden="false" outlineLevel="0" max="12769" min="12769" style="0" width="11.57"/>
    <col collapsed="false" customWidth="true" hidden="false" outlineLevel="0" max="12770" min="12770" style="0" width="15.29"/>
    <col collapsed="false" customWidth="true" hidden="false" outlineLevel="0" max="12771" min="12771" style="0" width="16"/>
    <col collapsed="false" customWidth="true" hidden="false" outlineLevel="0" max="12772" min="12772" style="0" width="13.57"/>
    <col collapsed="false" customWidth="true" hidden="false" outlineLevel="0" max="12780" min="12773" style="0" width="9"/>
    <col collapsed="false" customWidth="true" hidden="false" outlineLevel="0" max="13024" min="13024" style="0" width="48.57"/>
    <col collapsed="false" customWidth="true" hidden="false" outlineLevel="0" max="13025" min="13025" style="0" width="11.57"/>
    <col collapsed="false" customWidth="true" hidden="false" outlineLevel="0" max="13026" min="13026" style="0" width="15.29"/>
    <col collapsed="false" customWidth="true" hidden="false" outlineLevel="0" max="13027" min="13027" style="0" width="16"/>
    <col collapsed="false" customWidth="true" hidden="false" outlineLevel="0" max="13028" min="13028" style="0" width="13.57"/>
    <col collapsed="false" customWidth="true" hidden="false" outlineLevel="0" max="13036" min="13029" style="0" width="9"/>
    <col collapsed="false" customWidth="true" hidden="false" outlineLevel="0" max="13280" min="13280" style="0" width="48.57"/>
    <col collapsed="false" customWidth="true" hidden="false" outlineLevel="0" max="13281" min="13281" style="0" width="11.57"/>
    <col collapsed="false" customWidth="true" hidden="false" outlineLevel="0" max="13282" min="13282" style="0" width="15.29"/>
    <col collapsed="false" customWidth="true" hidden="false" outlineLevel="0" max="13283" min="13283" style="0" width="16"/>
    <col collapsed="false" customWidth="true" hidden="false" outlineLevel="0" max="13284" min="13284" style="0" width="13.57"/>
    <col collapsed="false" customWidth="true" hidden="false" outlineLevel="0" max="13292" min="13285" style="0" width="9"/>
    <col collapsed="false" customWidth="true" hidden="false" outlineLevel="0" max="13536" min="13536" style="0" width="48.57"/>
    <col collapsed="false" customWidth="true" hidden="false" outlineLevel="0" max="13537" min="13537" style="0" width="11.57"/>
    <col collapsed="false" customWidth="true" hidden="false" outlineLevel="0" max="13538" min="13538" style="0" width="15.29"/>
    <col collapsed="false" customWidth="true" hidden="false" outlineLevel="0" max="13539" min="13539" style="0" width="16"/>
    <col collapsed="false" customWidth="true" hidden="false" outlineLevel="0" max="13540" min="13540" style="0" width="13.57"/>
    <col collapsed="false" customWidth="true" hidden="false" outlineLevel="0" max="13548" min="13541" style="0" width="9"/>
    <col collapsed="false" customWidth="true" hidden="false" outlineLevel="0" max="13792" min="13792" style="0" width="48.57"/>
    <col collapsed="false" customWidth="true" hidden="false" outlineLevel="0" max="13793" min="13793" style="0" width="11.57"/>
    <col collapsed="false" customWidth="true" hidden="false" outlineLevel="0" max="13794" min="13794" style="0" width="15.29"/>
    <col collapsed="false" customWidth="true" hidden="false" outlineLevel="0" max="13795" min="13795" style="0" width="16"/>
    <col collapsed="false" customWidth="true" hidden="false" outlineLevel="0" max="13796" min="13796" style="0" width="13.57"/>
    <col collapsed="false" customWidth="true" hidden="false" outlineLevel="0" max="13804" min="13797" style="0" width="9"/>
    <col collapsed="false" customWidth="true" hidden="false" outlineLevel="0" max="14048" min="14048" style="0" width="48.57"/>
    <col collapsed="false" customWidth="true" hidden="false" outlineLevel="0" max="14049" min="14049" style="0" width="11.57"/>
    <col collapsed="false" customWidth="true" hidden="false" outlineLevel="0" max="14050" min="14050" style="0" width="15.29"/>
    <col collapsed="false" customWidth="true" hidden="false" outlineLevel="0" max="14051" min="14051" style="0" width="16"/>
    <col collapsed="false" customWidth="true" hidden="false" outlineLevel="0" max="14052" min="14052" style="0" width="13.57"/>
    <col collapsed="false" customWidth="true" hidden="false" outlineLevel="0" max="14060" min="14053" style="0" width="9"/>
    <col collapsed="false" customWidth="true" hidden="false" outlineLevel="0" max="14304" min="14304" style="0" width="48.57"/>
    <col collapsed="false" customWidth="true" hidden="false" outlineLevel="0" max="14305" min="14305" style="0" width="11.57"/>
    <col collapsed="false" customWidth="true" hidden="false" outlineLevel="0" max="14306" min="14306" style="0" width="15.29"/>
    <col collapsed="false" customWidth="true" hidden="false" outlineLevel="0" max="14307" min="14307" style="0" width="16"/>
    <col collapsed="false" customWidth="true" hidden="false" outlineLevel="0" max="14308" min="14308" style="0" width="13.57"/>
    <col collapsed="false" customWidth="true" hidden="false" outlineLevel="0" max="14316" min="14309" style="0" width="9"/>
    <col collapsed="false" customWidth="true" hidden="false" outlineLevel="0" max="14560" min="14560" style="0" width="48.57"/>
    <col collapsed="false" customWidth="true" hidden="false" outlineLevel="0" max="14561" min="14561" style="0" width="11.57"/>
    <col collapsed="false" customWidth="true" hidden="false" outlineLevel="0" max="14562" min="14562" style="0" width="15.29"/>
    <col collapsed="false" customWidth="true" hidden="false" outlineLevel="0" max="14563" min="14563" style="0" width="16"/>
    <col collapsed="false" customWidth="true" hidden="false" outlineLevel="0" max="14564" min="14564" style="0" width="13.57"/>
    <col collapsed="false" customWidth="true" hidden="false" outlineLevel="0" max="14572" min="14565" style="0" width="9"/>
    <col collapsed="false" customWidth="true" hidden="false" outlineLevel="0" max="14816" min="14816" style="0" width="48.57"/>
    <col collapsed="false" customWidth="true" hidden="false" outlineLevel="0" max="14817" min="14817" style="0" width="11.57"/>
    <col collapsed="false" customWidth="true" hidden="false" outlineLevel="0" max="14818" min="14818" style="0" width="15.29"/>
    <col collapsed="false" customWidth="true" hidden="false" outlineLevel="0" max="14819" min="14819" style="0" width="16"/>
    <col collapsed="false" customWidth="true" hidden="false" outlineLevel="0" max="14820" min="14820" style="0" width="13.57"/>
    <col collapsed="false" customWidth="true" hidden="false" outlineLevel="0" max="14828" min="14821" style="0" width="9"/>
    <col collapsed="false" customWidth="true" hidden="false" outlineLevel="0" max="15072" min="15072" style="0" width="48.57"/>
    <col collapsed="false" customWidth="true" hidden="false" outlineLevel="0" max="15073" min="15073" style="0" width="11.57"/>
    <col collapsed="false" customWidth="true" hidden="false" outlineLevel="0" max="15074" min="15074" style="0" width="15.29"/>
    <col collapsed="false" customWidth="true" hidden="false" outlineLevel="0" max="15075" min="15075" style="0" width="16"/>
    <col collapsed="false" customWidth="true" hidden="false" outlineLevel="0" max="15076" min="15076" style="0" width="13.57"/>
    <col collapsed="false" customWidth="true" hidden="false" outlineLevel="0" max="15084" min="15077" style="0" width="9"/>
    <col collapsed="false" customWidth="true" hidden="false" outlineLevel="0" max="15328" min="15328" style="0" width="48.57"/>
    <col collapsed="false" customWidth="true" hidden="false" outlineLevel="0" max="15329" min="15329" style="0" width="11.57"/>
    <col collapsed="false" customWidth="true" hidden="false" outlineLevel="0" max="15330" min="15330" style="0" width="15.29"/>
    <col collapsed="false" customWidth="true" hidden="false" outlineLevel="0" max="15331" min="15331" style="0" width="16"/>
    <col collapsed="false" customWidth="true" hidden="false" outlineLevel="0" max="15332" min="15332" style="0" width="13.57"/>
    <col collapsed="false" customWidth="true" hidden="false" outlineLevel="0" max="15340" min="15333" style="0" width="9"/>
    <col collapsed="false" customWidth="true" hidden="false" outlineLevel="0" max="15584" min="15584" style="0" width="48.57"/>
    <col collapsed="false" customWidth="true" hidden="false" outlineLevel="0" max="15585" min="15585" style="0" width="11.57"/>
    <col collapsed="false" customWidth="true" hidden="false" outlineLevel="0" max="15586" min="15586" style="0" width="15.29"/>
    <col collapsed="false" customWidth="true" hidden="false" outlineLevel="0" max="15587" min="15587" style="0" width="16"/>
    <col collapsed="false" customWidth="true" hidden="false" outlineLevel="0" max="15588" min="15588" style="0" width="13.57"/>
    <col collapsed="false" customWidth="true" hidden="false" outlineLevel="0" max="15596" min="15589" style="0" width="9"/>
    <col collapsed="false" customWidth="true" hidden="false" outlineLevel="0" max="15840" min="15840" style="0" width="48.57"/>
    <col collapsed="false" customWidth="true" hidden="false" outlineLevel="0" max="15841" min="15841" style="0" width="11.57"/>
    <col collapsed="false" customWidth="true" hidden="false" outlineLevel="0" max="15842" min="15842" style="0" width="15.29"/>
    <col collapsed="false" customWidth="true" hidden="false" outlineLevel="0" max="15843" min="15843" style="0" width="16"/>
    <col collapsed="false" customWidth="true" hidden="false" outlineLevel="0" max="15844" min="15844" style="0" width="13.57"/>
    <col collapsed="false" customWidth="true" hidden="false" outlineLevel="0" max="15852" min="15845" style="0" width="9"/>
    <col collapsed="false" customWidth="true" hidden="false" outlineLevel="0" max="16096" min="16096" style="0" width="48.57"/>
    <col collapsed="false" customWidth="true" hidden="false" outlineLevel="0" max="16097" min="16097" style="0" width="11.57"/>
    <col collapsed="false" customWidth="true" hidden="false" outlineLevel="0" max="16098" min="16098" style="0" width="15.29"/>
    <col collapsed="false" customWidth="true" hidden="false" outlineLevel="0" max="16099" min="16099" style="0" width="16"/>
    <col collapsed="false" customWidth="true" hidden="false" outlineLevel="0" max="16100" min="16100" style="0" width="13.57"/>
    <col collapsed="false" customWidth="true" hidden="false" outlineLevel="0" max="16108" min="16101" style="0" width="9"/>
  </cols>
  <sheetData>
    <row r="1" s="458" customFormat="true" ht="3" hidden="false" customHeight="true" outlineLevel="0" collapsed="false"/>
    <row r="2" s="458" customFormat="true" ht="12.75" hidden="false" customHeight="true" outlineLevel="0" collapsed="false">
      <c r="A2" s="460" t="s">
        <v>3171</v>
      </c>
      <c r="B2" s="460"/>
      <c r="C2" s="460"/>
      <c r="D2" s="460"/>
      <c r="E2" s="460"/>
      <c r="F2" s="460"/>
      <c r="G2" s="460"/>
      <c r="H2" s="460"/>
      <c r="I2" s="460"/>
    </row>
    <row r="3" s="458" customFormat="true" ht="3" hidden="false" customHeight="true" outlineLevel="0" collapsed="false"/>
    <row r="4" s="458" customFormat="true" ht="14.25" hidden="false" customHeight="true" outlineLevel="0" collapsed="false">
      <c r="A4" s="460" t="s">
        <v>3172</v>
      </c>
    </row>
    <row r="5" s="458" customFormat="true" ht="18.75" hidden="false" customHeight="true" outlineLevel="0" collapsed="false">
      <c r="A5" s="478" t="s">
        <v>3173</v>
      </c>
      <c r="B5" s="478"/>
      <c r="C5" s="478"/>
      <c r="D5" s="478"/>
      <c r="E5" s="478"/>
    </row>
    <row r="6" customFormat="false" ht="12.75" hidden="false" customHeight="true" outlineLevel="0" collapsed="false">
      <c r="A6" s="462" t="s">
        <v>220</v>
      </c>
      <c r="B6" s="479" t="s">
        <v>13</v>
      </c>
      <c r="C6" s="479" t="s">
        <v>3165</v>
      </c>
      <c r="D6" s="479" t="s">
        <v>3166</v>
      </c>
      <c r="E6" s="479" t="s">
        <v>3167</v>
      </c>
    </row>
    <row r="7" customFormat="false" ht="12.75" hidden="false" customHeight="true" outlineLevel="0" collapsed="false">
      <c r="A7" s="462" t="s">
        <v>3168</v>
      </c>
      <c r="B7" s="480"/>
      <c r="C7" s="480"/>
      <c r="D7" s="480"/>
      <c r="E7" s="480"/>
    </row>
    <row r="8" customFormat="false" ht="12.75" hidden="false" customHeight="true" outlineLevel="0" collapsed="false">
      <c r="A8" s="462" t="s">
        <v>12</v>
      </c>
      <c r="B8" s="480"/>
      <c r="C8" s="480"/>
      <c r="D8" s="480"/>
      <c r="E8" s="480"/>
    </row>
    <row r="9" customFormat="false" ht="12" hidden="false" customHeight="true" outlineLevel="0" collapsed="false">
      <c r="A9" s="462" t="s">
        <v>1415</v>
      </c>
      <c r="B9" s="481"/>
      <c r="C9" s="481"/>
      <c r="D9" s="481"/>
      <c r="E9" s="481"/>
    </row>
    <row r="10" customFormat="false" ht="12.75" hidden="false" customHeight="true" outlineLevel="0" collapsed="false">
      <c r="A10" s="482" t="s">
        <v>1435</v>
      </c>
      <c r="B10" s="468" t="n">
        <v>483747.3</v>
      </c>
      <c r="C10" s="469"/>
      <c r="D10" s="469"/>
      <c r="E10" s="470"/>
    </row>
    <row r="11" customFormat="false" ht="12.75" hidden="false" customHeight="true" outlineLevel="0" collapsed="false">
      <c r="A11" s="467" t="s">
        <v>746</v>
      </c>
      <c r="B11" s="468" t="n">
        <v>1302687</v>
      </c>
      <c r="C11" s="469"/>
      <c r="D11" s="469"/>
      <c r="E11" s="470"/>
    </row>
    <row r="12" customFormat="false" ht="12.75" hidden="false" customHeight="true" outlineLevel="0" collapsed="false">
      <c r="A12" s="467" t="s">
        <v>358</v>
      </c>
      <c r="B12" s="468" t="n">
        <v>1302687</v>
      </c>
      <c r="C12" s="469"/>
      <c r="D12" s="472" t="n">
        <v>66.4</v>
      </c>
      <c r="E12" s="470"/>
      <c r="H12" s="20" t="s">
        <v>407</v>
      </c>
      <c r="I12" s="20" t="s">
        <v>40</v>
      </c>
    </row>
    <row r="13" customFormat="false" ht="24.75" hidden="false" customHeight="true" outlineLevel="0" collapsed="false">
      <c r="A13" s="467" t="s">
        <v>2666</v>
      </c>
      <c r="B13" s="468" t="n">
        <v>12080.7</v>
      </c>
      <c r="C13" s="469"/>
      <c r="D13" s="472" t="n">
        <v>70</v>
      </c>
      <c r="E13" s="473"/>
      <c r="H13" s="0" t="n">
        <v>340</v>
      </c>
      <c r="I13" s="474" t="n">
        <f aca="false">D13</f>
        <v>70</v>
      </c>
    </row>
    <row r="14" customFormat="false" ht="24.75" hidden="false" customHeight="true" outlineLevel="0" collapsed="false">
      <c r="A14" s="467" t="s">
        <v>2657</v>
      </c>
      <c r="B14" s="468" t="n">
        <v>3712.6</v>
      </c>
      <c r="C14" s="469"/>
      <c r="D14" s="472" t="n">
        <v>65</v>
      </c>
      <c r="E14" s="473"/>
      <c r="H14" s="0" t="n">
        <v>331</v>
      </c>
      <c r="I14" s="474" t="n">
        <f aca="false">D14</f>
        <v>65</v>
      </c>
    </row>
    <row r="15" customFormat="false" ht="24.75" hidden="false" customHeight="true" outlineLevel="0" collapsed="false">
      <c r="A15" s="467" t="s">
        <v>2610</v>
      </c>
      <c r="B15" s="468" t="n">
        <v>12071.4</v>
      </c>
      <c r="C15" s="469"/>
      <c r="D15" s="472" t="n">
        <v>68</v>
      </c>
      <c r="E15" s="473"/>
      <c r="H15" s="0" t="n">
        <v>284</v>
      </c>
      <c r="I15" s="474" t="n">
        <f aca="false">D15</f>
        <v>68</v>
      </c>
    </row>
    <row r="16" customFormat="false" ht="24.75" hidden="false" customHeight="true" outlineLevel="0" collapsed="false">
      <c r="A16" s="467" t="s">
        <v>2982</v>
      </c>
      <c r="B16" s="468" t="n">
        <v>12293.2</v>
      </c>
      <c r="C16" s="469"/>
      <c r="D16" s="472" t="n">
        <v>68</v>
      </c>
      <c r="E16" s="473"/>
      <c r="H16" s="0" t="s">
        <v>1149</v>
      </c>
      <c r="I16" s="474" t="n">
        <f aca="false">D16</f>
        <v>68</v>
      </c>
    </row>
    <row r="17" customFormat="false" ht="24.75" hidden="false" customHeight="true" outlineLevel="0" collapsed="false">
      <c r="A17" s="467" t="s">
        <v>3004</v>
      </c>
      <c r="B17" s="468" t="n">
        <v>11251.8</v>
      </c>
      <c r="C17" s="469"/>
      <c r="D17" s="472" t="n">
        <v>67</v>
      </c>
      <c r="E17" s="473"/>
      <c r="H17" s="0" t="s">
        <v>1172</v>
      </c>
      <c r="I17" s="474" t="n">
        <f aca="false">D17</f>
        <v>67</v>
      </c>
    </row>
    <row r="18" customFormat="false" ht="24.75" hidden="false" customHeight="true" outlineLevel="0" collapsed="false">
      <c r="A18" s="467" t="s">
        <v>2736</v>
      </c>
      <c r="B18" s="468" t="n">
        <v>11675.4</v>
      </c>
      <c r="C18" s="469"/>
      <c r="D18" s="472" t="n">
        <v>66</v>
      </c>
      <c r="E18" s="473"/>
      <c r="H18" s="0" t="n">
        <v>410</v>
      </c>
      <c r="I18" s="474" t="n">
        <f aca="false">D18</f>
        <v>66</v>
      </c>
    </row>
    <row r="19" customFormat="false" ht="24.75" hidden="false" customHeight="true" outlineLevel="0" collapsed="false">
      <c r="A19" s="467" t="s">
        <v>2708</v>
      </c>
      <c r="B19" s="468" t="n">
        <v>12321.4</v>
      </c>
      <c r="C19" s="469"/>
      <c r="D19" s="472" t="n">
        <v>69</v>
      </c>
      <c r="E19" s="473"/>
      <c r="H19" s="0" t="n">
        <v>382</v>
      </c>
      <c r="I19" s="474" t="n">
        <f aca="false">D19</f>
        <v>69</v>
      </c>
    </row>
    <row r="20" customFormat="false" ht="24.75" hidden="false" customHeight="true" outlineLevel="0" collapsed="false">
      <c r="A20" s="467" t="s">
        <v>2851</v>
      </c>
      <c r="B20" s="468" t="n">
        <v>13999.5</v>
      </c>
      <c r="C20" s="469"/>
      <c r="D20" s="472" t="n">
        <v>69</v>
      </c>
      <c r="E20" s="473"/>
      <c r="H20" s="0" t="s">
        <v>991</v>
      </c>
      <c r="I20" s="474" t="n">
        <f aca="false">D20</f>
        <v>69</v>
      </c>
    </row>
    <row r="21" customFormat="false" ht="24.75" hidden="false" customHeight="true" outlineLevel="0" collapsed="false">
      <c r="A21" s="467" t="s">
        <v>2848</v>
      </c>
      <c r="B21" s="468" t="n">
        <v>12124.3</v>
      </c>
      <c r="C21" s="469"/>
      <c r="D21" s="472" t="n">
        <v>70</v>
      </c>
      <c r="E21" s="473"/>
      <c r="H21" s="0" t="s">
        <v>988</v>
      </c>
      <c r="I21" s="474" t="n">
        <f aca="false">D21</f>
        <v>70</v>
      </c>
    </row>
    <row r="22" customFormat="false" ht="24.75" hidden="false" customHeight="true" outlineLevel="0" collapsed="false">
      <c r="A22" s="467" t="s">
        <v>2584</v>
      </c>
      <c r="B22" s="468" t="n">
        <v>11676.8</v>
      </c>
      <c r="C22" s="469"/>
      <c r="D22" s="472" t="n">
        <v>62</v>
      </c>
      <c r="E22" s="473"/>
      <c r="H22" s="0" t="n">
        <v>258</v>
      </c>
      <c r="I22" s="474" t="n">
        <f aca="false">D22</f>
        <v>62</v>
      </c>
    </row>
    <row r="23" customFormat="false" ht="24.75" hidden="false" customHeight="true" outlineLevel="0" collapsed="false">
      <c r="A23" s="467" t="s">
        <v>2828</v>
      </c>
      <c r="B23" s="468" t="n">
        <v>12360.6</v>
      </c>
      <c r="C23" s="469"/>
      <c r="D23" s="472" t="n">
        <v>68</v>
      </c>
      <c r="E23" s="473"/>
      <c r="H23" s="0" t="s">
        <v>968</v>
      </c>
      <c r="I23" s="474" t="n">
        <f aca="false">D23</f>
        <v>68</v>
      </c>
    </row>
    <row r="24" customFormat="false" ht="24.75" hidden="false" customHeight="true" outlineLevel="0" collapsed="false">
      <c r="A24" s="467" t="s">
        <v>2845</v>
      </c>
      <c r="B24" s="468" t="n">
        <v>11611.3</v>
      </c>
      <c r="C24" s="469"/>
      <c r="D24" s="472" t="n">
        <v>64</v>
      </c>
      <c r="E24" s="473"/>
      <c r="H24" s="0" t="s">
        <v>985</v>
      </c>
      <c r="I24" s="474" t="n">
        <f aca="false">D24</f>
        <v>64</v>
      </c>
    </row>
    <row r="25" customFormat="false" ht="24.75" hidden="false" customHeight="true" outlineLevel="0" collapsed="false">
      <c r="A25" s="467" t="s">
        <v>2977</v>
      </c>
      <c r="B25" s="468" t="n">
        <v>10873.2</v>
      </c>
      <c r="C25" s="469"/>
      <c r="D25" s="472" t="n">
        <v>65</v>
      </c>
      <c r="E25" s="473"/>
      <c r="H25" s="0" t="s">
        <v>1143</v>
      </c>
      <c r="I25" s="474" t="n">
        <f aca="false">D25</f>
        <v>65</v>
      </c>
    </row>
    <row r="26" customFormat="false" ht="24.75" hidden="false" customHeight="true" outlineLevel="0" collapsed="false">
      <c r="A26" s="467" t="s">
        <v>2825</v>
      </c>
      <c r="B26" s="468" t="n">
        <v>12267.2</v>
      </c>
      <c r="C26" s="469"/>
      <c r="D26" s="472" t="n">
        <v>65</v>
      </c>
      <c r="E26" s="473"/>
      <c r="H26" s="0" t="s">
        <v>965</v>
      </c>
      <c r="I26" s="474" t="n">
        <f aca="false">D26</f>
        <v>65</v>
      </c>
    </row>
    <row r="27" customFormat="false" ht="24.75" hidden="false" customHeight="true" outlineLevel="0" collapsed="false">
      <c r="A27" s="467" t="s">
        <v>2604</v>
      </c>
      <c r="B27" s="468" t="n">
        <v>12617.8</v>
      </c>
      <c r="C27" s="469"/>
      <c r="D27" s="472" t="n">
        <v>72</v>
      </c>
      <c r="E27" s="473"/>
      <c r="H27" s="0" t="n">
        <v>278</v>
      </c>
      <c r="I27" s="474" t="n">
        <f aca="false">D27</f>
        <v>72</v>
      </c>
    </row>
    <row r="28" customFormat="false" ht="24.75" hidden="false" customHeight="true" outlineLevel="0" collapsed="false">
      <c r="A28" s="467" t="s">
        <v>2782</v>
      </c>
      <c r="B28" s="468" t="n">
        <v>5830.1</v>
      </c>
      <c r="C28" s="469"/>
      <c r="D28" s="472" t="n">
        <v>66</v>
      </c>
      <c r="E28" s="473"/>
      <c r="H28" s="0" t="n">
        <v>457</v>
      </c>
      <c r="I28" s="474" t="n">
        <f aca="false">D28</f>
        <v>66</v>
      </c>
    </row>
    <row r="29" customFormat="false" ht="24.75" hidden="false" customHeight="true" outlineLevel="0" collapsed="false">
      <c r="A29" s="467" t="s">
        <v>2836</v>
      </c>
      <c r="B29" s="468" t="n">
        <v>11837.1</v>
      </c>
      <c r="C29" s="469"/>
      <c r="D29" s="472" t="n">
        <v>65</v>
      </c>
      <c r="E29" s="473"/>
      <c r="H29" s="0" t="s">
        <v>976</v>
      </c>
      <c r="I29" s="474" t="n">
        <f aca="false">D29</f>
        <v>65</v>
      </c>
    </row>
    <row r="30" customFormat="false" ht="24.75" hidden="false" customHeight="true" outlineLevel="0" collapsed="false">
      <c r="A30" s="467" t="s">
        <v>2730</v>
      </c>
      <c r="B30" s="468" t="n">
        <v>12395.7</v>
      </c>
      <c r="C30" s="469"/>
      <c r="D30" s="472" t="n">
        <v>66</v>
      </c>
      <c r="E30" s="473"/>
      <c r="H30" s="0" t="n">
        <v>404</v>
      </c>
      <c r="I30" s="474" t="n">
        <f aca="false">D30</f>
        <v>66</v>
      </c>
    </row>
    <row r="31" customFormat="false" ht="24.75" hidden="false" customHeight="true" outlineLevel="0" collapsed="false">
      <c r="A31" s="467" t="s">
        <v>2759</v>
      </c>
      <c r="B31" s="468" t="n">
        <v>5818.7</v>
      </c>
      <c r="C31" s="469"/>
      <c r="D31" s="472" t="n">
        <v>69</v>
      </c>
      <c r="E31" s="473"/>
      <c r="H31" s="0" t="n">
        <v>434</v>
      </c>
      <c r="I31" s="474" t="n">
        <f aca="false">D31</f>
        <v>69</v>
      </c>
    </row>
    <row r="32" customFormat="false" ht="24.75" hidden="false" customHeight="true" outlineLevel="0" collapsed="false">
      <c r="A32" s="467" t="s">
        <v>2627</v>
      </c>
      <c r="B32" s="468" t="n">
        <v>7780.5</v>
      </c>
      <c r="C32" s="469"/>
      <c r="D32" s="472" t="n">
        <v>70</v>
      </c>
      <c r="E32" s="473"/>
      <c r="H32" s="0" t="n">
        <v>301</v>
      </c>
      <c r="I32" s="474" t="n">
        <f aca="false">D32</f>
        <v>70</v>
      </c>
    </row>
    <row r="33" customFormat="false" ht="24.75" hidden="false" customHeight="true" outlineLevel="0" collapsed="false">
      <c r="A33" s="467" t="s">
        <v>2601</v>
      </c>
      <c r="B33" s="468" t="n">
        <v>10710.7</v>
      </c>
      <c r="C33" s="469"/>
      <c r="D33" s="472" t="n">
        <v>64</v>
      </c>
      <c r="E33" s="473"/>
      <c r="H33" s="0" t="n">
        <v>275</v>
      </c>
      <c r="I33" s="474" t="n">
        <f aca="false">D33</f>
        <v>64</v>
      </c>
    </row>
    <row r="34" customFormat="false" ht="24.75" hidden="false" customHeight="true" outlineLevel="0" collapsed="false">
      <c r="A34" s="467" t="s">
        <v>3013</v>
      </c>
      <c r="B34" s="468" t="n">
        <v>9163.5</v>
      </c>
      <c r="C34" s="469"/>
      <c r="D34" s="472" t="n">
        <v>64</v>
      </c>
      <c r="E34" s="473"/>
      <c r="H34" s="0" t="s">
        <v>1182</v>
      </c>
      <c r="I34" s="474" t="n">
        <f aca="false">D34</f>
        <v>64</v>
      </c>
    </row>
    <row r="35" customFormat="false" ht="24.75" hidden="false" customHeight="true" outlineLevel="0" collapsed="false">
      <c r="A35" s="467" t="s">
        <v>2587</v>
      </c>
      <c r="B35" s="468" t="n">
        <v>5495.8</v>
      </c>
      <c r="C35" s="469"/>
      <c r="D35" s="472" t="n">
        <v>60</v>
      </c>
      <c r="E35" s="473"/>
      <c r="H35" s="0" t="n">
        <v>261</v>
      </c>
      <c r="I35" s="474" t="n">
        <f aca="false">D35</f>
        <v>60</v>
      </c>
    </row>
    <row r="36" customFormat="false" ht="24.75" hidden="false" customHeight="true" outlineLevel="0" collapsed="false">
      <c r="A36" s="467" t="s">
        <v>2705</v>
      </c>
      <c r="B36" s="468" t="n">
        <v>12439.7</v>
      </c>
      <c r="C36" s="469"/>
      <c r="D36" s="472" t="n">
        <v>69</v>
      </c>
      <c r="E36" s="473"/>
      <c r="H36" s="0" t="n">
        <v>379</v>
      </c>
      <c r="I36" s="474" t="n">
        <f aca="false">D36</f>
        <v>69</v>
      </c>
    </row>
    <row r="37" customFormat="false" ht="24.75" hidden="false" customHeight="true" outlineLevel="0" collapsed="false">
      <c r="A37" s="467" t="s">
        <v>2606</v>
      </c>
      <c r="B37" s="468" t="n">
        <v>6534</v>
      </c>
      <c r="C37" s="469"/>
      <c r="D37" s="472" t="n">
        <v>63</v>
      </c>
      <c r="E37" s="473"/>
      <c r="H37" s="0" t="n">
        <v>280</v>
      </c>
      <c r="I37" s="474" t="n">
        <f aca="false">D37</f>
        <v>63</v>
      </c>
    </row>
    <row r="38" customFormat="false" ht="24.75" hidden="false" customHeight="true" outlineLevel="0" collapsed="false">
      <c r="A38" s="467" t="s">
        <v>2711</v>
      </c>
      <c r="B38" s="468" t="n">
        <v>11132.1</v>
      </c>
      <c r="C38" s="469"/>
      <c r="D38" s="472" t="n">
        <v>64</v>
      </c>
      <c r="E38" s="473"/>
      <c r="H38" s="0" t="n">
        <v>385</v>
      </c>
      <c r="I38" s="474" t="n">
        <f aca="false">D38</f>
        <v>64</v>
      </c>
    </row>
    <row r="39" customFormat="false" ht="24.75" hidden="false" customHeight="true" outlineLevel="0" collapsed="false">
      <c r="A39" s="467" t="s">
        <v>2985</v>
      </c>
      <c r="B39" s="468" t="n">
        <v>12087.1</v>
      </c>
      <c r="C39" s="469"/>
      <c r="D39" s="472" t="n">
        <v>68</v>
      </c>
      <c r="E39" s="473"/>
      <c r="H39" s="0" t="s">
        <v>1152</v>
      </c>
      <c r="I39" s="474" t="n">
        <f aca="false">D39</f>
        <v>68</v>
      </c>
    </row>
    <row r="40" customFormat="false" ht="24.75" hidden="false" customHeight="true" outlineLevel="0" collapsed="false">
      <c r="A40" s="467" t="s">
        <v>2582</v>
      </c>
      <c r="B40" s="468" t="n">
        <v>14977.6</v>
      </c>
      <c r="C40" s="469"/>
      <c r="D40" s="472" t="n">
        <v>62</v>
      </c>
      <c r="E40" s="473"/>
      <c r="H40" s="0" t="n">
        <v>256</v>
      </c>
      <c r="I40" s="474" t="n">
        <f aca="false">D40</f>
        <v>62</v>
      </c>
    </row>
    <row r="41" customFormat="false" ht="24.75" hidden="false" customHeight="true" outlineLevel="0" collapsed="false">
      <c r="A41" s="467" t="s">
        <v>2824</v>
      </c>
      <c r="B41" s="468" t="n">
        <v>12164.3</v>
      </c>
      <c r="C41" s="469"/>
      <c r="D41" s="472" t="n">
        <v>65</v>
      </c>
      <c r="E41" s="473"/>
      <c r="H41" s="0" t="s">
        <v>964</v>
      </c>
      <c r="I41" s="474" t="n">
        <f aca="false">D41</f>
        <v>65</v>
      </c>
    </row>
    <row r="42" customFormat="false" ht="24.75" hidden="false" customHeight="true" outlineLevel="0" collapsed="false">
      <c r="A42" s="467" t="s">
        <v>2756</v>
      </c>
      <c r="B42" s="468" t="n">
        <v>6130.7</v>
      </c>
      <c r="C42" s="469"/>
      <c r="D42" s="472" t="n">
        <v>69</v>
      </c>
      <c r="E42" s="473"/>
      <c r="H42" s="0" t="n">
        <v>430</v>
      </c>
      <c r="I42" s="474" t="n">
        <f aca="false">D42</f>
        <v>69</v>
      </c>
    </row>
    <row r="43" customFormat="false" ht="24.75" hidden="false" customHeight="true" outlineLevel="0" collapsed="false">
      <c r="A43" s="467" t="s">
        <v>2650</v>
      </c>
      <c r="B43" s="468" t="n">
        <v>11518.6</v>
      </c>
      <c r="C43" s="469"/>
      <c r="D43" s="472" t="n">
        <v>70</v>
      </c>
      <c r="E43" s="473"/>
      <c r="H43" s="0" t="n">
        <v>324</v>
      </c>
      <c r="I43" s="474" t="n">
        <f aca="false">D43</f>
        <v>70</v>
      </c>
    </row>
    <row r="44" customFormat="false" ht="24.75" hidden="false" customHeight="true" outlineLevel="0" collapsed="false">
      <c r="A44" s="467" t="s">
        <v>2846</v>
      </c>
      <c r="B44" s="468" t="n">
        <v>11666.2</v>
      </c>
      <c r="C44" s="469"/>
      <c r="D44" s="472" t="n">
        <v>66</v>
      </c>
      <c r="E44" s="473"/>
      <c r="H44" s="0" t="s">
        <v>986</v>
      </c>
      <c r="I44" s="474" t="n">
        <f aca="false">D44</f>
        <v>66</v>
      </c>
    </row>
    <row r="45" customFormat="false" ht="24.75" hidden="false" customHeight="true" outlineLevel="0" collapsed="false">
      <c r="A45" s="467" t="s">
        <v>2632</v>
      </c>
      <c r="B45" s="468" t="n">
        <v>11382.1</v>
      </c>
      <c r="C45" s="469"/>
      <c r="D45" s="472" t="n">
        <v>68</v>
      </c>
      <c r="E45" s="473"/>
      <c r="H45" s="0" t="n">
        <v>306</v>
      </c>
      <c r="I45" s="474" t="n">
        <f aca="false">D45</f>
        <v>68</v>
      </c>
    </row>
    <row r="46" customFormat="false" ht="24.75" hidden="false" customHeight="true" outlineLevel="0" collapsed="false">
      <c r="A46" s="467" t="s">
        <v>2826</v>
      </c>
      <c r="B46" s="468" t="n">
        <v>12455.1</v>
      </c>
      <c r="C46" s="469"/>
      <c r="D46" s="472" t="n">
        <v>68</v>
      </c>
      <c r="E46" s="473"/>
      <c r="H46" s="0" t="s">
        <v>966</v>
      </c>
      <c r="I46" s="474" t="n">
        <f aca="false">D46</f>
        <v>68</v>
      </c>
    </row>
    <row r="47" customFormat="false" ht="24.75" hidden="false" customHeight="true" outlineLevel="0" collapsed="false">
      <c r="A47" s="467" t="s">
        <v>2725</v>
      </c>
      <c r="B47" s="468" t="n">
        <v>11854.8</v>
      </c>
      <c r="C47" s="469"/>
      <c r="D47" s="472" t="n">
        <v>63</v>
      </c>
      <c r="E47" s="473"/>
      <c r="H47" s="0" t="n">
        <v>399</v>
      </c>
      <c r="I47" s="474" t="n">
        <f aca="false">D47</f>
        <v>63</v>
      </c>
    </row>
    <row r="48" customFormat="false" ht="24.75" hidden="false" customHeight="true" outlineLevel="0" collapsed="false">
      <c r="A48" s="467" t="s">
        <v>2599</v>
      </c>
      <c r="B48" s="468" t="n">
        <v>12074.4</v>
      </c>
      <c r="C48" s="469"/>
      <c r="D48" s="472" t="n">
        <v>65</v>
      </c>
      <c r="E48" s="473"/>
      <c r="H48" s="0" t="n">
        <v>273</v>
      </c>
      <c r="I48" s="474" t="n">
        <f aca="false">D48</f>
        <v>65</v>
      </c>
    </row>
    <row r="49" customFormat="false" ht="24.75" hidden="false" customHeight="true" outlineLevel="0" collapsed="false">
      <c r="A49" s="467" t="s">
        <v>2834</v>
      </c>
      <c r="B49" s="468" t="n">
        <v>12067.6</v>
      </c>
      <c r="C49" s="469"/>
      <c r="D49" s="472" t="n">
        <v>65</v>
      </c>
      <c r="E49" s="473"/>
      <c r="H49" s="0" t="s">
        <v>974</v>
      </c>
      <c r="I49" s="474" t="n">
        <f aca="false">D49</f>
        <v>65</v>
      </c>
    </row>
    <row r="50" customFormat="false" ht="24.75" hidden="false" customHeight="true" outlineLevel="0" collapsed="false">
      <c r="A50" s="467" t="s">
        <v>2636</v>
      </c>
      <c r="B50" s="468" t="n">
        <v>15083.2</v>
      </c>
      <c r="C50" s="469"/>
      <c r="D50" s="472" t="n">
        <v>68</v>
      </c>
      <c r="E50" s="473"/>
      <c r="H50" s="0" t="n">
        <v>310</v>
      </c>
      <c r="I50" s="474" t="n">
        <f aca="false">D50</f>
        <v>68</v>
      </c>
    </row>
    <row r="51" customFormat="false" ht="24.75" hidden="false" customHeight="true" outlineLevel="0" collapsed="false">
      <c r="A51" s="467" t="s">
        <v>2780</v>
      </c>
      <c r="B51" s="468" t="n">
        <v>5668.6</v>
      </c>
      <c r="C51" s="469"/>
      <c r="D51" s="472" t="n">
        <v>68</v>
      </c>
      <c r="E51" s="473"/>
      <c r="H51" s="0" t="n">
        <v>455</v>
      </c>
      <c r="I51" s="474" t="n">
        <f aca="false">D51</f>
        <v>68</v>
      </c>
    </row>
    <row r="52" customFormat="false" ht="24.75" hidden="false" customHeight="true" outlineLevel="0" collapsed="false">
      <c r="A52" s="467" t="s">
        <v>2734</v>
      </c>
      <c r="B52" s="468" t="n">
        <v>12361.6</v>
      </c>
      <c r="C52" s="469"/>
      <c r="D52" s="472" t="n">
        <v>68</v>
      </c>
      <c r="E52" s="473"/>
      <c r="H52" s="0" t="n">
        <v>408</v>
      </c>
      <c r="I52" s="474" t="n">
        <f aca="false">D52</f>
        <v>68</v>
      </c>
    </row>
    <row r="53" customFormat="false" ht="24.75" hidden="false" customHeight="true" outlineLevel="0" collapsed="false">
      <c r="A53" s="467" t="s">
        <v>2664</v>
      </c>
      <c r="B53" s="468" t="n">
        <v>12112.5</v>
      </c>
      <c r="C53" s="469"/>
      <c r="D53" s="472" t="n">
        <v>67</v>
      </c>
      <c r="E53" s="473"/>
      <c r="H53" s="0" t="n">
        <v>338</v>
      </c>
      <c r="I53" s="474" t="n">
        <f aca="false">D53</f>
        <v>67</v>
      </c>
    </row>
    <row r="54" customFormat="false" ht="24.75" hidden="false" customHeight="true" outlineLevel="0" collapsed="false">
      <c r="A54" s="467" t="s">
        <v>2513</v>
      </c>
      <c r="B54" s="468" t="n">
        <v>4058.7</v>
      </c>
      <c r="C54" s="469"/>
      <c r="D54" s="472" t="n">
        <v>64</v>
      </c>
      <c r="E54" s="473"/>
      <c r="H54" s="0" t="n">
        <v>187</v>
      </c>
      <c r="I54" s="474" t="n">
        <f aca="false">D54</f>
        <v>64</v>
      </c>
    </row>
    <row r="55" customFormat="false" ht="24.75" hidden="false" customHeight="true" outlineLevel="0" collapsed="false">
      <c r="A55" s="467" t="s">
        <v>2719</v>
      </c>
      <c r="B55" s="468" t="n">
        <v>11756.8</v>
      </c>
      <c r="C55" s="469"/>
      <c r="D55" s="472" t="n">
        <v>56</v>
      </c>
      <c r="E55" s="473"/>
      <c r="H55" s="0" t="n">
        <v>393</v>
      </c>
      <c r="I55" s="474" t="n">
        <f aca="false">D55</f>
        <v>56</v>
      </c>
    </row>
    <row r="56" customFormat="false" ht="24.75" hidden="false" customHeight="true" outlineLevel="0" collapsed="false">
      <c r="A56" s="467" t="s">
        <v>2721</v>
      </c>
      <c r="B56" s="468" t="n">
        <v>12021.1</v>
      </c>
      <c r="C56" s="469"/>
      <c r="D56" s="472" t="n">
        <v>65</v>
      </c>
      <c r="E56" s="473"/>
      <c r="H56" s="0" t="n">
        <v>395</v>
      </c>
      <c r="I56" s="474" t="n">
        <f aca="false">D56</f>
        <v>65</v>
      </c>
    </row>
    <row r="57" customFormat="false" ht="24.75" hidden="false" customHeight="true" outlineLevel="0" collapsed="false">
      <c r="A57" s="467" t="s">
        <v>2727</v>
      </c>
      <c r="B57" s="468" t="n">
        <v>11180</v>
      </c>
      <c r="C57" s="469"/>
      <c r="D57" s="472" t="n">
        <v>65</v>
      </c>
      <c r="E57" s="473"/>
      <c r="H57" s="0" t="n">
        <v>401</v>
      </c>
      <c r="I57" s="474" t="n">
        <f aca="false">D57</f>
        <v>65</v>
      </c>
    </row>
    <row r="58" customFormat="false" ht="24.75" hidden="false" customHeight="true" outlineLevel="0" collapsed="false">
      <c r="A58" s="467" t="s">
        <v>2839</v>
      </c>
      <c r="B58" s="468" t="n">
        <v>11973.1</v>
      </c>
      <c r="C58" s="469"/>
      <c r="D58" s="472" t="n">
        <v>65</v>
      </c>
      <c r="E58" s="473"/>
      <c r="H58" s="0" t="s">
        <v>979</v>
      </c>
      <c r="I58" s="474" t="n">
        <f aca="false">D58</f>
        <v>65</v>
      </c>
    </row>
    <row r="59" customFormat="false" ht="24.75" hidden="false" customHeight="true" outlineLevel="0" collapsed="false">
      <c r="A59" s="467" t="s">
        <v>2733</v>
      </c>
      <c r="B59" s="468" t="n">
        <v>11570</v>
      </c>
      <c r="C59" s="469"/>
      <c r="D59" s="472" t="n">
        <v>66</v>
      </c>
      <c r="E59" s="473"/>
      <c r="H59" s="0" t="n">
        <v>407</v>
      </c>
      <c r="I59" s="474" t="n">
        <f aca="false">D59</f>
        <v>66</v>
      </c>
    </row>
    <row r="60" customFormat="false" ht="24.75" hidden="false" customHeight="true" outlineLevel="0" collapsed="false">
      <c r="A60" s="467" t="s">
        <v>2598</v>
      </c>
      <c r="B60" s="468" t="n">
        <v>12406.6</v>
      </c>
      <c r="C60" s="469"/>
      <c r="D60" s="472" t="n">
        <v>67</v>
      </c>
      <c r="E60" s="473"/>
      <c r="H60" s="0" t="n">
        <v>272</v>
      </c>
      <c r="I60" s="474" t="n">
        <f aca="false">D60</f>
        <v>67</v>
      </c>
    </row>
    <row r="61" customFormat="false" ht="24.75" hidden="false" customHeight="true" outlineLevel="0" collapsed="false">
      <c r="A61" s="467" t="s">
        <v>2668</v>
      </c>
      <c r="B61" s="468" t="n">
        <v>11941.2</v>
      </c>
      <c r="C61" s="469"/>
      <c r="D61" s="472" t="n">
        <v>65</v>
      </c>
      <c r="E61" s="473"/>
      <c r="H61" s="0" t="n">
        <v>342</v>
      </c>
      <c r="I61" s="474" t="n">
        <f aca="false">D61</f>
        <v>65</v>
      </c>
    </row>
    <row r="62" customFormat="false" ht="24.75" hidden="false" customHeight="true" outlineLevel="0" collapsed="false">
      <c r="A62" s="467" t="s">
        <v>3007</v>
      </c>
      <c r="B62" s="468" t="n">
        <v>12071.2</v>
      </c>
      <c r="C62" s="469"/>
      <c r="D62" s="472" t="n">
        <v>69</v>
      </c>
      <c r="E62" s="473"/>
      <c r="H62" s="0" t="s">
        <v>1176</v>
      </c>
      <c r="I62" s="474" t="n">
        <f aca="false">D62</f>
        <v>69</v>
      </c>
    </row>
    <row r="63" customFormat="false" ht="24.75" hidden="false" customHeight="true" outlineLevel="0" collapsed="false">
      <c r="A63" s="467" t="s">
        <v>2838</v>
      </c>
      <c r="B63" s="468" t="n">
        <v>11793.7</v>
      </c>
      <c r="C63" s="469"/>
      <c r="D63" s="472" t="n">
        <v>65</v>
      </c>
      <c r="E63" s="473"/>
      <c r="H63" s="0" t="s">
        <v>978</v>
      </c>
      <c r="I63" s="474" t="n">
        <f aca="false">D63</f>
        <v>65</v>
      </c>
    </row>
    <row r="64" customFormat="false" ht="24.75" hidden="false" customHeight="true" outlineLevel="0" collapsed="false">
      <c r="A64" s="467" t="s">
        <v>2602</v>
      </c>
      <c r="B64" s="468" t="n">
        <v>9778.2</v>
      </c>
      <c r="C64" s="469"/>
      <c r="D64" s="472" t="n">
        <v>68</v>
      </c>
      <c r="E64" s="473"/>
      <c r="H64" s="0" t="n">
        <v>276</v>
      </c>
      <c r="I64" s="474" t="n">
        <f aca="false">D64</f>
        <v>68</v>
      </c>
    </row>
    <row r="65" customFormat="false" ht="24.75" hidden="false" customHeight="true" outlineLevel="0" collapsed="false">
      <c r="A65" s="467" t="s">
        <v>3006</v>
      </c>
      <c r="B65" s="468" t="n">
        <v>11581.3</v>
      </c>
      <c r="C65" s="469"/>
      <c r="D65" s="472" t="n">
        <v>68</v>
      </c>
      <c r="E65" s="473"/>
      <c r="H65" s="0" t="s">
        <v>1174</v>
      </c>
      <c r="I65" s="474" t="n">
        <f aca="false">D65</f>
        <v>68</v>
      </c>
    </row>
    <row r="66" customFormat="false" ht="24.75" hidden="false" customHeight="true" outlineLevel="0" collapsed="false">
      <c r="A66" s="467" t="s">
        <v>2646</v>
      </c>
      <c r="B66" s="468" t="n">
        <v>7878.1</v>
      </c>
      <c r="C66" s="469"/>
      <c r="D66" s="472" t="n">
        <v>64</v>
      </c>
      <c r="E66" s="473"/>
      <c r="H66" s="0" t="n">
        <v>320</v>
      </c>
      <c r="I66" s="474" t="n">
        <f aca="false">D66</f>
        <v>64</v>
      </c>
    </row>
    <row r="67" customFormat="false" ht="24.75" hidden="false" customHeight="true" outlineLevel="0" collapsed="false">
      <c r="A67" s="467" t="s">
        <v>2823</v>
      </c>
      <c r="B67" s="468" t="n">
        <v>12398.4</v>
      </c>
      <c r="C67" s="469"/>
      <c r="D67" s="472" t="n">
        <v>65</v>
      </c>
      <c r="E67" s="473"/>
      <c r="H67" s="0" t="s">
        <v>963</v>
      </c>
      <c r="I67" s="474" t="n">
        <f aca="false">D67</f>
        <v>65</v>
      </c>
    </row>
    <row r="68" customFormat="false" ht="24.75" hidden="false" customHeight="true" outlineLevel="0" collapsed="false">
      <c r="A68" s="467" t="s">
        <v>2744</v>
      </c>
      <c r="B68" s="468" t="n">
        <v>6069.7</v>
      </c>
      <c r="C68" s="469"/>
      <c r="D68" s="472" t="n">
        <v>72</v>
      </c>
      <c r="E68" s="473"/>
      <c r="H68" s="0" t="n">
        <v>418</v>
      </c>
      <c r="I68" s="474" t="n">
        <f aca="false">D68</f>
        <v>72</v>
      </c>
    </row>
    <row r="69" customFormat="false" ht="24.75" hidden="false" customHeight="true" outlineLevel="0" collapsed="false">
      <c r="A69" s="467" t="s">
        <v>2616</v>
      </c>
      <c r="B69" s="468" t="n">
        <v>13406.7</v>
      </c>
      <c r="C69" s="469"/>
      <c r="D69" s="472" t="n">
        <v>64</v>
      </c>
      <c r="E69" s="473"/>
      <c r="H69" s="0" t="n">
        <v>290</v>
      </c>
      <c r="I69" s="474" t="n">
        <f aca="false">D69</f>
        <v>64</v>
      </c>
    </row>
    <row r="70" customFormat="false" ht="24.75" hidden="false" customHeight="true" outlineLevel="0" collapsed="false">
      <c r="A70" s="467" t="s">
        <v>2658</v>
      </c>
      <c r="B70" s="468" t="n">
        <v>12326.1</v>
      </c>
      <c r="C70" s="469"/>
      <c r="D70" s="472" t="n">
        <v>68</v>
      </c>
      <c r="E70" s="473"/>
      <c r="H70" s="0" t="n">
        <v>332</v>
      </c>
      <c r="I70" s="474" t="n">
        <f aca="false">D70</f>
        <v>68</v>
      </c>
    </row>
    <row r="71" customFormat="false" ht="24.75" hidden="false" customHeight="true" outlineLevel="0" collapsed="false">
      <c r="A71" s="467" t="s">
        <v>2656</v>
      </c>
      <c r="B71" s="468" t="n">
        <v>11554.4</v>
      </c>
      <c r="C71" s="469"/>
      <c r="D71" s="472" t="n">
        <v>69</v>
      </c>
      <c r="E71" s="473"/>
      <c r="H71" s="0" t="n">
        <v>330</v>
      </c>
      <c r="I71" s="474" t="n">
        <f aca="false">D71</f>
        <v>69</v>
      </c>
    </row>
    <row r="72" customFormat="false" ht="24.75" hidden="false" customHeight="true" outlineLevel="0" collapsed="false">
      <c r="A72" s="467" t="s">
        <v>2752</v>
      </c>
      <c r="B72" s="468" t="n">
        <v>11683.5</v>
      </c>
      <c r="C72" s="469"/>
      <c r="D72" s="472" t="n">
        <v>71</v>
      </c>
      <c r="E72" s="473"/>
      <c r="H72" s="0" t="n">
        <v>426</v>
      </c>
      <c r="I72" s="474" t="n">
        <f aca="false">D72</f>
        <v>71</v>
      </c>
    </row>
    <row r="73" customFormat="false" ht="24.75" hidden="false" customHeight="true" outlineLevel="0" collapsed="false">
      <c r="A73" s="467" t="s">
        <v>2663</v>
      </c>
      <c r="B73" s="468" t="n">
        <v>11611.1</v>
      </c>
      <c r="C73" s="469"/>
      <c r="D73" s="472" t="n">
        <v>64</v>
      </c>
      <c r="E73" s="473"/>
      <c r="H73" s="0" t="n">
        <v>337</v>
      </c>
      <c r="I73" s="474" t="n">
        <f aca="false">D73</f>
        <v>64</v>
      </c>
    </row>
    <row r="74" customFormat="false" ht="24.75" hidden="false" customHeight="true" outlineLevel="0" collapsed="false">
      <c r="A74" s="467" t="s">
        <v>2748</v>
      </c>
      <c r="B74" s="468" t="n">
        <v>12182.2</v>
      </c>
      <c r="C74" s="469"/>
      <c r="D74" s="472" t="n">
        <v>69</v>
      </c>
      <c r="E74" s="473"/>
      <c r="H74" s="0" t="n">
        <v>422</v>
      </c>
      <c r="I74" s="474" t="n">
        <f aca="false">D74</f>
        <v>69</v>
      </c>
    </row>
    <row r="75" customFormat="false" ht="24.75" hidden="false" customHeight="true" outlineLevel="0" collapsed="false">
      <c r="A75" s="467" t="s">
        <v>3014</v>
      </c>
      <c r="B75" s="468" t="n">
        <v>10522.6</v>
      </c>
      <c r="C75" s="469"/>
      <c r="D75" s="472" t="n">
        <v>68</v>
      </c>
      <c r="E75" s="473"/>
      <c r="H75" s="0" t="s">
        <v>1183</v>
      </c>
      <c r="I75" s="474" t="n">
        <f aca="false">D75</f>
        <v>68</v>
      </c>
    </row>
    <row r="76" customFormat="false" ht="24.75" hidden="false" customHeight="true" outlineLevel="0" collapsed="false">
      <c r="A76" s="467" t="s">
        <v>2743</v>
      </c>
      <c r="B76" s="468" t="n">
        <v>11997.2</v>
      </c>
      <c r="C76" s="469"/>
      <c r="D76" s="472" t="n">
        <v>67</v>
      </c>
      <c r="E76" s="473"/>
      <c r="H76" s="0" t="n">
        <v>417</v>
      </c>
      <c r="I76" s="474" t="n">
        <f aca="false">D76</f>
        <v>67</v>
      </c>
    </row>
    <row r="77" customFormat="false" ht="24.75" hidden="false" customHeight="true" outlineLevel="0" collapsed="false">
      <c r="A77" s="467" t="s">
        <v>2714</v>
      </c>
      <c r="B77" s="468" t="n">
        <v>12342</v>
      </c>
      <c r="C77" s="469"/>
      <c r="D77" s="472" t="n">
        <v>69</v>
      </c>
      <c r="E77" s="473"/>
      <c r="H77" s="0" t="n">
        <v>388</v>
      </c>
      <c r="I77" s="474" t="n">
        <f aca="false">D77</f>
        <v>69</v>
      </c>
    </row>
    <row r="78" customFormat="false" ht="24.75" hidden="false" customHeight="true" outlineLevel="0" collapsed="false">
      <c r="A78" s="467" t="s">
        <v>2626</v>
      </c>
      <c r="B78" s="468" t="n">
        <v>11113.2</v>
      </c>
      <c r="C78" s="469"/>
      <c r="D78" s="472" t="n">
        <v>65</v>
      </c>
      <c r="E78" s="473"/>
      <c r="H78" s="0" t="n">
        <v>300</v>
      </c>
      <c r="I78" s="474" t="n">
        <f aca="false">D78</f>
        <v>65</v>
      </c>
    </row>
    <row r="79" customFormat="false" ht="24.75" hidden="false" customHeight="true" outlineLevel="0" collapsed="false">
      <c r="A79" s="467" t="s">
        <v>3016</v>
      </c>
      <c r="B79" s="468" t="n">
        <v>10744.8</v>
      </c>
      <c r="C79" s="469"/>
      <c r="D79" s="472" t="n">
        <v>64</v>
      </c>
      <c r="E79" s="473"/>
      <c r="H79" s="0" t="s">
        <v>1185</v>
      </c>
      <c r="I79" s="474" t="n">
        <f aca="false">D79</f>
        <v>64</v>
      </c>
    </row>
    <row r="80" customFormat="false" ht="24.75" hidden="false" customHeight="true" outlineLevel="0" collapsed="false">
      <c r="A80" s="467" t="s">
        <v>2611</v>
      </c>
      <c r="B80" s="468" t="n">
        <v>11516.8</v>
      </c>
      <c r="C80" s="469"/>
      <c r="D80" s="472" t="n">
        <v>68</v>
      </c>
      <c r="E80" s="473"/>
      <c r="H80" s="0" t="n">
        <v>285</v>
      </c>
      <c r="I80" s="474" t="n">
        <f aca="false">D80</f>
        <v>68</v>
      </c>
    </row>
    <row r="81" customFormat="false" ht="24.75" hidden="false" customHeight="true" outlineLevel="0" collapsed="false">
      <c r="A81" s="467" t="s">
        <v>2662</v>
      </c>
      <c r="B81" s="468" t="n">
        <v>3906</v>
      </c>
      <c r="C81" s="469"/>
      <c r="D81" s="472" t="n">
        <v>64</v>
      </c>
      <c r="E81" s="473"/>
      <c r="H81" s="0" t="n">
        <v>336</v>
      </c>
      <c r="I81" s="474" t="n">
        <f aca="false">D81</f>
        <v>64</v>
      </c>
    </row>
    <row r="82" customFormat="false" ht="24.75" hidden="false" customHeight="true" outlineLevel="0" collapsed="false">
      <c r="A82" s="467" t="s">
        <v>2749</v>
      </c>
      <c r="B82" s="468" t="n">
        <v>11784.5</v>
      </c>
      <c r="C82" s="469"/>
      <c r="D82" s="472" t="n">
        <v>70</v>
      </c>
      <c r="E82" s="473"/>
      <c r="H82" s="0" t="n">
        <v>423</v>
      </c>
      <c r="I82" s="474" t="n">
        <f aca="false">D82</f>
        <v>70</v>
      </c>
    </row>
    <row r="83" customFormat="false" ht="24.75" hidden="false" customHeight="true" outlineLevel="0" collapsed="false">
      <c r="A83" s="467" t="s">
        <v>2728</v>
      </c>
      <c r="B83" s="468" t="n">
        <v>12150</v>
      </c>
      <c r="C83" s="469"/>
      <c r="D83" s="472" t="n">
        <v>64</v>
      </c>
      <c r="E83" s="473"/>
      <c r="H83" s="0" t="n">
        <v>402</v>
      </c>
      <c r="I83" s="474" t="n">
        <f aca="false">D83</f>
        <v>64</v>
      </c>
    </row>
    <row r="84" customFormat="false" ht="24.75" hidden="false" customHeight="true" outlineLevel="0" collapsed="false">
      <c r="A84" s="467" t="s">
        <v>2645</v>
      </c>
      <c r="B84" s="468" t="n">
        <v>6442.1</v>
      </c>
      <c r="C84" s="469"/>
      <c r="D84" s="472" t="n">
        <v>65</v>
      </c>
      <c r="E84" s="473"/>
      <c r="H84" s="0" t="n">
        <v>319</v>
      </c>
      <c r="I84" s="474" t="n">
        <f aca="false">D84</f>
        <v>65</v>
      </c>
    </row>
    <row r="85" customFormat="false" ht="24.75" hidden="false" customHeight="true" outlineLevel="0" collapsed="false">
      <c r="A85" s="467" t="s">
        <v>3000</v>
      </c>
      <c r="B85" s="468" t="n">
        <v>12768.9</v>
      </c>
      <c r="C85" s="469"/>
      <c r="D85" s="472" t="n">
        <v>66</v>
      </c>
      <c r="E85" s="473"/>
      <c r="H85" s="0" t="s">
        <v>1167</v>
      </c>
      <c r="I85" s="474" t="n">
        <f aca="false">D85</f>
        <v>66</v>
      </c>
    </row>
    <row r="86" customFormat="false" ht="24.75" hidden="false" customHeight="true" outlineLevel="0" collapsed="false">
      <c r="A86" s="467" t="s">
        <v>2659</v>
      </c>
      <c r="B86" s="468" t="n">
        <v>11961</v>
      </c>
      <c r="C86" s="469"/>
      <c r="D86" s="472" t="n">
        <v>66</v>
      </c>
      <c r="E86" s="473"/>
      <c r="H86" s="0" t="n">
        <v>333</v>
      </c>
      <c r="I86" s="474" t="n">
        <f aca="false">D86</f>
        <v>66</v>
      </c>
    </row>
    <row r="87" customFormat="false" ht="24.75" hidden="false" customHeight="true" outlineLevel="0" collapsed="false">
      <c r="A87" s="467" t="s">
        <v>2847</v>
      </c>
      <c r="B87" s="468" t="n">
        <v>11608.1</v>
      </c>
      <c r="C87" s="469"/>
      <c r="D87" s="472" t="n">
        <v>65</v>
      </c>
      <c r="E87" s="473"/>
      <c r="H87" s="0" t="s">
        <v>987</v>
      </c>
      <c r="I87" s="474" t="n">
        <f aca="false">D87</f>
        <v>65</v>
      </c>
    </row>
    <row r="88" customFormat="false" ht="24.75" hidden="false" customHeight="true" outlineLevel="0" collapsed="false">
      <c r="A88" s="467" t="s">
        <v>2723</v>
      </c>
      <c r="B88" s="468" t="n">
        <v>11345.8</v>
      </c>
      <c r="C88" s="469"/>
      <c r="D88" s="472" t="n">
        <v>65</v>
      </c>
      <c r="E88" s="473"/>
      <c r="H88" s="0" t="n">
        <v>397</v>
      </c>
      <c r="I88" s="474" t="n">
        <f aca="false">D88</f>
        <v>65</v>
      </c>
    </row>
    <row r="89" customFormat="false" ht="24.75" hidden="false" customHeight="true" outlineLevel="0" collapsed="false">
      <c r="A89" s="467" t="s">
        <v>2832</v>
      </c>
      <c r="B89" s="468" t="n">
        <v>12239.1</v>
      </c>
      <c r="C89" s="469"/>
      <c r="D89" s="472" t="n">
        <v>63</v>
      </c>
      <c r="E89" s="473"/>
      <c r="H89" s="0" t="s">
        <v>972</v>
      </c>
      <c r="I89" s="474" t="n">
        <f aca="false">D89</f>
        <v>63</v>
      </c>
    </row>
    <row r="90" customFormat="false" ht="24.75" hidden="false" customHeight="true" outlineLevel="0" collapsed="false">
      <c r="A90" s="467" t="s">
        <v>2713</v>
      </c>
      <c r="B90" s="468" t="n">
        <v>11982.2</v>
      </c>
      <c r="C90" s="469"/>
      <c r="D90" s="472" t="n">
        <v>67</v>
      </c>
      <c r="E90" s="473"/>
      <c r="H90" s="0" t="n">
        <v>387</v>
      </c>
      <c r="I90" s="474" t="n">
        <f aca="false">D90</f>
        <v>67</v>
      </c>
    </row>
    <row r="91" customFormat="false" ht="24.75" hidden="false" customHeight="true" outlineLevel="0" collapsed="false">
      <c r="A91" s="467" t="s">
        <v>2581</v>
      </c>
      <c r="B91" s="468" t="n">
        <v>3348.3</v>
      </c>
      <c r="C91" s="469"/>
      <c r="D91" s="472" t="n">
        <v>67</v>
      </c>
      <c r="E91" s="473"/>
      <c r="H91" s="0" t="n">
        <v>255</v>
      </c>
      <c r="I91" s="474" t="n">
        <f aca="false">D91</f>
        <v>67</v>
      </c>
    </row>
    <row r="92" customFormat="false" ht="24.75" hidden="false" customHeight="true" outlineLevel="0" collapsed="false">
      <c r="A92" s="467" t="s">
        <v>3009</v>
      </c>
      <c r="B92" s="468" t="n">
        <v>12023.1</v>
      </c>
      <c r="C92" s="469"/>
      <c r="D92" s="472" t="n">
        <v>72</v>
      </c>
      <c r="E92" s="473"/>
      <c r="H92" s="0" t="s">
        <v>1178</v>
      </c>
      <c r="I92" s="474" t="n">
        <f aca="false">D92</f>
        <v>72</v>
      </c>
    </row>
    <row r="93" customFormat="false" ht="24.75" hidden="false" customHeight="true" outlineLevel="0" collapsed="false">
      <c r="A93" s="467" t="s">
        <v>2837</v>
      </c>
      <c r="B93" s="468" t="n">
        <v>11673.5</v>
      </c>
      <c r="C93" s="469"/>
      <c r="D93" s="472" t="n">
        <v>64</v>
      </c>
      <c r="E93" s="473"/>
      <c r="H93" s="0" t="s">
        <v>977</v>
      </c>
      <c r="I93" s="474" t="n">
        <f aca="false">D93</f>
        <v>64</v>
      </c>
    </row>
    <row r="94" customFormat="false" ht="24.75" hidden="false" customHeight="true" outlineLevel="0" collapsed="false">
      <c r="A94" s="467" t="s">
        <v>2840</v>
      </c>
      <c r="B94" s="468" t="n">
        <v>11730.3</v>
      </c>
      <c r="C94" s="469"/>
      <c r="D94" s="472" t="n">
        <v>60</v>
      </c>
      <c r="E94" s="473"/>
      <c r="H94" s="0" t="s">
        <v>980</v>
      </c>
      <c r="I94" s="474" t="n">
        <f aca="false">D94</f>
        <v>60</v>
      </c>
    </row>
    <row r="95" customFormat="false" ht="24.75" hidden="false" customHeight="true" outlineLevel="0" collapsed="false">
      <c r="A95" s="467" t="s">
        <v>2715</v>
      </c>
      <c r="B95" s="468" t="n">
        <v>12444.8</v>
      </c>
      <c r="C95" s="469"/>
      <c r="D95" s="472" t="n">
        <v>65</v>
      </c>
      <c r="E95" s="473"/>
      <c r="H95" s="0" t="n">
        <v>389</v>
      </c>
      <c r="I95" s="474" t="n">
        <f aca="false">D95</f>
        <v>65</v>
      </c>
    </row>
    <row r="96" customFormat="false" ht="24.75" hidden="false" customHeight="true" outlineLevel="0" collapsed="false">
      <c r="A96" s="467" t="s">
        <v>3005</v>
      </c>
      <c r="B96" s="468" t="n">
        <v>11094.8</v>
      </c>
      <c r="C96" s="469"/>
      <c r="D96" s="472" t="n">
        <v>66</v>
      </c>
      <c r="E96" s="473"/>
      <c r="H96" s="0" t="s">
        <v>1173</v>
      </c>
      <c r="I96" s="474" t="n">
        <f aca="false">D96</f>
        <v>66</v>
      </c>
    </row>
    <row r="97" customFormat="false" ht="24.75" hidden="false" customHeight="true" outlineLevel="0" collapsed="false">
      <c r="A97" s="467" t="s">
        <v>2651</v>
      </c>
      <c r="B97" s="468" t="n">
        <v>3812.7</v>
      </c>
      <c r="C97" s="469"/>
      <c r="D97" s="472" t="n">
        <v>67</v>
      </c>
      <c r="E97" s="473"/>
      <c r="H97" s="0" t="n">
        <v>325</v>
      </c>
      <c r="I97" s="474" t="n">
        <f aca="false">D97</f>
        <v>67</v>
      </c>
    </row>
    <row r="98" customFormat="false" ht="24.75" hidden="false" customHeight="true" outlineLevel="0" collapsed="false">
      <c r="A98" s="467" t="s">
        <v>2720</v>
      </c>
      <c r="B98" s="468" t="n">
        <v>11854.8</v>
      </c>
      <c r="C98" s="469"/>
      <c r="D98" s="472" t="n">
        <v>63</v>
      </c>
      <c r="E98" s="473"/>
      <c r="H98" s="0" t="n">
        <v>394</v>
      </c>
      <c r="I98" s="474" t="n">
        <f aca="false">D98</f>
        <v>63</v>
      </c>
    </row>
    <row r="99" customFormat="false" ht="24.75" hidden="false" customHeight="true" outlineLevel="0" collapsed="false">
      <c r="A99" s="467" t="s">
        <v>2842</v>
      </c>
      <c r="B99" s="468" t="n">
        <v>11752.9</v>
      </c>
      <c r="C99" s="469"/>
      <c r="D99" s="472" t="n">
        <v>68</v>
      </c>
      <c r="E99" s="473"/>
      <c r="H99" s="0" t="s">
        <v>982</v>
      </c>
      <c r="I99" s="474" t="n">
        <f aca="false">D99</f>
        <v>68</v>
      </c>
    </row>
    <row r="100" customFormat="false" ht="24.75" hidden="false" customHeight="true" outlineLevel="0" collapsed="false">
      <c r="A100" s="467" t="s">
        <v>2729</v>
      </c>
      <c r="B100" s="468" t="n">
        <v>11693.5</v>
      </c>
      <c r="C100" s="469"/>
      <c r="D100" s="472" t="n">
        <v>67</v>
      </c>
      <c r="E100" s="473"/>
      <c r="H100" s="0" t="n">
        <v>403</v>
      </c>
      <c r="I100" s="474" t="n">
        <f aca="false">D100</f>
        <v>67</v>
      </c>
    </row>
    <row r="101" customFormat="false" ht="24.75" hidden="false" customHeight="true" outlineLevel="0" collapsed="false">
      <c r="A101" s="467" t="s">
        <v>2747</v>
      </c>
      <c r="B101" s="468" t="n">
        <v>12276.5</v>
      </c>
      <c r="C101" s="469"/>
      <c r="D101" s="472" t="n">
        <v>68</v>
      </c>
      <c r="E101" s="473"/>
      <c r="H101" s="0" t="n">
        <v>421</v>
      </c>
      <c r="I101" s="474" t="n">
        <f aca="false">D101</f>
        <v>68</v>
      </c>
    </row>
    <row r="102" customFormat="false" ht="24.75" hidden="false" customHeight="true" outlineLevel="0" collapsed="false">
      <c r="A102" s="467" t="s">
        <v>2635</v>
      </c>
      <c r="B102" s="468" t="n">
        <v>11035.1</v>
      </c>
      <c r="C102" s="469"/>
      <c r="D102" s="472" t="n">
        <v>68</v>
      </c>
      <c r="E102" s="473"/>
      <c r="H102" s="0" t="n">
        <v>309</v>
      </c>
      <c r="I102" s="474" t="n">
        <f aca="false">D102</f>
        <v>68</v>
      </c>
    </row>
    <row r="103" customFormat="false" ht="24.75" hidden="false" customHeight="true" outlineLevel="0" collapsed="false">
      <c r="A103" s="467" t="s">
        <v>2583</v>
      </c>
      <c r="B103" s="468" t="n">
        <v>10897.9</v>
      </c>
      <c r="C103" s="469"/>
      <c r="D103" s="472" t="n">
        <v>62</v>
      </c>
      <c r="E103" s="473"/>
      <c r="H103" s="0" t="n">
        <v>257</v>
      </c>
      <c r="I103" s="474" t="n">
        <f aca="false">D103</f>
        <v>62</v>
      </c>
    </row>
    <row r="104" customFormat="false" ht="24.75" hidden="false" customHeight="true" outlineLevel="0" collapsed="false">
      <c r="A104" s="467" t="s">
        <v>2830</v>
      </c>
      <c r="B104" s="468" t="n">
        <v>12351.3</v>
      </c>
      <c r="C104" s="469"/>
      <c r="D104" s="472" t="n">
        <v>67</v>
      </c>
      <c r="E104" s="473"/>
      <c r="H104" s="0" t="s">
        <v>970</v>
      </c>
      <c r="I104" s="474" t="n">
        <f aca="false">D104</f>
        <v>67</v>
      </c>
    </row>
    <row r="105" customFormat="false" ht="24.75" hidden="false" customHeight="true" outlineLevel="0" collapsed="false">
      <c r="A105" s="467" t="s">
        <v>2731</v>
      </c>
      <c r="B105" s="468" t="n">
        <v>11900</v>
      </c>
      <c r="C105" s="469"/>
      <c r="D105" s="472" t="n">
        <v>64</v>
      </c>
      <c r="E105" s="473"/>
      <c r="H105" s="0" t="n">
        <v>405</v>
      </c>
      <c r="I105" s="474" t="n">
        <f aca="false">D105</f>
        <v>64</v>
      </c>
    </row>
    <row r="106" customFormat="false" ht="24.75" hidden="false" customHeight="true" outlineLevel="0" collapsed="false">
      <c r="A106" s="467" t="s">
        <v>2712</v>
      </c>
      <c r="B106" s="468" t="n">
        <v>6161.6</v>
      </c>
      <c r="C106" s="469"/>
      <c r="D106" s="472" t="n">
        <v>63</v>
      </c>
      <c r="E106" s="473"/>
      <c r="H106" s="0" t="n">
        <v>386</v>
      </c>
      <c r="I106" s="474" t="n">
        <f aca="false">D106</f>
        <v>63</v>
      </c>
    </row>
    <row r="107" customFormat="false" ht="24.75" hidden="false" customHeight="true" outlineLevel="0" collapsed="false">
      <c r="A107" s="467" t="s">
        <v>2665</v>
      </c>
      <c r="B107" s="468" t="n">
        <v>11647.2</v>
      </c>
      <c r="C107" s="469"/>
      <c r="D107" s="472" t="n">
        <v>67</v>
      </c>
      <c r="E107" s="473"/>
      <c r="H107" s="0" t="n">
        <v>339</v>
      </c>
      <c r="I107" s="474" t="n">
        <f aca="false">D107</f>
        <v>67</v>
      </c>
    </row>
    <row r="108" customFormat="false" ht="24.75" hidden="false" customHeight="true" outlineLevel="0" collapsed="false">
      <c r="A108" s="467" t="s">
        <v>2633</v>
      </c>
      <c r="B108" s="468" t="n">
        <v>8096.8</v>
      </c>
      <c r="C108" s="469"/>
      <c r="D108" s="472" t="n">
        <v>69</v>
      </c>
      <c r="E108" s="473"/>
      <c r="H108" s="0" t="n">
        <v>307</v>
      </c>
      <c r="I108" s="474" t="n">
        <f aca="false">D108</f>
        <v>69</v>
      </c>
    </row>
    <row r="109" customFormat="false" ht="24.75" hidden="false" customHeight="true" outlineLevel="0" collapsed="false">
      <c r="A109" s="467" t="s">
        <v>2667</v>
      </c>
      <c r="B109" s="468" t="n">
        <v>11618.4</v>
      </c>
      <c r="C109" s="469"/>
      <c r="D109" s="472" t="n">
        <v>66</v>
      </c>
      <c r="E109" s="473"/>
      <c r="H109" s="0" t="n">
        <v>341</v>
      </c>
      <c r="I109" s="474" t="n">
        <f aca="false">D109</f>
        <v>66</v>
      </c>
    </row>
    <row r="110" customFormat="false" ht="24.75" hidden="false" customHeight="true" outlineLevel="0" collapsed="false">
      <c r="A110" s="467" t="s">
        <v>2735</v>
      </c>
      <c r="B110" s="468" t="n">
        <v>12103</v>
      </c>
      <c r="C110" s="469"/>
      <c r="D110" s="472" t="n">
        <v>69</v>
      </c>
      <c r="E110" s="473"/>
      <c r="H110" s="0" t="n">
        <v>409</v>
      </c>
      <c r="I110" s="474" t="n">
        <f aca="false">D110</f>
        <v>69</v>
      </c>
    </row>
    <row r="111" customFormat="false" ht="24.75" hidden="false" customHeight="true" outlineLevel="0" collapsed="false">
      <c r="A111" s="467" t="s">
        <v>2746</v>
      </c>
      <c r="B111" s="468" t="n">
        <v>12374</v>
      </c>
      <c r="C111" s="469"/>
      <c r="D111" s="472" t="n">
        <v>71</v>
      </c>
      <c r="E111" s="473"/>
      <c r="H111" s="0" t="n">
        <v>420</v>
      </c>
      <c r="I111" s="474" t="n">
        <f aca="false">D111</f>
        <v>71</v>
      </c>
    </row>
    <row r="112" customFormat="false" ht="24.75" hidden="false" customHeight="true" outlineLevel="0" collapsed="false">
      <c r="A112" s="467" t="s">
        <v>2655</v>
      </c>
      <c r="B112" s="468" t="n">
        <v>3989.7</v>
      </c>
      <c r="C112" s="469"/>
      <c r="D112" s="472" t="n">
        <v>68</v>
      </c>
      <c r="E112" s="473"/>
      <c r="H112" s="0" t="n">
        <v>329</v>
      </c>
      <c r="I112" s="474" t="n">
        <f aca="false">D112</f>
        <v>68</v>
      </c>
    </row>
    <row r="113" customFormat="false" ht="24.75" hidden="false" customHeight="true" outlineLevel="0" collapsed="false">
      <c r="A113" s="467" t="s">
        <v>2986</v>
      </c>
      <c r="B113" s="468" t="n">
        <v>12173</v>
      </c>
      <c r="C113" s="469"/>
      <c r="D113" s="472" t="n">
        <v>68</v>
      </c>
      <c r="E113" s="473"/>
      <c r="H113" s="0" t="s">
        <v>1153</v>
      </c>
      <c r="I113" s="474" t="n">
        <f aca="false">D113</f>
        <v>68</v>
      </c>
    </row>
    <row r="114" customFormat="false" ht="24.75" hidden="false" customHeight="true" outlineLevel="0" collapsed="false">
      <c r="A114" s="467" t="s">
        <v>2822</v>
      </c>
      <c r="B114" s="468" t="n">
        <v>12313.9</v>
      </c>
      <c r="C114" s="469"/>
      <c r="D114" s="472" t="n">
        <v>65</v>
      </c>
      <c r="E114" s="473"/>
      <c r="H114" s="0" t="s">
        <v>962</v>
      </c>
      <c r="I114" s="474" t="n">
        <f aca="false">D114</f>
        <v>65</v>
      </c>
    </row>
    <row r="115" customFormat="false" ht="24.75" hidden="false" customHeight="true" outlineLevel="0" collapsed="false">
      <c r="A115" s="467" t="s">
        <v>2835</v>
      </c>
      <c r="B115" s="468" t="n">
        <v>12506.4</v>
      </c>
      <c r="C115" s="469"/>
      <c r="D115" s="472" t="n">
        <v>66</v>
      </c>
      <c r="E115" s="473"/>
      <c r="H115" s="0" t="s">
        <v>975</v>
      </c>
      <c r="I115" s="474" t="n">
        <f aca="false">D115</f>
        <v>66</v>
      </c>
    </row>
    <row r="116" customFormat="false" ht="24.75" hidden="false" customHeight="true" outlineLevel="0" collapsed="false">
      <c r="A116" s="467" t="s">
        <v>2732</v>
      </c>
      <c r="B116" s="468" t="n">
        <v>11331.5</v>
      </c>
      <c r="C116" s="469"/>
      <c r="D116" s="472" t="n">
        <v>67</v>
      </c>
      <c r="E116" s="473"/>
      <c r="H116" s="0" t="n">
        <v>406</v>
      </c>
      <c r="I116" s="474" t="n">
        <f aca="false">D116</f>
        <v>67</v>
      </c>
    </row>
    <row r="117" customFormat="false" ht="24.75" hidden="false" customHeight="true" outlineLevel="0" collapsed="false">
      <c r="A117" s="467" t="s">
        <v>2628</v>
      </c>
      <c r="B117" s="468" t="n">
        <v>3712.6</v>
      </c>
      <c r="C117" s="469"/>
      <c r="D117" s="472" t="n">
        <v>67</v>
      </c>
      <c r="E117" s="473"/>
      <c r="H117" s="0" t="n">
        <v>302</v>
      </c>
      <c r="I117" s="474" t="n">
        <f aca="false">D117</f>
        <v>67</v>
      </c>
    </row>
    <row r="118" customFormat="false" ht="24.75" hidden="false" customHeight="true" outlineLevel="0" collapsed="false">
      <c r="A118" s="467" t="s">
        <v>2751</v>
      </c>
      <c r="B118" s="468" t="n">
        <v>11755.9</v>
      </c>
      <c r="C118" s="469"/>
      <c r="D118" s="472" t="n">
        <v>72</v>
      </c>
      <c r="E118" s="473"/>
      <c r="H118" s="0" t="n">
        <v>425</v>
      </c>
      <c r="I118" s="474" t="n">
        <f aca="false">D118</f>
        <v>72</v>
      </c>
    </row>
    <row r="119" customFormat="false" ht="24.75" hidden="false" customHeight="true" outlineLevel="0" collapsed="false">
      <c r="A119" s="467" t="s">
        <v>2605</v>
      </c>
      <c r="B119" s="468" t="n">
        <v>6258.6</v>
      </c>
      <c r="C119" s="469"/>
      <c r="D119" s="472" t="n">
        <v>69</v>
      </c>
      <c r="E119" s="473"/>
      <c r="H119" s="0" t="n">
        <v>279</v>
      </c>
      <c r="I119" s="474" t="n">
        <f aca="false">D119</f>
        <v>69</v>
      </c>
    </row>
    <row r="120" customFormat="false" ht="24.75" hidden="false" customHeight="true" outlineLevel="0" collapsed="false">
      <c r="A120" s="467" t="s">
        <v>2638</v>
      </c>
      <c r="B120" s="468" t="n">
        <v>9131.7</v>
      </c>
      <c r="C120" s="469"/>
      <c r="D120" s="472" t="n">
        <v>70</v>
      </c>
      <c r="E120" s="473"/>
      <c r="H120" s="0" t="n">
        <v>312</v>
      </c>
      <c r="I120" s="474" t="n">
        <f aca="false">D120</f>
        <v>70</v>
      </c>
    </row>
    <row r="121" customFormat="false" ht="24.75" hidden="false" customHeight="true" outlineLevel="0" collapsed="false">
      <c r="A121" s="467" t="s">
        <v>2653</v>
      </c>
      <c r="B121" s="468" t="n">
        <v>11257.2</v>
      </c>
      <c r="C121" s="469"/>
      <c r="D121" s="472" t="n">
        <v>66</v>
      </c>
      <c r="E121" s="473"/>
      <c r="H121" s="0" t="n">
        <v>327</v>
      </c>
      <c r="I121" s="474" t="n">
        <f aca="false">D121</f>
        <v>66</v>
      </c>
    </row>
    <row r="122" customFormat="false" ht="24.75" hidden="false" customHeight="true" outlineLevel="0" collapsed="false">
      <c r="A122" s="467" t="s">
        <v>2682</v>
      </c>
      <c r="B122" s="468" t="n">
        <v>11805.9</v>
      </c>
      <c r="C122" s="469"/>
      <c r="D122" s="472" t="n">
        <v>54</v>
      </c>
      <c r="E122" s="473"/>
      <c r="H122" s="0" t="n">
        <v>356</v>
      </c>
      <c r="I122" s="474" t="n">
        <f aca="false">D122</f>
        <v>54</v>
      </c>
    </row>
    <row r="123" customFormat="false" ht="24.75" hidden="false" customHeight="true" outlineLevel="0" collapsed="false">
      <c r="A123" s="467" t="s">
        <v>2841</v>
      </c>
      <c r="B123" s="468" t="n">
        <v>11785.2</v>
      </c>
      <c r="C123" s="469"/>
      <c r="D123" s="472" t="n">
        <v>66</v>
      </c>
      <c r="E123" s="473"/>
      <c r="H123" s="0" t="s">
        <v>981</v>
      </c>
      <c r="I123" s="474" t="n">
        <f aca="false">D123</f>
        <v>66</v>
      </c>
    </row>
    <row r="124" customFormat="false" ht="24.75" hidden="false" customHeight="true" outlineLevel="0" collapsed="false">
      <c r="A124" s="467" t="s">
        <v>2585</v>
      </c>
      <c r="B124" s="468" t="n">
        <v>4099.6</v>
      </c>
      <c r="C124" s="469"/>
      <c r="D124" s="472" t="n">
        <v>67</v>
      </c>
      <c r="E124" s="473"/>
      <c r="H124" s="0" t="n">
        <v>259</v>
      </c>
      <c r="I124" s="474" t="n">
        <f aca="false">D124</f>
        <v>67</v>
      </c>
    </row>
    <row r="125" customFormat="false" ht="24.75" hidden="false" customHeight="true" outlineLevel="0" collapsed="false">
      <c r="A125" s="467" t="s">
        <v>2760</v>
      </c>
      <c r="B125" s="468" t="n">
        <v>11885.6</v>
      </c>
      <c r="C125" s="469"/>
      <c r="D125" s="472" t="n">
        <v>68</v>
      </c>
      <c r="E125" s="473"/>
      <c r="H125" s="0" t="n">
        <v>435</v>
      </c>
      <c r="I125" s="474" t="n">
        <f aca="false">D125</f>
        <v>68</v>
      </c>
    </row>
    <row r="126" customFormat="false" ht="24.75" hidden="false" customHeight="true" outlineLevel="0" collapsed="false">
      <c r="A126" s="467" t="s">
        <v>2831</v>
      </c>
      <c r="B126" s="468" t="n">
        <v>12155</v>
      </c>
      <c r="C126" s="469"/>
      <c r="D126" s="472" t="n">
        <v>70</v>
      </c>
      <c r="E126" s="473"/>
      <c r="H126" s="0" t="s">
        <v>971</v>
      </c>
      <c r="I126" s="474" t="n">
        <f aca="false">D126</f>
        <v>70</v>
      </c>
    </row>
    <row r="127" customFormat="false" ht="24.75" hidden="false" customHeight="true" outlineLevel="0" collapsed="false">
      <c r="A127" s="467" t="s">
        <v>2515</v>
      </c>
      <c r="B127" s="468" t="n">
        <v>4149.6</v>
      </c>
      <c r="C127" s="469"/>
      <c r="D127" s="472" t="n">
        <v>64</v>
      </c>
      <c r="E127" s="473"/>
      <c r="H127" s="0" t="n">
        <v>189</v>
      </c>
      <c r="I127" s="474" t="n">
        <f aca="false">D127</f>
        <v>64</v>
      </c>
    </row>
    <row r="128" customFormat="false" ht="24.75" hidden="false" customHeight="true" outlineLevel="0" collapsed="false">
      <c r="A128" s="467" t="s">
        <v>2745</v>
      </c>
      <c r="B128" s="468" t="n">
        <v>6148.8</v>
      </c>
      <c r="C128" s="469"/>
      <c r="D128" s="472" t="n">
        <v>64</v>
      </c>
      <c r="E128" s="473"/>
      <c r="H128" s="0" t="n">
        <v>419</v>
      </c>
      <c r="I128" s="474" t="n">
        <f aca="false">D128</f>
        <v>64</v>
      </c>
    </row>
    <row r="129" customFormat="false" ht="24.75" hidden="false" customHeight="true" outlineLevel="0" collapsed="false">
      <c r="A129" s="467" t="s">
        <v>2757</v>
      </c>
      <c r="B129" s="468" t="n">
        <v>5685.7</v>
      </c>
      <c r="C129" s="469"/>
      <c r="D129" s="472" t="n">
        <v>64</v>
      </c>
      <c r="E129" s="473"/>
      <c r="H129" s="0" t="n">
        <v>431</v>
      </c>
      <c r="I129" s="474" t="n">
        <f aca="false">D129</f>
        <v>64</v>
      </c>
    </row>
    <row r="130" customFormat="false" ht="24.75" hidden="false" customHeight="true" outlineLevel="0" collapsed="false">
      <c r="A130" s="467" t="s">
        <v>2654</v>
      </c>
      <c r="B130" s="468" t="n">
        <v>12188</v>
      </c>
      <c r="C130" s="469"/>
      <c r="D130" s="472" t="n">
        <v>68</v>
      </c>
      <c r="E130" s="473"/>
      <c r="H130" s="0" t="n">
        <v>328</v>
      </c>
      <c r="I130" s="474" t="n">
        <f aca="false">D130</f>
        <v>68</v>
      </c>
    </row>
    <row r="131" customFormat="false" ht="24.75" hidden="false" customHeight="true" outlineLevel="0" collapsed="false">
      <c r="A131" s="467" t="s">
        <v>2781</v>
      </c>
      <c r="B131" s="468" t="n">
        <v>6151.2</v>
      </c>
      <c r="C131" s="469"/>
      <c r="D131" s="472" t="n">
        <v>68</v>
      </c>
      <c r="E131" s="473"/>
      <c r="H131" s="0" t="n">
        <v>456</v>
      </c>
      <c r="I131" s="474" t="n">
        <f aca="false">D131</f>
        <v>68</v>
      </c>
    </row>
    <row r="132" customFormat="false" ht="24.75" hidden="false" customHeight="true" outlineLevel="0" collapsed="false">
      <c r="A132" s="467" t="s">
        <v>2642</v>
      </c>
      <c r="B132" s="468" t="n">
        <v>12618</v>
      </c>
      <c r="C132" s="469"/>
      <c r="D132" s="472" t="n">
        <v>65</v>
      </c>
      <c r="E132" s="473"/>
      <c r="H132" s="0" t="n">
        <v>316</v>
      </c>
      <c r="I132" s="474" t="n">
        <f aca="false">D132</f>
        <v>65</v>
      </c>
    </row>
    <row r="133" customFormat="false" ht="24.75" hidden="false" customHeight="true" outlineLevel="0" collapsed="false">
      <c r="A133" s="467" t="s">
        <v>2827</v>
      </c>
      <c r="B133" s="468" t="n">
        <v>12852</v>
      </c>
      <c r="C133" s="469"/>
      <c r="D133" s="472" t="n">
        <v>69</v>
      </c>
      <c r="E133" s="473"/>
      <c r="H133" s="0" t="s">
        <v>967</v>
      </c>
      <c r="I133" s="474" t="n">
        <f aca="false">D133</f>
        <v>69</v>
      </c>
    </row>
    <row r="134" customFormat="false" ht="24.75" hidden="false" customHeight="true" outlineLevel="0" collapsed="false">
      <c r="A134" s="467" t="s">
        <v>2750</v>
      </c>
      <c r="B134" s="468" t="n">
        <v>12229.5</v>
      </c>
      <c r="C134" s="469"/>
      <c r="D134" s="472" t="n">
        <v>72</v>
      </c>
      <c r="E134" s="473"/>
      <c r="H134" s="0" t="n">
        <v>424</v>
      </c>
      <c r="I134" s="474" t="n">
        <f aca="false">D134</f>
        <v>72</v>
      </c>
    </row>
    <row r="135" customFormat="false" ht="24.75" hidden="false" customHeight="true" outlineLevel="0" collapsed="false">
      <c r="A135" s="467" t="s">
        <v>2843</v>
      </c>
      <c r="B135" s="468" t="n">
        <v>11266</v>
      </c>
      <c r="C135" s="469"/>
      <c r="D135" s="472" t="n">
        <v>66</v>
      </c>
      <c r="E135" s="473"/>
      <c r="H135" s="0" t="s">
        <v>983</v>
      </c>
      <c r="I135" s="474" t="n">
        <f aca="false">D135</f>
        <v>66</v>
      </c>
    </row>
    <row r="136" customFormat="false" ht="24.75" hidden="false" customHeight="true" outlineLevel="0" collapsed="false">
      <c r="A136" s="467" t="s">
        <v>417</v>
      </c>
      <c r="B136" s="468" t="n">
        <v>4008257.1</v>
      </c>
      <c r="C136" s="469"/>
      <c r="D136" s="469"/>
      <c r="E136" s="470"/>
      <c r="I136" s="474"/>
    </row>
    <row r="137" customFormat="false" ht="24.75" hidden="false" customHeight="true" outlineLevel="0" collapsed="false">
      <c r="A137" s="467" t="s">
        <v>358</v>
      </c>
      <c r="B137" s="468" t="n">
        <v>4008257.1</v>
      </c>
      <c r="C137" s="469"/>
      <c r="D137" s="472" t="n">
        <v>49.3</v>
      </c>
      <c r="E137" s="470"/>
      <c r="I137" s="474" t="n">
        <f aca="false">D137</f>
        <v>49.3</v>
      </c>
    </row>
    <row r="138" customFormat="false" ht="24.75" hidden="false" customHeight="true" outlineLevel="0" collapsed="false">
      <c r="A138" s="467" t="s">
        <v>2624</v>
      </c>
      <c r="B138" s="468" t="n">
        <v>12975.8</v>
      </c>
      <c r="C138" s="469"/>
      <c r="D138" s="473"/>
      <c r="E138" s="473"/>
      <c r="H138" s="0" t="n">
        <v>298</v>
      </c>
      <c r="I138" s="474"/>
    </row>
    <row r="139" customFormat="false" ht="24.75" hidden="false" customHeight="true" outlineLevel="0" collapsed="false">
      <c r="A139" s="467" t="s">
        <v>2706</v>
      </c>
      <c r="B139" s="468" t="n">
        <v>11144</v>
      </c>
      <c r="C139" s="469"/>
      <c r="D139" s="472" t="n">
        <v>51</v>
      </c>
      <c r="E139" s="473"/>
      <c r="H139" s="0" t="n">
        <v>380</v>
      </c>
      <c r="I139" s="474" t="n">
        <f aca="false">D139</f>
        <v>51</v>
      </c>
    </row>
    <row r="140" customFormat="false" ht="24.75" hidden="false" customHeight="true" outlineLevel="0" collapsed="false">
      <c r="A140" s="467" t="s">
        <v>2449</v>
      </c>
      <c r="B140" s="468" t="n">
        <v>3182</v>
      </c>
      <c r="C140" s="469"/>
      <c r="D140" s="472" t="n">
        <v>50</v>
      </c>
      <c r="E140" s="473"/>
      <c r="H140" s="0" t="n">
        <v>84</v>
      </c>
      <c r="I140" s="474" t="n">
        <f aca="false">D140</f>
        <v>50</v>
      </c>
    </row>
    <row r="141" customFormat="false" ht="24.75" hidden="false" customHeight="true" outlineLevel="0" collapsed="false">
      <c r="A141" s="467" t="s">
        <v>2671</v>
      </c>
      <c r="B141" s="468" t="n">
        <v>10478.1</v>
      </c>
      <c r="C141" s="469"/>
      <c r="D141" s="472" t="n">
        <v>53</v>
      </c>
      <c r="E141" s="473"/>
      <c r="H141" s="0" t="n">
        <v>345</v>
      </c>
      <c r="I141" s="474" t="n">
        <f aca="false">D141</f>
        <v>53</v>
      </c>
    </row>
    <row r="142" customFormat="false" ht="24.75" hidden="false" customHeight="true" outlineLevel="0" collapsed="false">
      <c r="A142" s="467" t="s">
        <v>2580</v>
      </c>
      <c r="B142" s="468" t="n">
        <v>11313.5</v>
      </c>
      <c r="C142" s="469"/>
      <c r="D142" s="472" t="n">
        <v>65</v>
      </c>
      <c r="E142" s="473"/>
      <c r="H142" s="0" t="n">
        <v>254</v>
      </c>
      <c r="I142" s="474" t="n">
        <f aca="false">D142</f>
        <v>65</v>
      </c>
    </row>
    <row r="143" customFormat="false" ht="24.75" hidden="false" customHeight="true" outlineLevel="0" collapsed="false">
      <c r="A143" s="467" t="s">
        <v>2818</v>
      </c>
      <c r="B143" s="468" t="n">
        <v>12644.7</v>
      </c>
      <c r="C143" s="469"/>
      <c r="D143" s="472" t="n">
        <v>58</v>
      </c>
      <c r="E143" s="473"/>
      <c r="H143" s="0" t="s">
        <v>958</v>
      </c>
      <c r="I143" s="474" t="n">
        <f aca="false">D143</f>
        <v>58</v>
      </c>
    </row>
    <row r="144" customFormat="false" ht="24.75" hidden="false" customHeight="true" outlineLevel="0" collapsed="false">
      <c r="A144" s="467" t="s">
        <v>3003</v>
      </c>
      <c r="B144" s="468" t="n">
        <v>10925.8</v>
      </c>
      <c r="C144" s="469"/>
      <c r="D144" s="472" t="n">
        <v>62</v>
      </c>
      <c r="E144" s="473"/>
      <c r="H144" s="0" t="s">
        <v>1171</v>
      </c>
      <c r="I144" s="474" t="n">
        <f aca="false">D144</f>
        <v>62</v>
      </c>
    </row>
    <row r="145" customFormat="false" ht="24.75" hidden="false" customHeight="true" outlineLevel="0" collapsed="false">
      <c r="A145" s="467" t="s">
        <v>2924</v>
      </c>
      <c r="B145" s="468" t="n">
        <v>11901.6</v>
      </c>
      <c r="C145" s="469"/>
      <c r="D145" s="472" t="n">
        <v>55</v>
      </c>
      <c r="E145" s="473"/>
      <c r="H145" s="0" t="s">
        <v>1080</v>
      </c>
      <c r="I145" s="474" t="n">
        <f aca="false">D145</f>
        <v>55</v>
      </c>
    </row>
    <row r="146" customFormat="false" ht="24.75" hidden="false" customHeight="true" outlineLevel="0" collapsed="false">
      <c r="A146" s="467" t="s">
        <v>2432</v>
      </c>
      <c r="B146" s="468" t="n">
        <v>10519.7</v>
      </c>
      <c r="C146" s="469"/>
      <c r="D146" s="472" t="n">
        <v>44</v>
      </c>
      <c r="E146" s="473"/>
      <c r="H146" s="0" t="n">
        <v>55</v>
      </c>
      <c r="I146" s="474" t="n">
        <f aca="false">D146</f>
        <v>44</v>
      </c>
    </row>
    <row r="147" customFormat="false" ht="24.75" hidden="false" customHeight="true" outlineLevel="0" collapsed="false">
      <c r="A147" s="467" t="s">
        <v>2617</v>
      </c>
      <c r="B147" s="468" t="n">
        <v>11105.4</v>
      </c>
      <c r="C147" s="469"/>
      <c r="D147" s="473"/>
      <c r="E147" s="473"/>
      <c r="H147" s="0" t="n">
        <v>291</v>
      </c>
      <c r="I147" s="474"/>
    </row>
    <row r="148" customFormat="false" ht="24.75" hidden="false" customHeight="true" outlineLevel="0" collapsed="false">
      <c r="A148" s="467" t="s">
        <v>2953</v>
      </c>
      <c r="B148" s="468" t="n">
        <v>11202.3</v>
      </c>
      <c r="C148" s="469"/>
      <c r="D148" s="472" t="n">
        <v>53</v>
      </c>
      <c r="E148" s="473"/>
      <c r="H148" s="0" t="s">
        <v>1118</v>
      </c>
      <c r="I148" s="474" t="n">
        <f aca="false">D148</f>
        <v>53</v>
      </c>
    </row>
    <row r="149" customFormat="false" ht="24.75" hidden="false" customHeight="true" outlineLevel="0" collapsed="false">
      <c r="A149" s="467" t="s">
        <v>2857</v>
      </c>
      <c r="B149" s="468" t="n">
        <v>9975.6</v>
      </c>
      <c r="C149" s="469"/>
      <c r="D149" s="472" t="n">
        <v>42</v>
      </c>
      <c r="E149" s="473"/>
      <c r="H149" s="0" t="s">
        <v>1002</v>
      </c>
      <c r="I149" s="474" t="n">
        <f aca="false">D149</f>
        <v>42</v>
      </c>
    </row>
    <row r="150" customFormat="false" ht="24.75" hidden="false" customHeight="true" outlineLevel="0" collapsed="false">
      <c r="A150" s="467" t="s">
        <v>2612</v>
      </c>
      <c r="B150" s="468" t="n">
        <v>6570.9</v>
      </c>
      <c r="C150" s="469"/>
      <c r="D150" s="472" t="n">
        <v>60</v>
      </c>
      <c r="E150" s="473"/>
      <c r="H150" s="0" t="n">
        <v>286</v>
      </c>
      <c r="I150" s="474" t="n">
        <f aca="false">D150</f>
        <v>60</v>
      </c>
    </row>
    <row r="151" customFormat="false" ht="24.75" hidden="false" customHeight="true" outlineLevel="0" collapsed="false">
      <c r="A151" s="467" t="s">
        <v>2919</v>
      </c>
      <c r="B151" s="468" t="n">
        <v>6240</v>
      </c>
      <c r="C151" s="469"/>
      <c r="D151" s="472" t="n">
        <v>53</v>
      </c>
      <c r="E151" s="473"/>
      <c r="H151" s="0" t="s">
        <v>1075</v>
      </c>
      <c r="I151" s="474" t="n">
        <f aca="false">D151</f>
        <v>53</v>
      </c>
    </row>
    <row r="152" customFormat="false" ht="24.75" hidden="false" customHeight="true" outlineLevel="0" collapsed="false">
      <c r="A152" s="467" t="s">
        <v>2435</v>
      </c>
      <c r="B152" s="468" t="n">
        <v>10150</v>
      </c>
      <c r="C152" s="469"/>
      <c r="D152" s="472" t="n">
        <v>45</v>
      </c>
      <c r="E152" s="473"/>
      <c r="H152" s="0" t="n">
        <v>58</v>
      </c>
      <c r="I152" s="474" t="n">
        <f aca="false">D152</f>
        <v>45</v>
      </c>
    </row>
    <row r="153" customFormat="false" ht="24.75" hidden="false" customHeight="true" outlineLevel="0" collapsed="false">
      <c r="A153" s="467" t="s">
        <v>2700</v>
      </c>
      <c r="B153" s="468" t="n">
        <v>10978.9</v>
      </c>
      <c r="C153" s="469"/>
      <c r="D153" s="472" t="n">
        <v>46</v>
      </c>
      <c r="E153" s="473"/>
      <c r="H153" s="0" t="n">
        <v>374</v>
      </c>
      <c r="I153" s="474" t="n">
        <f aca="false">D153</f>
        <v>46</v>
      </c>
    </row>
    <row r="154" customFormat="false" ht="24.75" hidden="false" customHeight="true" outlineLevel="0" collapsed="false">
      <c r="A154" s="467" t="s">
        <v>2678</v>
      </c>
      <c r="B154" s="468" t="n">
        <v>12003.2</v>
      </c>
      <c r="C154" s="469"/>
      <c r="D154" s="472" t="n">
        <v>53</v>
      </c>
      <c r="E154" s="473"/>
      <c r="H154" s="0" t="n">
        <v>352</v>
      </c>
      <c r="I154" s="474" t="n">
        <f aca="false">D154</f>
        <v>53</v>
      </c>
    </row>
    <row r="155" customFormat="false" ht="24.75" hidden="false" customHeight="true" outlineLevel="0" collapsed="false">
      <c r="A155" s="467" t="s">
        <v>2436</v>
      </c>
      <c r="B155" s="468" t="n">
        <v>9653</v>
      </c>
      <c r="C155" s="469"/>
      <c r="D155" s="472" t="n">
        <v>45</v>
      </c>
      <c r="E155" s="473"/>
      <c r="H155" s="0" t="n">
        <v>59</v>
      </c>
      <c r="I155" s="474" t="n">
        <f aca="false">D155</f>
        <v>45</v>
      </c>
    </row>
    <row r="156" customFormat="false" ht="24.75" hidden="false" customHeight="true" outlineLevel="0" collapsed="false">
      <c r="A156" s="467" t="s">
        <v>2899</v>
      </c>
      <c r="B156" s="468" t="n">
        <v>11314.2</v>
      </c>
      <c r="C156" s="469"/>
      <c r="D156" s="472" t="n">
        <v>49</v>
      </c>
      <c r="E156" s="473"/>
      <c r="H156" s="0" t="s">
        <v>1050</v>
      </c>
      <c r="I156" s="474" t="n">
        <f aca="false">D156</f>
        <v>49</v>
      </c>
    </row>
    <row r="157" customFormat="false" ht="24.75" hidden="false" customHeight="true" outlineLevel="0" collapsed="false">
      <c r="A157" s="467" t="s">
        <v>2863</v>
      </c>
      <c r="B157" s="468" t="n">
        <v>11437.2</v>
      </c>
      <c r="C157" s="469"/>
      <c r="D157" s="472" t="n">
        <v>49</v>
      </c>
      <c r="E157" s="473"/>
      <c r="H157" s="0" t="s">
        <v>1008</v>
      </c>
      <c r="I157" s="474" t="n">
        <f aca="false">D157</f>
        <v>49</v>
      </c>
    </row>
    <row r="158" customFormat="false" ht="24.75" hidden="false" customHeight="true" outlineLevel="0" collapsed="false">
      <c r="A158" s="467" t="s">
        <v>2973</v>
      </c>
      <c r="B158" s="468" t="n">
        <v>12411</v>
      </c>
      <c r="C158" s="469"/>
      <c r="D158" s="472" t="n">
        <v>54</v>
      </c>
      <c r="E158" s="473"/>
      <c r="H158" s="0" t="s">
        <v>1139</v>
      </c>
      <c r="I158" s="474" t="n">
        <f aca="false">D158</f>
        <v>54</v>
      </c>
    </row>
    <row r="159" customFormat="false" ht="24.75" hidden="false" customHeight="true" outlineLevel="0" collapsed="false">
      <c r="A159" s="467" t="s">
        <v>2951</v>
      </c>
      <c r="B159" s="468" t="n">
        <v>10506.6</v>
      </c>
      <c r="C159" s="469"/>
      <c r="D159" s="472" t="n">
        <v>50</v>
      </c>
      <c r="E159" s="473"/>
      <c r="H159" s="0" t="s">
        <v>1116</v>
      </c>
      <c r="I159" s="474" t="n">
        <f aca="false">D159</f>
        <v>50</v>
      </c>
    </row>
    <row r="160" customFormat="false" ht="24.75" hidden="false" customHeight="true" outlineLevel="0" collapsed="false">
      <c r="A160" s="467" t="s">
        <v>2657</v>
      </c>
      <c r="B160" s="468" t="n">
        <v>3083.3</v>
      </c>
      <c r="C160" s="469"/>
      <c r="D160" s="472" t="n">
        <v>41</v>
      </c>
      <c r="E160" s="473"/>
      <c r="H160" s="0" t="n">
        <v>331</v>
      </c>
      <c r="I160" s="474" t="n">
        <f aca="false">D160</f>
        <v>41</v>
      </c>
    </row>
    <row r="161" customFormat="false" ht="24.75" hidden="false" customHeight="true" outlineLevel="0" collapsed="false">
      <c r="A161" s="467" t="s">
        <v>2524</v>
      </c>
      <c r="B161" s="468" t="n">
        <v>6780</v>
      </c>
      <c r="C161" s="469"/>
      <c r="D161" s="472" t="n">
        <v>60</v>
      </c>
      <c r="E161" s="473"/>
      <c r="H161" s="0" t="n">
        <v>198</v>
      </c>
      <c r="I161" s="474" t="n">
        <f aca="false">D161</f>
        <v>60</v>
      </c>
    </row>
    <row r="162" customFormat="false" ht="24.75" hidden="false" customHeight="true" outlineLevel="0" collapsed="false">
      <c r="A162" s="467" t="s">
        <v>2531</v>
      </c>
      <c r="B162" s="468" t="n">
        <v>4059</v>
      </c>
      <c r="C162" s="469"/>
      <c r="D162" s="472" t="n">
        <v>59</v>
      </c>
      <c r="E162" s="473"/>
      <c r="H162" s="0" t="n">
        <v>205</v>
      </c>
      <c r="I162" s="474" t="n">
        <f aca="false">D162</f>
        <v>59</v>
      </c>
    </row>
    <row r="163" customFormat="false" ht="24.75" hidden="false" customHeight="true" outlineLevel="0" collapsed="false">
      <c r="A163" s="467" t="s">
        <v>2803</v>
      </c>
      <c r="B163" s="468" t="n">
        <v>11803</v>
      </c>
      <c r="C163" s="469"/>
      <c r="D163" s="472" t="n">
        <v>55</v>
      </c>
      <c r="E163" s="473"/>
      <c r="H163" s="0" t="s">
        <v>943</v>
      </c>
      <c r="I163" s="474" t="n">
        <f aca="false">D163</f>
        <v>55</v>
      </c>
    </row>
    <row r="164" customFormat="false" ht="24.75" hidden="false" customHeight="true" outlineLevel="0" collapsed="false">
      <c r="A164" s="467" t="s">
        <v>2546</v>
      </c>
      <c r="B164" s="468" t="n">
        <v>10413.2</v>
      </c>
      <c r="C164" s="469"/>
      <c r="D164" s="473"/>
      <c r="E164" s="473"/>
      <c r="H164" s="0" t="n">
        <v>220</v>
      </c>
      <c r="I164" s="474"/>
    </row>
    <row r="165" customFormat="false" ht="24.75" hidden="false" customHeight="true" outlineLevel="0" collapsed="false">
      <c r="A165" s="467" t="s">
        <v>2428</v>
      </c>
      <c r="B165" s="468" t="n">
        <v>11099.5</v>
      </c>
      <c r="C165" s="469"/>
      <c r="D165" s="472" t="n">
        <v>41</v>
      </c>
      <c r="E165" s="473"/>
      <c r="H165" s="0" t="n">
        <v>48</v>
      </c>
      <c r="I165" s="474" t="n">
        <f aca="false">D165</f>
        <v>41</v>
      </c>
    </row>
    <row r="166" customFormat="false" ht="24.75" hidden="false" customHeight="true" outlineLevel="0" collapsed="false">
      <c r="A166" s="467" t="s">
        <v>2764</v>
      </c>
      <c r="B166" s="468" t="n">
        <v>10514.9</v>
      </c>
      <c r="C166" s="469"/>
      <c r="D166" s="472" t="n">
        <v>48</v>
      </c>
      <c r="E166" s="473"/>
      <c r="H166" s="0" t="n">
        <v>439</v>
      </c>
      <c r="I166" s="474" t="n">
        <f aca="false">D166</f>
        <v>48</v>
      </c>
    </row>
    <row r="167" customFormat="false" ht="24.75" hidden="false" customHeight="true" outlineLevel="0" collapsed="false">
      <c r="A167" s="467" t="s">
        <v>2873</v>
      </c>
      <c r="B167" s="468" t="n">
        <v>11191.9</v>
      </c>
      <c r="C167" s="469"/>
      <c r="D167" s="472" t="n">
        <v>50</v>
      </c>
      <c r="E167" s="473"/>
      <c r="H167" s="0" t="s">
        <v>1018</v>
      </c>
      <c r="I167" s="474" t="n">
        <f aca="false">D167</f>
        <v>50</v>
      </c>
    </row>
    <row r="168" customFormat="false" ht="12.75" hidden="false" customHeight="true" outlineLevel="0" collapsed="false">
      <c r="A168" s="467" t="s">
        <v>2694</v>
      </c>
      <c r="B168" s="468" t="n">
        <v>11725</v>
      </c>
      <c r="C168" s="469"/>
      <c r="D168" s="472" t="n">
        <v>57</v>
      </c>
      <c r="E168" s="473"/>
      <c r="H168" s="0" t="n">
        <v>368</v>
      </c>
      <c r="I168" s="474" t="n">
        <f aca="false">D168</f>
        <v>57</v>
      </c>
    </row>
    <row r="169" customFormat="false" ht="24.75" hidden="false" customHeight="true" outlineLevel="0" collapsed="false">
      <c r="A169" s="467" t="s">
        <v>2505</v>
      </c>
      <c r="B169" s="468" t="n">
        <v>11409.3</v>
      </c>
      <c r="C169" s="469"/>
      <c r="D169" s="472" t="n">
        <v>62</v>
      </c>
      <c r="E169" s="473"/>
      <c r="H169" s="0" t="n">
        <v>179</v>
      </c>
      <c r="I169" s="474" t="n">
        <f aca="false">D169</f>
        <v>62</v>
      </c>
    </row>
    <row r="170" customFormat="false" ht="24.75" hidden="false" customHeight="true" outlineLevel="0" collapsed="false">
      <c r="A170" s="467" t="s">
        <v>2686</v>
      </c>
      <c r="B170" s="468" t="n">
        <v>11964.1</v>
      </c>
      <c r="C170" s="469"/>
      <c r="D170" s="472" t="n">
        <v>58</v>
      </c>
      <c r="E170" s="473"/>
      <c r="H170" s="0" t="n">
        <v>360</v>
      </c>
      <c r="I170" s="474" t="n">
        <f aca="false">D170</f>
        <v>58</v>
      </c>
    </row>
    <row r="171" customFormat="false" ht="24.75" hidden="false" customHeight="true" outlineLevel="0" collapsed="false">
      <c r="A171" s="467" t="s">
        <v>2870</v>
      </c>
      <c r="B171" s="468" t="n">
        <v>10980.9</v>
      </c>
      <c r="C171" s="469"/>
      <c r="D171" s="472" t="n">
        <v>49</v>
      </c>
      <c r="E171" s="473"/>
      <c r="H171" s="0" t="s">
        <v>1015</v>
      </c>
      <c r="I171" s="474" t="n">
        <f aca="false">D171</f>
        <v>49</v>
      </c>
    </row>
    <row r="172" customFormat="false" ht="24.75" hidden="false" customHeight="true" outlineLevel="0" collapsed="false">
      <c r="A172" s="467" t="s">
        <v>2539</v>
      </c>
      <c r="B172" s="468" t="n">
        <v>11393.2</v>
      </c>
      <c r="C172" s="469"/>
      <c r="D172" s="472" t="n">
        <v>54</v>
      </c>
      <c r="E172" s="473"/>
      <c r="H172" s="0" t="n">
        <v>213</v>
      </c>
      <c r="I172" s="474" t="n">
        <f aca="false">D172</f>
        <v>54</v>
      </c>
    </row>
    <row r="173" customFormat="false" ht="24.75" hidden="false" customHeight="true" outlineLevel="0" collapsed="false">
      <c r="A173" s="467" t="s">
        <v>2619</v>
      </c>
      <c r="B173" s="468" t="n">
        <v>12544.9</v>
      </c>
      <c r="C173" s="469"/>
      <c r="D173" s="473"/>
      <c r="E173" s="473"/>
      <c r="H173" s="0" t="n">
        <v>293</v>
      </c>
      <c r="I173" s="474"/>
    </row>
    <row r="174" customFormat="false" ht="24.75" hidden="false" customHeight="true" outlineLevel="0" collapsed="false">
      <c r="A174" s="467" t="s">
        <v>2962</v>
      </c>
      <c r="B174" s="468" t="n">
        <v>11955</v>
      </c>
      <c r="C174" s="469"/>
      <c r="D174" s="472" t="n">
        <v>59</v>
      </c>
      <c r="E174" s="473"/>
      <c r="H174" s="0" t="s">
        <v>1128</v>
      </c>
      <c r="I174" s="474" t="n">
        <f aca="false">D174</f>
        <v>59</v>
      </c>
    </row>
    <row r="175" customFormat="false" ht="24.75" hidden="false" customHeight="true" outlineLevel="0" collapsed="false">
      <c r="A175" s="467" t="s">
        <v>2522</v>
      </c>
      <c r="B175" s="468" t="n">
        <v>11797</v>
      </c>
      <c r="C175" s="469"/>
      <c r="D175" s="472" t="n">
        <v>62</v>
      </c>
      <c r="E175" s="473"/>
      <c r="H175" s="0" t="n">
        <v>196</v>
      </c>
      <c r="I175" s="474" t="n">
        <f aca="false">D175</f>
        <v>62</v>
      </c>
    </row>
    <row r="176" customFormat="false" ht="24.75" hidden="false" customHeight="true" outlineLevel="0" collapsed="false">
      <c r="A176" s="467" t="s">
        <v>2512</v>
      </c>
      <c r="B176" s="468" t="n">
        <v>4001.6</v>
      </c>
      <c r="C176" s="469"/>
      <c r="D176" s="472" t="n">
        <v>61</v>
      </c>
      <c r="E176" s="473"/>
      <c r="H176" s="0" t="n">
        <v>186</v>
      </c>
      <c r="I176" s="474" t="n">
        <f aca="false">D176</f>
        <v>61</v>
      </c>
    </row>
    <row r="177" customFormat="false" ht="24.75" hidden="false" customHeight="true" outlineLevel="0" collapsed="false">
      <c r="A177" s="467" t="s">
        <v>2521</v>
      </c>
      <c r="B177" s="468" t="n">
        <v>12716</v>
      </c>
      <c r="C177" s="469"/>
      <c r="D177" s="473"/>
      <c r="E177" s="473"/>
      <c r="H177" s="0" t="n">
        <v>195</v>
      </c>
      <c r="I177" s="474"/>
    </row>
    <row r="178" customFormat="false" ht="24.75" hidden="false" customHeight="true" outlineLevel="0" collapsed="false">
      <c r="A178" s="467" t="s">
        <v>2496</v>
      </c>
      <c r="B178" s="468" t="n">
        <v>10251</v>
      </c>
      <c r="C178" s="469"/>
      <c r="D178" s="473"/>
      <c r="E178" s="473"/>
      <c r="H178" s="0" t="n">
        <v>151</v>
      </c>
      <c r="I178" s="474"/>
    </row>
    <row r="179" customFormat="false" ht="24.75" hidden="false" customHeight="true" outlineLevel="0" collapsed="false">
      <c r="A179" s="467" t="s">
        <v>2565</v>
      </c>
      <c r="B179" s="468" t="n">
        <v>11149.2</v>
      </c>
      <c r="C179" s="469"/>
      <c r="D179" s="472" t="n">
        <v>59</v>
      </c>
      <c r="E179" s="473"/>
      <c r="H179" s="0" t="n">
        <v>239</v>
      </c>
      <c r="I179" s="474" t="n">
        <f aca="false">D179</f>
        <v>59</v>
      </c>
    </row>
    <row r="180" customFormat="false" ht="24.75" hidden="false" customHeight="true" outlineLevel="0" collapsed="false">
      <c r="A180" s="467" t="s">
        <v>2961</v>
      </c>
      <c r="B180" s="468" t="n">
        <v>4799.6</v>
      </c>
      <c r="C180" s="469"/>
      <c r="D180" s="472" t="n">
        <v>54</v>
      </c>
      <c r="E180" s="473"/>
      <c r="H180" s="0" t="s">
        <v>1126</v>
      </c>
      <c r="I180" s="474" t="n">
        <f aca="false">D180</f>
        <v>54</v>
      </c>
    </row>
    <row r="181" customFormat="false" ht="24.75" hidden="false" customHeight="true" outlineLevel="0" collapsed="false">
      <c r="A181" s="467" t="s">
        <v>2487</v>
      </c>
      <c r="B181" s="468" t="n">
        <v>11508</v>
      </c>
      <c r="C181" s="469"/>
      <c r="D181" s="472" t="n">
        <v>55</v>
      </c>
      <c r="E181" s="473"/>
      <c r="H181" s="0" t="n">
        <v>142</v>
      </c>
      <c r="I181" s="474" t="n">
        <f aca="false">D181</f>
        <v>55</v>
      </c>
    </row>
    <row r="182" customFormat="false" ht="24.75" hidden="false" customHeight="true" outlineLevel="0" collapsed="false">
      <c r="A182" s="467" t="s">
        <v>2620</v>
      </c>
      <c r="B182" s="468" t="n">
        <v>10697.5</v>
      </c>
      <c r="C182" s="469"/>
      <c r="D182" s="473"/>
      <c r="E182" s="473"/>
      <c r="H182" s="0" t="n">
        <v>294</v>
      </c>
      <c r="I182" s="474"/>
    </row>
    <row r="183" customFormat="false" ht="24.75" hidden="false" customHeight="true" outlineLevel="0" collapsed="false">
      <c r="A183" s="467" t="s">
        <v>2466</v>
      </c>
      <c r="B183" s="468" t="n">
        <v>9796</v>
      </c>
      <c r="C183" s="469"/>
      <c r="D183" s="472" t="n">
        <v>50</v>
      </c>
      <c r="E183" s="473"/>
      <c r="H183" s="0" t="n">
        <v>102</v>
      </c>
      <c r="I183" s="474" t="n">
        <f aca="false">D183</f>
        <v>50</v>
      </c>
    </row>
    <row r="184" customFormat="false" ht="24.75" hidden="false" customHeight="true" outlineLevel="0" collapsed="false">
      <c r="A184" s="467" t="s">
        <v>2595</v>
      </c>
      <c r="B184" s="468" t="n">
        <v>11357.5</v>
      </c>
      <c r="C184" s="469"/>
      <c r="D184" s="472" t="n">
        <v>62</v>
      </c>
      <c r="E184" s="473"/>
      <c r="H184" s="0" t="n">
        <v>269</v>
      </c>
      <c r="I184" s="474" t="n">
        <f aca="false">D184</f>
        <v>62</v>
      </c>
    </row>
    <row r="185" customFormat="false" ht="24.75" hidden="false" customHeight="true" outlineLevel="0" collapsed="false">
      <c r="A185" s="467" t="s">
        <v>2933</v>
      </c>
      <c r="B185" s="468" t="n">
        <v>11551</v>
      </c>
      <c r="C185" s="469"/>
      <c r="D185" s="472" t="n">
        <v>52</v>
      </c>
      <c r="E185" s="473"/>
      <c r="H185" s="0" t="s">
        <v>1091</v>
      </c>
      <c r="I185" s="474" t="n">
        <f aca="false">D185</f>
        <v>52</v>
      </c>
    </row>
    <row r="186" customFormat="false" ht="24.75" hidden="false" customHeight="true" outlineLevel="0" collapsed="false">
      <c r="A186" s="467" t="s">
        <v>2543</v>
      </c>
      <c r="B186" s="468" t="n">
        <v>11458.2</v>
      </c>
      <c r="C186" s="469"/>
      <c r="D186" s="472" t="n">
        <v>53</v>
      </c>
      <c r="E186" s="473"/>
      <c r="H186" s="0" t="n">
        <v>217</v>
      </c>
      <c r="I186" s="474" t="n">
        <f aca="false">D186</f>
        <v>53</v>
      </c>
    </row>
    <row r="187" customFormat="false" ht="24.75" hidden="false" customHeight="true" outlineLevel="0" collapsed="false">
      <c r="A187" s="467" t="s">
        <v>2564</v>
      </c>
      <c r="B187" s="468" t="n">
        <v>11327.2</v>
      </c>
      <c r="C187" s="469"/>
      <c r="D187" s="472" t="n">
        <v>57</v>
      </c>
      <c r="E187" s="473"/>
      <c r="H187" s="0" t="n">
        <v>238</v>
      </c>
      <c r="I187" s="474" t="n">
        <f aca="false">D187</f>
        <v>57</v>
      </c>
    </row>
    <row r="188" customFormat="false" ht="24.75" hidden="false" customHeight="true" outlineLevel="0" collapsed="false">
      <c r="A188" s="467" t="s">
        <v>2920</v>
      </c>
      <c r="B188" s="468" t="n">
        <v>6067.6</v>
      </c>
      <c r="C188" s="469"/>
      <c r="D188" s="472" t="n">
        <v>48</v>
      </c>
      <c r="E188" s="473"/>
      <c r="H188" s="0" t="s">
        <v>1076</v>
      </c>
      <c r="I188" s="474" t="n">
        <f aca="false">D188</f>
        <v>48</v>
      </c>
    </row>
    <row r="189" customFormat="false" ht="24.75" hidden="false" customHeight="true" outlineLevel="0" collapsed="false">
      <c r="A189" s="467" t="s">
        <v>2524</v>
      </c>
      <c r="B189" s="468" t="n">
        <v>5948.9</v>
      </c>
      <c r="C189" s="469"/>
      <c r="D189" s="472" t="n">
        <v>47</v>
      </c>
      <c r="E189" s="473"/>
      <c r="H189" s="0" t="n">
        <v>198</v>
      </c>
      <c r="I189" s="474" t="n">
        <f aca="false">D189</f>
        <v>47</v>
      </c>
    </row>
    <row r="190" customFormat="false" ht="24.75" hidden="false" customHeight="true" outlineLevel="0" collapsed="false">
      <c r="A190" s="467" t="s">
        <v>2949</v>
      </c>
      <c r="B190" s="468" t="n">
        <v>11313.5</v>
      </c>
      <c r="C190" s="469"/>
      <c r="D190" s="472" t="n">
        <v>46</v>
      </c>
      <c r="E190" s="473"/>
      <c r="H190" s="0" t="s">
        <v>1112</v>
      </c>
      <c r="I190" s="474" t="n">
        <f aca="false">D190</f>
        <v>46</v>
      </c>
    </row>
    <row r="191" customFormat="false" ht="24.75" hidden="false" customHeight="true" outlineLevel="0" collapsed="false">
      <c r="A191" s="467" t="s">
        <v>2685</v>
      </c>
      <c r="B191" s="468" t="n">
        <v>11733.7</v>
      </c>
      <c r="C191" s="469"/>
      <c r="D191" s="472" t="n">
        <v>60</v>
      </c>
      <c r="E191" s="473"/>
      <c r="H191" s="0" t="n">
        <v>359</v>
      </c>
      <c r="I191" s="474" t="n">
        <f aca="false">D191</f>
        <v>60</v>
      </c>
    </row>
    <row r="192" customFormat="false" ht="24.75" hidden="false" customHeight="true" outlineLevel="0" collapsed="false">
      <c r="A192" s="467" t="s">
        <v>2855</v>
      </c>
      <c r="B192" s="468" t="n">
        <v>9576</v>
      </c>
      <c r="C192" s="469"/>
      <c r="D192" s="472" t="n">
        <v>43</v>
      </c>
      <c r="E192" s="473"/>
      <c r="H192" s="0" t="s">
        <v>1000</v>
      </c>
      <c r="I192" s="474" t="n">
        <f aca="false">D192</f>
        <v>43</v>
      </c>
    </row>
    <row r="193" customFormat="false" ht="24.75" hidden="false" customHeight="true" outlineLevel="0" collapsed="false">
      <c r="A193" s="467" t="s">
        <v>2885</v>
      </c>
      <c r="B193" s="468" t="n">
        <v>11214.4</v>
      </c>
      <c r="C193" s="469"/>
      <c r="D193" s="472" t="n">
        <v>51</v>
      </c>
      <c r="E193" s="473"/>
      <c r="H193" s="0" t="s">
        <v>1035</v>
      </c>
      <c r="I193" s="474" t="n">
        <f aca="false">D193</f>
        <v>51</v>
      </c>
    </row>
    <row r="194" customFormat="false" ht="24.75" hidden="false" customHeight="true" outlineLevel="0" collapsed="false">
      <c r="A194" s="467" t="s">
        <v>2450</v>
      </c>
      <c r="B194" s="468" t="n">
        <v>6361.8</v>
      </c>
      <c r="C194" s="469"/>
      <c r="D194" s="472" t="n">
        <v>48</v>
      </c>
      <c r="E194" s="473"/>
      <c r="H194" s="0" t="n">
        <v>85</v>
      </c>
      <c r="I194" s="474" t="n">
        <f aca="false">D194</f>
        <v>48</v>
      </c>
    </row>
    <row r="195" customFormat="false" ht="12.75" hidden="false" customHeight="true" outlineLevel="0" collapsed="false">
      <c r="A195" s="467" t="s">
        <v>2693</v>
      </c>
      <c r="B195" s="468" t="n">
        <v>14697.2</v>
      </c>
      <c r="C195" s="469"/>
      <c r="D195" s="472" t="n">
        <v>56</v>
      </c>
      <c r="E195" s="473"/>
      <c r="H195" s="0" t="n">
        <v>367</v>
      </c>
      <c r="I195" s="474" t="n">
        <f aca="false">D195</f>
        <v>56</v>
      </c>
    </row>
    <row r="196" customFormat="false" ht="12.75" hidden="false" customHeight="true" outlineLevel="0" collapsed="false">
      <c r="A196" s="467" t="s">
        <v>2480</v>
      </c>
      <c r="B196" s="468" t="n">
        <v>4764.1</v>
      </c>
      <c r="C196" s="469"/>
      <c r="D196" s="472" t="n">
        <v>55</v>
      </c>
      <c r="E196" s="473"/>
      <c r="H196" s="0" t="n">
        <v>132</v>
      </c>
      <c r="I196" s="474" t="n">
        <f aca="false">D196</f>
        <v>55</v>
      </c>
    </row>
    <row r="197" customFormat="false" ht="24.75" hidden="false" customHeight="true" outlineLevel="0" collapsed="false">
      <c r="A197" s="467" t="s">
        <v>2594</v>
      </c>
      <c r="B197" s="468" t="n">
        <v>12344.2</v>
      </c>
      <c r="C197" s="469"/>
      <c r="D197" s="472" t="n">
        <v>58</v>
      </c>
      <c r="E197" s="473"/>
      <c r="H197" s="0" t="n">
        <v>268</v>
      </c>
      <c r="I197" s="474" t="n">
        <f aca="false">D197</f>
        <v>58</v>
      </c>
    </row>
    <row r="198" customFormat="false" ht="24.75" hidden="false" customHeight="true" outlineLevel="0" collapsed="false">
      <c r="A198" s="467" t="s">
        <v>2689</v>
      </c>
      <c r="B198" s="468" t="n">
        <v>10856.4</v>
      </c>
      <c r="C198" s="469"/>
      <c r="D198" s="472" t="n">
        <v>50</v>
      </c>
      <c r="E198" s="473"/>
      <c r="H198" s="0" t="n">
        <v>363</v>
      </c>
      <c r="I198" s="474" t="n">
        <f aca="false">D198</f>
        <v>50</v>
      </c>
    </row>
    <row r="199" customFormat="false" ht="24.75" hidden="false" customHeight="true" outlineLevel="0" collapsed="false">
      <c r="A199" s="467" t="s">
        <v>2934</v>
      </c>
      <c r="B199" s="468" t="n">
        <v>5762.7</v>
      </c>
      <c r="C199" s="469"/>
      <c r="D199" s="472" t="n">
        <v>55</v>
      </c>
      <c r="E199" s="473"/>
      <c r="H199" s="0" t="s">
        <v>1094</v>
      </c>
      <c r="I199" s="474" t="n">
        <f aca="false">D199</f>
        <v>55</v>
      </c>
    </row>
    <row r="200" customFormat="false" ht="24.75" hidden="false" customHeight="true" outlineLevel="0" collapsed="false">
      <c r="A200" s="467" t="s">
        <v>2433</v>
      </c>
      <c r="B200" s="468" t="n">
        <v>9792.5</v>
      </c>
      <c r="C200" s="469"/>
      <c r="D200" s="472" t="n">
        <v>43</v>
      </c>
      <c r="E200" s="473"/>
      <c r="H200" s="0" t="n">
        <v>56</v>
      </c>
      <c r="I200" s="474" t="n">
        <f aca="false">D200</f>
        <v>43</v>
      </c>
    </row>
    <row r="201" customFormat="false" ht="24.75" hidden="false" customHeight="true" outlineLevel="0" collapsed="false">
      <c r="A201" s="467" t="s">
        <v>2456</v>
      </c>
      <c r="B201" s="468" t="n">
        <v>10826.4</v>
      </c>
      <c r="C201" s="469"/>
      <c r="D201" s="472" t="n">
        <v>50</v>
      </c>
      <c r="E201" s="473"/>
      <c r="H201" s="0" t="n">
        <v>91</v>
      </c>
      <c r="I201" s="474" t="n">
        <f aca="false">D201</f>
        <v>50</v>
      </c>
    </row>
    <row r="202" customFormat="false" ht="24.75" hidden="false" customHeight="true" outlineLevel="0" collapsed="false">
      <c r="A202" s="467" t="s">
        <v>2486</v>
      </c>
      <c r="B202" s="468" t="n">
        <v>3582.2</v>
      </c>
      <c r="C202" s="469"/>
      <c r="D202" s="472" t="n">
        <v>55</v>
      </c>
      <c r="E202" s="473"/>
      <c r="H202" s="0" t="n">
        <v>141</v>
      </c>
      <c r="I202" s="474" t="n">
        <f aca="false">D202</f>
        <v>55</v>
      </c>
    </row>
    <row r="203" customFormat="false" ht="24.75" hidden="false" customHeight="true" outlineLevel="0" collapsed="false">
      <c r="A203" s="467" t="s">
        <v>2979</v>
      </c>
      <c r="B203" s="468" t="n">
        <v>12144</v>
      </c>
      <c r="C203" s="469"/>
      <c r="D203" s="472" t="n">
        <v>59</v>
      </c>
      <c r="E203" s="473"/>
      <c r="H203" s="0" t="s">
        <v>1146</v>
      </c>
      <c r="I203" s="474" t="n">
        <f aca="false">D203</f>
        <v>59</v>
      </c>
    </row>
    <row r="204" customFormat="false" ht="24.75" hidden="false" customHeight="true" outlineLevel="0" collapsed="false">
      <c r="A204" s="467" t="s">
        <v>2607</v>
      </c>
      <c r="B204" s="468" t="n">
        <v>6070.5</v>
      </c>
      <c r="C204" s="469"/>
      <c r="D204" s="472" t="n">
        <v>57</v>
      </c>
      <c r="E204" s="473"/>
      <c r="H204" s="0" t="n">
        <v>281</v>
      </c>
      <c r="I204" s="474" t="n">
        <f aca="false">D204</f>
        <v>57</v>
      </c>
    </row>
    <row r="205" customFormat="false" ht="24.75" hidden="false" customHeight="true" outlineLevel="0" collapsed="false">
      <c r="A205" s="467" t="s">
        <v>2959</v>
      </c>
      <c r="B205" s="468" t="n">
        <v>11667.6</v>
      </c>
      <c r="C205" s="469"/>
      <c r="D205" s="472" t="n">
        <v>53</v>
      </c>
      <c r="E205" s="473"/>
      <c r="H205" s="0" t="s">
        <v>1124</v>
      </c>
      <c r="I205" s="474" t="n">
        <f aca="false">D205</f>
        <v>53</v>
      </c>
    </row>
    <row r="206" customFormat="false" ht="24.75" hidden="false" customHeight="true" outlineLevel="0" collapsed="false">
      <c r="A206" s="467" t="s">
        <v>2940</v>
      </c>
      <c r="B206" s="468" t="n">
        <v>11911</v>
      </c>
      <c r="C206" s="469"/>
      <c r="D206" s="472" t="n">
        <v>55</v>
      </c>
      <c r="E206" s="473"/>
      <c r="H206" s="0" t="s">
        <v>1102</v>
      </c>
      <c r="I206" s="474" t="n">
        <f aca="false">D206</f>
        <v>55</v>
      </c>
    </row>
    <row r="207" customFormat="false" ht="24.75" hidden="false" customHeight="true" outlineLevel="0" collapsed="false">
      <c r="A207" s="467" t="s">
        <v>2669</v>
      </c>
      <c r="B207" s="468" t="n">
        <v>10537.9</v>
      </c>
      <c r="C207" s="469"/>
      <c r="D207" s="472" t="n">
        <v>50</v>
      </c>
      <c r="E207" s="473"/>
      <c r="H207" s="0" t="n">
        <v>343</v>
      </c>
      <c r="I207" s="474" t="n">
        <f aca="false">D207</f>
        <v>50</v>
      </c>
    </row>
    <row r="208" customFormat="false" ht="24.75" hidden="false" customHeight="true" outlineLevel="0" collapsed="false">
      <c r="A208" s="467" t="s">
        <v>2913</v>
      </c>
      <c r="B208" s="468" t="n">
        <v>6450.7</v>
      </c>
      <c r="C208" s="469"/>
      <c r="D208" s="472" t="n">
        <v>51</v>
      </c>
      <c r="E208" s="473"/>
      <c r="H208" s="0" t="s">
        <v>1069</v>
      </c>
      <c r="I208" s="474" t="n">
        <f aca="false">D208</f>
        <v>51</v>
      </c>
    </row>
    <row r="209" customFormat="false" ht="24.75" hidden="false" customHeight="true" outlineLevel="0" collapsed="false">
      <c r="A209" s="467" t="s">
        <v>2444</v>
      </c>
      <c r="B209" s="468" t="n">
        <v>7171</v>
      </c>
      <c r="C209" s="469"/>
      <c r="D209" s="472" t="n">
        <v>46</v>
      </c>
      <c r="E209" s="473"/>
      <c r="H209" s="0" t="n">
        <v>79</v>
      </c>
      <c r="I209" s="474" t="n">
        <f aca="false">D209</f>
        <v>46</v>
      </c>
    </row>
    <row r="210" customFormat="false" ht="24.75" hidden="false" customHeight="true" outlineLevel="0" collapsed="false">
      <c r="A210" s="467" t="s">
        <v>2884</v>
      </c>
      <c r="B210" s="468" t="n">
        <v>11635.6</v>
      </c>
      <c r="C210" s="469"/>
      <c r="D210" s="472" t="n">
        <v>52</v>
      </c>
      <c r="E210" s="473"/>
      <c r="H210" s="0" t="s">
        <v>1034</v>
      </c>
      <c r="I210" s="474" t="n">
        <f aca="false">D210</f>
        <v>52</v>
      </c>
    </row>
    <row r="211" customFormat="false" ht="24.75" hidden="false" customHeight="true" outlineLevel="0" collapsed="false">
      <c r="A211" s="467" t="s">
        <v>2596</v>
      </c>
      <c r="B211" s="468" t="n">
        <v>3861.4</v>
      </c>
      <c r="C211" s="469"/>
      <c r="D211" s="472" t="n">
        <v>61</v>
      </c>
      <c r="E211" s="473"/>
      <c r="H211" s="0" t="n">
        <v>270</v>
      </c>
      <c r="I211" s="474" t="n">
        <f aca="false">D211</f>
        <v>61</v>
      </c>
    </row>
    <row r="212" customFormat="false" ht="24.75" hidden="false" customHeight="true" outlineLevel="0" collapsed="false">
      <c r="A212" s="467" t="s">
        <v>2929</v>
      </c>
      <c r="B212" s="468" t="n">
        <v>11551.1</v>
      </c>
      <c r="C212" s="469"/>
      <c r="D212" s="472" t="n">
        <v>53</v>
      </c>
      <c r="E212" s="473"/>
      <c r="H212" s="0" t="s">
        <v>1085</v>
      </c>
      <c r="I212" s="474" t="n">
        <f aca="false">D212</f>
        <v>53</v>
      </c>
    </row>
    <row r="213" customFormat="false" ht="24.75" hidden="false" customHeight="true" outlineLevel="0" collapsed="false">
      <c r="A213" s="467" t="s">
        <v>2614</v>
      </c>
      <c r="B213" s="468" t="n">
        <v>10278.4</v>
      </c>
      <c r="C213" s="469"/>
      <c r="D213" s="472" t="n">
        <v>62</v>
      </c>
      <c r="E213" s="473"/>
      <c r="H213" s="0" t="n">
        <v>288</v>
      </c>
      <c r="I213" s="474" t="n">
        <f aca="false">D213</f>
        <v>62</v>
      </c>
    </row>
    <row r="214" customFormat="false" ht="24.75" hidden="false" customHeight="true" outlineLevel="0" collapsed="false">
      <c r="A214" s="467" t="s">
        <v>2588</v>
      </c>
      <c r="B214" s="468" t="n">
        <v>5925.2</v>
      </c>
      <c r="C214" s="469"/>
      <c r="D214" s="472" t="n">
        <v>58</v>
      </c>
      <c r="E214" s="473"/>
      <c r="H214" s="0" t="n">
        <v>262</v>
      </c>
      <c r="I214" s="474" t="n">
        <f aca="false">D214</f>
        <v>58</v>
      </c>
    </row>
    <row r="215" customFormat="false" ht="24.75" hidden="false" customHeight="true" outlineLevel="0" collapsed="false">
      <c r="A215" s="467" t="s">
        <v>2991</v>
      </c>
      <c r="B215" s="468" t="n">
        <v>12226.5</v>
      </c>
      <c r="C215" s="469"/>
      <c r="D215" s="472" t="n">
        <v>51</v>
      </c>
      <c r="E215" s="473"/>
      <c r="H215" s="0" t="s">
        <v>1158</v>
      </c>
      <c r="I215" s="474" t="n">
        <f aca="false">D215</f>
        <v>51</v>
      </c>
    </row>
    <row r="216" customFormat="false" ht="24.75" hidden="false" customHeight="true" outlineLevel="0" collapsed="false">
      <c r="A216" s="467" t="s">
        <v>2542</v>
      </c>
      <c r="B216" s="468" t="n">
        <v>11092.1</v>
      </c>
      <c r="C216" s="469"/>
      <c r="D216" s="472" t="n">
        <v>53</v>
      </c>
      <c r="E216" s="473"/>
      <c r="H216" s="0" t="n">
        <v>216</v>
      </c>
      <c r="I216" s="474" t="n">
        <f aca="false">D216</f>
        <v>53</v>
      </c>
    </row>
    <row r="217" customFormat="false" ht="24.75" hidden="false" customHeight="true" outlineLevel="0" collapsed="false">
      <c r="A217" s="467" t="s">
        <v>2534</v>
      </c>
      <c r="B217" s="468" t="n">
        <v>10875.5</v>
      </c>
      <c r="C217" s="469"/>
      <c r="D217" s="472" t="n">
        <v>51</v>
      </c>
      <c r="E217" s="473"/>
      <c r="H217" s="0" t="n">
        <v>208</v>
      </c>
      <c r="I217" s="474" t="n">
        <f aca="false">D217</f>
        <v>51</v>
      </c>
    </row>
    <row r="218" customFormat="false" ht="24.75" hidden="false" customHeight="true" outlineLevel="0" collapsed="false">
      <c r="A218" s="467" t="s">
        <v>2987</v>
      </c>
      <c r="B218" s="468" t="n">
        <v>11858.4</v>
      </c>
      <c r="C218" s="469"/>
      <c r="D218" s="472" t="n">
        <v>62</v>
      </c>
      <c r="E218" s="473"/>
      <c r="H218" s="0" t="s">
        <v>1154</v>
      </c>
      <c r="I218" s="474" t="n">
        <f aca="false">D218</f>
        <v>62</v>
      </c>
    </row>
    <row r="219" customFormat="false" ht="24.75" hidden="false" customHeight="true" outlineLevel="0" collapsed="false">
      <c r="A219" s="467" t="s">
        <v>2998</v>
      </c>
      <c r="B219" s="468" t="n">
        <v>14051.5</v>
      </c>
      <c r="C219" s="469"/>
      <c r="D219" s="472" t="n">
        <v>55</v>
      </c>
      <c r="E219" s="473"/>
      <c r="H219" s="0" t="s">
        <v>1165</v>
      </c>
      <c r="I219" s="474" t="n">
        <f aca="false">D219</f>
        <v>55</v>
      </c>
    </row>
    <row r="220" customFormat="false" ht="24.75" hidden="false" customHeight="true" outlineLevel="0" collapsed="false">
      <c r="A220" s="467" t="s">
        <v>2875</v>
      </c>
      <c r="B220" s="468" t="n">
        <v>10098</v>
      </c>
      <c r="C220" s="469"/>
      <c r="D220" s="472" t="n">
        <v>50</v>
      </c>
      <c r="E220" s="473"/>
      <c r="H220" s="0" t="s">
        <v>1020</v>
      </c>
      <c r="I220" s="474" t="n">
        <f aca="false">D220</f>
        <v>50</v>
      </c>
    </row>
    <row r="221" customFormat="false" ht="12.75" hidden="false" customHeight="true" outlineLevel="0" collapsed="false">
      <c r="A221" s="467" t="s">
        <v>2547</v>
      </c>
      <c r="B221" s="468" t="n">
        <v>7928.2</v>
      </c>
      <c r="C221" s="469"/>
      <c r="D221" s="473"/>
      <c r="E221" s="473"/>
      <c r="H221" s="0" t="n">
        <v>221</v>
      </c>
      <c r="I221" s="474"/>
    </row>
    <row r="222" customFormat="false" ht="12.75" hidden="false" customHeight="true" outlineLevel="0" collapsed="false">
      <c r="A222" s="467" t="s">
        <v>2861</v>
      </c>
      <c r="B222" s="468" t="n">
        <v>11976.5</v>
      </c>
      <c r="C222" s="469"/>
      <c r="D222" s="472" t="n">
        <v>50</v>
      </c>
      <c r="E222" s="473"/>
      <c r="H222" s="0" t="s">
        <v>1006</v>
      </c>
      <c r="I222" s="474" t="n">
        <f aca="false">D222</f>
        <v>50</v>
      </c>
    </row>
    <row r="223" customFormat="false" ht="24.75" hidden="false" customHeight="true" outlineLevel="0" collapsed="false">
      <c r="A223" s="467" t="s">
        <v>2514</v>
      </c>
      <c r="B223" s="468" t="n">
        <v>12379.9</v>
      </c>
      <c r="C223" s="469"/>
      <c r="D223" s="472" t="n">
        <v>62</v>
      </c>
      <c r="E223" s="473"/>
      <c r="H223" s="0" t="n">
        <v>188</v>
      </c>
      <c r="I223" s="474" t="n">
        <f aca="false">D223</f>
        <v>62</v>
      </c>
    </row>
    <row r="224" customFormat="false" ht="24.75" hidden="false" customHeight="true" outlineLevel="0" collapsed="false">
      <c r="A224" s="467" t="s">
        <v>2463</v>
      </c>
      <c r="B224" s="468" t="n">
        <v>7625.4</v>
      </c>
      <c r="C224" s="469"/>
      <c r="D224" s="472" t="n">
        <v>52</v>
      </c>
      <c r="E224" s="473"/>
      <c r="H224" s="0" t="n">
        <v>99</v>
      </c>
      <c r="I224" s="474" t="n">
        <f aca="false">D224</f>
        <v>52</v>
      </c>
    </row>
    <row r="225" customFormat="false" ht="24.75" hidden="false" customHeight="true" outlineLevel="0" collapsed="false">
      <c r="A225" s="467" t="s">
        <v>2637</v>
      </c>
      <c r="B225" s="468" t="n">
        <v>15094.8</v>
      </c>
      <c r="C225" s="469"/>
      <c r="D225" s="472" t="n">
        <v>50</v>
      </c>
      <c r="E225" s="473"/>
      <c r="H225" s="0" t="n">
        <v>311</v>
      </c>
      <c r="I225" s="474" t="n">
        <f aca="false">D225</f>
        <v>50</v>
      </c>
    </row>
    <row r="226" customFormat="false" ht="12.75" hidden="false" customHeight="true" outlineLevel="0" collapsed="false">
      <c r="A226" s="467" t="s">
        <v>2526</v>
      </c>
      <c r="B226" s="468" t="n">
        <v>10253.2</v>
      </c>
      <c r="C226" s="469"/>
      <c r="D226" s="472" t="n">
        <v>50</v>
      </c>
      <c r="E226" s="473"/>
      <c r="H226" s="0" t="n">
        <v>200</v>
      </c>
      <c r="I226" s="474" t="n">
        <f aca="false">D226</f>
        <v>50</v>
      </c>
    </row>
    <row r="227" customFormat="false" ht="23.85" hidden="false" customHeight="false" outlineLevel="0" collapsed="false">
      <c r="A227" s="467" t="s">
        <v>2699</v>
      </c>
      <c r="B227" s="468" t="n">
        <v>3456.7</v>
      </c>
      <c r="C227" s="469"/>
      <c r="D227" s="472" t="n">
        <v>41</v>
      </c>
      <c r="E227" s="473"/>
      <c r="H227" s="0" t="n">
        <v>373</v>
      </c>
      <c r="I227" s="474" t="n">
        <f aca="false">D227</f>
        <v>41</v>
      </c>
    </row>
    <row r="228" customFormat="false" ht="23.85" hidden="false" customHeight="false" outlineLevel="0" collapsed="false">
      <c r="A228" s="467" t="s">
        <v>2938</v>
      </c>
      <c r="B228" s="468" t="n">
        <v>11815</v>
      </c>
      <c r="C228" s="469"/>
      <c r="D228" s="472" t="n">
        <v>55</v>
      </c>
      <c r="E228" s="473"/>
      <c r="H228" s="0" t="s">
        <v>1100</v>
      </c>
      <c r="I228" s="474" t="n">
        <f aca="false">D228</f>
        <v>55</v>
      </c>
    </row>
    <row r="229" customFormat="false" ht="23.85" hidden="false" customHeight="false" outlineLevel="0" collapsed="false">
      <c r="A229" s="467" t="s">
        <v>2519</v>
      </c>
      <c r="B229" s="468" t="n">
        <v>11044.8</v>
      </c>
      <c r="C229" s="469"/>
      <c r="D229" s="473"/>
      <c r="E229" s="473"/>
      <c r="H229" s="0" t="n">
        <v>193</v>
      </c>
      <c r="I229" s="474"/>
    </row>
    <row r="230" customFormat="false" ht="23.85" hidden="false" customHeight="false" outlineLevel="0" collapsed="false">
      <c r="A230" s="467" t="s">
        <v>2816</v>
      </c>
      <c r="B230" s="468" t="n">
        <v>12081.7</v>
      </c>
      <c r="C230" s="469"/>
      <c r="D230" s="472" t="n">
        <v>58</v>
      </c>
      <c r="E230" s="473"/>
      <c r="H230" s="0" t="s">
        <v>956</v>
      </c>
      <c r="I230" s="474" t="n">
        <f aca="false">D230</f>
        <v>58</v>
      </c>
    </row>
    <row r="231" customFormat="false" ht="23.85" hidden="false" customHeight="false" outlineLevel="0" collapsed="false">
      <c r="A231" s="467" t="s">
        <v>2639</v>
      </c>
      <c r="B231" s="468" t="n">
        <v>8776.8</v>
      </c>
      <c r="C231" s="469"/>
      <c r="D231" s="472" t="n">
        <v>52</v>
      </c>
      <c r="E231" s="473"/>
      <c r="H231" s="0" t="n">
        <v>313</v>
      </c>
      <c r="I231" s="474" t="n">
        <f aca="false">D231</f>
        <v>52</v>
      </c>
    </row>
    <row r="232" customFormat="false" ht="23.85" hidden="false" customHeight="false" outlineLevel="0" collapsed="false">
      <c r="A232" s="467" t="s">
        <v>2440</v>
      </c>
      <c r="B232" s="468" t="n">
        <v>3557.2</v>
      </c>
      <c r="C232" s="469"/>
      <c r="D232" s="472" t="n">
        <v>42</v>
      </c>
      <c r="E232" s="473"/>
      <c r="H232" s="0" t="n">
        <v>75</v>
      </c>
      <c r="I232" s="474" t="n">
        <f aca="false">D232</f>
        <v>42</v>
      </c>
    </row>
    <row r="233" customFormat="false" ht="23.85" hidden="false" customHeight="false" outlineLevel="0" collapsed="false">
      <c r="A233" s="467" t="s">
        <v>2623</v>
      </c>
      <c r="B233" s="468" t="n">
        <v>11279.6</v>
      </c>
      <c r="C233" s="469"/>
      <c r="D233" s="473"/>
      <c r="E233" s="473"/>
      <c r="H233" s="0" t="n">
        <v>297</v>
      </c>
      <c r="I233" s="474"/>
    </row>
    <row r="234" customFormat="false" ht="23.85" hidden="false" customHeight="false" outlineLevel="0" collapsed="false">
      <c r="A234" s="467" t="s">
        <v>2461</v>
      </c>
      <c r="B234" s="468" t="n">
        <v>10728.2</v>
      </c>
      <c r="C234" s="469"/>
      <c r="D234" s="472" t="n">
        <v>52</v>
      </c>
      <c r="E234" s="473"/>
      <c r="H234" s="0" t="n">
        <v>97</v>
      </c>
      <c r="I234" s="474" t="n">
        <f aca="false">D234</f>
        <v>52</v>
      </c>
    </row>
    <row r="235" customFormat="false" ht="23.85" hidden="false" customHeight="false" outlineLevel="0" collapsed="false">
      <c r="A235" s="467" t="s">
        <v>2950</v>
      </c>
      <c r="B235" s="468" t="n">
        <v>10631.4</v>
      </c>
      <c r="C235" s="469"/>
      <c r="D235" s="472" t="n">
        <v>53</v>
      </c>
      <c r="E235" s="473"/>
      <c r="H235" s="0" t="s">
        <v>1115</v>
      </c>
      <c r="I235" s="474" t="n">
        <f aca="false">D235</f>
        <v>53</v>
      </c>
    </row>
    <row r="236" customFormat="false" ht="23.85" hidden="false" customHeight="false" outlineLevel="0" collapsed="false">
      <c r="A236" s="467" t="s">
        <v>2932</v>
      </c>
      <c r="B236" s="468" t="n">
        <v>11328.7</v>
      </c>
      <c r="C236" s="469"/>
      <c r="D236" s="472" t="n">
        <v>56</v>
      </c>
      <c r="E236" s="473"/>
      <c r="H236" s="0" t="s">
        <v>1090</v>
      </c>
      <c r="I236" s="474" t="n">
        <f aca="false">D236</f>
        <v>56</v>
      </c>
    </row>
    <row r="237" customFormat="false" ht="23.85" hidden="false" customHeight="false" outlineLevel="0" collapsed="false">
      <c r="A237" s="467" t="s">
        <v>2955</v>
      </c>
      <c r="B237" s="468" t="n">
        <v>11553.6</v>
      </c>
      <c r="C237" s="469"/>
      <c r="D237" s="472" t="n">
        <v>48</v>
      </c>
      <c r="E237" s="473"/>
      <c r="H237" s="0" t="s">
        <v>1120</v>
      </c>
      <c r="I237" s="474" t="n">
        <f aca="false">D237</f>
        <v>48</v>
      </c>
    </row>
    <row r="238" customFormat="false" ht="23.85" hidden="false" customHeight="false" outlineLevel="0" collapsed="false">
      <c r="A238" s="467" t="s">
        <v>2739</v>
      </c>
      <c r="B238" s="468" t="n">
        <v>10733.8</v>
      </c>
      <c r="C238" s="469"/>
      <c r="D238" s="472" t="n">
        <v>59</v>
      </c>
      <c r="E238" s="473"/>
      <c r="H238" s="0" t="n">
        <v>413</v>
      </c>
      <c r="I238" s="474" t="n">
        <f aca="false">D238</f>
        <v>59</v>
      </c>
    </row>
    <row r="239" customFormat="false" ht="23.85" hidden="false" customHeight="false" outlineLevel="0" collapsed="false">
      <c r="A239" s="467" t="s">
        <v>2568</v>
      </c>
      <c r="B239" s="468" t="n">
        <v>11165.5</v>
      </c>
      <c r="C239" s="469"/>
      <c r="D239" s="472" t="n">
        <v>59</v>
      </c>
      <c r="E239" s="473"/>
      <c r="H239" s="0" t="n">
        <v>242</v>
      </c>
      <c r="I239" s="474" t="n">
        <f aca="false">D239</f>
        <v>59</v>
      </c>
    </row>
    <row r="240" customFormat="false" ht="23.85" hidden="false" customHeight="false" outlineLevel="0" collapsed="false">
      <c r="A240" s="467" t="s">
        <v>2864</v>
      </c>
      <c r="B240" s="468" t="n">
        <v>11650.8</v>
      </c>
      <c r="C240" s="469"/>
      <c r="D240" s="472" t="n">
        <v>49</v>
      </c>
      <c r="E240" s="473"/>
      <c r="H240" s="0" t="s">
        <v>1009</v>
      </c>
      <c r="I240" s="474" t="n">
        <f aca="false">D240</f>
        <v>49</v>
      </c>
    </row>
    <row r="241" customFormat="false" ht="23.85" hidden="false" customHeight="false" outlineLevel="0" collapsed="false">
      <c r="A241" s="467" t="s">
        <v>2593</v>
      </c>
      <c r="B241" s="468" t="n">
        <v>11936.9</v>
      </c>
      <c r="C241" s="469"/>
      <c r="D241" s="472" t="n">
        <v>58</v>
      </c>
      <c r="E241" s="473"/>
      <c r="H241" s="0" t="n">
        <v>267</v>
      </c>
      <c r="I241" s="474" t="n">
        <f aca="false">D241</f>
        <v>58</v>
      </c>
    </row>
    <row r="242" customFormat="false" ht="23.85" hidden="false" customHeight="false" outlineLevel="0" collapsed="false">
      <c r="A242" s="467" t="s">
        <v>2931</v>
      </c>
      <c r="B242" s="468" t="n">
        <v>12010.9</v>
      </c>
      <c r="C242" s="469"/>
      <c r="D242" s="472" t="n">
        <v>56</v>
      </c>
      <c r="E242" s="473"/>
      <c r="H242" s="0" t="s">
        <v>1089</v>
      </c>
      <c r="I242" s="474" t="n">
        <f aca="false">D242</f>
        <v>56</v>
      </c>
    </row>
    <row r="243" customFormat="false" ht="23.85" hidden="false" customHeight="false" outlineLevel="0" collapsed="false">
      <c r="A243" s="467" t="s">
        <v>2511</v>
      </c>
      <c r="B243" s="468" t="n">
        <v>12105.4</v>
      </c>
      <c r="C243" s="469"/>
      <c r="D243" s="472" t="n">
        <v>59</v>
      </c>
      <c r="E243" s="473"/>
      <c r="H243" s="0" t="n">
        <v>185</v>
      </c>
      <c r="I243" s="474" t="n">
        <f aca="false">D243</f>
        <v>59</v>
      </c>
    </row>
    <row r="244" customFormat="false" ht="23.85" hidden="false" customHeight="false" outlineLevel="0" collapsed="false">
      <c r="A244" s="467" t="s">
        <v>2996</v>
      </c>
      <c r="B244" s="468" t="n">
        <v>11961.2</v>
      </c>
      <c r="C244" s="469"/>
      <c r="D244" s="472" t="n">
        <v>50</v>
      </c>
      <c r="E244" s="473"/>
      <c r="H244" s="0" t="s">
        <v>1163</v>
      </c>
      <c r="I244" s="474" t="n">
        <f aca="false">D244</f>
        <v>50</v>
      </c>
    </row>
    <row r="245" customFormat="false" ht="23.85" hidden="false" customHeight="false" outlineLevel="0" collapsed="false">
      <c r="A245" s="467" t="s">
        <v>2523</v>
      </c>
      <c r="B245" s="468" t="n">
        <v>17110</v>
      </c>
      <c r="C245" s="469"/>
      <c r="D245" s="473"/>
      <c r="E245" s="473"/>
      <c r="H245" s="0" t="n">
        <v>197</v>
      </c>
      <c r="I245" s="474"/>
    </row>
    <row r="246" customFormat="false" ht="23.85" hidden="false" customHeight="false" outlineLevel="0" collapsed="false">
      <c r="A246" s="467" t="s">
        <v>2527</v>
      </c>
      <c r="B246" s="468" t="n">
        <v>13550.6</v>
      </c>
      <c r="C246" s="469"/>
      <c r="D246" s="473"/>
      <c r="E246" s="473"/>
      <c r="H246" s="0" t="n">
        <v>201</v>
      </c>
      <c r="I246" s="474"/>
    </row>
    <row r="247" customFormat="false" ht="23.85" hidden="false" customHeight="false" outlineLevel="0" collapsed="false">
      <c r="A247" s="467" t="s">
        <v>2528</v>
      </c>
      <c r="B247" s="468" t="n">
        <v>13692.1</v>
      </c>
      <c r="C247" s="469"/>
      <c r="D247" s="473"/>
      <c r="E247" s="473"/>
      <c r="H247" s="0" t="n">
        <v>202</v>
      </c>
      <c r="I247" s="474"/>
    </row>
    <row r="248" customFormat="false" ht="23.85" hidden="false" customHeight="false" outlineLevel="0" collapsed="false">
      <c r="A248" s="467" t="s">
        <v>2529</v>
      </c>
      <c r="B248" s="468" t="n">
        <v>13560.5</v>
      </c>
      <c r="C248" s="469"/>
      <c r="D248" s="473"/>
      <c r="E248" s="473"/>
      <c r="H248" s="0" t="n">
        <v>203</v>
      </c>
      <c r="I248" s="474"/>
    </row>
    <row r="249" customFormat="false" ht="23.85" hidden="false" customHeight="false" outlineLevel="0" collapsed="false">
      <c r="A249" s="467" t="s">
        <v>2530</v>
      </c>
      <c r="B249" s="468" t="n">
        <v>13632.4</v>
      </c>
      <c r="C249" s="469"/>
      <c r="D249" s="473"/>
      <c r="E249" s="473"/>
      <c r="H249" s="0" t="n">
        <v>204</v>
      </c>
      <c r="I249" s="474"/>
    </row>
    <row r="250" customFormat="false" ht="23.85" hidden="false" customHeight="false" outlineLevel="0" collapsed="false">
      <c r="A250" s="467" t="s">
        <v>2630</v>
      </c>
      <c r="B250" s="468" t="n">
        <v>12845.4</v>
      </c>
      <c r="C250" s="469"/>
      <c r="D250" s="473"/>
      <c r="E250" s="473"/>
      <c r="H250" s="0" t="n">
        <v>304</v>
      </c>
      <c r="I250" s="474"/>
    </row>
    <row r="251" customFormat="false" ht="23.85" hidden="false" customHeight="false" outlineLevel="0" collapsed="false">
      <c r="A251" s="467" t="s">
        <v>2631</v>
      </c>
      <c r="B251" s="468" t="n">
        <v>12823.2</v>
      </c>
      <c r="C251" s="469"/>
      <c r="D251" s="473"/>
      <c r="E251" s="473"/>
      <c r="H251" s="0" t="n">
        <v>305</v>
      </c>
      <c r="I251" s="474"/>
    </row>
    <row r="252" customFormat="false" ht="23.85" hidden="false" customHeight="false" outlineLevel="0" collapsed="false">
      <c r="A252" s="467" t="s">
        <v>2570</v>
      </c>
      <c r="B252" s="468" t="n">
        <v>11397.7</v>
      </c>
      <c r="C252" s="469"/>
      <c r="D252" s="472" t="n">
        <v>60</v>
      </c>
      <c r="E252" s="473"/>
      <c r="H252" s="0" t="n">
        <v>244</v>
      </c>
      <c r="I252" s="474" t="n">
        <f aca="false">D252</f>
        <v>60</v>
      </c>
    </row>
    <row r="253" customFormat="false" ht="23.85" hidden="false" customHeight="false" outlineLevel="0" collapsed="false">
      <c r="A253" s="467" t="s">
        <v>2681</v>
      </c>
      <c r="B253" s="468" t="n">
        <v>11762.4</v>
      </c>
      <c r="C253" s="469"/>
      <c r="D253" s="472" t="n">
        <v>54</v>
      </c>
      <c r="E253" s="473"/>
      <c r="H253" s="0" t="n">
        <v>355</v>
      </c>
      <c r="I253" s="474" t="n">
        <f aca="false">D253</f>
        <v>54</v>
      </c>
    </row>
    <row r="254" customFormat="false" ht="23.85" hidden="false" customHeight="false" outlineLevel="0" collapsed="false">
      <c r="A254" s="467" t="s">
        <v>2819</v>
      </c>
      <c r="B254" s="468" t="n">
        <v>12678.6</v>
      </c>
      <c r="C254" s="469"/>
      <c r="D254" s="472" t="n">
        <v>63</v>
      </c>
      <c r="E254" s="473"/>
      <c r="H254" s="0" t="s">
        <v>959</v>
      </c>
      <c r="I254" s="474" t="n">
        <f aca="false">D254</f>
        <v>63</v>
      </c>
    </row>
    <row r="255" customFormat="false" ht="23.85" hidden="false" customHeight="false" outlineLevel="0" collapsed="false">
      <c r="A255" s="467" t="s">
        <v>2943</v>
      </c>
      <c r="B255" s="468" t="n">
        <v>11698.3</v>
      </c>
      <c r="C255" s="469"/>
      <c r="D255" s="472" t="n">
        <v>49</v>
      </c>
      <c r="E255" s="473"/>
      <c r="H255" s="0" t="s">
        <v>1106</v>
      </c>
      <c r="I255" s="474" t="n">
        <f aca="false">D255</f>
        <v>49</v>
      </c>
    </row>
    <row r="256" customFormat="false" ht="23.85" hidden="false" customHeight="false" outlineLevel="0" collapsed="false">
      <c r="A256" s="467" t="s">
        <v>2936</v>
      </c>
      <c r="B256" s="468" t="n">
        <v>11103.3</v>
      </c>
      <c r="C256" s="469"/>
      <c r="D256" s="472" t="n">
        <v>52</v>
      </c>
      <c r="E256" s="473"/>
      <c r="H256" s="0" t="s">
        <v>1098</v>
      </c>
      <c r="I256" s="474" t="n">
        <f aca="false">D256</f>
        <v>52</v>
      </c>
    </row>
    <row r="257" customFormat="false" ht="23.85" hidden="false" customHeight="false" outlineLevel="0" collapsed="false">
      <c r="A257" s="467" t="s">
        <v>2691</v>
      </c>
      <c r="B257" s="468" t="n">
        <v>5668.6</v>
      </c>
      <c r="C257" s="469"/>
      <c r="D257" s="472" t="n">
        <v>56</v>
      </c>
      <c r="E257" s="473"/>
      <c r="H257" s="0" t="n">
        <v>365</v>
      </c>
      <c r="I257" s="474" t="n">
        <f aca="false">D257</f>
        <v>56</v>
      </c>
    </row>
    <row r="258" customFormat="false" ht="23.85" hidden="false" customHeight="false" outlineLevel="0" collapsed="false">
      <c r="A258" s="467" t="s">
        <v>2871</v>
      </c>
      <c r="B258" s="468" t="n">
        <v>11377.8</v>
      </c>
      <c r="C258" s="469"/>
      <c r="D258" s="472" t="n">
        <v>51</v>
      </c>
      <c r="E258" s="473"/>
      <c r="H258" s="0" t="s">
        <v>1016</v>
      </c>
      <c r="I258" s="474" t="n">
        <f aca="false">D258</f>
        <v>51</v>
      </c>
    </row>
    <row r="259" customFormat="false" ht="23.85" hidden="false" customHeight="false" outlineLevel="0" collapsed="false">
      <c r="A259" s="467" t="s">
        <v>2578</v>
      </c>
      <c r="B259" s="468" t="n">
        <v>14276</v>
      </c>
      <c r="C259" s="469"/>
      <c r="D259" s="472" t="n">
        <v>60</v>
      </c>
      <c r="E259" s="473"/>
      <c r="H259" s="0" t="n">
        <v>252</v>
      </c>
      <c r="I259" s="474" t="n">
        <f aca="false">D259</f>
        <v>60</v>
      </c>
    </row>
    <row r="260" customFormat="false" ht="23.85" hidden="false" customHeight="false" outlineLevel="0" collapsed="false">
      <c r="A260" s="467" t="s">
        <v>2425</v>
      </c>
      <c r="B260" s="468" t="n">
        <v>10337.8</v>
      </c>
      <c r="C260" s="469"/>
      <c r="D260" s="472" t="n">
        <v>42</v>
      </c>
      <c r="E260" s="473"/>
      <c r="H260" s="0" t="n">
        <v>45</v>
      </c>
      <c r="I260" s="474" t="n">
        <f aca="false">D260</f>
        <v>42</v>
      </c>
    </row>
    <row r="261" customFormat="false" ht="23.85" hidden="false" customHeight="false" outlineLevel="0" collapsed="false">
      <c r="A261" s="467" t="s">
        <v>2939</v>
      </c>
      <c r="B261" s="468" t="n">
        <v>12345.7</v>
      </c>
      <c r="C261" s="469"/>
      <c r="D261" s="472" t="n">
        <v>55</v>
      </c>
      <c r="E261" s="473"/>
      <c r="H261" s="0" t="s">
        <v>1101</v>
      </c>
      <c r="I261" s="474" t="n">
        <f aca="false">D261</f>
        <v>55</v>
      </c>
    </row>
    <row r="262" customFormat="false" ht="23.85" hidden="false" customHeight="false" outlineLevel="0" collapsed="false">
      <c r="A262" s="467" t="s">
        <v>2969</v>
      </c>
      <c r="B262" s="468" t="n">
        <v>11475.7</v>
      </c>
      <c r="C262" s="469"/>
      <c r="D262" s="472" t="n">
        <v>55</v>
      </c>
      <c r="E262" s="473"/>
      <c r="H262" s="0" t="s">
        <v>1135</v>
      </c>
      <c r="I262" s="474" t="n">
        <f aca="false">D262</f>
        <v>55</v>
      </c>
    </row>
    <row r="263" customFormat="false" ht="23.85" hidden="false" customHeight="false" outlineLevel="0" collapsed="false">
      <c r="A263" s="467" t="s">
        <v>2551</v>
      </c>
      <c r="B263" s="468" t="n">
        <v>11356.8</v>
      </c>
      <c r="C263" s="469"/>
      <c r="D263" s="472" t="n">
        <v>53</v>
      </c>
      <c r="E263" s="473"/>
      <c r="H263" s="0" t="n">
        <v>225</v>
      </c>
      <c r="I263" s="474" t="n">
        <f aca="false">D263</f>
        <v>53</v>
      </c>
    </row>
    <row r="264" customFormat="false" ht="23.85" hidden="false" customHeight="false" outlineLevel="0" collapsed="false">
      <c r="A264" s="467" t="s">
        <v>2683</v>
      </c>
      <c r="B264" s="468" t="n">
        <v>11800.8</v>
      </c>
      <c r="C264" s="469"/>
      <c r="D264" s="472" t="n">
        <v>58</v>
      </c>
      <c r="E264" s="473"/>
      <c r="H264" s="0" t="n">
        <v>357</v>
      </c>
      <c r="I264" s="474" t="n">
        <f aca="false">D264</f>
        <v>58</v>
      </c>
    </row>
    <row r="265" customFormat="false" ht="23.85" hidden="false" customHeight="false" outlineLevel="0" collapsed="false">
      <c r="A265" s="467" t="s">
        <v>2872</v>
      </c>
      <c r="B265" s="468" t="n">
        <v>11788.2</v>
      </c>
      <c r="C265" s="469"/>
      <c r="D265" s="472" t="n">
        <v>49</v>
      </c>
      <c r="E265" s="473"/>
      <c r="H265" s="0" t="s">
        <v>1017</v>
      </c>
      <c r="I265" s="474" t="n">
        <f aca="false">D265</f>
        <v>49</v>
      </c>
    </row>
    <row r="266" customFormat="false" ht="23.85" hidden="false" customHeight="false" outlineLevel="0" collapsed="false">
      <c r="A266" s="467" t="s">
        <v>2465</v>
      </c>
      <c r="B266" s="468" t="n">
        <v>10273.5</v>
      </c>
      <c r="C266" s="469"/>
      <c r="D266" s="472" t="n">
        <v>52</v>
      </c>
      <c r="E266" s="473"/>
      <c r="H266" s="0" t="n">
        <v>101</v>
      </c>
      <c r="I266" s="474" t="n">
        <f aca="false">D266</f>
        <v>52</v>
      </c>
    </row>
    <row r="267" customFormat="false" ht="23.85" hidden="false" customHeight="false" outlineLevel="0" collapsed="false">
      <c r="A267" s="467" t="s">
        <v>2553</v>
      </c>
      <c r="B267" s="468" t="n">
        <v>3906.3</v>
      </c>
      <c r="C267" s="469"/>
      <c r="D267" s="472" t="n">
        <v>59</v>
      </c>
      <c r="E267" s="473"/>
      <c r="H267" s="0" t="n">
        <v>227</v>
      </c>
      <c r="I267" s="474" t="n">
        <f aca="false">D267</f>
        <v>59</v>
      </c>
    </row>
    <row r="268" customFormat="false" ht="23.85" hidden="false" customHeight="false" outlineLevel="0" collapsed="false">
      <c r="A268" s="467" t="s">
        <v>2670</v>
      </c>
      <c r="B268" s="468" t="n">
        <v>11716.2</v>
      </c>
      <c r="C268" s="469"/>
      <c r="D268" s="472" t="n">
        <v>55</v>
      </c>
      <c r="E268" s="473"/>
      <c r="H268" s="0" t="n">
        <v>344</v>
      </c>
      <c r="I268" s="474" t="n">
        <f aca="false">D268</f>
        <v>55</v>
      </c>
    </row>
    <row r="269" customFormat="false" ht="23.85" hidden="false" customHeight="false" outlineLevel="0" collapsed="false">
      <c r="A269" s="467" t="s">
        <v>2687</v>
      </c>
      <c r="B269" s="468" t="n">
        <v>11651.5</v>
      </c>
      <c r="C269" s="469"/>
      <c r="D269" s="472" t="n">
        <v>54</v>
      </c>
      <c r="E269" s="473"/>
      <c r="H269" s="0" t="n">
        <v>361</v>
      </c>
      <c r="I269" s="474" t="n">
        <f aca="false">D269</f>
        <v>54</v>
      </c>
    </row>
    <row r="270" customFormat="false" ht="23.85" hidden="false" customHeight="false" outlineLevel="0" collapsed="false">
      <c r="A270" s="467" t="s">
        <v>2801</v>
      </c>
      <c r="B270" s="468" t="n">
        <v>12136</v>
      </c>
      <c r="C270" s="469"/>
      <c r="D270" s="472" t="n">
        <v>54</v>
      </c>
      <c r="E270" s="473"/>
      <c r="H270" s="0" t="s">
        <v>941</v>
      </c>
      <c r="I270" s="474" t="n">
        <f aca="false">D270</f>
        <v>54</v>
      </c>
    </row>
    <row r="271" customFormat="false" ht="23.85" hidden="false" customHeight="false" outlineLevel="0" collapsed="false">
      <c r="A271" s="467" t="s">
        <v>2613</v>
      </c>
      <c r="B271" s="468" t="n">
        <v>4630.6</v>
      </c>
      <c r="C271" s="469"/>
      <c r="D271" s="472" t="n">
        <v>59</v>
      </c>
      <c r="E271" s="473"/>
      <c r="H271" s="0" t="n">
        <v>287</v>
      </c>
      <c r="I271" s="474" t="n">
        <f aca="false">D271</f>
        <v>59</v>
      </c>
    </row>
    <row r="272" customFormat="false" ht="23.85" hidden="false" customHeight="false" outlineLevel="0" collapsed="false">
      <c r="A272" s="467" t="s">
        <v>2509</v>
      </c>
      <c r="B272" s="468" t="n">
        <v>11948.2</v>
      </c>
      <c r="C272" s="469"/>
      <c r="D272" s="472" t="n">
        <v>62</v>
      </c>
      <c r="E272" s="473"/>
      <c r="H272" s="0" t="n">
        <v>183</v>
      </c>
      <c r="I272" s="474" t="n">
        <f aca="false">D272</f>
        <v>62</v>
      </c>
    </row>
    <row r="273" customFormat="false" ht="23.85" hidden="false" customHeight="false" outlineLevel="0" collapsed="false">
      <c r="A273" s="467" t="s">
        <v>2677</v>
      </c>
      <c r="B273" s="468" t="n">
        <v>13129.6</v>
      </c>
      <c r="C273" s="469"/>
      <c r="D273" s="472" t="n">
        <v>52</v>
      </c>
      <c r="E273" s="473"/>
      <c r="H273" s="0" t="n">
        <v>351</v>
      </c>
      <c r="I273" s="474" t="n">
        <f aca="false">D273</f>
        <v>52</v>
      </c>
    </row>
    <row r="274" customFormat="false" ht="23.85" hidden="false" customHeight="false" outlineLevel="0" collapsed="false">
      <c r="A274" s="467" t="s">
        <v>2541</v>
      </c>
      <c r="B274" s="468" t="n">
        <v>11365.2</v>
      </c>
      <c r="C274" s="469"/>
      <c r="D274" s="472" t="n">
        <v>54</v>
      </c>
      <c r="E274" s="473"/>
      <c r="H274" s="0" t="n">
        <v>215</v>
      </c>
      <c r="I274" s="474" t="n">
        <f aca="false">D274</f>
        <v>54</v>
      </c>
    </row>
    <row r="275" customFormat="false" ht="23.85" hidden="false" customHeight="false" outlineLevel="0" collapsed="false">
      <c r="A275" s="467" t="s">
        <v>2970</v>
      </c>
      <c r="B275" s="468" t="n">
        <v>12048.7</v>
      </c>
      <c r="C275" s="469"/>
      <c r="D275" s="472" t="n">
        <v>62</v>
      </c>
      <c r="E275" s="473"/>
      <c r="H275" s="0" t="s">
        <v>1136</v>
      </c>
      <c r="I275" s="474" t="n">
        <f aca="false">D275</f>
        <v>62</v>
      </c>
    </row>
    <row r="276" customFormat="false" ht="23.85" hidden="false" customHeight="false" outlineLevel="0" collapsed="false">
      <c r="A276" s="467" t="s">
        <v>2597</v>
      </c>
      <c r="B276" s="468" t="n">
        <v>12215</v>
      </c>
      <c r="C276" s="469"/>
      <c r="D276" s="472" t="n">
        <v>61</v>
      </c>
      <c r="E276" s="473"/>
      <c r="H276" s="0" t="n">
        <v>271</v>
      </c>
      <c r="I276" s="474" t="n">
        <f aca="false">D276</f>
        <v>61</v>
      </c>
    </row>
    <row r="277" customFormat="false" ht="23.85" hidden="false" customHeight="false" outlineLevel="0" collapsed="false">
      <c r="A277" s="467" t="s">
        <v>2525</v>
      </c>
      <c r="B277" s="468" t="n">
        <v>10716.6</v>
      </c>
      <c r="C277" s="469"/>
      <c r="D277" s="472" t="n">
        <v>50</v>
      </c>
      <c r="E277" s="473"/>
      <c r="H277" s="0" t="n">
        <v>199</v>
      </c>
      <c r="I277" s="474" t="n">
        <f aca="false">D277</f>
        <v>50</v>
      </c>
    </row>
    <row r="278" customFormat="false" ht="23.85" hidden="false" customHeight="false" outlineLevel="0" collapsed="false">
      <c r="A278" s="467" t="s">
        <v>2896</v>
      </c>
      <c r="B278" s="468" t="n">
        <v>11214</v>
      </c>
      <c r="C278" s="469"/>
      <c r="D278" s="472" t="n">
        <v>52</v>
      </c>
      <c r="E278" s="473"/>
      <c r="H278" s="0" t="s">
        <v>1047</v>
      </c>
      <c r="I278" s="474" t="n">
        <f aca="false">D278</f>
        <v>52</v>
      </c>
    </row>
    <row r="279" customFormat="false" ht="23.85" hidden="false" customHeight="false" outlineLevel="0" collapsed="false">
      <c r="A279" s="467" t="s">
        <v>2912</v>
      </c>
      <c r="B279" s="468" t="n">
        <v>6399.2</v>
      </c>
      <c r="C279" s="469"/>
      <c r="D279" s="472" t="n">
        <v>50</v>
      </c>
      <c r="E279" s="473"/>
      <c r="H279" s="0" t="s">
        <v>1067</v>
      </c>
      <c r="I279" s="474" t="n">
        <f aca="false">D279</f>
        <v>50</v>
      </c>
    </row>
    <row r="280" customFormat="false" ht="23.85" hidden="false" customHeight="false" outlineLevel="0" collapsed="false">
      <c r="A280" s="467" t="s">
        <v>2489</v>
      </c>
      <c r="B280" s="468" t="n">
        <v>11029</v>
      </c>
      <c r="C280" s="469"/>
      <c r="D280" s="472" t="n">
        <v>57</v>
      </c>
      <c r="E280" s="473"/>
      <c r="H280" s="0" t="n">
        <v>144</v>
      </c>
      <c r="I280" s="474" t="n">
        <f aca="false">D280</f>
        <v>57</v>
      </c>
    </row>
    <row r="281" customFormat="false" ht="23.85" hidden="false" customHeight="false" outlineLevel="0" collapsed="false">
      <c r="A281" s="467" t="s">
        <v>2448</v>
      </c>
      <c r="B281" s="468" t="n">
        <v>7212.7</v>
      </c>
      <c r="C281" s="469"/>
      <c r="D281" s="472" t="n">
        <v>50</v>
      </c>
      <c r="E281" s="473"/>
      <c r="H281" s="0" t="n">
        <v>83</v>
      </c>
      <c r="I281" s="474" t="n">
        <f aca="false">D281</f>
        <v>50</v>
      </c>
    </row>
    <row r="282" customFormat="false" ht="23.85" hidden="false" customHeight="false" outlineLevel="0" collapsed="false">
      <c r="A282" s="467" t="s">
        <v>2894</v>
      </c>
      <c r="B282" s="468" t="n">
        <v>10900.5</v>
      </c>
      <c r="C282" s="469"/>
      <c r="D282" s="472" t="n">
        <v>52</v>
      </c>
      <c r="E282" s="473"/>
      <c r="H282" s="0" t="s">
        <v>1045</v>
      </c>
      <c r="I282" s="474" t="n">
        <f aca="false">D282</f>
        <v>52</v>
      </c>
    </row>
    <row r="283" customFormat="false" ht="23.85" hidden="false" customHeight="false" outlineLevel="0" collapsed="false">
      <c r="A283" s="467" t="s">
        <v>2883</v>
      </c>
      <c r="B283" s="468" t="n">
        <v>11857.5</v>
      </c>
      <c r="C283" s="469"/>
      <c r="D283" s="472" t="n">
        <v>55</v>
      </c>
      <c r="E283" s="473"/>
      <c r="H283" s="0" t="s">
        <v>1033</v>
      </c>
      <c r="I283" s="474" t="n">
        <f aca="false">D283</f>
        <v>55</v>
      </c>
    </row>
    <row r="284" customFormat="false" ht="23.85" hidden="false" customHeight="false" outlineLevel="0" collapsed="false">
      <c r="A284" s="467" t="s">
        <v>2545</v>
      </c>
      <c r="B284" s="468" t="n">
        <v>11686.1</v>
      </c>
      <c r="C284" s="469"/>
      <c r="D284" s="472" t="n">
        <v>53</v>
      </c>
      <c r="E284" s="473"/>
      <c r="H284" s="0" t="n">
        <v>219</v>
      </c>
      <c r="I284" s="474" t="n">
        <f aca="false">D284</f>
        <v>53</v>
      </c>
    </row>
    <row r="285" customFormat="false" ht="23.85" hidden="false" customHeight="false" outlineLevel="0" collapsed="false">
      <c r="A285" s="467" t="s">
        <v>2957</v>
      </c>
      <c r="B285" s="468" t="n">
        <v>12311.2</v>
      </c>
      <c r="C285" s="469"/>
      <c r="D285" s="472" t="n">
        <v>52</v>
      </c>
      <c r="E285" s="473"/>
      <c r="H285" s="0" t="s">
        <v>1122</v>
      </c>
      <c r="I285" s="474" t="n">
        <f aca="false">D285</f>
        <v>52</v>
      </c>
    </row>
    <row r="286" customFormat="false" ht="23.85" hidden="false" customHeight="false" outlineLevel="0" collapsed="false">
      <c r="A286" s="467" t="s">
        <v>2887</v>
      </c>
      <c r="B286" s="468" t="n">
        <v>10584.7</v>
      </c>
      <c r="C286" s="469"/>
      <c r="D286" s="472" t="n">
        <v>53</v>
      </c>
      <c r="E286" s="473"/>
      <c r="H286" s="0" t="s">
        <v>1037</v>
      </c>
      <c r="I286" s="474" t="n">
        <f aca="false">D286</f>
        <v>53</v>
      </c>
    </row>
    <row r="287" customFormat="false" ht="23.85" hidden="false" customHeight="false" outlineLevel="0" collapsed="false">
      <c r="A287" s="467" t="s">
        <v>2622</v>
      </c>
      <c r="B287" s="468" t="n">
        <v>7526.4</v>
      </c>
      <c r="C287" s="469"/>
      <c r="D287" s="472" t="n">
        <v>57</v>
      </c>
      <c r="E287" s="473"/>
      <c r="H287" s="0" t="n">
        <v>296</v>
      </c>
      <c r="I287" s="474" t="n">
        <f aca="false">D287</f>
        <v>57</v>
      </c>
    </row>
    <row r="288" customFormat="false" ht="23.85" hidden="false" customHeight="false" outlineLevel="0" collapsed="false">
      <c r="A288" s="467" t="s">
        <v>2956</v>
      </c>
      <c r="B288" s="468" t="n">
        <v>12005.6</v>
      </c>
      <c r="C288" s="469"/>
      <c r="D288" s="472" t="n">
        <v>54</v>
      </c>
      <c r="E288" s="473"/>
      <c r="H288" s="0" t="s">
        <v>1121</v>
      </c>
      <c r="I288" s="474" t="n">
        <f aca="false">D288</f>
        <v>54</v>
      </c>
    </row>
    <row r="289" customFormat="false" ht="23.85" hidden="false" customHeight="false" outlineLevel="0" collapsed="false">
      <c r="A289" s="467" t="s">
        <v>2458</v>
      </c>
      <c r="B289" s="468" t="n">
        <v>8514.6</v>
      </c>
      <c r="C289" s="469"/>
      <c r="D289" s="472" t="n">
        <v>51</v>
      </c>
      <c r="E289" s="473"/>
      <c r="H289" s="0" t="n">
        <v>93</v>
      </c>
      <c r="I289" s="474" t="n">
        <f aca="false">D289</f>
        <v>51</v>
      </c>
    </row>
    <row r="290" customFormat="false" ht="23.85" hidden="false" customHeight="false" outlineLevel="0" collapsed="false">
      <c r="A290" s="467" t="s">
        <v>2684</v>
      </c>
      <c r="B290" s="468" t="n">
        <v>11681.2</v>
      </c>
      <c r="C290" s="469"/>
      <c r="D290" s="472" t="n">
        <v>60</v>
      </c>
      <c r="E290" s="473"/>
      <c r="H290" s="0" t="n">
        <v>358</v>
      </c>
      <c r="I290" s="474" t="n">
        <f aca="false">D290</f>
        <v>60</v>
      </c>
    </row>
    <row r="291" customFormat="false" ht="23.85" hidden="false" customHeight="false" outlineLevel="0" collapsed="false">
      <c r="A291" s="467" t="s">
        <v>2799</v>
      </c>
      <c r="B291" s="468" t="n">
        <v>11735.1</v>
      </c>
      <c r="C291" s="469"/>
      <c r="D291" s="472" t="n">
        <v>53</v>
      </c>
      <c r="E291" s="473"/>
      <c r="H291" s="0" t="s">
        <v>939</v>
      </c>
      <c r="I291" s="474" t="n">
        <f aca="false">D291</f>
        <v>53</v>
      </c>
    </row>
    <row r="292" customFormat="false" ht="23.85" hidden="false" customHeight="false" outlineLevel="0" collapsed="false">
      <c r="A292" s="467" t="s">
        <v>2492</v>
      </c>
      <c r="B292" s="468" t="n">
        <v>11356.8</v>
      </c>
      <c r="C292" s="469"/>
      <c r="D292" s="472" t="n">
        <v>57</v>
      </c>
      <c r="E292" s="473"/>
      <c r="H292" s="0" t="n">
        <v>147</v>
      </c>
      <c r="I292" s="474" t="n">
        <f aca="false">D292</f>
        <v>57</v>
      </c>
    </row>
    <row r="293" customFormat="false" ht="23.85" hidden="false" customHeight="false" outlineLevel="0" collapsed="false">
      <c r="A293" s="467" t="s">
        <v>2972</v>
      </c>
      <c r="B293" s="468" t="n">
        <v>12126.4</v>
      </c>
      <c r="C293" s="469"/>
      <c r="D293" s="472" t="n">
        <v>59</v>
      </c>
      <c r="E293" s="473"/>
      <c r="H293" s="0" t="s">
        <v>1138</v>
      </c>
      <c r="I293" s="474" t="n">
        <f aca="false">D293</f>
        <v>59</v>
      </c>
    </row>
    <row r="294" customFormat="false" ht="23.85" hidden="false" customHeight="false" outlineLevel="0" collapsed="false">
      <c r="A294" s="467" t="s">
        <v>2881</v>
      </c>
      <c r="B294" s="468" t="n">
        <v>11229.7</v>
      </c>
      <c r="C294" s="469"/>
      <c r="D294" s="472" t="n">
        <v>54</v>
      </c>
      <c r="E294" s="473"/>
      <c r="H294" s="0" t="s">
        <v>1031</v>
      </c>
      <c r="I294" s="474" t="n">
        <f aca="false">D294</f>
        <v>54</v>
      </c>
    </row>
    <row r="295" customFormat="false" ht="23.85" hidden="false" customHeight="false" outlineLevel="0" collapsed="false">
      <c r="A295" s="467" t="s">
        <v>2765</v>
      </c>
      <c r="B295" s="468" t="n">
        <v>12645.4</v>
      </c>
      <c r="C295" s="469"/>
      <c r="D295" s="472" t="n">
        <v>52</v>
      </c>
      <c r="E295" s="473"/>
      <c r="H295" s="0" t="n">
        <v>440</v>
      </c>
      <c r="I295" s="474" t="n">
        <f aca="false">D295</f>
        <v>52</v>
      </c>
    </row>
    <row r="296" customFormat="false" ht="23.85" hidden="false" customHeight="false" outlineLevel="0" collapsed="false">
      <c r="A296" s="467" t="s">
        <v>2621</v>
      </c>
      <c r="B296" s="468" t="n">
        <v>14133.1</v>
      </c>
      <c r="C296" s="469"/>
      <c r="D296" s="473"/>
      <c r="E296" s="473"/>
      <c r="H296" s="0" t="n">
        <v>295</v>
      </c>
      <c r="I296" s="474"/>
    </row>
    <row r="297" customFormat="false" ht="23.85" hidden="false" customHeight="false" outlineLevel="0" collapsed="false">
      <c r="A297" s="467" t="s">
        <v>2690</v>
      </c>
      <c r="B297" s="468" t="n">
        <v>12118.6</v>
      </c>
      <c r="C297" s="469"/>
      <c r="D297" s="472" t="n">
        <v>51</v>
      </c>
      <c r="E297" s="473"/>
      <c r="H297" s="0" t="n">
        <v>364</v>
      </c>
      <c r="I297" s="474" t="n">
        <f aca="false">D297</f>
        <v>51</v>
      </c>
    </row>
    <row r="298" customFormat="false" ht="23.85" hidden="false" customHeight="false" outlineLevel="0" collapsed="false">
      <c r="A298" s="467" t="s">
        <v>2535</v>
      </c>
      <c r="B298" s="468" t="n">
        <v>11431.1</v>
      </c>
      <c r="C298" s="469"/>
      <c r="D298" s="472" t="n">
        <v>50</v>
      </c>
      <c r="E298" s="473"/>
      <c r="H298" s="0" t="n">
        <v>209</v>
      </c>
      <c r="I298" s="474" t="n">
        <f aca="false">D298</f>
        <v>50</v>
      </c>
    </row>
    <row r="299" customFormat="false" ht="23.85" hidden="false" customHeight="false" outlineLevel="0" collapsed="false">
      <c r="A299" s="467" t="s">
        <v>2805</v>
      </c>
      <c r="B299" s="468" t="n">
        <v>12029.8</v>
      </c>
      <c r="C299" s="469"/>
      <c r="D299" s="472" t="n">
        <v>57</v>
      </c>
      <c r="E299" s="473"/>
      <c r="H299" s="0" t="s">
        <v>945</v>
      </c>
      <c r="I299" s="474" t="n">
        <f aca="false">D299</f>
        <v>57</v>
      </c>
    </row>
    <row r="300" customFormat="false" ht="23.85" hidden="false" customHeight="false" outlineLevel="0" collapsed="false">
      <c r="A300" s="467" t="s">
        <v>2710</v>
      </c>
      <c r="B300" s="468" t="n">
        <v>10626</v>
      </c>
      <c r="C300" s="469"/>
      <c r="D300" s="472" t="n">
        <v>44</v>
      </c>
      <c r="E300" s="473"/>
      <c r="H300" s="0" t="n">
        <v>384</v>
      </c>
      <c r="I300" s="474" t="n">
        <f aca="false">D300</f>
        <v>44</v>
      </c>
    </row>
    <row r="301" customFormat="false" ht="23.85" hidden="false" customHeight="false" outlineLevel="0" collapsed="false">
      <c r="A301" s="467" t="s">
        <v>2516</v>
      </c>
      <c r="B301" s="468" t="n">
        <v>4282.8</v>
      </c>
      <c r="C301" s="469"/>
      <c r="D301" s="472" t="n">
        <v>62</v>
      </c>
      <c r="E301" s="473"/>
      <c r="H301" s="0" t="n">
        <v>190</v>
      </c>
      <c r="I301" s="474" t="n">
        <f aca="false">D301</f>
        <v>62</v>
      </c>
    </row>
    <row r="302" customFormat="false" ht="23.85" hidden="false" customHeight="false" outlineLevel="0" collapsed="false">
      <c r="A302" s="467" t="s">
        <v>2485</v>
      </c>
      <c r="B302" s="468" t="n">
        <v>11660.2</v>
      </c>
      <c r="C302" s="469"/>
      <c r="D302" s="472" t="n">
        <v>55</v>
      </c>
      <c r="E302" s="473"/>
      <c r="H302" s="0" t="n">
        <v>140</v>
      </c>
      <c r="I302" s="474" t="n">
        <f aca="false">D302</f>
        <v>55</v>
      </c>
    </row>
    <row r="303" customFormat="false" ht="23.85" hidden="false" customHeight="false" outlineLevel="0" collapsed="false">
      <c r="A303" s="467" t="s">
        <v>2994</v>
      </c>
      <c r="B303" s="468" t="n">
        <v>12343.3</v>
      </c>
      <c r="C303" s="469"/>
      <c r="D303" s="472" t="n">
        <v>56</v>
      </c>
      <c r="E303" s="473"/>
      <c r="H303" s="0" t="s">
        <v>1161</v>
      </c>
      <c r="I303" s="474" t="n">
        <f aca="false">D303</f>
        <v>56</v>
      </c>
    </row>
    <row r="304" customFormat="false" ht="23.85" hidden="false" customHeight="false" outlineLevel="0" collapsed="false">
      <c r="A304" s="467" t="s">
        <v>2807</v>
      </c>
      <c r="B304" s="468" t="n">
        <v>12535.5</v>
      </c>
      <c r="C304" s="469"/>
      <c r="D304" s="472" t="n">
        <v>56</v>
      </c>
      <c r="E304" s="473"/>
      <c r="H304" s="0" t="s">
        <v>947</v>
      </c>
      <c r="I304" s="474" t="n">
        <f aca="false">D304</f>
        <v>56</v>
      </c>
    </row>
    <row r="305" customFormat="false" ht="23.85" hidden="false" customHeight="false" outlineLevel="0" collapsed="false">
      <c r="A305" s="467" t="s">
        <v>2854</v>
      </c>
      <c r="B305" s="468" t="n">
        <v>10481.1</v>
      </c>
      <c r="C305" s="469"/>
      <c r="D305" s="472" t="n">
        <v>43</v>
      </c>
      <c r="E305" s="473"/>
      <c r="H305" s="0" t="s">
        <v>999</v>
      </c>
      <c r="I305" s="474" t="n">
        <f aca="false">D305</f>
        <v>43</v>
      </c>
    </row>
    <row r="306" customFormat="false" ht="23.85" hidden="false" customHeight="false" outlineLevel="0" collapsed="false">
      <c r="A306" s="467" t="s">
        <v>2549</v>
      </c>
      <c r="B306" s="468" t="n">
        <v>11448.4</v>
      </c>
      <c r="C306" s="469"/>
      <c r="D306" s="473"/>
      <c r="E306" s="473"/>
      <c r="H306" s="0" t="n">
        <v>223</v>
      </c>
      <c r="I306" s="474"/>
    </row>
    <row r="307" customFormat="false" ht="23.85" hidden="false" customHeight="false" outlineLevel="0" collapsed="false">
      <c r="A307" s="467" t="s">
        <v>2692</v>
      </c>
      <c r="B307" s="468" t="n">
        <v>5611.2</v>
      </c>
      <c r="C307" s="469"/>
      <c r="D307" s="472" t="n">
        <v>60</v>
      </c>
      <c r="E307" s="473"/>
      <c r="H307" s="0" t="n">
        <v>366</v>
      </c>
      <c r="I307" s="474" t="n">
        <f aca="false">D307</f>
        <v>60</v>
      </c>
    </row>
    <row r="308" customFormat="false" ht="23.85" hidden="false" customHeight="false" outlineLevel="0" collapsed="false">
      <c r="A308" s="467" t="s">
        <v>2470</v>
      </c>
      <c r="B308" s="468" t="n">
        <v>10625.5</v>
      </c>
      <c r="C308" s="469"/>
      <c r="D308" s="472" t="n">
        <v>56</v>
      </c>
      <c r="E308" s="473"/>
      <c r="H308" s="0" t="n">
        <v>106</v>
      </c>
      <c r="I308" s="474" t="n">
        <f aca="false">D308</f>
        <v>56</v>
      </c>
    </row>
    <row r="309" customFormat="false" ht="23.85" hidden="false" customHeight="false" outlineLevel="0" collapsed="false">
      <c r="A309" s="467" t="s">
        <v>2738</v>
      </c>
      <c r="B309" s="468" t="n">
        <v>11601.4</v>
      </c>
      <c r="C309" s="469"/>
      <c r="D309" s="472" t="n">
        <v>61</v>
      </c>
      <c r="E309" s="473"/>
      <c r="H309" s="0" t="n">
        <v>412</v>
      </c>
      <c r="I309" s="474" t="n">
        <f aca="false">D309</f>
        <v>61</v>
      </c>
    </row>
    <row r="310" customFormat="false" ht="23.85" hidden="false" customHeight="false" outlineLevel="0" collapsed="false">
      <c r="A310" s="467" t="s">
        <v>2675</v>
      </c>
      <c r="B310" s="468" t="n">
        <v>12068.8</v>
      </c>
      <c r="C310" s="469"/>
      <c r="D310" s="472" t="n">
        <v>53</v>
      </c>
      <c r="E310" s="473"/>
      <c r="H310" s="0" t="n">
        <v>349</v>
      </c>
      <c r="I310" s="474" t="n">
        <f aca="false">D310</f>
        <v>53</v>
      </c>
    </row>
    <row r="311" customFormat="false" ht="23.85" hidden="false" customHeight="false" outlineLevel="0" collapsed="false">
      <c r="A311" s="467" t="s">
        <v>2981</v>
      </c>
      <c r="B311" s="468" t="n">
        <v>15337</v>
      </c>
      <c r="C311" s="469"/>
      <c r="D311" s="472" t="n">
        <v>60</v>
      </c>
      <c r="E311" s="473"/>
      <c r="H311" s="0" t="s">
        <v>1148</v>
      </c>
      <c r="I311" s="474" t="n">
        <f aca="false">D311</f>
        <v>60</v>
      </c>
    </row>
    <row r="312" customFormat="false" ht="23.85" hidden="false" customHeight="false" outlineLevel="0" collapsed="false">
      <c r="A312" s="467" t="s">
        <v>2779</v>
      </c>
      <c r="B312" s="468" t="n">
        <v>12641.2</v>
      </c>
      <c r="C312" s="469"/>
      <c r="D312" s="472" t="n">
        <v>51</v>
      </c>
      <c r="E312" s="473"/>
      <c r="H312" s="0" t="n">
        <v>454</v>
      </c>
      <c r="I312" s="474" t="n">
        <f aca="false">D312</f>
        <v>51</v>
      </c>
    </row>
    <row r="313" customFormat="false" ht="23.85" hidden="false" customHeight="false" outlineLevel="0" collapsed="false">
      <c r="A313" s="467" t="s">
        <v>2538</v>
      </c>
      <c r="B313" s="468" t="n">
        <v>11489.6</v>
      </c>
      <c r="C313" s="469"/>
      <c r="D313" s="472" t="n">
        <v>53</v>
      </c>
      <c r="E313" s="473"/>
      <c r="H313" s="0" t="n">
        <v>212</v>
      </c>
      <c r="I313" s="474" t="n">
        <f aca="false">D313</f>
        <v>53</v>
      </c>
    </row>
    <row r="314" customFormat="false" ht="23.85" hidden="false" customHeight="false" outlineLevel="0" collapsed="false">
      <c r="A314" s="467" t="s">
        <v>2641</v>
      </c>
      <c r="B314" s="468" t="n">
        <v>3235.9</v>
      </c>
      <c r="C314" s="469"/>
      <c r="D314" s="472" t="n">
        <v>59</v>
      </c>
      <c r="E314" s="473"/>
      <c r="H314" s="0" t="n">
        <v>315</v>
      </c>
      <c r="I314" s="474" t="n">
        <f aca="false">D314</f>
        <v>59</v>
      </c>
    </row>
    <row r="315" customFormat="false" ht="23.85" hidden="false" customHeight="false" outlineLevel="0" collapsed="false">
      <c r="A315" s="467" t="s">
        <v>2673</v>
      </c>
      <c r="B315" s="468" t="n">
        <v>11576.2</v>
      </c>
      <c r="C315" s="469"/>
      <c r="D315" s="472" t="n">
        <v>48</v>
      </c>
      <c r="E315" s="473"/>
      <c r="H315" s="0" t="n">
        <v>347</v>
      </c>
      <c r="I315" s="474" t="n">
        <f aca="false">D315</f>
        <v>48</v>
      </c>
    </row>
    <row r="316" customFormat="false" ht="23.85" hidden="false" customHeight="false" outlineLevel="0" collapsed="false">
      <c r="A316" s="467" t="s">
        <v>2493</v>
      </c>
      <c r="B316" s="468" t="n">
        <v>10645</v>
      </c>
      <c r="C316" s="469"/>
      <c r="D316" s="472" t="n">
        <v>58</v>
      </c>
      <c r="E316" s="473"/>
      <c r="H316" s="0" t="n">
        <v>148</v>
      </c>
      <c r="I316" s="474" t="n">
        <f aca="false">D316</f>
        <v>58</v>
      </c>
    </row>
    <row r="317" customFormat="false" ht="23.85" hidden="false" customHeight="false" outlineLevel="0" collapsed="false">
      <c r="A317" s="467" t="s">
        <v>2702</v>
      </c>
      <c r="B317" s="468" t="n">
        <v>3847.8</v>
      </c>
      <c r="C317" s="469"/>
      <c r="D317" s="472" t="n">
        <v>40</v>
      </c>
      <c r="E317" s="473"/>
      <c r="H317" s="0" t="n">
        <v>376</v>
      </c>
      <c r="I317" s="474" t="n">
        <f aca="false">D317</f>
        <v>40</v>
      </c>
    </row>
    <row r="318" customFormat="false" ht="23.85" hidden="false" customHeight="false" outlineLevel="0" collapsed="false">
      <c r="A318" s="467" t="s">
        <v>2554</v>
      </c>
      <c r="B318" s="468" t="n">
        <v>10953.6</v>
      </c>
      <c r="C318" s="469"/>
      <c r="D318" s="472" t="n">
        <v>57</v>
      </c>
      <c r="E318" s="473"/>
      <c r="H318" s="0" t="n">
        <v>228</v>
      </c>
      <c r="I318" s="474" t="n">
        <f aca="false">D318</f>
        <v>57</v>
      </c>
    </row>
    <row r="319" customFormat="false" ht="23.85" hidden="false" customHeight="false" outlineLevel="0" collapsed="false">
      <c r="A319" s="467" t="s">
        <v>2644</v>
      </c>
      <c r="B319" s="468" t="n">
        <v>4851.3</v>
      </c>
      <c r="C319" s="469"/>
      <c r="D319" s="472" t="n">
        <v>43</v>
      </c>
      <c r="E319" s="473"/>
      <c r="H319" s="0" t="n">
        <v>318</v>
      </c>
      <c r="I319" s="474" t="n">
        <f aca="false">D319</f>
        <v>43</v>
      </c>
    </row>
    <row r="320" customFormat="false" ht="23.85" hidden="false" customHeight="false" outlineLevel="0" collapsed="false">
      <c r="A320" s="467" t="s">
        <v>2909</v>
      </c>
      <c r="B320" s="468" t="n">
        <v>5742.9</v>
      </c>
      <c r="C320" s="469"/>
      <c r="D320" s="472" t="n">
        <v>47</v>
      </c>
      <c r="E320" s="473"/>
      <c r="H320" s="0" t="s">
        <v>1064</v>
      </c>
      <c r="I320" s="474" t="n">
        <f aca="false">D320</f>
        <v>47</v>
      </c>
    </row>
    <row r="321" customFormat="false" ht="23.85" hidden="false" customHeight="false" outlineLevel="0" collapsed="false">
      <c r="A321" s="467" t="s">
        <v>2577</v>
      </c>
      <c r="B321" s="468" t="n">
        <v>3853.2</v>
      </c>
      <c r="C321" s="469"/>
      <c r="D321" s="472" t="n">
        <v>59</v>
      </c>
      <c r="E321" s="473"/>
      <c r="H321" s="0" t="n">
        <v>251</v>
      </c>
      <c r="I321" s="474" t="n">
        <f aca="false">D321</f>
        <v>59</v>
      </c>
    </row>
    <row r="322" customFormat="false" ht="23.85" hidden="false" customHeight="false" outlineLevel="0" collapsed="false">
      <c r="A322" s="467" t="s">
        <v>2482</v>
      </c>
      <c r="B322" s="468" t="n">
        <v>3215.4</v>
      </c>
      <c r="C322" s="469"/>
      <c r="D322" s="472" t="n">
        <v>50</v>
      </c>
      <c r="E322" s="473"/>
      <c r="H322" s="0" t="n">
        <v>137</v>
      </c>
      <c r="I322" s="474" t="n">
        <f aca="false">D322</f>
        <v>50</v>
      </c>
    </row>
    <row r="323" customFormat="false" ht="23.85" hidden="false" customHeight="false" outlineLevel="0" collapsed="false">
      <c r="A323" s="467" t="s">
        <v>2900</v>
      </c>
      <c r="B323" s="468" t="n">
        <v>10593.8</v>
      </c>
      <c r="C323" s="469"/>
      <c r="D323" s="472" t="n">
        <v>47</v>
      </c>
      <c r="E323" s="473"/>
      <c r="H323" s="0" t="s">
        <v>1051</v>
      </c>
      <c r="I323" s="474" t="n">
        <f aca="false">D323</f>
        <v>47</v>
      </c>
    </row>
    <row r="324" customFormat="false" ht="23.85" hidden="false" customHeight="false" outlineLevel="0" collapsed="false">
      <c r="A324" s="467" t="s">
        <v>2438</v>
      </c>
      <c r="B324" s="468" t="n">
        <v>5020.4</v>
      </c>
      <c r="C324" s="469"/>
      <c r="D324" s="472" t="n">
        <v>44</v>
      </c>
      <c r="E324" s="473"/>
      <c r="H324" s="0" t="n">
        <v>73</v>
      </c>
      <c r="I324" s="474" t="n">
        <f aca="false">D324</f>
        <v>44</v>
      </c>
    </row>
    <row r="325" customFormat="false" ht="23.85" hidden="false" customHeight="false" outlineLevel="0" collapsed="false">
      <c r="A325" s="467" t="s">
        <v>2762</v>
      </c>
      <c r="B325" s="468" t="n">
        <v>11601.8</v>
      </c>
      <c r="C325" s="469"/>
      <c r="D325" s="472" t="n">
        <v>59</v>
      </c>
      <c r="E325" s="473"/>
      <c r="H325" s="0" t="n">
        <v>437</v>
      </c>
      <c r="I325" s="474" t="n">
        <f aca="false">D325</f>
        <v>59</v>
      </c>
    </row>
    <row r="326" customFormat="false" ht="23.85" hidden="false" customHeight="false" outlineLevel="0" collapsed="false">
      <c r="A326" s="467" t="s">
        <v>2439</v>
      </c>
      <c r="B326" s="468" t="n">
        <v>3306.9</v>
      </c>
      <c r="C326" s="469"/>
      <c r="D326" s="472" t="n">
        <v>43</v>
      </c>
      <c r="E326" s="473"/>
      <c r="H326" s="0" t="n">
        <v>74</v>
      </c>
      <c r="I326" s="474" t="n">
        <f aca="false">D326</f>
        <v>43</v>
      </c>
    </row>
    <row r="327" customFormat="false" ht="23.85" hidden="false" customHeight="false" outlineLevel="0" collapsed="false">
      <c r="A327" s="467" t="s">
        <v>2928</v>
      </c>
      <c r="B327" s="468" t="n">
        <v>11772.5</v>
      </c>
      <c r="C327" s="469"/>
      <c r="D327" s="472" t="n">
        <v>55</v>
      </c>
      <c r="E327" s="473"/>
      <c r="H327" s="0" t="s">
        <v>1084</v>
      </c>
      <c r="I327" s="474" t="n">
        <f aca="false">D327</f>
        <v>55</v>
      </c>
    </row>
    <row r="328" customFormat="false" ht="23.85" hidden="false" customHeight="false" outlineLevel="0" collapsed="false">
      <c r="A328" s="467" t="s">
        <v>2537</v>
      </c>
      <c r="B328" s="468" t="n">
        <v>11263.3</v>
      </c>
      <c r="C328" s="469"/>
      <c r="D328" s="472" t="n">
        <v>54</v>
      </c>
      <c r="E328" s="473"/>
      <c r="H328" s="0" t="n">
        <v>211</v>
      </c>
      <c r="I328" s="474" t="n">
        <f aca="false">D328</f>
        <v>54</v>
      </c>
    </row>
    <row r="329" customFormat="false" ht="23.85" hidden="false" customHeight="false" outlineLevel="0" collapsed="false">
      <c r="A329" s="467" t="s">
        <v>2591</v>
      </c>
      <c r="B329" s="468" t="n">
        <v>12485.2</v>
      </c>
      <c r="C329" s="469"/>
      <c r="D329" s="472" t="n">
        <v>55</v>
      </c>
      <c r="E329" s="473"/>
      <c r="H329" s="0" t="n">
        <v>265</v>
      </c>
      <c r="I329" s="474" t="n">
        <f aca="false">D329</f>
        <v>55</v>
      </c>
    </row>
    <row r="330" customFormat="false" ht="23.85" hidden="false" customHeight="false" outlineLevel="0" collapsed="false">
      <c r="A330" s="467" t="s">
        <v>2692</v>
      </c>
      <c r="B330" s="468" t="n">
        <v>7871.5</v>
      </c>
      <c r="C330" s="469"/>
      <c r="D330" s="472" t="n">
        <v>58</v>
      </c>
      <c r="E330" s="473"/>
      <c r="H330" s="0" t="n">
        <v>366</v>
      </c>
      <c r="I330" s="474" t="n">
        <f aca="false">D330</f>
        <v>58</v>
      </c>
    </row>
    <row r="331" customFormat="false" ht="23.85" hidden="false" customHeight="false" outlineLevel="0" collapsed="false">
      <c r="A331" s="467" t="s">
        <v>2911</v>
      </c>
      <c r="B331" s="468" t="n">
        <v>12792.5</v>
      </c>
      <c r="C331" s="469"/>
      <c r="D331" s="472" t="n">
        <v>49</v>
      </c>
      <c r="E331" s="473"/>
      <c r="H331" s="0" t="s">
        <v>1066</v>
      </c>
      <c r="I331" s="474" t="n">
        <f aca="false">D331</f>
        <v>49</v>
      </c>
    </row>
    <row r="332" customFormat="false" ht="23.85" hidden="false" customHeight="false" outlineLevel="0" collapsed="false">
      <c r="A332" s="467" t="s">
        <v>2966</v>
      </c>
      <c r="B332" s="468" t="n">
        <v>11637.7</v>
      </c>
      <c r="C332" s="469"/>
      <c r="D332" s="472" t="n">
        <v>63</v>
      </c>
      <c r="E332" s="473"/>
      <c r="H332" s="0" t="s">
        <v>1132</v>
      </c>
      <c r="I332" s="474" t="n">
        <f aca="false">D332</f>
        <v>63</v>
      </c>
    </row>
    <row r="333" customFormat="false" ht="23.85" hidden="false" customHeight="false" outlineLevel="0" collapsed="false">
      <c r="A333" s="467" t="s">
        <v>2424</v>
      </c>
      <c r="B333" s="468" t="n">
        <v>9803.9</v>
      </c>
      <c r="C333" s="469"/>
      <c r="D333" s="472" t="n">
        <v>40</v>
      </c>
      <c r="E333" s="473"/>
      <c r="H333" s="0" t="n">
        <v>44</v>
      </c>
      <c r="I333" s="474" t="n">
        <f aca="false">D333</f>
        <v>40</v>
      </c>
    </row>
    <row r="334" customFormat="false" ht="23.85" hidden="false" customHeight="false" outlineLevel="0" collapsed="false">
      <c r="A334" s="467" t="s">
        <v>2556</v>
      </c>
      <c r="B334" s="468" t="n">
        <v>11840.8</v>
      </c>
      <c r="C334" s="469"/>
      <c r="D334" s="472" t="n">
        <v>53</v>
      </c>
      <c r="E334" s="473"/>
      <c r="H334" s="0" t="n">
        <v>230</v>
      </c>
      <c r="I334" s="474" t="n">
        <f aca="false">D334</f>
        <v>53</v>
      </c>
    </row>
    <row r="335" customFormat="false" ht="23.85" hidden="false" customHeight="false" outlineLevel="0" collapsed="false">
      <c r="A335" s="467" t="s">
        <v>2914</v>
      </c>
      <c r="B335" s="468" t="n">
        <v>11979.8</v>
      </c>
      <c r="C335" s="469"/>
      <c r="D335" s="472" t="n">
        <v>45</v>
      </c>
      <c r="E335" s="473"/>
      <c r="H335" s="0" t="s">
        <v>1070</v>
      </c>
      <c r="I335" s="474" t="n">
        <f aca="false">D335</f>
        <v>45</v>
      </c>
    </row>
    <row r="336" customFormat="false" ht="23.85" hidden="false" customHeight="false" outlineLevel="0" collapsed="false">
      <c r="A336" s="467" t="s">
        <v>2882</v>
      </c>
      <c r="B336" s="468" t="n">
        <v>10857.7</v>
      </c>
      <c r="C336" s="469"/>
      <c r="D336" s="472" t="n">
        <v>49</v>
      </c>
      <c r="E336" s="473"/>
      <c r="H336" s="0" t="s">
        <v>1032</v>
      </c>
      <c r="I336" s="474" t="n">
        <f aca="false">D336</f>
        <v>49</v>
      </c>
    </row>
    <row r="337" customFormat="false" ht="23.85" hidden="false" customHeight="false" outlineLevel="0" collapsed="false">
      <c r="A337" s="467" t="s">
        <v>2478</v>
      </c>
      <c r="B337" s="468" t="n">
        <v>12905.6</v>
      </c>
      <c r="C337" s="469"/>
      <c r="D337" s="473"/>
      <c r="E337" s="473"/>
      <c r="H337" s="0" t="n">
        <v>114</v>
      </c>
      <c r="I337" s="474"/>
    </row>
    <row r="338" customFormat="false" ht="23.85" hidden="false" customHeight="false" outlineLevel="0" collapsed="false">
      <c r="A338" s="467" t="s">
        <v>2479</v>
      </c>
      <c r="B338" s="468" t="n">
        <v>16610</v>
      </c>
      <c r="C338" s="469"/>
      <c r="D338" s="473"/>
      <c r="E338" s="473"/>
      <c r="H338" s="0" t="n">
        <v>115</v>
      </c>
      <c r="I338" s="474"/>
    </row>
    <row r="339" customFormat="false" ht="23.85" hidden="false" customHeight="false" outlineLevel="0" collapsed="false">
      <c r="A339" s="467" t="s">
        <v>2763</v>
      </c>
      <c r="B339" s="468" t="n">
        <v>4565.8</v>
      </c>
      <c r="C339" s="469"/>
      <c r="D339" s="472" t="n">
        <v>49</v>
      </c>
      <c r="E339" s="473"/>
      <c r="H339" s="0" t="n">
        <v>438</v>
      </c>
      <c r="I339" s="474" t="n">
        <f aca="false">D339</f>
        <v>49</v>
      </c>
    </row>
    <row r="340" customFormat="false" ht="23.85" hidden="false" customHeight="false" outlineLevel="0" collapsed="false">
      <c r="A340" s="467" t="s">
        <v>2965</v>
      </c>
      <c r="B340" s="468" t="n">
        <v>11970</v>
      </c>
      <c r="C340" s="469"/>
      <c r="D340" s="472" t="n">
        <v>61</v>
      </c>
      <c r="E340" s="473"/>
      <c r="H340" s="0" t="s">
        <v>1131</v>
      </c>
      <c r="I340" s="474" t="n">
        <f aca="false">D340</f>
        <v>61</v>
      </c>
    </row>
    <row r="341" customFormat="false" ht="23.85" hidden="false" customHeight="false" outlineLevel="0" collapsed="false">
      <c r="A341" s="467" t="s">
        <v>2618</v>
      </c>
      <c r="B341" s="468" t="n">
        <v>11587</v>
      </c>
      <c r="C341" s="469"/>
      <c r="D341" s="473"/>
      <c r="E341" s="473"/>
      <c r="H341" s="0" t="n">
        <v>292</v>
      </c>
      <c r="I341" s="474"/>
    </row>
    <row r="342" customFormat="false" ht="23.85" hidden="false" customHeight="false" outlineLevel="0" collapsed="false">
      <c r="A342" s="467" t="s">
        <v>2455</v>
      </c>
      <c r="B342" s="468" t="n">
        <v>11478.9</v>
      </c>
      <c r="C342" s="469"/>
      <c r="D342" s="472" t="n">
        <v>51</v>
      </c>
      <c r="E342" s="473"/>
      <c r="H342" s="0" t="n">
        <v>90</v>
      </c>
      <c r="I342" s="474" t="n">
        <f aca="false">D342</f>
        <v>51</v>
      </c>
    </row>
    <row r="343" customFormat="false" ht="23.85" hidden="false" customHeight="false" outlineLevel="0" collapsed="false">
      <c r="A343" s="467" t="s">
        <v>2446</v>
      </c>
      <c r="B343" s="468" t="n">
        <v>6789</v>
      </c>
      <c r="C343" s="469"/>
      <c r="D343" s="472" t="n">
        <v>49</v>
      </c>
      <c r="E343" s="473"/>
      <c r="H343" s="0" t="n">
        <v>81</v>
      </c>
      <c r="I343" s="474" t="n">
        <f aca="false">D343</f>
        <v>49</v>
      </c>
    </row>
    <row r="344" customFormat="false" ht="23.85" hidden="false" customHeight="false" outlineLevel="0" collapsed="false">
      <c r="A344" s="467" t="s">
        <v>2707</v>
      </c>
      <c r="B344" s="468" t="n">
        <v>3354.9</v>
      </c>
      <c r="C344" s="469"/>
      <c r="D344" s="472" t="n">
        <v>40</v>
      </c>
      <c r="E344" s="473"/>
      <c r="H344" s="0" t="n">
        <v>381</v>
      </c>
      <c r="I344" s="474" t="n">
        <f aca="false">D344</f>
        <v>40</v>
      </c>
    </row>
    <row r="345" customFormat="false" ht="23.85" hidden="false" customHeight="false" outlineLevel="0" collapsed="false">
      <c r="A345" s="467" t="s">
        <v>2431</v>
      </c>
      <c r="B345" s="468" t="n">
        <v>9806.4</v>
      </c>
      <c r="C345" s="469"/>
      <c r="D345" s="472" t="n">
        <v>44</v>
      </c>
      <c r="E345" s="473"/>
      <c r="H345" s="0" t="n">
        <v>54</v>
      </c>
      <c r="I345" s="474" t="n">
        <f aca="false">D345</f>
        <v>44</v>
      </c>
    </row>
    <row r="346" customFormat="false" ht="23.85" hidden="false" customHeight="false" outlineLevel="0" collapsed="false">
      <c r="A346" s="467" t="s">
        <v>2552</v>
      </c>
      <c r="B346" s="468" t="n">
        <v>11474.1</v>
      </c>
      <c r="C346" s="469"/>
      <c r="D346" s="472" t="n">
        <v>54</v>
      </c>
      <c r="E346" s="473"/>
      <c r="H346" s="0" t="n">
        <v>226</v>
      </c>
      <c r="I346" s="474" t="n">
        <f aca="false">D346</f>
        <v>54</v>
      </c>
    </row>
    <row r="347" customFormat="false" ht="23.85" hidden="false" customHeight="false" outlineLevel="0" collapsed="false">
      <c r="A347" s="467" t="s">
        <v>2503</v>
      </c>
      <c r="B347" s="468" t="n">
        <v>11542.5</v>
      </c>
      <c r="C347" s="469"/>
      <c r="D347" s="472" t="n">
        <v>58</v>
      </c>
      <c r="E347" s="473"/>
      <c r="H347" s="0" t="n">
        <v>177</v>
      </c>
      <c r="I347" s="474" t="n">
        <f aca="false">D347</f>
        <v>58</v>
      </c>
    </row>
    <row r="348" customFormat="false" ht="23.85" hidden="false" customHeight="false" outlineLevel="0" collapsed="false">
      <c r="A348" s="467" t="s">
        <v>2459</v>
      </c>
      <c r="B348" s="468" t="n">
        <v>10252.5</v>
      </c>
      <c r="C348" s="469"/>
      <c r="D348" s="472" t="n">
        <v>53</v>
      </c>
      <c r="E348" s="473"/>
      <c r="H348" s="0" t="n">
        <v>94</v>
      </c>
      <c r="I348" s="474" t="n">
        <f aca="false">D348</f>
        <v>53</v>
      </c>
    </row>
    <row r="349" customFormat="false" ht="23.85" hidden="false" customHeight="false" outlineLevel="0" collapsed="false">
      <c r="A349" s="467" t="s">
        <v>2471</v>
      </c>
      <c r="B349" s="468" t="n">
        <v>11246.9</v>
      </c>
      <c r="C349" s="469"/>
      <c r="D349" s="472" t="n">
        <v>56</v>
      </c>
      <c r="E349" s="473"/>
      <c r="H349" s="0" t="n">
        <v>107</v>
      </c>
      <c r="I349" s="474" t="n">
        <f aca="false">D349</f>
        <v>56</v>
      </c>
    </row>
    <row r="350" customFormat="false" ht="23.85" hidden="false" customHeight="false" outlineLevel="0" collapsed="false">
      <c r="A350" s="467" t="s">
        <v>2815</v>
      </c>
      <c r="B350" s="468" t="n">
        <v>11751.2</v>
      </c>
      <c r="C350" s="469"/>
      <c r="D350" s="472" t="n">
        <v>58</v>
      </c>
      <c r="E350" s="473"/>
      <c r="H350" s="0" t="s">
        <v>955</v>
      </c>
      <c r="I350" s="474" t="n">
        <f aca="false">D350</f>
        <v>58</v>
      </c>
    </row>
    <row r="351" customFormat="false" ht="23.85" hidden="false" customHeight="false" outlineLevel="0" collapsed="false">
      <c r="A351" s="467" t="s">
        <v>2867</v>
      </c>
      <c r="B351" s="468" t="n">
        <v>12302.5</v>
      </c>
      <c r="C351" s="469"/>
      <c r="D351" s="472" t="n">
        <v>50</v>
      </c>
      <c r="E351" s="473"/>
      <c r="H351" s="0" t="s">
        <v>1012</v>
      </c>
      <c r="I351" s="474" t="n">
        <f aca="false">D351</f>
        <v>50</v>
      </c>
    </row>
    <row r="352" customFormat="false" ht="23.85" hidden="false" customHeight="false" outlineLevel="0" collapsed="false">
      <c r="A352" s="467" t="s">
        <v>2709</v>
      </c>
      <c r="B352" s="468" t="n">
        <v>11211.7</v>
      </c>
      <c r="C352" s="469"/>
      <c r="D352" s="472" t="n">
        <v>45</v>
      </c>
      <c r="E352" s="473"/>
      <c r="H352" s="0" t="n">
        <v>383</v>
      </c>
      <c r="I352" s="474" t="n">
        <f aca="false">D352</f>
        <v>45</v>
      </c>
    </row>
    <row r="353" customFormat="false" ht="23.85" hidden="false" customHeight="false" outlineLevel="0" collapsed="false">
      <c r="A353" s="467" t="s">
        <v>2853</v>
      </c>
      <c r="B353" s="468" t="n">
        <v>10448.3</v>
      </c>
      <c r="C353" s="469"/>
      <c r="D353" s="472" t="n">
        <v>52</v>
      </c>
      <c r="E353" s="473"/>
      <c r="H353" s="0" t="s">
        <v>993</v>
      </c>
      <c r="I353" s="474" t="n">
        <f aca="false">D353</f>
        <v>52</v>
      </c>
    </row>
    <row r="354" customFormat="false" ht="23.85" hidden="false" customHeight="false" outlineLevel="0" collapsed="false">
      <c r="A354" s="467" t="s">
        <v>2886</v>
      </c>
      <c r="B354" s="468" t="n">
        <v>10904.7</v>
      </c>
      <c r="C354" s="469"/>
      <c r="D354" s="472" t="n">
        <v>54</v>
      </c>
      <c r="E354" s="473"/>
      <c r="H354" s="0" t="s">
        <v>1036</v>
      </c>
      <c r="I354" s="474" t="n">
        <f aca="false">D354</f>
        <v>54</v>
      </c>
    </row>
    <row r="355" customFormat="false" ht="23.85" hidden="false" customHeight="false" outlineLevel="0" collapsed="false">
      <c r="A355" s="467" t="s">
        <v>2906</v>
      </c>
      <c r="B355" s="468" t="n">
        <v>3461.1</v>
      </c>
      <c r="C355" s="469"/>
      <c r="D355" s="472" t="n">
        <v>47</v>
      </c>
      <c r="E355" s="473"/>
      <c r="H355" s="0" t="s">
        <v>1057</v>
      </c>
      <c r="I355" s="474" t="n">
        <f aca="false">D355</f>
        <v>47</v>
      </c>
    </row>
    <row r="356" customFormat="false" ht="23.85" hidden="false" customHeight="false" outlineLevel="0" collapsed="false">
      <c r="A356" s="467" t="s">
        <v>2508</v>
      </c>
      <c r="B356" s="468" t="n">
        <v>1875.9</v>
      </c>
      <c r="C356" s="469"/>
      <c r="D356" s="472" t="n">
        <v>57</v>
      </c>
      <c r="E356" s="473"/>
      <c r="H356" s="0" t="n">
        <v>182</v>
      </c>
      <c r="I356" s="474" t="n">
        <f aca="false">D356</f>
        <v>57</v>
      </c>
    </row>
    <row r="357" customFormat="false" ht="23.85" hidden="false" customHeight="false" outlineLevel="0" collapsed="false">
      <c r="A357" s="467" t="s">
        <v>2518</v>
      </c>
      <c r="B357" s="468" t="n">
        <v>12230.4</v>
      </c>
      <c r="C357" s="469"/>
      <c r="D357" s="473"/>
      <c r="E357" s="473"/>
      <c r="H357" s="0" t="n">
        <v>192</v>
      </c>
      <c r="I357" s="474"/>
    </row>
    <row r="358" customFormat="false" ht="23.85" hidden="false" customHeight="false" outlineLevel="0" collapsed="false">
      <c r="A358" s="467" t="s">
        <v>2501</v>
      </c>
      <c r="B358" s="468" t="n">
        <v>11593.7</v>
      </c>
      <c r="C358" s="469"/>
      <c r="D358" s="472" t="n">
        <v>56</v>
      </c>
      <c r="E358" s="473"/>
      <c r="H358" s="0" t="n">
        <v>156</v>
      </c>
      <c r="I358" s="474" t="n">
        <f aca="false">D358</f>
        <v>56</v>
      </c>
    </row>
    <row r="359" customFormat="false" ht="23.85" hidden="false" customHeight="false" outlineLevel="0" collapsed="false">
      <c r="A359" s="467" t="s">
        <v>2608</v>
      </c>
      <c r="B359" s="468" t="n">
        <v>6891.3</v>
      </c>
      <c r="C359" s="469"/>
      <c r="D359" s="472" t="n">
        <v>54</v>
      </c>
      <c r="E359" s="473"/>
      <c r="H359" s="0" t="n">
        <v>282</v>
      </c>
      <c r="I359" s="474" t="n">
        <f aca="false">D359</f>
        <v>54</v>
      </c>
    </row>
    <row r="360" customFormat="false" ht="23.85" hidden="false" customHeight="false" outlineLevel="0" collapsed="false">
      <c r="A360" s="467" t="s">
        <v>2992</v>
      </c>
      <c r="B360" s="468" t="n">
        <v>12163.2</v>
      </c>
      <c r="C360" s="469"/>
      <c r="D360" s="472" t="n">
        <v>51</v>
      </c>
      <c r="E360" s="473"/>
      <c r="H360" s="0" t="s">
        <v>1159</v>
      </c>
      <c r="I360" s="474" t="n">
        <f aca="false">D360</f>
        <v>51</v>
      </c>
    </row>
    <row r="361" customFormat="false" ht="23.85" hidden="false" customHeight="false" outlineLevel="0" collapsed="false">
      <c r="A361" s="467" t="s">
        <v>2688</v>
      </c>
      <c r="B361" s="468" t="n">
        <v>6383.2</v>
      </c>
      <c r="C361" s="469"/>
      <c r="D361" s="472" t="n">
        <v>54</v>
      </c>
      <c r="E361" s="473"/>
      <c r="H361" s="0" t="n">
        <v>362</v>
      </c>
      <c r="I361" s="474" t="n">
        <f aca="false">D361</f>
        <v>54</v>
      </c>
    </row>
    <row r="362" customFormat="false" ht="23.85" hidden="false" customHeight="false" outlineLevel="0" collapsed="false">
      <c r="A362" s="467" t="s">
        <v>2695</v>
      </c>
      <c r="B362" s="468" t="n">
        <v>12114.6</v>
      </c>
      <c r="C362" s="469"/>
      <c r="D362" s="472" t="n">
        <v>57</v>
      </c>
      <c r="E362" s="473"/>
      <c r="H362" s="0" t="n">
        <v>369</v>
      </c>
      <c r="I362" s="474" t="n">
        <f aca="false">D362</f>
        <v>57</v>
      </c>
    </row>
    <row r="363" customFormat="false" ht="23.85" hidden="false" customHeight="false" outlineLevel="0" collapsed="false">
      <c r="A363" s="467" t="s">
        <v>2532</v>
      </c>
      <c r="B363" s="468" t="n">
        <v>11154</v>
      </c>
      <c r="C363" s="469"/>
      <c r="D363" s="472" t="n">
        <v>51</v>
      </c>
      <c r="E363" s="473"/>
      <c r="H363" s="0" t="n">
        <v>206</v>
      </c>
      <c r="I363" s="474" t="n">
        <f aca="false">D363</f>
        <v>51</v>
      </c>
    </row>
    <row r="364" customFormat="false" ht="23.85" hidden="false" customHeight="false" outlineLevel="0" collapsed="false">
      <c r="A364" s="467" t="s">
        <v>2615</v>
      </c>
      <c r="B364" s="468" t="n">
        <v>2973.6</v>
      </c>
      <c r="C364" s="469"/>
      <c r="D364" s="472" t="n">
        <v>62</v>
      </c>
      <c r="E364" s="473"/>
      <c r="H364" s="0" t="n">
        <v>289</v>
      </c>
      <c r="I364" s="474" t="n">
        <f aca="false">D364</f>
        <v>62</v>
      </c>
    </row>
    <row r="365" customFormat="false" ht="23.85" hidden="false" customHeight="false" outlineLevel="0" collapsed="false">
      <c r="A365" s="467" t="s">
        <v>2454</v>
      </c>
      <c r="B365" s="468" t="n">
        <v>10665</v>
      </c>
      <c r="C365" s="469"/>
      <c r="D365" s="472" t="n">
        <v>52</v>
      </c>
      <c r="E365" s="473"/>
      <c r="H365" s="0" t="n">
        <v>89</v>
      </c>
      <c r="I365" s="474" t="n">
        <f aca="false">D365</f>
        <v>52</v>
      </c>
    </row>
    <row r="366" customFormat="false" ht="23.85" hidden="false" customHeight="false" outlineLevel="0" collapsed="false">
      <c r="A366" s="467" t="s">
        <v>2726</v>
      </c>
      <c r="B366" s="468" t="n">
        <v>12195</v>
      </c>
      <c r="C366" s="469"/>
      <c r="D366" s="472" t="n">
        <v>62</v>
      </c>
      <c r="E366" s="473"/>
      <c r="H366" s="0" t="n">
        <v>400</v>
      </c>
      <c r="I366" s="474" t="n">
        <f aca="false">D366</f>
        <v>62</v>
      </c>
    </row>
    <row r="367" customFormat="false" ht="23.85" hidden="false" customHeight="false" outlineLevel="0" collapsed="false">
      <c r="A367" s="467" t="s">
        <v>2856</v>
      </c>
      <c r="B367" s="468" t="n">
        <v>10815.7</v>
      </c>
      <c r="C367" s="469"/>
      <c r="D367" s="472" t="n">
        <v>43</v>
      </c>
      <c r="E367" s="473"/>
      <c r="H367" s="0" t="s">
        <v>1001</v>
      </c>
      <c r="I367" s="474" t="n">
        <f aca="false">D367</f>
        <v>43</v>
      </c>
    </row>
    <row r="368" customFormat="false" ht="23.85" hidden="false" customHeight="false" outlineLevel="0" collapsed="false">
      <c r="A368" s="467" t="s">
        <v>2866</v>
      </c>
      <c r="B368" s="468" t="n">
        <v>12354.7</v>
      </c>
      <c r="C368" s="469"/>
      <c r="D368" s="472" t="n">
        <v>50</v>
      </c>
      <c r="E368" s="473"/>
      <c r="H368" s="0" t="s">
        <v>1011</v>
      </c>
      <c r="I368" s="474" t="n">
        <f aca="false">D368</f>
        <v>50</v>
      </c>
    </row>
    <row r="369" customFormat="false" ht="23.85" hidden="false" customHeight="false" outlineLevel="0" collapsed="false">
      <c r="A369" s="467" t="s">
        <v>2718</v>
      </c>
      <c r="B369" s="468" t="n">
        <v>3675.6</v>
      </c>
      <c r="C369" s="469"/>
      <c r="D369" s="472" t="n">
        <v>40</v>
      </c>
      <c r="E369" s="473"/>
      <c r="H369" s="0" t="n">
        <v>392</v>
      </c>
      <c r="I369" s="474" t="n">
        <f aca="false">D369</f>
        <v>40</v>
      </c>
    </row>
    <row r="370" customFormat="false" ht="23.85" hidden="false" customHeight="false" outlineLevel="0" collapsed="false">
      <c r="A370" s="467" t="s">
        <v>2817</v>
      </c>
      <c r="B370" s="468" t="n">
        <v>11993</v>
      </c>
      <c r="C370" s="469"/>
      <c r="D370" s="472" t="n">
        <v>58</v>
      </c>
      <c r="E370" s="473"/>
      <c r="H370" s="0" t="s">
        <v>957</v>
      </c>
      <c r="I370" s="474" t="n">
        <f aca="false">D370</f>
        <v>58</v>
      </c>
    </row>
    <row r="371" customFormat="false" ht="23.85" hidden="false" customHeight="false" outlineLevel="0" collapsed="false">
      <c r="A371" s="467" t="s">
        <v>2680</v>
      </c>
      <c r="B371" s="468" t="n">
        <v>11945.6</v>
      </c>
      <c r="C371" s="469"/>
      <c r="D371" s="472" t="n">
        <v>53</v>
      </c>
      <c r="E371" s="473"/>
      <c r="H371" s="0" t="n">
        <v>354</v>
      </c>
      <c r="I371" s="474" t="n">
        <f aca="false">D371</f>
        <v>53</v>
      </c>
    </row>
    <row r="372" customFormat="false" ht="23.85" hidden="false" customHeight="false" outlineLevel="0" collapsed="false">
      <c r="A372" s="467" t="s">
        <v>2426</v>
      </c>
      <c r="B372" s="468" t="n">
        <v>1599</v>
      </c>
      <c r="C372" s="469"/>
      <c r="D372" s="472" t="n">
        <v>37</v>
      </c>
      <c r="E372" s="473"/>
      <c r="H372" s="0" t="n">
        <v>46</v>
      </c>
      <c r="I372" s="474" t="n">
        <f aca="false">D372</f>
        <v>37</v>
      </c>
    </row>
    <row r="373" customFormat="false" ht="23.85" hidden="false" customHeight="false" outlineLevel="0" collapsed="false">
      <c r="A373" s="467" t="s">
        <v>2868</v>
      </c>
      <c r="B373" s="468" t="n">
        <v>11296.5</v>
      </c>
      <c r="C373" s="469"/>
      <c r="D373" s="472" t="n">
        <v>51</v>
      </c>
      <c r="E373" s="473"/>
      <c r="H373" s="0" t="s">
        <v>1013</v>
      </c>
      <c r="I373" s="474" t="n">
        <f aca="false">D373</f>
        <v>51</v>
      </c>
    </row>
    <row r="374" customFormat="false" ht="23.85" hidden="false" customHeight="false" outlineLevel="0" collapsed="false">
      <c r="A374" s="467" t="s">
        <v>2895</v>
      </c>
      <c r="B374" s="468" t="n">
        <v>11225.8</v>
      </c>
      <c r="C374" s="469"/>
      <c r="D374" s="472" t="n">
        <v>50</v>
      </c>
      <c r="E374" s="473"/>
      <c r="H374" s="0" t="s">
        <v>1046</v>
      </c>
      <c r="I374" s="474" t="n">
        <f aca="false">D374</f>
        <v>50</v>
      </c>
    </row>
    <row r="375" customFormat="false" ht="23.85" hidden="false" customHeight="false" outlineLevel="0" collapsed="false">
      <c r="A375" s="467" t="s">
        <v>2437</v>
      </c>
      <c r="B375" s="468" t="n">
        <v>3080.6</v>
      </c>
      <c r="C375" s="469"/>
      <c r="D375" s="472" t="n">
        <v>41</v>
      </c>
      <c r="E375" s="473"/>
      <c r="H375" s="0" t="n">
        <v>72</v>
      </c>
      <c r="I375" s="474" t="n">
        <f aca="false">D375</f>
        <v>41</v>
      </c>
    </row>
    <row r="376" customFormat="false" ht="23.85" hidden="false" customHeight="false" outlineLevel="0" collapsed="false">
      <c r="A376" s="467" t="s">
        <v>2563</v>
      </c>
      <c r="B376" s="468" t="n">
        <v>11336.6</v>
      </c>
      <c r="C376" s="469"/>
      <c r="D376" s="472" t="n">
        <v>59</v>
      </c>
      <c r="E376" s="473"/>
      <c r="H376" s="0" t="n">
        <v>237</v>
      </c>
      <c r="I376" s="474" t="n">
        <f aca="false">D376</f>
        <v>59</v>
      </c>
    </row>
    <row r="377" customFormat="false" ht="23.85" hidden="false" customHeight="false" outlineLevel="0" collapsed="false">
      <c r="A377" s="467" t="s">
        <v>2876</v>
      </c>
      <c r="B377" s="468" t="n">
        <v>11105.5</v>
      </c>
      <c r="C377" s="469"/>
      <c r="D377" s="472" t="n">
        <v>53</v>
      </c>
      <c r="E377" s="473"/>
      <c r="H377" s="0" t="s">
        <v>1021</v>
      </c>
      <c r="I377" s="474" t="n">
        <f aca="false">D377</f>
        <v>53</v>
      </c>
    </row>
    <row r="378" customFormat="false" ht="23.85" hidden="false" customHeight="false" outlineLevel="0" collapsed="false">
      <c r="A378" s="467" t="s">
        <v>2569</v>
      </c>
      <c r="B378" s="468" t="n">
        <v>12168.7</v>
      </c>
      <c r="C378" s="469"/>
      <c r="D378" s="472" t="n">
        <v>59</v>
      </c>
      <c r="E378" s="473"/>
      <c r="H378" s="0" t="n">
        <v>243</v>
      </c>
      <c r="I378" s="474" t="n">
        <f aca="false">D378</f>
        <v>59</v>
      </c>
    </row>
    <row r="379" customFormat="false" ht="23.85" hidden="false" customHeight="false" outlineLevel="0" collapsed="false">
      <c r="A379" s="467" t="s">
        <v>2701</v>
      </c>
      <c r="B379" s="468" t="n">
        <v>11712.1</v>
      </c>
      <c r="C379" s="469"/>
      <c r="D379" s="472" t="n">
        <v>60</v>
      </c>
      <c r="E379" s="473"/>
      <c r="H379" s="0" t="n">
        <v>375</v>
      </c>
      <c r="I379" s="474" t="n">
        <f aca="false">D379</f>
        <v>60</v>
      </c>
    </row>
    <row r="380" customFormat="false" ht="23.85" hidden="false" customHeight="false" outlineLevel="0" collapsed="false">
      <c r="A380" s="467" t="s">
        <v>2430</v>
      </c>
      <c r="B380" s="468" t="n">
        <v>9713.3</v>
      </c>
      <c r="C380" s="469"/>
      <c r="D380" s="472" t="n">
        <v>45</v>
      </c>
      <c r="E380" s="473"/>
      <c r="H380" s="0" t="n">
        <v>53</v>
      </c>
      <c r="I380" s="474" t="n">
        <f aca="false">D380</f>
        <v>45</v>
      </c>
    </row>
    <row r="381" customFormat="false" ht="23.85" hidden="false" customHeight="false" outlineLevel="0" collapsed="false">
      <c r="A381" s="467" t="s">
        <v>2995</v>
      </c>
      <c r="B381" s="468" t="n">
        <v>11912.1</v>
      </c>
      <c r="C381" s="469"/>
      <c r="D381" s="472" t="n">
        <v>54</v>
      </c>
      <c r="E381" s="473"/>
      <c r="H381" s="0" t="s">
        <v>1162</v>
      </c>
      <c r="I381" s="474" t="n">
        <f aca="false">D381</f>
        <v>54</v>
      </c>
    </row>
    <row r="382" customFormat="false" ht="23.85" hidden="false" customHeight="false" outlineLevel="0" collapsed="false">
      <c r="A382" s="467" t="s">
        <v>2935</v>
      </c>
      <c r="B382" s="468" t="n">
        <v>6032.3</v>
      </c>
      <c r="C382" s="469"/>
      <c r="D382" s="472" t="n">
        <v>54</v>
      </c>
      <c r="E382" s="473"/>
      <c r="H382" s="0" t="s">
        <v>1097</v>
      </c>
      <c r="I382" s="474" t="n">
        <f aca="false">D382</f>
        <v>54</v>
      </c>
    </row>
    <row r="383" customFormat="false" ht="23.85" hidden="false" customHeight="false" outlineLevel="0" collapsed="false">
      <c r="A383" s="467" t="s">
        <v>2798</v>
      </c>
      <c r="B383" s="468" t="n">
        <v>12351.3</v>
      </c>
      <c r="C383" s="469"/>
      <c r="D383" s="472" t="n">
        <v>55</v>
      </c>
      <c r="E383" s="473"/>
      <c r="H383" s="0" t="s">
        <v>938</v>
      </c>
      <c r="I383" s="474" t="n">
        <f aca="false">D383</f>
        <v>55</v>
      </c>
    </row>
    <row r="384" customFormat="false" ht="23.85" hidden="false" customHeight="false" outlineLevel="0" collapsed="false">
      <c r="A384" s="467" t="s">
        <v>2640</v>
      </c>
      <c r="B384" s="468" t="n">
        <v>3850</v>
      </c>
      <c r="C384" s="469"/>
      <c r="D384" s="472" t="n">
        <v>45</v>
      </c>
      <c r="E384" s="473"/>
      <c r="H384" s="0" t="n">
        <v>314</v>
      </c>
      <c r="I384" s="474" t="n">
        <f aca="false">D384</f>
        <v>45</v>
      </c>
    </row>
    <row r="385" customFormat="false" ht="23.85" hidden="false" customHeight="false" outlineLevel="0" collapsed="false">
      <c r="A385" s="467" t="s">
        <v>2898</v>
      </c>
      <c r="B385" s="468" t="n">
        <v>11268.9</v>
      </c>
      <c r="C385" s="469"/>
      <c r="D385" s="472" t="n">
        <v>52</v>
      </c>
      <c r="E385" s="473"/>
      <c r="H385" s="0" t="s">
        <v>1049</v>
      </c>
      <c r="I385" s="474" t="n">
        <f aca="false">D385</f>
        <v>52</v>
      </c>
    </row>
    <row r="386" customFormat="false" ht="23.85" hidden="false" customHeight="false" outlineLevel="0" collapsed="false">
      <c r="A386" s="467" t="s">
        <v>2442</v>
      </c>
      <c r="B386" s="468" t="n">
        <v>3291.3</v>
      </c>
      <c r="C386" s="469"/>
      <c r="D386" s="472" t="n">
        <v>45</v>
      </c>
      <c r="E386" s="473"/>
      <c r="H386" s="0" t="n">
        <v>77</v>
      </c>
      <c r="I386" s="474" t="n">
        <f aca="false">D386</f>
        <v>45</v>
      </c>
    </row>
    <row r="387" customFormat="false" ht="23.85" hidden="false" customHeight="false" outlineLevel="0" collapsed="false">
      <c r="A387" s="467" t="s">
        <v>2874</v>
      </c>
      <c r="B387" s="468" t="n">
        <v>10798.7</v>
      </c>
      <c r="C387" s="469"/>
      <c r="D387" s="472" t="n">
        <v>51</v>
      </c>
      <c r="E387" s="473"/>
      <c r="H387" s="0" t="s">
        <v>1019</v>
      </c>
      <c r="I387" s="474" t="n">
        <f aca="false">D387</f>
        <v>51</v>
      </c>
    </row>
    <row r="388" customFormat="false" ht="23.85" hidden="false" customHeight="false" outlineLevel="0" collapsed="false">
      <c r="A388" s="467" t="s">
        <v>2888</v>
      </c>
      <c r="B388" s="468" t="n">
        <v>11365.2</v>
      </c>
      <c r="C388" s="469"/>
      <c r="D388" s="472" t="n">
        <v>52</v>
      </c>
      <c r="E388" s="473"/>
      <c r="H388" s="0" t="s">
        <v>1038</v>
      </c>
      <c r="I388" s="474" t="n">
        <f aca="false">D388</f>
        <v>52</v>
      </c>
    </row>
    <row r="389" customFormat="false" ht="23.85" hidden="false" customHeight="false" outlineLevel="0" collapsed="false">
      <c r="A389" s="467" t="s">
        <v>2561</v>
      </c>
      <c r="B389" s="468" t="n">
        <v>11556.4</v>
      </c>
      <c r="C389" s="469"/>
      <c r="D389" s="472" t="n">
        <v>59</v>
      </c>
      <c r="E389" s="473"/>
      <c r="H389" s="0" t="n">
        <v>235</v>
      </c>
      <c r="I389" s="474" t="n">
        <f aca="false">D389</f>
        <v>59</v>
      </c>
    </row>
    <row r="390" customFormat="false" ht="23.85" hidden="false" customHeight="false" outlineLevel="0" collapsed="false">
      <c r="A390" s="467" t="s">
        <v>2555</v>
      </c>
      <c r="B390" s="468" t="n">
        <v>10972.5</v>
      </c>
      <c r="C390" s="469"/>
      <c r="D390" s="472" t="n">
        <v>54</v>
      </c>
      <c r="E390" s="473"/>
      <c r="H390" s="0" t="n">
        <v>229</v>
      </c>
      <c r="I390" s="474" t="n">
        <f aca="false">D390</f>
        <v>54</v>
      </c>
    </row>
    <row r="391" customFormat="false" ht="23.85" hidden="false" customHeight="false" outlineLevel="0" collapsed="false">
      <c r="A391" s="467" t="s">
        <v>2698</v>
      </c>
      <c r="B391" s="468" t="n">
        <v>11276.1</v>
      </c>
      <c r="C391" s="469"/>
      <c r="D391" s="472" t="n">
        <v>55</v>
      </c>
      <c r="E391" s="473"/>
      <c r="H391" s="0" t="n">
        <v>372</v>
      </c>
      <c r="I391" s="474" t="n">
        <f aca="false">D391</f>
        <v>55</v>
      </c>
    </row>
    <row r="392" customFormat="false" ht="23.85" hidden="false" customHeight="false" outlineLevel="0" collapsed="false">
      <c r="A392" s="467" t="s">
        <v>2536</v>
      </c>
      <c r="B392" s="468" t="n">
        <v>10915.3</v>
      </c>
      <c r="C392" s="469"/>
      <c r="D392" s="472" t="n">
        <v>50</v>
      </c>
      <c r="E392" s="473"/>
      <c r="H392" s="0" t="n">
        <v>210</v>
      </c>
      <c r="I392" s="474" t="n">
        <f aca="false">D392</f>
        <v>50</v>
      </c>
    </row>
    <row r="393" customFormat="false" ht="23.85" hidden="false" customHeight="false" outlineLevel="0" collapsed="false">
      <c r="A393" s="467" t="s">
        <v>2945</v>
      </c>
      <c r="B393" s="468" t="n">
        <v>11764</v>
      </c>
      <c r="C393" s="469"/>
      <c r="D393" s="472" t="n">
        <v>53</v>
      </c>
      <c r="E393" s="473"/>
      <c r="H393" s="0" t="s">
        <v>1108</v>
      </c>
      <c r="I393" s="474" t="n">
        <f aca="false">D393</f>
        <v>53</v>
      </c>
    </row>
    <row r="394" customFormat="false" ht="23.85" hidden="false" customHeight="false" outlineLevel="0" collapsed="false">
      <c r="A394" s="467" t="s">
        <v>2859</v>
      </c>
      <c r="B394" s="468" t="n">
        <v>10997.8</v>
      </c>
      <c r="C394" s="469"/>
      <c r="D394" s="472" t="n">
        <v>54</v>
      </c>
      <c r="E394" s="473"/>
      <c r="H394" s="0" t="s">
        <v>1004</v>
      </c>
      <c r="I394" s="474" t="n">
        <f aca="false">D394</f>
        <v>54</v>
      </c>
    </row>
    <row r="395" customFormat="false" ht="23.85" hidden="false" customHeight="false" outlineLevel="0" collapsed="false">
      <c r="A395" s="467" t="s">
        <v>2968</v>
      </c>
      <c r="B395" s="468" t="n">
        <v>12330.5</v>
      </c>
      <c r="C395" s="469"/>
      <c r="D395" s="472" t="n">
        <v>59</v>
      </c>
      <c r="E395" s="473"/>
      <c r="H395" s="0" t="s">
        <v>1134</v>
      </c>
      <c r="I395" s="474" t="n">
        <f aca="false">D395</f>
        <v>59</v>
      </c>
    </row>
    <row r="396" customFormat="false" ht="23.85" hidden="false" customHeight="false" outlineLevel="0" collapsed="false">
      <c r="A396" s="467" t="s">
        <v>2993</v>
      </c>
      <c r="B396" s="468" t="n">
        <v>12082.5</v>
      </c>
      <c r="C396" s="469"/>
      <c r="D396" s="472" t="n">
        <v>56</v>
      </c>
      <c r="E396" s="473"/>
      <c r="H396" s="0" t="s">
        <v>1160</v>
      </c>
      <c r="I396" s="474" t="n">
        <f aca="false">D396</f>
        <v>56</v>
      </c>
    </row>
    <row r="397" customFormat="false" ht="23.85" hidden="false" customHeight="false" outlineLevel="0" collapsed="false">
      <c r="A397" s="467" t="s">
        <v>2592</v>
      </c>
      <c r="B397" s="468" t="n">
        <v>4181</v>
      </c>
      <c r="C397" s="469"/>
      <c r="D397" s="472" t="n">
        <v>58</v>
      </c>
      <c r="E397" s="473"/>
      <c r="H397" s="0" t="n">
        <v>266</v>
      </c>
      <c r="I397" s="474" t="n">
        <f aca="false">D397</f>
        <v>58</v>
      </c>
    </row>
    <row r="398" customFormat="false" ht="23.85" hidden="false" customHeight="false" outlineLevel="0" collapsed="false">
      <c r="A398" s="467" t="s">
        <v>2820</v>
      </c>
      <c r="B398" s="468" t="n">
        <v>12235.6</v>
      </c>
      <c r="C398" s="469"/>
      <c r="D398" s="472" t="n">
        <v>62</v>
      </c>
      <c r="E398" s="473"/>
      <c r="H398" s="0" t="s">
        <v>960</v>
      </c>
      <c r="I398" s="474" t="n">
        <f aca="false">D398</f>
        <v>62</v>
      </c>
    </row>
    <row r="399" customFormat="false" ht="23.85" hidden="false" customHeight="false" outlineLevel="0" collapsed="false">
      <c r="A399" s="467" t="s">
        <v>2891</v>
      </c>
      <c r="B399" s="468" t="n">
        <v>11322.6</v>
      </c>
      <c r="C399" s="469"/>
      <c r="D399" s="472" t="n">
        <v>45</v>
      </c>
      <c r="E399" s="473"/>
      <c r="H399" s="0" t="s">
        <v>1042</v>
      </c>
      <c r="I399" s="474" t="n">
        <f aca="false">D399</f>
        <v>45</v>
      </c>
    </row>
    <row r="400" customFormat="false" ht="23.85" hidden="false" customHeight="false" outlineLevel="0" collapsed="false">
      <c r="A400" s="467" t="s">
        <v>2772</v>
      </c>
      <c r="B400" s="468" t="n">
        <v>11830</v>
      </c>
      <c r="C400" s="469"/>
      <c r="D400" s="472" t="n">
        <v>53</v>
      </c>
      <c r="E400" s="473"/>
      <c r="H400" s="0" t="n">
        <v>447</v>
      </c>
      <c r="I400" s="474" t="n">
        <f aca="false">D400</f>
        <v>53</v>
      </c>
    </row>
    <row r="401" customFormat="false" ht="23.85" hidden="false" customHeight="false" outlineLevel="0" collapsed="false">
      <c r="A401" s="467" t="s">
        <v>2937</v>
      </c>
      <c r="B401" s="468" t="n">
        <v>11602.5</v>
      </c>
      <c r="C401" s="469"/>
      <c r="D401" s="472" t="n">
        <v>55</v>
      </c>
      <c r="E401" s="473"/>
      <c r="H401" s="0" t="s">
        <v>1099</v>
      </c>
      <c r="I401" s="474" t="n">
        <f aca="false">D401</f>
        <v>55</v>
      </c>
    </row>
    <row r="402" customFormat="false" ht="23.85" hidden="false" customHeight="false" outlineLevel="0" collapsed="false">
      <c r="A402" s="467" t="s">
        <v>2916</v>
      </c>
      <c r="B402" s="468" t="n">
        <v>11628</v>
      </c>
      <c r="C402" s="469"/>
      <c r="D402" s="472" t="n">
        <v>46</v>
      </c>
      <c r="E402" s="473"/>
      <c r="H402" s="0" t="s">
        <v>1072</v>
      </c>
      <c r="I402" s="474" t="n">
        <f aca="false">D402</f>
        <v>46</v>
      </c>
    </row>
    <row r="403" customFormat="false" ht="23.85" hidden="false" customHeight="false" outlineLevel="0" collapsed="false">
      <c r="A403" s="467" t="s">
        <v>2960</v>
      </c>
      <c r="B403" s="468" t="n">
        <v>7141.9</v>
      </c>
      <c r="C403" s="469"/>
      <c r="D403" s="472" t="n">
        <v>58</v>
      </c>
      <c r="E403" s="473"/>
      <c r="H403" s="0" t="s">
        <v>1125</v>
      </c>
      <c r="I403" s="474" t="n">
        <f aca="false">D403</f>
        <v>58</v>
      </c>
    </row>
    <row r="404" customFormat="false" ht="23.85" hidden="false" customHeight="false" outlineLevel="0" collapsed="false">
      <c r="A404" s="467" t="s">
        <v>2559</v>
      </c>
      <c r="B404" s="468" t="n">
        <v>11004.3</v>
      </c>
      <c r="C404" s="469"/>
      <c r="D404" s="472" t="n">
        <v>55</v>
      </c>
      <c r="E404" s="473"/>
      <c r="H404" s="0" t="n">
        <v>233</v>
      </c>
      <c r="I404" s="474" t="n">
        <f aca="false">D404</f>
        <v>55</v>
      </c>
    </row>
    <row r="405" customFormat="false" ht="23.85" hidden="false" customHeight="false" outlineLevel="0" collapsed="false">
      <c r="A405" s="467" t="s">
        <v>2910</v>
      </c>
      <c r="B405" s="468" t="n">
        <v>5834.9</v>
      </c>
      <c r="C405" s="469"/>
      <c r="D405" s="472" t="n">
        <v>45</v>
      </c>
      <c r="E405" s="473"/>
      <c r="H405" s="0" t="s">
        <v>1065</v>
      </c>
      <c r="I405" s="474" t="n">
        <f aca="false">D405</f>
        <v>45</v>
      </c>
    </row>
    <row r="406" customFormat="false" ht="23.85" hidden="false" customHeight="false" outlineLevel="0" collapsed="false">
      <c r="A406" s="467" t="s">
        <v>2971</v>
      </c>
      <c r="B406" s="468" t="n">
        <v>12274.9</v>
      </c>
      <c r="C406" s="469"/>
      <c r="D406" s="472" t="n">
        <v>61</v>
      </c>
      <c r="E406" s="473"/>
      <c r="H406" s="0" t="s">
        <v>1137</v>
      </c>
      <c r="I406" s="474" t="n">
        <f aca="false">D406</f>
        <v>61</v>
      </c>
    </row>
    <row r="407" customFormat="false" ht="23.85" hidden="false" customHeight="false" outlineLevel="0" collapsed="false">
      <c r="A407" s="467" t="s">
        <v>2989</v>
      </c>
      <c r="B407" s="468" t="n">
        <v>11986.5</v>
      </c>
      <c r="C407" s="469"/>
      <c r="D407" s="472" t="n">
        <v>51</v>
      </c>
      <c r="E407" s="473"/>
      <c r="H407" s="0" t="s">
        <v>1156</v>
      </c>
      <c r="I407" s="474" t="n">
        <f aca="false">D407</f>
        <v>51</v>
      </c>
    </row>
    <row r="408" customFormat="false" ht="23.85" hidden="false" customHeight="false" outlineLevel="0" collapsed="false">
      <c r="A408" s="467" t="s">
        <v>2647</v>
      </c>
      <c r="B408" s="468" t="n">
        <v>1478.4</v>
      </c>
      <c r="C408" s="469"/>
      <c r="D408" s="472" t="n">
        <v>50</v>
      </c>
      <c r="E408" s="473"/>
      <c r="H408" s="0" t="n">
        <v>321</v>
      </c>
      <c r="I408" s="474" t="n">
        <f aca="false">D408</f>
        <v>50</v>
      </c>
    </row>
    <row r="409" customFormat="false" ht="23.85" hidden="false" customHeight="false" outlineLevel="0" collapsed="false">
      <c r="A409" s="467" t="s">
        <v>2946</v>
      </c>
      <c r="B409" s="468" t="n">
        <v>11593.4</v>
      </c>
      <c r="C409" s="469"/>
      <c r="D409" s="472" t="n">
        <v>54</v>
      </c>
      <c r="E409" s="473"/>
      <c r="H409" s="0" t="s">
        <v>1109</v>
      </c>
      <c r="I409" s="474" t="n">
        <f aca="false">D409</f>
        <v>54</v>
      </c>
    </row>
    <row r="410" customFormat="false" ht="23.85" hidden="false" customHeight="false" outlineLevel="0" collapsed="false">
      <c r="A410" s="467" t="s">
        <v>2722</v>
      </c>
      <c r="B410" s="468" t="n">
        <v>11690.8</v>
      </c>
      <c r="C410" s="469"/>
      <c r="D410" s="472" t="n">
        <v>59</v>
      </c>
      <c r="E410" s="473"/>
      <c r="H410" s="0" t="n">
        <v>396</v>
      </c>
      <c r="I410" s="474" t="n">
        <f aca="false">D410</f>
        <v>59</v>
      </c>
    </row>
    <row r="411" customFormat="false" ht="23.85" hidden="false" customHeight="false" outlineLevel="0" collapsed="false">
      <c r="A411" s="467" t="s">
        <v>2800</v>
      </c>
      <c r="B411" s="468" t="n">
        <v>12416.8</v>
      </c>
      <c r="C411" s="469"/>
      <c r="D411" s="472" t="n">
        <v>53</v>
      </c>
      <c r="E411" s="473"/>
      <c r="H411" s="0" t="s">
        <v>940</v>
      </c>
      <c r="I411" s="474" t="n">
        <f aca="false">D411</f>
        <v>53</v>
      </c>
    </row>
    <row r="412" customFormat="false" ht="23.85" hidden="false" customHeight="false" outlineLevel="0" collapsed="false">
      <c r="A412" s="467" t="s">
        <v>2767</v>
      </c>
      <c r="B412" s="468" t="n">
        <v>2056.2</v>
      </c>
      <c r="C412" s="469"/>
      <c r="D412" s="472" t="n">
        <v>54</v>
      </c>
      <c r="E412" s="473"/>
      <c r="H412" s="0" t="n">
        <v>442</v>
      </c>
      <c r="I412" s="474" t="n">
        <f aca="false">D412</f>
        <v>54</v>
      </c>
    </row>
    <row r="413" customFormat="false" ht="23.85" hidden="false" customHeight="false" outlineLevel="0" collapsed="false">
      <c r="A413" s="467" t="s">
        <v>2572</v>
      </c>
      <c r="B413" s="468" t="n">
        <v>8116.8</v>
      </c>
      <c r="C413" s="469"/>
      <c r="D413" s="472" t="n">
        <v>57</v>
      </c>
      <c r="E413" s="473"/>
      <c r="H413" s="0" t="n">
        <v>246</v>
      </c>
      <c r="I413" s="474" t="n">
        <f aca="false">D413</f>
        <v>57</v>
      </c>
    </row>
    <row r="414" customFormat="false" ht="23.85" hidden="false" customHeight="false" outlineLevel="0" collapsed="false">
      <c r="A414" s="467" t="s">
        <v>2540</v>
      </c>
      <c r="B414" s="468" t="n">
        <v>5347.5</v>
      </c>
      <c r="C414" s="469"/>
      <c r="D414" s="472" t="n">
        <v>54</v>
      </c>
      <c r="E414" s="473"/>
      <c r="H414" s="0" t="n">
        <v>214</v>
      </c>
      <c r="I414" s="474" t="n">
        <f aca="false">D414</f>
        <v>54</v>
      </c>
    </row>
    <row r="415" customFormat="false" ht="23.85" hidden="false" customHeight="false" outlineLevel="0" collapsed="false">
      <c r="A415" s="467" t="s">
        <v>2758</v>
      </c>
      <c r="B415" s="468" t="n">
        <v>1769.8</v>
      </c>
      <c r="C415" s="469"/>
      <c r="D415" s="472" t="n">
        <v>44</v>
      </c>
      <c r="E415" s="473"/>
      <c r="H415" s="0" t="n">
        <v>432</v>
      </c>
      <c r="I415" s="474" t="n">
        <f aca="false">D415</f>
        <v>44</v>
      </c>
    </row>
    <row r="416" customFormat="false" ht="23.85" hidden="false" customHeight="false" outlineLevel="0" collapsed="false">
      <c r="A416" s="467" t="s">
        <v>2766</v>
      </c>
      <c r="B416" s="468" t="n">
        <v>3411.8</v>
      </c>
      <c r="C416" s="469"/>
      <c r="D416" s="472" t="n">
        <v>52</v>
      </c>
      <c r="E416" s="473"/>
      <c r="H416" s="0" t="n">
        <v>441</v>
      </c>
      <c r="I416" s="474" t="n">
        <f aca="false">D416</f>
        <v>52</v>
      </c>
    </row>
    <row r="417" customFormat="false" ht="23.85" hidden="false" customHeight="false" outlineLevel="0" collapsed="false">
      <c r="A417" s="467" t="s">
        <v>2907</v>
      </c>
      <c r="B417" s="468" t="n">
        <v>11515.4</v>
      </c>
      <c r="C417" s="469"/>
      <c r="D417" s="472" t="n">
        <v>45</v>
      </c>
      <c r="E417" s="473"/>
      <c r="H417" s="0" t="s">
        <v>1060</v>
      </c>
      <c r="I417" s="474" t="n">
        <f aca="false">D417</f>
        <v>45</v>
      </c>
    </row>
    <row r="418" customFormat="false" ht="23.85" hidden="false" customHeight="false" outlineLevel="0" collapsed="false">
      <c r="A418" s="467" t="s">
        <v>2892</v>
      </c>
      <c r="B418" s="468" t="n">
        <v>11339.9</v>
      </c>
      <c r="C418" s="469"/>
      <c r="D418" s="472" t="n">
        <v>49</v>
      </c>
      <c r="E418" s="473"/>
      <c r="H418" s="0" t="s">
        <v>1043</v>
      </c>
      <c r="I418" s="474" t="n">
        <f aca="false">D418</f>
        <v>49</v>
      </c>
    </row>
    <row r="419" customFormat="false" ht="23.85" hidden="false" customHeight="false" outlineLevel="0" collapsed="false">
      <c r="A419" s="467" t="s">
        <v>2467</v>
      </c>
      <c r="B419" s="468" t="n">
        <v>10564.6</v>
      </c>
      <c r="C419" s="469"/>
      <c r="D419" s="472" t="n">
        <v>49</v>
      </c>
      <c r="E419" s="473"/>
      <c r="H419" s="0" t="n">
        <v>103</v>
      </c>
      <c r="I419" s="474" t="n">
        <f aca="false">D419</f>
        <v>49</v>
      </c>
    </row>
    <row r="420" customFormat="false" ht="23.85" hidden="false" customHeight="false" outlineLevel="0" collapsed="false">
      <c r="A420" s="467" t="s">
        <v>2806</v>
      </c>
      <c r="B420" s="468" t="n">
        <v>12145.6</v>
      </c>
      <c r="C420" s="469"/>
      <c r="D420" s="472" t="n">
        <v>58</v>
      </c>
      <c r="E420" s="473"/>
      <c r="H420" s="0" t="s">
        <v>946</v>
      </c>
      <c r="I420" s="474" t="n">
        <f aca="false">D420</f>
        <v>58</v>
      </c>
    </row>
    <row r="421" customFormat="false" ht="23.85" hidden="false" customHeight="false" outlineLevel="0" collapsed="false">
      <c r="A421" s="467" t="s">
        <v>2520</v>
      </c>
      <c r="B421" s="468" t="n">
        <v>9785</v>
      </c>
      <c r="C421" s="469"/>
      <c r="D421" s="473"/>
      <c r="E421" s="473"/>
      <c r="H421" s="0" t="n">
        <v>194</v>
      </c>
      <c r="I421" s="474"/>
    </row>
    <row r="422" customFormat="false" ht="23.85" hidden="false" customHeight="false" outlineLevel="0" collapsed="false">
      <c r="A422" s="467" t="s">
        <v>2574</v>
      </c>
      <c r="B422" s="468" t="n">
        <v>10735.2</v>
      </c>
      <c r="C422" s="469"/>
      <c r="D422" s="472" t="n">
        <v>60</v>
      </c>
      <c r="E422" s="473"/>
      <c r="H422" s="0" t="n">
        <v>248</v>
      </c>
      <c r="I422" s="474" t="n">
        <f aca="false">D422</f>
        <v>60</v>
      </c>
    </row>
    <row r="423" customFormat="false" ht="23.85" hidden="false" customHeight="false" outlineLevel="0" collapsed="false">
      <c r="A423" s="467" t="s">
        <v>2589</v>
      </c>
      <c r="B423" s="468" t="n">
        <v>11566.8</v>
      </c>
      <c r="C423" s="469"/>
      <c r="D423" s="472" t="n">
        <v>57</v>
      </c>
      <c r="E423" s="473"/>
      <c r="H423" s="0" t="n">
        <v>263</v>
      </c>
      <c r="I423" s="474" t="n">
        <f aca="false">D423</f>
        <v>57</v>
      </c>
    </row>
    <row r="424" customFormat="false" ht="23.85" hidden="false" customHeight="false" outlineLevel="0" collapsed="false">
      <c r="A424" s="467" t="s">
        <v>2724</v>
      </c>
      <c r="B424" s="468" t="n">
        <v>10746.7</v>
      </c>
      <c r="C424" s="469"/>
      <c r="D424" s="472" t="n">
        <v>62</v>
      </c>
      <c r="E424" s="473"/>
      <c r="H424" s="0" t="n">
        <v>398</v>
      </c>
      <c r="I424" s="474" t="n">
        <f aca="false">D424</f>
        <v>62</v>
      </c>
    </row>
    <row r="425" customFormat="false" ht="23.85" hidden="false" customHeight="false" outlineLevel="0" collapsed="false">
      <c r="A425" s="467" t="s">
        <v>2917</v>
      </c>
      <c r="B425" s="468" t="n">
        <v>3972.5</v>
      </c>
      <c r="C425" s="469"/>
      <c r="D425" s="472" t="n">
        <v>45</v>
      </c>
      <c r="E425" s="473"/>
      <c r="H425" s="0" t="s">
        <v>1073</v>
      </c>
      <c r="I425" s="474" t="n">
        <f aca="false">D425</f>
        <v>45</v>
      </c>
    </row>
    <row r="426" customFormat="false" ht="23.85" hidden="false" customHeight="false" outlineLevel="0" collapsed="false">
      <c r="A426" s="467" t="s">
        <v>2483</v>
      </c>
      <c r="B426" s="468" t="n">
        <v>11018.8</v>
      </c>
      <c r="C426" s="469"/>
      <c r="D426" s="472" t="n">
        <v>53</v>
      </c>
      <c r="E426" s="473"/>
      <c r="H426" s="0" t="n">
        <v>138</v>
      </c>
      <c r="I426" s="474" t="n">
        <f aca="false">D426</f>
        <v>53</v>
      </c>
    </row>
    <row r="427" customFormat="false" ht="23.85" hidden="false" customHeight="false" outlineLevel="0" collapsed="false">
      <c r="A427" s="467" t="s">
        <v>2954</v>
      </c>
      <c r="B427" s="468" t="n">
        <v>12082.4</v>
      </c>
      <c r="C427" s="469"/>
      <c r="D427" s="472" t="n">
        <v>52</v>
      </c>
      <c r="E427" s="473"/>
      <c r="H427" s="0" t="s">
        <v>1119</v>
      </c>
      <c r="I427" s="474" t="n">
        <f aca="false">D427</f>
        <v>52</v>
      </c>
    </row>
    <row r="428" customFormat="false" ht="23.85" hidden="false" customHeight="false" outlineLevel="0" collapsed="false">
      <c r="A428" s="467" t="s">
        <v>2507</v>
      </c>
      <c r="B428" s="468" t="n">
        <v>11495.8</v>
      </c>
      <c r="C428" s="469"/>
      <c r="D428" s="472" t="n">
        <v>64</v>
      </c>
      <c r="E428" s="473"/>
      <c r="H428" s="0" t="n">
        <v>181</v>
      </c>
      <c r="I428" s="474" t="n">
        <f aca="false">D428</f>
        <v>64</v>
      </c>
    </row>
    <row r="429" customFormat="false" ht="23.85" hidden="false" customHeight="false" outlineLevel="0" collapsed="false">
      <c r="A429" s="467" t="s">
        <v>2978</v>
      </c>
      <c r="B429" s="468" t="n">
        <v>11549.8</v>
      </c>
      <c r="C429" s="469"/>
      <c r="D429" s="472" t="n">
        <v>53</v>
      </c>
      <c r="E429" s="473"/>
      <c r="H429" s="0" t="s">
        <v>1145</v>
      </c>
      <c r="I429" s="474" t="n">
        <f aca="false">D429</f>
        <v>53</v>
      </c>
    </row>
    <row r="430" customFormat="false" ht="23.85" hidden="false" customHeight="false" outlineLevel="0" collapsed="false">
      <c r="A430" s="467" t="s">
        <v>2958</v>
      </c>
      <c r="B430" s="468" t="n">
        <v>11830</v>
      </c>
      <c r="C430" s="469"/>
      <c r="D430" s="472" t="n">
        <v>53</v>
      </c>
      <c r="E430" s="473"/>
      <c r="H430" s="0" t="s">
        <v>1123</v>
      </c>
      <c r="I430" s="474" t="n">
        <f aca="false">D430</f>
        <v>53</v>
      </c>
    </row>
    <row r="431" customFormat="false" ht="23.85" hidden="false" customHeight="false" outlineLevel="0" collapsed="false">
      <c r="A431" s="467" t="s">
        <v>2445</v>
      </c>
      <c r="B431" s="468" t="n">
        <v>7130.2</v>
      </c>
      <c r="C431" s="469"/>
      <c r="D431" s="472" t="n">
        <v>50</v>
      </c>
      <c r="E431" s="473"/>
      <c r="H431" s="0" t="n">
        <v>80</v>
      </c>
      <c r="I431" s="474" t="n">
        <f aca="false">D431</f>
        <v>50</v>
      </c>
    </row>
    <row r="432" customFormat="false" ht="23.85" hidden="false" customHeight="false" outlineLevel="0" collapsed="false">
      <c r="A432" s="467" t="s">
        <v>2550</v>
      </c>
      <c r="B432" s="468" t="n">
        <v>11768.7</v>
      </c>
      <c r="C432" s="469"/>
      <c r="D432" s="472" t="n">
        <v>53</v>
      </c>
      <c r="E432" s="473"/>
      <c r="H432" s="0" t="n">
        <v>224</v>
      </c>
      <c r="I432" s="474" t="n">
        <f aca="false">D432</f>
        <v>53</v>
      </c>
    </row>
    <row r="433" customFormat="false" ht="23.85" hidden="false" customHeight="false" outlineLevel="0" collapsed="false">
      <c r="A433" s="467" t="s">
        <v>2921</v>
      </c>
      <c r="B433" s="468" t="n">
        <v>7643.3</v>
      </c>
      <c r="C433" s="469"/>
      <c r="D433" s="472" t="n">
        <v>49</v>
      </c>
      <c r="E433" s="473"/>
      <c r="H433" s="0" t="s">
        <v>1077</v>
      </c>
      <c r="I433" s="474" t="n">
        <f aca="false">D433</f>
        <v>49</v>
      </c>
    </row>
    <row r="434" customFormat="false" ht="23.85" hidden="false" customHeight="false" outlineLevel="0" collapsed="false">
      <c r="A434" s="467" t="s">
        <v>2499</v>
      </c>
      <c r="B434" s="468" t="n">
        <v>10115.4</v>
      </c>
      <c r="C434" s="469"/>
      <c r="D434" s="473"/>
      <c r="E434" s="473"/>
      <c r="H434" s="0" t="n">
        <v>154</v>
      </c>
      <c r="I434" s="474"/>
    </row>
    <row r="435" customFormat="false" ht="23.85" hidden="false" customHeight="false" outlineLevel="0" collapsed="false">
      <c r="A435" s="467" t="s">
        <v>2462</v>
      </c>
      <c r="B435" s="468" t="n">
        <v>10404.4</v>
      </c>
      <c r="C435" s="469"/>
      <c r="D435" s="472" t="n">
        <v>51</v>
      </c>
      <c r="E435" s="473"/>
      <c r="H435" s="0" t="n">
        <v>98</v>
      </c>
      <c r="I435" s="474" t="n">
        <f aca="false">D435</f>
        <v>51</v>
      </c>
    </row>
    <row r="436" customFormat="false" ht="23.85" hidden="false" customHeight="false" outlineLevel="0" collapsed="false">
      <c r="A436" s="467" t="s">
        <v>2558</v>
      </c>
      <c r="B436" s="468" t="n">
        <v>10936</v>
      </c>
      <c r="C436" s="469"/>
      <c r="D436" s="472" t="n">
        <v>56</v>
      </c>
      <c r="E436" s="473"/>
      <c r="H436" s="0" t="n">
        <v>232</v>
      </c>
      <c r="I436" s="474" t="n">
        <f aca="false">D436</f>
        <v>56</v>
      </c>
    </row>
    <row r="437" customFormat="false" ht="23.85" hidden="false" customHeight="false" outlineLevel="0" collapsed="false">
      <c r="A437" s="467" t="s">
        <v>2893</v>
      </c>
      <c r="B437" s="468" t="n">
        <v>11677.5</v>
      </c>
      <c r="C437" s="469"/>
      <c r="D437" s="472" t="n">
        <v>50</v>
      </c>
      <c r="E437" s="473"/>
      <c r="H437" s="0" t="s">
        <v>1044</v>
      </c>
      <c r="I437" s="474" t="n">
        <f aca="false">D437</f>
        <v>50</v>
      </c>
    </row>
    <row r="438" customFormat="false" ht="23.85" hidden="false" customHeight="false" outlineLevel="0" collapsed="false">
      <c r="A438" s="467" t="s">
        <v>2679</v>
      </c>
      <c r="B438" s="468" t="n">
        <v>11764.8</v>
      </c>
      <c r="C438" s="469"/>
      <c r="D438" s="472" t="n">
        <v>54</v>
      </c>
      <c r="E438" s="473"/>
      <c r="H438" s="0" t="n">
        <v>353</v>
      </c>
      <c r="I438" s="474" t="n">
        <f aca="false">D438</f>
        <v>54</v>
      </c>
    </row>
    <row r="439" customFormat="false" ht="23.85" hidden="false" customHeight="false" outlineLevel="0" collapsed="false">
      <c r="A439" s="467" t="s">
        <v>2477</v>
      </c>
      <c r="B439" s="468" t="n">
        <v>8787</v>
      </c>
      <c r="C439" s="469"/>
      <c r="D439" s="473"/>
      <c r="E439" s="473"/>
      <c r="H439" s="0" t="n">
        <v>113</v>
      </c>
      <c r="I439" s="474"/>
    </row>
    <row r="440" customFormat="false" ht="23.85" hidden="false" customHeight="false" outlineLevel="0" collapsed="false">
      <c r="A440" s="467" t="s">
        <v>2672</v>
      </c>
      <c r="B440" s="468" t="n">
        <v>11046</v>
      </c>
      <c r="C440" s="469"/>
      <c r="D440" s="472" t="n">
        <v>51</v>
      </c>
      <c r="E440" s="473"/>
      <c r="H440" s="0" t="n">
        <v>346</v>
      </c>
      <c r="I440" s="474" t="n">
        <f aca="false">D440</f>
        <v>51</v>
      </c>
    </row>
    <row r="441" customFormat="false" ht="23.85" hidden="false" customHeight="false" outlineLevel="0" collapsed="false">
      <c r="A441" s="467" t="s">
        <v>2500</v>
      </c>
      <c r="B441" s="468" t="n">
        <v>11515</v>
      </c>
      <c r="C441" s="469"/>
      <c r="D441" s="472" t="n">
        <v>58</v>
      </c>
      <c r="E441" s="473"/>
      <c r="H441" s="0" t="n">
        <v>155</v>
      </c>
      <c r="I441" s="474" t="n">
        <f aca="false">D441</f>
        <v>58</v>
      </c>
    </row>
    <row r="442" customFormat="false" ht="23.85" hidden="false" customHeight="false" outlineLevel="0" collapsed="false">
      <c r="A442" s="467" t="s">
        <v>2562</v>
      </c>
      <c r="B442" s="468" t="n">
        <v>11244.7</v>
      </c>
      <c r="C442" s="469"/>
      <c r="D442" s="472" t="n">
        <v>56</v>
      </c>
      <c r="E442" s="473"/>
      <c r="H442" s="0" t="n">
        <v>236</v>
      </c>
      <c r="I442" s="474" t="n">
        <f aca="false">D442</f>
        <v>56</v>
      </c>
    </row>
    <row r="443" customFormat="false" ht="23.85" hidden="false" customHeight="false" outlineLevel="0" collapsed="false">
      <c r="A443" s="467" t="s">
        <v>2704</v>
      </c>
      <c r="B443" s="468" t="n">
        <v>3749</v>
      </c>
      <c r="C443" s="469"/>
      <c r="D443" s="472" t="n">
        <v>41</v>
      </c>
      <c r="E443" s="473"/>
      <c r="H443" s="0" t="n">
        <v>378</v>
      </c>
      <c r="I443" s="474" t="n">
        <f aca="false">D443</f>
        <v>41</v>
      </c>
    </row>
    <row r="444" customFormat="false" ht="23.85" hidden="false" customHeight="false" outlineLevel="0" collapsed="false">
      <c r="A444" s="467" t="s">
        <v>2600</v>
      </c>
      <c r="B444" s="468" t="n">
        <v>3720.6</v>
      </c>
      <c r="C444" s="469"/>
      <c r="D444" s="472" t="n">
        <v>49</v>
      </c>
      <c r="E444" s="473"/>
      <c r="H444" s="0" t="n">
        <v>274</v>
      </c>
      <c r="I444" s="474" t="n">
        <f aca="false">D444</f>
        <v>49</v>
      </c>
    </row>
    <row r="445" customFormat="false" ht="23.85" hidden="false" customHeight="false" outlineLevel="0" collapsed="false">
      <c r="A445" s="467" t="s">
        <v>2988</v>
      </c>
      <c r="B445" s="468" t="n">
        <v>11541.2</v>
      </c>
      <c r="C445" s="469"/>
      <c r="D445" s="472" t="n">
        <v>51</v>
      </c>
      <c r="E445" s="473"/>
      <c r="H445" s="0" t="s">
        <v>1155</v>
      </c>
      <c r="I445" s="474" t="n">
        <f aca="false">D445</f>
        <v>51</v>
      </c>
    </row>
    <row r="446" customFormat="false" ht="23.85" hidden="false" customHeight="false" outlineLevel="0" collapsed="false">
      <c r="A446" s="467" t="s">
        <v>3002</v>
      </c>
      <c r="B446" s="468" t="n">
        <v>12172.2</v>
      </c>
      <c r="C446" s="469"/>
      <c r="D446" s="472" t="n">
        <v>62</v>
      </c>
      <c r="E446" s="473"/>
      <c r="H446" s="0" t="s">
        <v>1170</v>
      </c>
      <c r="I446" s="474" t="n">
        <f aca="false">D446</f>
        <v>62</v>
      </c>
    </row>
    <row r="447" customFormat="false" ht="23.85" hidden="false" customHeight="false" outlineLevel="0" collapsed="false">
      <c r="A447" s="467" t="s">
        <v>2451</v>
      </c>
      <c r="B447" s="468" t="n">
        <v>11319</v>
      </c>
      <c r="C447" s="469"/>
      <c r="D447" s="472" t="n">
        <v>56</v>
      </c>
      <c r="E447" s="473"/>
      <c r="H447" s="0" t="n">
        <v>86</v>
      </c>
      <c r="I447" s="474" t="n">
        <f aca="false">D447</f>
        <v>56</v>
      </c>
    </row>
    <row r="448" customFormat="false" ht="23.85" hidden="false" customHeight="false" outlineLevel="0" collapsed="false">
      <c r="A448" s="467" t="s">
        <v>2865</v>
      </c>
      <c r="B448" s="468" t="n">
        <v>11806.9</v>
      </c>
      <c r="C448" s="469"/>
      <c r="D448" s="472" t="n">
        <v>48</v>
      </c>
      <c r="E448" s="473"/>
      <c r="H448" s="0" t="s">
        <v>1010</v>
      </c>
      <c r="I448" s="474" t="n">
        <f aca="false">D448</f>
        <v>48</v>
      </c>
    </row>
    <row r="449" customFormat="false" ht="23.85" hidden="false" customHeight="false" outlineLevel="0" collapsed="false">
      <c r="A449" s="467" t="s">
        <v>2474</v>
      </c>
      <c r="B449" s="468" t="n">
        <v>7282.2</v>
      </c>
      <c r="C449" s="469"/>
      <c r="D449" s="472" t="n">
        <v>55</v>
      </c>
      <c r="E449" s="473"/>
      <c r="H449" s="0" t="n">
        <v>110</v>
      </c>
      <c r="I449" s="474" t="n">
        <f aca="false">D449</f>
        <v>55</v>
      </c>
    </row>
    <row r="450" customFormat="false" ht="23.85" hidden="false" customHeight="false" outlineLevel="0" collapsed="false">
      <c r="A450" s="467" t="s">
        <v>2498</v>
      </c>
      <c r="B450" s="468" t="n">
        <v>11713</v>
      </c>
      <c r="C450" s="469"/>
      <c r="D450" s="473"/>
      <c r="E450" s="473"/>
      <c r="H450" s="0" t="n">
        <v>153</v>
      </c>
      <c r="I450" s="474"/>
    </row>
    <row r="451" customFormat="false" ht="23.85" hidden="false" customHeight="false" outlineLevel="0" collapsed="false">
      <c r="A451" s="467" t="s">
        <v>2768</v>
      </c>
      <c r="B451" s="468" t="n">
        <v>3585.4</v>
      </c>
      <c r="C451" s="469"/>
      <c r="D451" s="472" t="n">
        <v>53</v>
      </c>
      <c r="E451" s="473"/>
      <c r="H451" s="0" t="n">
        <v>443</v>
      </c>
      <c r="I451" s="474" t="n">
        <f aca="false">D451</f>
        <v>53</v>
      </c>
    </row>
    <row r="452" customFormat="false" ht="23.85" hidden="false" customHeight="false" outlineLevel="0" collapsed="false">
      <c r="A452" s="467" t="s">
        <v>2504</v>
      </c>
      <c r="B452" s="468" t="n">
        <v>11576.2</v>
      </c>
      <c r="C452" s="469"/>
      <c r="D452" s="472" t="n">
        <v>59</v>
      </c>
      <c r="E452" s="473"/>
      <c r="H452" s="0" t="n">
        <v>178</v>
      </c>
      <c r="I452" s="474" t="n">
        <f aca="false">D452</f>
        <v>59</v>
      </c>
    </row>
    <row r="453" customFormat="false" ht="23.85" hidden="false" customHeight="false" outlineLevel="0" collapsed="false">
      <c r="A453" s="467" t="s">
        <v>2517</v>
      </c>
      <c r="B453" s="468" t="n">
        <v>11837</v>
      </c>
      <c r="C453" s="469"/>
      <c r="D453" s="472" t="n">
        <v>61</v>
      </c>
      <c r="E453" s="473"/>
      <c r="H453" s="0" t="n">
        <v>191</v>
      </c>
      <c r="I453" s="474" t="n">
        <f aca="false">D453</f>
        <v>61</v>
      </c>
    </row>
    <row r="454" customFormat="false" ht="23.85" hidden="false" customHeight="false" outlineLevel="0" collapsed="false">
      <c r="A454" s="467" t="s">
        <v>2497</v>
      </c>
      <c r="B454" s="468" t="n">
        <v>11709.8</v>
      </c>
      <c r="C454" s="469"/>
      <c r="D454" s="473"/>
      <c r="E454" s="473"/>
      <c r="H454" s="0" t="n">
        <v>152</v>
      </c>
      <c r="I454" s="474"/>
    </row>
    <row r="455" customFormat="false" ht="23.85" hidden="false" customHeight="false" outlineLevel="0" collapsed="false">
      <c r="A455" s="467" t="s">
        <v>2696</v>
      </c>
      <c r="B455" s="468" t="n">
        <v>11530.4</v>
      </c>
      <c r="C455" s="469"/>
      <c r="D455" s="472" t="n">
        <v>54</v>
      </c>
      <c r="E455" s="473"/>
      <c r="H455" s="0" t="n">
        <v>370</v>
      </c>
      <c r="I455" s="474" t="n">
        <f aca="false">D455</f>
        <v>54</v>
      </c>
    </row>
    <row r="456" customFormat="false" ht="23.85" hidden="false" customHeight="false" outlineLevel="0" collapsed="false">
      <c r="A456" s="467" t="s">
        <v>2495</v>
      </c>
      <c r="B456" s="468" t="n">
        <v>11030.2</v>
      </c>
      <c r="C456" s="469"/>
      <c r="D456" s="472" t="n">
        <v>58</v>
      </c>
      <c r="E456" s="473"/>
      <c r="H456" s="0" t="n">
        <v>150</v>
      </c>
      <c r="I456" s="474" t="n">
        <f aca="false">D456</f>
        <v>58</v>
      </c>
    </row>
    <row r="457" customFormat="false" ht="23.85" hidden="false" customHeight="false" outlineLevel="0" collapsed="false">
      <c r="A457" s="467" t="s">
        <v>2469</v>
      </c>
      <c r="B457" s="468" t="n">
        <v>10542.5</v>
      </c>
      <c r="C457" s="469"/>
      <c r="D457" s="472" t="n">
        <v>49</v>
      </c>
      <c r="E457" s="473"/>
      <c r="H457" s="0" t="n">
        <v>105</v>
      </c>
      <c r="I457" s="474" t="n">
        <f aca="false">D457</f>
        <v>49</v>
      </c>
    </row>
    <row r="458" customFormat="false" ht="23.85" hidden="false" customHeight="false" outlineLevel="0" collapsed="false">
      <c r="A458" s="467" t="s">
        <v>2918</v>
      </c>
      <c r="B458" s="468" t="n">
        <v>2438.6</v>
      </c>
      <c r="C458" s="469"/>
      <c r="D458" s="472" t="n">
        <v>54</v>
      </c>
      <c r="E458" s="473"/>
      <c r="H458" s="0" t="s">
        <v>1074</v>
      </c>
      <c r="I458" s="474" t="n">
        <f aca="false">D458</f>
        <v>54</v>
      </c>
    </row>
    <row r="459" customFormat="false" ht="23.85" hidden="false" customHeight="false" outlineLevel="0" collapsed="false">
      <c r="A459" s="467" t="s">
        <v>2770</v>
      </c>
      <c r="B459" s="468" t="n">
        <v>11582.3</v>
      </c>
      <c r="C459" s="469"/>
      <c r="D459" s="472" t="n">
        <v>54</v>
      </c>
      <c r="E459" s="473"/>
      <c r="H459" s="0" t="n">
        <v>445</v>
      </c>
      <c r="I459" s="474" t="n">
        <f aca="false">D459</f>
        <v>54</v>
      </c>
    </row>
    <row r="460" customFormat="false" ht="23.85" hidden="false" customHeight="false" outlineLevel="0" collapsed="false">
      <c r="A460" s="467" t="s">
        <v>2697</v>
      </c>
      <c r="B460" s="468" t="n">
        <v>3117.5</v>
      </c>
      <c r="C460" s="469"/>
      <c r="D460" s="472" t="n">
        <v>42</v>
      </c>
      <c r="E460" s="473"/>
      <c r="H460" s="0" t="n">
        <v>371</v>
      </c>
      <c r="I460" s="474" t="n">
        <f aca="false">D460</f>
        <v>42</v>
      </c>
    </row>
    <row r="461" customFormat="false" ht="23.85" hidden="false" customHeight="false" outlineLevel="0" collapsed="false">
      <c r="A461" s="467" t="s">
        <v>2576</v>
      </c>
      <c r="B461" s="468" t="n">
        <v>7506.1</v>
      </c>
      <c r="C461" s="469"/>
      <c r="D461" s="472" t="n">
        <v>58</v>
      </c>
      <c r="E461" s="473"/>
      <c r="H461" s="0" t="n">
        <v>250</v>
      </c>
      <c r="I461" s="474" t="n">
        <f aca="false">D461</f>
        <v>58</v>
      </c>
    </row>
    <row r="462" customFormat="false" ht="23.85" hidden="false" customHeight="false" outlineLevel="0" collapsed="false">
      <c r="A462" s="467" t="s">
        <v>2429</v>
      </c>
      <c r="B462" s="468" t="n">
        <v>9624.2</v>
      </c>
      <c r="C462" s="469"/>
      <c r="D462" s="472" t="n">
        <v>45</v>
      </c>
      <c r="E462" s="473"/>
      <c r="H462" s="0" t="n">
        <v>52</v>
      </c>
      <c r="I462" s="474" t="n">
        <f aca="false">D462</f>
        <v>45</v>
      </c>
    </row>
    <row r="463" customFormat="false" ht="23.85" hidden="false" customHeight="false" outlineLevel="0" collapsed="false">
      <c r="A463" s="467" t="s">
        <v>2484</v>
      </c>
      <c r="B463" s="468" t="n">
        <v>11356</v>
      </c>
      <c r="C463" s="469"/>
      <c r="D463" s="472" t="n">
        <v>56</v>
      </c>
      <c r="E463" s="473"/>
      <c r="H463" s="0" t="n">
        <v>139</v>
      </c>
      <c r="I463" s="474" t="n">
        <f aca="false">D463</f>
        <v>56</v>
      </c>
    </row>
    <row r="464" customFormat="false" ht="23.85" hidden="false" customHeight="false" outlineLevel="0" collapsed="false">
      <c r="A464" s="467" t="s">
        <v>2740</v>
      </c>
      <c r="B464" s="468" t="n">
        <v>11088.8</v>
      </c>
      <c r="C464" s="469"/>
      <c r="D464" s="472" t="n">
        <v>63</v>
      </c>
      <c r="E464" s="473"/>
      <c r="H464" s="0" t="n">
        <v>414</v>
      </c>
      <c r="I464" s="474" t="n">
        <f aca="false">D464</f>
        <v>63</v>
      </c>
    </row>
    <row r="465" customFormat="false" ht="23.85" hidden="false" customHeight="false" outlineLevel="0" collapsed="false">
      <c r="A465" s="467" t="s">
        <v>2948</v>
      </c>
      <c r="B465" s="468" t="n">
        <v>11594</v>
      </c>
      <c r="C465" s="469"/>
      <c r="D465" s="472" t="n">
        <v>53</v>
      </c>
      <c r="E465" s="473"/>
      <c r="H465" s="0" t="s">
        <v>1111</v>
      </c>
      <c r="I465" s="474" t="n">
        <f aca="false">D465</f>
        <v>53</v>
      </c>
    </row>
    <row r="466" customFormat="false" ht="23.85" hidden="false" customHeight="false" outlineLevel="0" collapsed="false">
      <c r="A466" s="467" t="s">
        <v>2643</v>
      </c>
      <c r="B466" s="468" t="n">
        <v>3094.9</v>
      </c>
      <c r="C466" s="469"/>
      <c r="D466" s="472" t="n">
        <v>41</v>
      </c>
      <c r="E466" s="473"/>
      <c r="H466" s="0" t="n">
        <v>317</v>
      </c>
      <c r="I466" s="474" t="n">
        <f aca="false">D466</f>
        <v>41</v>
      </c>
    </row>
    <row r="467" customFormat="false" ht="23.85" hidden="false" customHeight="false" outlineLevel="0" collapsed="false">
      <c r="A467" s="467" t="s">
        <v>2821</v>
      </c>
      <c r="B467" s="468" t="n">
        <v>12242.7</v>
      </c>
      <c r="C467" s="469"/>
      <c r="D467" s="472" t="n">
        <v>62</v>
      </c>
      <c r="E467" s="473"/>
      <c r="H467" s="0" t="s">
        <v>961</v>
      </c>
      <c r="I467" s="474" t="n">
        <f aca="false">D467</f>
        <v>62</v>
      </c>
    </row>
    <row r="468" customFormat="false" ht="23.85" hidden="false" customHeight="false" outlineLevel="0" collapsed="false">
      <c r="A468" s="467" t="s">
        <v>2481</v>
      </c>
      <c r="B468" s="468" t="n">
        <v>6368.8</v>
      </c>
      <c r="C468" s="469"/>
      <c r="D468" s="472" t="n">
        <v>51</v>
      </c>
      <c r="E468" s="473"/>
      <c r="H468" s="0" t="n">
        <v>136</v>
      </c>
      <c r="I468" s="474" t="n">
        <f aca="false">D468</f>
        <v>51</v>
      </c>
    </row>
    <row r="469" customFormat="false" ht="23.85" hidden="false" customHeight="false" outlineLevel="0" collapsed="false">
      <c r="A469" s="467" t="s">
        <v>2434</v>
      </c>
      <c r="B469" s="468" t="n">
        <v>9588</v>
      </c>
      <c r="C469" s="469"/>
      <c r="D469" s="472" t="n">
        <v>42</v>
      </c>
      <c r="E469" s="473"/>
      <c r="H469" s="0" t="n">
        <v>57</v>
      </c>
      <c r="I469" s="474" t="n">
        <f aca="false">D469</f>
        <v>42</v>
      </c>
    </row>
    <row r="470" customFormat="false" ht="23.85" hidden="false" customHeight="false" outlineLevel="0" collapsed="false">
      <c r="A470" s="467" t="s">
        <v>2967</v>
      </c>
      <c r="B470" s="468" t="n">
        <v>12117.5</v>
      </c>
      <c r="C470" s="469"/>
      <c r="D470" s="472" t="n">
        <v>61</v>
      </c>
      <c r="E470" s="473"/>
      <c r="H470" s="0" t="s">
        <v>1133</v>
      </c>
      <c r="I470" s="474" t="n">
        <f aca="false">D470</f>
        <v>61</v>
      </c>
    </row>
    <row r="471" customFormat="false" ht="23.85" hidden="false" customHeight="false" outlineLevel="0" collapsed="false">
      <c r="A471" s="467" t="s">
        <v>2990</v>
      </c>
      <c r="B471" s="468" t="n">
        <v>11611.2</v>
      </c>
      <c r="C471" s="469"/>
      <c r="D471" s="472" t="n">
        <v>51</v>
      </c>
      <c r="E471" s="473"/>
      <c r="H471" s="0" t="s">
        <v>1157</v>
      </c>
      <c r="I471" s="474" t="n">
        <f aca="false">D471</f>
        <v>51</v>
      </c>
    </row>
    <row r="472" customFormat="false" ht="23.85" hidden="false" customHeight="false" outlineLevel="0" collapsed="false">
      <c r="A472" s="467" t="s">
        <v>2769</v>
      </c>
      <c r="B472" s="468" t="n">
        <v>11593.8</v>
      </c>
      <c r="C472" s="469"/>
      <c r="D472" s="472" t="n">
        <v>57</v>
      </c>
      <c r="E472" s="473"/>
      <c r="H472" s="0" t="n">
        <v>444</v>
      </c>
      <c r="I472" s="474" t="n">
        <f aca="false">D472</f>
        <v>57</v>
      </c>
    </row>
    <row r="473" customFormat="false" ht="23.85" hidden="false" customHeight="false" outlineLevel="0" collapsed="false">
      <c r="A473" s="467" t="s">
        <v>2952</v>
      </c>
      <c r="B473" s="468" t="n">
        <v>11429.1</v>
      </c>
      <c r="C473" s="469"/>
      <c r="D473" s="472" t="n">
        <v>49</v>
      </c>
      <c r="E473" s="473"/>
      <c r="H473" s="0" t="s">
        <v>1117</v>
      </c>
      <c r="I473" s="474" t="n">
        <f aca="false">D473</f>
        <v>49</v>
      </c>
    </row>
    <row r="474" customFormat="false" ht="23.85" hidden="false" customHeight="false" outlineLevel="0" collapsed="false">
      <c r="A474" s="467" t="s">
        <v>2609</v>
      </c>
      <c r="B474" s="468" t="n">
        <v>3967.2</v>
      </c>
      <c r="C474" s="469"/>
      <c r="D474" s="472" t="n">
        <v>59</v>
      </c>
      <c r="E474" s="473"/>
      <c r="H474" s="0" t="n">
        <v>283</v>
      </c>
      <c r="I474" s="474" t="n">
        <f aca="false">D474</f>
        <v>59</v>
      </c>
    </row>
    <row r="475" customFormat="false" ht="23.85" hidden="false" customHeight="false" outlineLevel="0" collapsed="false">
      <c r="A475" s="467" t="s">
        <v>2889</v>
      </c>
      <c r="B475" s="468" t="n">
        <v>5899.6</v>
      </c>
      <c r="C475" s="469"/>
      <c r="D475" s="472" t="n">
        <v>48</v>
      </c>
      <c r="E475" s="473"/>
      <c r="H475" s="0" t="s">
        <v>1040</v>
      </c>
      <c r="I475" s="474" t="n">
        <f aca="false">D475</f>
        <v>48</v>
      </c>
    </row>
    <row r="476" customFormat="false" ht="23.85" hidden="false" customHeight="false" outlineLevel="0" collapsed="false">
      <c r="A476" s="467" t="s">
        <v>2464</v>
      </c>
      <c r="B476" s="468" t="n">
        <v>10252.5</v>
      </c>
      <c r="C476" s="469"/>
      <c r="D476" s="472" t="n">
        <v>49</v>
      </c>
      <c r="E476" s="473"/>
      <c r="H476" s="0" t="n">
        <v>100</v>
      </c>
      <c r="I476" s="474" t="n">
        <f aca="false">D476</f>
        <v>49</v>
      </c>
    </row>
    <row r="477" customFormat="false" ht="23.85" hidden="false" customHeight="false" outlineLevel="0" collapsed="false">
      <c r="A477" s="467" t="s">
        <v>2674</v>
      </c>
      <c r="B477" s="468" t="n">
        <v>11166.3</v>
      </c>
      <c r="C477" s="469"/>
      <c r="D477" s="472" t="n">
        <v>53</v>
      </c>
      <c r="E477" s="473"/>
      <c r="H477" s="0" t="n">
        <v>348</v>
      </c>
      <c r="I477" s="474" t="n">
        <f aca="false">D477</f>
        <v>53</v>
      </c>
    </row>
    <row r="478" customFormat="false" ht="23.85" hidden="false" customHeight="false" outlineLevel="0" collapsed="false">
      <c r="A478" s="467" t="s">
        <v>2452</v>
      </c>
      <c r="B478" s="468" t="n">
        <v>10166.4</v>
      </c>
      <c r="C478" s="469"/>
      <c r="D478" s="472" t="n">
        <v>53</v>
      </c>
      <c r="E478" s="473"/>
      <c r="H478" s="0" t="n">
        <v>87</v>
      </c>
      <c r="I478" s="474" t="n">
        <f aca="false">D478</f>
        <v>53</v>
      </c>
    </row>
    <row r="479" customFormat="false" ht="23.85" hidden="false" customHeight="false" outlineLevel="0" collapsed="false">
      <c r="A479" s="467" t="s">
        <v>2942</v>
      </c>
      <c r="B479" s="468" t="n">
        <v>11852.4</v>
      </c>
      <c r="C479" s="469"/>
      <c r="D479" s="472" t="n">
        <v>52</v>
      </c>
      <c r="E479" s="473"/>
      <c r="H479" s="0" t="s">
        <v>1105</v>
      </c>
      <c r="I479" s="474" t="n">
        <f aca="false">D479</f>
        <v>52</v>
      </c>
    </row>
    <row r="480" customFormat="false" ht="23.85" hidden="false" customHeight="false" outlineLevel="0" collapsed="false">
      <c r="A480" s="467" t="s">
        <v>2923</v>
      </c>
      <c r="B480" s="468" t="n">
        <v>7395</v>
      </c>
      <c r="C480" s="469"/>
      <c r="D480" s="472" t="n">
        <v>53</v>
      </c>
      <c r="E480" s="473"/>
      <c r="H480" s="0" t="s">
        <v>1079</v>
      </c>
      <c r="I480" s="474" t="n">
        <f aca="false">D480</f>
        <v>53</v>
      </c>
    </row>
    <row r="481" customFormat="false" ht="23.85" hidden="false" customHeight="false" outlineLevel="0" collapsed="false">
      <c r="A481" s="467" t="s">
        <v>2941</v>
      </c>
      <c r="B481" s="468" t="n">
        <v>11508.7</v>
      </c>
      <c r="C481" s="469"/>
      <c r="D481" s="472" t="n">
        <v>53</v>
      </c>
      <c r="E481" s="473"/>
      <c r="H481" s="0" t="s">
        <v>1104</v>
      </c>
      <c r="I481" s="474" t="n">
        <f aca="false">D481</f>
        <v>53</v>
      </c>
    </row>
    <row r="482" customFormat="false" ht="23.85" hidden="false" customHeight="false" outlineLevel="0" collapsed="false">
      <c r="A482" s="467" t="s">
        <v>2858</v>
      </c>
      <c r="B482" s="468" t="n">
        <v>10684.8</v>
      </c>
      <c r="C482" s="469"/>
      <c r="D482" s="472" t="n">
        <v>42</v>
      </c>
      <c r="E482" s="473"/>
      <c r="H482" s="0" t="s">
        <v>1003</v>
      </c>
      <c r="I482" s="474" t="n">
        <f aca="false">D482</f>
        <v>42</v>
      </c>
    </row>
    <row r="483" customFormat="false" ht="23.85" hidden="false" customHeight="false" outlineLevel="0" collapsed="false">
      <c r="A483" s="467" t="s">
        <v>2566</v>
      </c>
      <c r="B483" s="468" t="n">
        <v>11772.6</v>
      </c>
      <c r="C483" s="469"/>
      <c r="D483" s="472" t="n">
        <v>56</v>
      </c>
      <c r="E483" s="473"/>
      <c r="H483" s="0" t="n">
        <v>240</v>
      </c>
      <c r="I483" s="474" t="n">
        <f aca="false">D483</f>
        <v>56</v>
      </c>
    </row>
    <row r="484" customFormat="false" ht="23.85" hidden="false" customHeight="false" outlineLevel="0" collapsed="false">
      <c r="A484" s="467" t="s">
        <v>2472</v>
      </c>
      <c r="B484" s="468" t="n">
        <v>7714.8</v>
      </c>
      <c r="C484" s="469"/>
      <c r="D484" s="472" t="n">
        <v>55</v>
      </c>
      <c r="E484" s="473"/>
      <c r="H484" s="0" t="n">
        <v>108</v>
      </c>
      <c r="I484" s="474" t="n">
        <f aca="false">D484</f>
        <v>55</v>
      </c>
    </row>
    <row r="485" customFormat="false" ht="23.85" hidden="false" customHeight="false" outlineLevel="0" collapsed="false">
      <c r="A485" s="467" t="s">
        <v>2974</v>
      </c>
      <c r="B485" s="468" t="n">
        <v>12053</v>
      </c>
      <c r="C485" s="469"/>
      <c r="D485" s="472" t="n">
        <v>55</v>
      </c>
      <c r="E485" s="473"/>
      <c r="H485" s="0" t="s">
        <v>1140</v>
      </c>
      <c r="I485" s="474" t="n">
        <f aca="false">D485</f>
        <v>55</v>
      </c>
    </row>
    <row r="486" customFormat="false" ht="23.85" hidden="false" customHeight="false" outlineLevel="0" collapsed="false">
      <c r="A486" s="467" t="s">
        <v>2844</v>
      </c>
      <c r="B486" s="468" t="n">
        <v>11448</v>
      </c>
      <c r="C486" s="469"/>
      <c r="D486" s="472" t="n">
        <v>62</v>
      </c>
      <c r="E486" s="473"/>
      <c r="H486" s="0" t="s">
        <v>984</v>
      </c>
      <c r="I486" s="474" t="n">
        <f aca="false">D486</f>
        <v>62</v>
      </c>
    </row>
    <row r="487" customFormat="false" ht="23.85" hidden="false" customHeight="false" outlineLevel="0" collapsed="false">
      <c r="A487" s="467" t="s">
        <v>2475</v>
      </c>
      <c r="B487" s="468" t="n">
        <v>7590</v>
      </c>
      <c r="C487" s="469"/>
      <c r="D487" s="472" t="n">
        <v>55</v>
      </c>
      <c r="E487" s="473"/>
      <c r="H487" s="0" t="n">
        <v>111</v>
      </c>
      <c r="I487" s="474" t="n">
        <f aca="false">D487</f>
        <v>55</v>
      </c>
    </row>
    <row r="488" customFormat="false" ht="23.85" hidden="false" customHeight="false" outlineLevel="0" collapsed="false">
      <c r="A488" s="467" t="s">
        <v>2930</v>
      </c>
      <c r="B488" s="468" t="n">
        <v>11772.6</v>
      </c>
      <c r="C488" s="469"/>
      <c r="D488" s="472" t="n">
        <v>55</v>
      </c>
      <c r="E488" s="473"/>
      <c r="H488" s="0" t="s">
        <v>1088</v>
      </c>
      <c r="I488" s="474" t="n">
        <f aca="false">D488</f>
        <v>55</v>
      </c>
    </row>
    <row r="489" customFormat="false" ht="23.85" hidden="false" customHeight="false" outlineLevel="0" collapsed="false">
      <c r="A489" s="467" t="s">
        <v>2502</v>
      </c>
      <c r="B489" s="468" t="n">
        <v>11810.4</v>
      </c>
      <c r="C489" s="469"/>
      <c r="D489" s="472" t="n">
        <v>59</v>
      </c>
      <c r="E489" s="473"/>
      <c r="H489" s="0" t="n">
        <v>176</v>
      </c>
      <c r="I489" s="474" t="n">
        <f aca="false">D489</f>
        <v>59</v>
      </c>
    </row>
    <row r="490" customFormat="false" ht="23.85" hidden="false" customHeight="false" outlineLevel="0" collapsed="false">
      <c r="A490" s="467" t="s">
        <v>2453</v>
      </c>
      <c r="B490" s="468" t="n">
        <v>10631.4</v>
      </c>
      <c r="C490" s="469"/>
      <c r="D490" s="472" t="n">
        <v>55</v>
      </c>
      <c r="E490" s="473"/>
      <c r="H490" s="0" t="n">
        <v>88</v>
      </c>
      <c r="I490" s="474" t="n">
        <f aca="false">D490</f>
        <v>55</v>
      </c>
    </row>
    <row r="491" customFormat="false" ht="23.85" hidden="false" customHeight="false" outlineLevel="0" collapsed="false">
      <c r="A491" s="467" t="s">
        <v>2575</v>
      </c>
      <c r="B491" s="468" t="n">
        <v>7930.5</v>
      </c>
      <c r="C491" s="469"/>
      <c r="D491" s="472" t="n">
        <v>58</v>
      </c>
      <c r="E491" s="473"/>
      <c r="H491" s="0" t="n">
        <v>249</v>
      </c>
      <c r="I491" s="474" t="n">
        <f aca="false">D491</f>
        <v>58</v>
      </c>
    </row>
    <row r="492" customFormat="false" ht="23.85" hidden="false" customHeight="false" outlineLevel="0" collapsed="false">
      <c r="A492" s="467" t="s">
        <v>2890</v>
      </c>
      <c r="B492" s="468" t="n">
        <v>5825.6</v>
      </c>
      <c r="C492" s="469"/>
      <c r="D492" s="472" t="n">
        <v>49</v>
      </c>
      <c r="E492" s="473"/>
      <c r="H492" s="0" t="s">
        <v>1041</v>
      </c>
      <c r="I492" s="474" t="n">
        <f aca="false">D492</f>
        <v>49</v>
      </c>
    </row>
    <row r="493" customFormat="false" ht="23.85" hidden="false" customHeight="false" outlineLevel="0" collapsed="false">
      <c r="A493" s="467" t="s">
        <v>2567</v>
      </c>
      <c r="B493" s="468" t="n">
        <v>3955.9</v>
      </c>
      <c r="C493" s="469"/>
      <c r="D493" s="472" t="n">
        <v>55</v>
      </c>
      <c r="E493" s="473"/>
      <c r="H493" s="0" t="n">
        <v>241</v>
      </c>
      <c r="I493" s="474" t="n">
        <f aca="false">D493</f>
        <v>55</v>
      </c>
    </row>
    <row r="494" customFormat="false" ht="23.85" hidden="false" customHeight="false" outlineLevel="0" collapsed="false">
      <c r="A494" s="467" t="s">
        <v>2473</v>
      </c>
      <c r="B494" s="468" t="n">
        <v>10872.1</v>
      </c>
      <c r="C494" s="469"/>
      <c r="D494" s="472" t="n">
        <v>55</v>
      </c>
      <c r="E494" s="473"/>
      <c r="H494" s="0" t="n">
        <v>109</v>
      </c>
      <c r="I494" s="474" t="n">
        <f aca="false">D494</f>
        <v>55</v>
      </c>
    </row>
    <row r="495" customFormat="false" ht="23.85" hidden="false" customHeight="false" outlineLevel="0" collapsed="false">
      <c r="A495" s="467" t="s">
        <v>2804</v>
      </c>
      <c r="B495" s="468" t="n">
        <v>11977.3</v>
      </c>
      <c r="C495" s="469"/>
      <c r="D495" s="472" t="n">
        <v>57</v>
      </c>
      <c r="E495" s="473"/>
      <c r="H495" s="0" t="s">
        <v>944</v>
      </c>
      <c r="I495" s="474" t="n">
        <f aca="false">D495</f>
        <v>57</v>
      </c>
    </row>
    <row r="496" customFormat="false" ht="23.85" hidden="false" customHeight="false" outlineLevel="0" collapsed="false">
      <c r="A496" s="467" t="s">
        <v>2460</v>
      </c>
      <c r="B496" s="468" t="n">
        <v>10472.8</v>
      </c>
      <c r="C496" s="469"/>
      <c r="D496" s="472" t="n">
        <v>53</v>
      </c>
      <c r="E496" s="473"/>
      <c r="H496" s="0" t="n">
        <v>96</v>
      </c>
      <c r="I496" s="474" t="n">
        <f aca="false">D496</f>
        <v>53</v>
      </c>
    </row>
    <row r="497" customFormat="false" ht="23.85" hidden="false" customHeight="false" outlineLevel="0" collapsed="false">
      <c r="A497" s="467" t="s">
        <v>2761</v>
      </c>
      <c r="B497" s="468" t="n">
        <v>5643</v>
      </c>
      <c r="C497" s="469"/>
      <c r="D497" s="472" t="n">
        <v>47</v>
      </c>
      <c r="E497" s="473"/>
      <c r="H497" s="0" t="n">
        <v>436</v>
      </c>
      <c r="I497" s="474" t="n">
        <f aca="false">D497</f>
        <v>47</v>
      </c>
    </row>
    <row r="498" customFormat="false" ht="23.85" hidden="false" customHeight="false" outlineLevel="0" collapsed="false">
      <c r="A498" s="467" t="s">
        <v>2491</v>
      </c>
      <c r="B498" s="468" t="n">
        <v>10483.2</v>
      </c>
      <c r="C498" s="469"/>
      <c r="D498" s="472" t="n">
        <v>58</v>
      </c>
      <c r="E498" s="473"/>
      <c r="H498" s="0" t="n">
        <v>146</v>
      </c>
      <c r="I498" s="474" t="n">
        <f aca="false">D498</f>
        <v>58</v>
      </c>
    </row>
    <row r="499" customFormat="false" ht="23.85" hidden="false" customHeight="false" outlineLevel="0" collapsed="false">
      <c r="A499" s="467" t="s">
        <v>2443</v>
      </c>
      <c r="B499" s="468" t="n">
        <v>2981.5</v>
      </c>
      <c r="C499" s="469"/>
      <c r="D499" s="472" t="n">
        <v>45</v>
      </c>
      <c r="E499" s="473"/>
      <c r="H499" s="0" t="n">
        <v>78</v>
      </c>
      <c r="I499" s="474" t="n">
        <f aca="false">D499</f>
        <v>45</v>
      </c>
    </row>
    <row r="500" customFormat="false" ht="23.85" hidden="false" customHeight="false" outlineLevel="0" collapsed="false">
      <c r="A500" s="467" t="s">
        <v>2944</v>
      </c>
      <c r="B500" s="468" t="n">
        <v>11804.6</v>
      </c>
      <c r="C500" s="469"/>
      <c r="D500" s="472" t="n">
        <v>51</v>
      </c>
      <c r="E500" s="473"/>
      <c r="H500" s="0" t="s">
        <v>1107</v>
      </c>
      <c r="I500" s="474" t="n">
        <f aca="false">D500</f>
        <v>51</v>
      </c>
    </row>
    <row r="501" customFormat="false" ht="23.85" hidden="false" customHeight="false" outlineLevel="0" collapsed="false">
      <c r="A501" s="467" t="s">
        <v>2997</v>
      </c>
      <c r="B501" s="468" t="n">
        <v>11611</v>
      </c>
      <c r="C501" s="469"/>
      <c r="D501" s="472" t="n">
        <v>51</v>
      </c>
      <c r="E501" s="473"/>
      <c r="H501" s="0" t="s">
        <v>1164</v>
      </c>
      <c r="I501" s="474" t="n">
        <f aca="false">D501</f>
        <v>51</v>
      </c>
    </row>
    <row r="502" customFormat="false" ht="23.85" hidden="false" customHeight="false" outlineLevel="0" collapsed="false">
      <c r="A502" s="467" t="s">
        <v>2560</v>
      </c>
      <c r="B502" s="468" t="n">
        <v>2030</v>
      </c>
      <c r="C502" s="469"/>
      <c r="D502" s="472" t="n">
        <v>63</v>
      </c>
      <c r="E502" s="473"/>
      <c r="H502" s="0" t="n">
        <v>234</v>
      </c>
      <c r="I502" s="474" t="n">
        <f aca="false">D502</f>
        <v>63</v>
      </c>
    </row>
    <row r="503" customFormat="false" ht="23.85" hidden="false" customHeight="false" outlineLevel="0" collapsed="false">
      <c r="A503" s="467" t="s">
        <v>2869</v>
      </c>
      <c r="B503" s="468" t="n">
        <v>10704</v>
      </c>
      <c r="C503" s="469"/>
      <c r="D503" s="472" t="n">
        <v>49</v>
      </c>
      <c r="E503" s="473"/>
      <c r="H503" s="0" t="s">
        <v>1014</v>
      </c>
      <c r="I503" s="474" t="n">
        <f aca="false">D503</f>
        <v>49</v>
      </c>
    </row>
    <row r="504" customFormat="false" ht="23.85" hidden="false" customHeight="false" outlineLevel="0" collapsed="false">
      <c r="A504" s="467" t="s">
        <v>2573</v>
      </c>
      <c r="B504" s="468" t="n">
        <v>3907</v>
      </c>
      <c r="C504" s="469"/>
      <c r="D504" s="472" t="n">
        <v>54</v>
      </c>
      <c r="E504" s="473"/>
      <c r="H504" s="0" t="n">
        <v>247</v>
      </c>
      <c r="I504" s="474" t="n">
        <f aca="false">D504</f>
        <v>54</v>
      </c>
    </row>
    <row r="505" customFormat="false" ht="23.85" hidden="false" customHeight="false" outlineLevel="0" collapsed="false">
      <c r="A505" s="467" t="s">
        <v>2703</v>
      </c>
      <c r="B505" s="468" t="n">
        <v>12297.3</v>
      </c>
      <c r="C505" s="469"/>
      <c r="D505" s="472" t="n">
        <v>63</v>
      </c>
      <c r="E505" s="473"/>
      <c r="H505" s="0" t="n">
        <v>377</v>
      </c>
      <c r="I505" s="474" t="n">
        <f aca="false">D505</f>
        <v>63</v>
      </c>
    </row>
    <row r="506" customFormat="false" ht="23.85" hidden="false" customHeight="false" outlineLevel="0" collapsed="false">
      <c r="A506" s="467" t="s">
        <v>2980</v>
      </c>
      <c r="B506" s="468" t="n">
        <v>11263.1</v>
      </c>
      <c r="C506" s="469"/>
      <c r="D506" s="472" t="n">
        <v>54</v>
      </c>
      <c r="E506" s="473"/>
      <c r="H506" s="0" t="s">
        <v>1147</v>
      </c>
      <c r="I506" s="474" t="n">
        <f aca="false">D506</f>
        <v>54</v>
      </c>
    </row>
    <row r="507" customFormat="false" ht="23.85" hidden="false" customHeight="false" outlineLevel="0" collapsed="false">
      <c r="A507" s="467" t="s">
        <v>2999</v>
      </c>
      <c r="B507" s="468" t="n">
        <v>9248.8</v>
      </c>
      <c r="C507" s="469"/>
      <c r="D507" s="472" t="n">
        <v>55</v>
      </c>
      <c r="E507" s="473"/>
      <c r="H507" s="0" t="s">
        <v>1166</v>
      </c>
      <c r="I507" s="474" t="n">
        <f aca="false">D507</f>
        <v>55</v>
      </c>
    </row>
    <row r="508" customFormat="false" ht="23.85" hidden="false" customHeight="false" outlineLevel="0" collapsed="false">
      <c r="A508" s="467" t="s">
        <v>2964</v>
      </c>
      <c r="B508" s="468" t="n">
        <v>11708.5</v>
      </c>
      <c r="C508" s="469"/>
      <c r="D508" s="472" t="n">
        <v>60</v>
      </c>
      <c r="E508" s="473"/>
      <c r="H508" s="0" t="s">
        <v>1130</v>
      </c>
      <c r="I508" s="474" t="n">
        <f aca="false">D508</f>
        <v>60</v>
      </c>
    </row>
    <row r="509" customFormat="false" ht="23.85" hidden="false" customHeight="false" outlineLevel="0" collapsed="false">
      <c r="A509" s="467" t="s">
        <v>2603</v>
      </c>
      <c r="B509" s="468" t="n">
        <v>3951.7</v>
      </c>
      <c r="C509" s="469"/>
      <c r="D509" s="472" t="n">
        <v>51</v>
      </c>
      <c r="E509" s="473"/>
      <c r="H509" s="0" t="n">
        <v>277</v>
      </c>
      <c r="I509" s="474" t="n">
        <f aca="false">D509</f>
        <v>51</v>
      </c>
    </row>
    <row r="510" customFormat="false" ht="23.85" hidden="false" customHeight="false" outlineLevel="0" collapsed="false">
      <c r="A510" s="467" t="s">
        <v>2676</v>
      </c>
      <c r="B510" s="468" t="n">
        <v>11234.7</v>
      </c>
      <c r="C510" s="469"/>
      <c r="D510" s="472" t="n">
        <v>52</v>
      </c>
      <c r="E510" s="473"/>
      <c r="H510" s="0" t="n">
        <v>350</v>
      </c>
      <c r="I510" s="474" t="n">
        <f aca="false">D510</f>
        <v>52</v>
      </c>
    </row>
    <row r="511" customFormat="false" ht="23.85" hidden="false" customHeight="false" outlineLevel="0" collapsed="false">
      <c r="A511" s="467" t="s">
        <v>2544</v>
      </c>
      <c r="B511" s="468" t="n">
        <v>11738</v>
      </c>
      <c r="C511" s="469"/>
      <c r="D511" s="472" t="n">
        <v>53</v>
      </c>
      <c r="E511" s="473"/>
      <c r="H511" s="0" t="n">
        <v>218</v>
      </c>
      <c r="I511" s="474" t="n">
        <f aca="false">D511</f>
        <v>53</v>
      </c>
    </row>
    <row r="512" customFormat="false" ht="23.85" hidden="false" customHeight="false" outlineLevel="0" collapsed="false">
      <c r="A512" s="467" t="s">
        <v>2468</v>
      </c>
      <c r="B512" s="468" t="n">
        <v>10462.5</v>
      </c>
      <c r="C512" s="469"/>
      <c r="D512" s="472" t="n">
        <v>52</v>
      </c>
      <c r="E512" s="473"/>
      <c r="H512" s="0" t="n">
        <v>104</v>
      </c>
      <c r="I512" s="474" t="n">
        <f aca="false">D512</f>
        <v>52</v>
      </c>
    </row>
    <row r="513" customFormat="false" ht="23.85" hidden="false" customHeight="false" outlineLevel="0" collapsed="false">
      <c r="A513" s="467" t="s">
        <v>2548</v>
      </c>
      <c r="B513" s="468" t="n">
        <v>12725.4</v>
      </c>
      <c r="C513" s="469"/>
      <c r="D513" s="473"/>
      <c r="E513" s="473"/>
      <c r="H513" s="0" t="n">
        <v>222</v>
      </c>
      <c r="I513" s="474"/>
    </row>
    <row r="514" customFormat="false" ht="23.85" hidden="false" customHeight="false" outlineLevel="0" collapsed="false">
      <c r="A514" s="467" t="s">
        <v>2571</v>
      </c>
      <c r="B514" s="468" t="n">
        <v>11229.7</v>
      </c>
      <c r="C514" s="469"/>
      <c r="D514" s="472" t="n">
        <v>60</v>
      </c>
      <c r="E514" s="473"/>
      <c r="H514" s="0" t="n">
        <v>245</v>
      </c>
      <c r="I514" s="474" t="n">
        <f aca="false">D514</f>
        <v>60</v>
      </c>
    </row>
    <row r="515" customFormat="false" ht="23.85" hidden="false" customHeight="false" outlineLevel="0" collapsed="false">
      <c r="A515" s="467" t="s">
        <v>2506</v>
      </c>
      <c r="B515" s="468" t="n">
        <v>13755</v>
      </c>
      <c r="C515" s="469"/>
      <c r="D515" s="472" t="n">
        <v>62</v>
      </c>
      <c r="E515" s="473"/>
      <c r="H515" s="0" t="n">
        <v>180</v>
      </c>
      <c r="I515" s="474" t="n">
        <f aca="false">D515</f>
        <v>62</v>
      </c>
    </row>
    <row r="516" customFormat="false" ht="23.85" hidden="false" customHeight="false" outlineLevel="0" collapsed="false">
      <c r="A516" s="467" t="s">
        <v>2901</v>
      </c>
      <c r="B516" s="468" t="n">
        <v>10815.7</v>
      </c>
      <c r="C516" s="469"/>
      <c r="D516" s="472" t="n">
        <v>47</v>
      </c>
      <c r="E516" s="473"/>
      <c r="H516" s="0" t="s">
        <v>1052</v>
      </c>
      <c r="I516" s="474" t="n">
        <f aca="false">D516</f>
        <v>47</v>
      </c>
    </row>
    <row r="517" customFormat="false" ht="23.85" hidden="false" customHeight="false" outlineLevel="0" collapsed="false">
      <c r="A517" s="467" t="s">
        <v>2860</v>
      </c>
      <c r="B517" s="468" t="n">
        <v>11993.5</v>
      </c>
      <c r="C517" s="469"/>
      <c r="D517" s="472" t="n">
        <v>51</v>
      </c>
      <c r="E517" s="473"/>
      <c r="H517" s="0" t="s">
        <v>1005</v>
      </c>
      <c r="I517" s="474" t="n">
        <f aca="false">D517</f>
        <v>51</v>
      </c>
    </row>
    <row r="518" customFormat="false" ht="23.85" hidden="false" customHeight="false" outlineLevel="0" collapsed="false">
      <c r="A518" s="467" t="s">
        <v>2441</v>
      </c>
      <c r="B518" s="468" t="n">
        <v>6263.4</v>
      </c>
      <c r="C518" s="469"/>
      <c r="D518" s="472" t="n">
        <v>45</v>
      </c>
      <c r="E518" s="473"/>
      <c r="H518" s="0" t="n">
        <v>76</v>
      </c>
      <c r="I518" s="474" t="n">
        <f aca="false">D518</f>
        <v>45</v>
      </c>
    </row>
    <row r="519" customFormat="false" ht="23.85" hidden="false" customHeight="false" outlineLevel="0" collapsed="false">
      <c r="A519" s="467" t="s">
        <v>2771</v>
      </c>
      <c r="B519" s="468" t="n">
        <v>11651.5</v>
      </c>
      <c r="C519" s="469"/>
      <c r="D519" s="472" t="n">
        <v>54</v>
      </c>
      <c r="E519" s="473"/>
      <c r="H519" s="0" t="n">
        <v>446</v>
      </c>
      <c r="I519" s="474" t="n">
        <f aca="false">D519</f>
        <v>54</v>
      </c>
    </row>
    <row r="520" customFormat="false" ht="23.85" hidden="false" customHeight="false" outlineLevel="0" collapsed="false">
      <c r="A520" s="467" t="s">
        <v>2922</v>
      </c>
      <c r="B520" s="468" t="n">
        <v>7215.4</v>
      </c>
      <c r="C520" s="469"/>
      <c r="D520" s="472" t="n">
        <v>54</v>
      </c>
      <c r="E520" s="473"/>
      <c r="H520" s="0" t="s">
        <v>1078</v>
      </c>
      <c r="I520" s="474" t="n">
        <f aca="false">D520</f>
        <v>54</v>
      </c>
    </row>
    <row r="521" customFormat="false" ht="23.85" hidden="false" customHeight="false" outlineLevel="0" collapsed="false">
      <c r="A521" s="467" t="s">
        <v>2877</v>
      </c>
      <c r="B521" s="468" t="n">
        <v>11381</v>
      </c>
      <c r="C521" s="469"/>
      <c r="D521" s="472" t="n">
        <v>55</v>
      </c>
      <c r="E521" s="473"/>
      <c r="H521" s="0" t="s">
        <v>1022</v>
      </c>
      <c r="I521" s="474" t="n">
        <f aca="false">D521</f>
        <v>55</v>
      </c>
    </row>
    <row r="522" customFormat="false" ht="23.85" hidden="false" customHeight="false" outlineLevel="0" collapsed="false">
      <c r="A522" s="467" t="s">
        <v>2447</v>
      </c>
      <c r="B522" s="468" t="n">
        <v>6688.8</v>
      </c>
      <c r="C522" s="469"/>
      <c r="D522" s="472" t="n">
        <v>49</v>
      </c>
      <c r="E522" s="473"/>
      <c r="H522" s="0" t="n">
        <v>82</v>
      </c>
      <c r="I522" s="474" t="n">
        <f aca="false">D522</f>
        <v>49</v>
      </c>
    </row>
    <row r="523" customFormat="false" ht="23.85" hidden="false" customHeight="false" outlineLevel="0" collapsed="false">
      <c r="A523" s="467" t="s">
        <v>2557</v>
      </c>
      <c r="B523" s="468" t="n">
        <v>4018.5</v>
      </c>
      <c r="C523" s="469"/>
      <c r="D523" s="472" t="n">
        <v>63</v>
      </c>
      <c r="E523" s="473"/>
      <c r="H523" s="0" t="n">
        <v>231</v>
      </c>
      <c r="I523" s="474" t="n">
        <f aca="false">D523</f>
        <v>63</v>
      </c>
    </row>
    <row r="524" customFormat="false" ht="23.85" hidden="false" customHeight="false" outlineLevel="0" collapsed="false">
      <c r="A524" s="467" t="s">
        <v>2742</v>
      </c>
      <c r="B524" s="468" t="n">
        <v>11585</v>
      </c>
      <c r="C524" s="469"/>
      <c r="D524" s="472" t="n">
        <v>63</v>
      </c>
      <c r="E524" s="473"/>
      <c r="H524" s="0" t="n">
        <v>416</v>
      </c>
      <c r="I524" s="474" t="n">
        <f aca="false">D524</f>
        <v>63</v>
      </c>
    </row>
    <row r="525" customFormat="false" ht="23.85" hidden="false" customHeight="false" outlineLevel="0" collapsed="false">
      <c r="A525" s="467" t="s">
        <v>2457</v>
      </c>
      <c r="B525" s="468" t="n">
        <v>10052.1</v>
      </c>
      <c r="C525" s="469"/>
      <c r="D525" s="472" t="n">
        <v>51</v>
      </c>
      <c r="E525" s="473"/>
      <c r="H525" s="0" t="n">
        <v>92</v>
      </c>
      <c r="I525" s="474" t="n">
        <f aca="false">D525</f>
        <v>51</v>
      </c>
    </row>
    <row r="526" customFormat="false" ht="23.85" hidden="false" customHeight="false" outlineLevel="0" collapsed="false">
      <c r="A526" s="467" t="s">
        <v>2802</v>
      </c>
      <c r="B526" s="468" t="n">
        <v>12247</v>
      </c>
      <c r="C526" s="469"/>
      <c r="D526" s="472" t="n">
        <v>57</v>
      </c>
      <c r="E526" s="473"/>
      <c r="H526" s="0" t="s">
        <v>942</v>
      </c>
      <c r="I526" s="474" t="n">
        <f aca="false">D526</f>
        <v>57</v>
      </c>
    </row>
    <row r="527" customFormat="false" ht="23.85" hidden="false" customHeight="false" outlineLevel="0" collapsed="false">
      <c r="A527" s="467" t="s">
        <v>2737</v>
      </c>
      <c r="B527" s="468" t="n">
        <v>11033</v>
      </c>
      <c r="C527" s="469"/>
      <c r="D527" s="472" t="n">
        <v>57</v>
      </c>
      <c r="E527" s="473"/>
      <c r="H527" s="0" t="n">
        <v>411</v>
      </c>
      <c r="I527" s="474" t="n">
        <f aca="false">D527</f>
        <v>57</v>
      </c>
    </row>
    <row r="528" customFormat="false" ht="23.85" hidden="false" customHeight="false" outlineLevel="0" collapsed="false">
      <c r="A528" s="467" t="s">
        <v>2510</v>
      </c>
      <c r="B528" s="468" t="n">
        <v>13209.6</v>
      </c>
      <c r="C528" s="469"/>
      <c r="D528" s="472" t="n">
        <v>62</v>
      </c>
      <c r="E528" s="473"/>
      <c r="H528" s="0" t="n">
        <v>184</v>
      </c>
      <c r="I528" s="474" t="n">
        <f aca="false">D528</f>
        <v>62</v>
      </c>
    </row>
    <row r="529" customFormat="false" ht="23.85" hidden="false" customHeight="false" outlineLevel="0" collapsed="false">
      <c r="A529" s="467" t="s">
        <v>2915</v>
      </c>
      <c r="B529" s="468" t="n">
        <v>7862.8</v>
      </c>
      <c r="C529" s="469"/>
      <c r="D529" s="472" t="n">
        <v>44</v>
      </c>
      <c r="E529" s="473"/>
      <c r="H529" s="0" t="s">
        <v>1071</v>
      </c>
      <c r="I529" s="474" t="n">
        <f aca="false">D529</f>
        <v>44</v>
      </c>
    </row>
    <row r="530" customFormat="false" ht="23.85" hidden="false" customHeight="false" outlineLevel="0" collapsed="false">
      <c r="A530" s="467" t="s">
        <v>2897</v>
      </c>
      <c r="B530" s="468" t="n">
        <v>11072.2</v>
      </c>
      <c r="C530" s="469"/>
      <c r="D530" s="472" t="n">
        <v>51</v>
      </c>
      <c r="E530" s="473"/>
      <c r="H530" s="0" t="s">
        <v>1048</v>
      </c>
      <c r="I530" s="474" t="n">
        <f aca="false">D530</f>
        <v>51</v>
      </c>
    </row>
    <row r="531" customFormat="false" ht="23.85" hidden="false" customHeight="false" outlineLevel="0" collapsed="false">
      <c r="A531" s="467" t="s">
        <v>2488</v>
      </c>
      <c r="B531" s="468" t="n">
        <v>10904</v>
      </c>
      <c r="C531" s="469"/>
      <c r="D531" s="472" t="n">
        <v>57</v>
      </c>
      <c r="E531" s="473"/>
      <c r="H531" s="0" t="n">
        <v>143</v>
      </c>
      <c r="I531" s="474" t="n">
        <f aca="false">D531</f>
        <v>57</v>
      </c>
    </row>
    <row r="532" customFormat="false" ht="23.85" hidden="false" customHeight="false" outlineLevel="0" collapsed="false">
      <c r="A532" s="467" t="s">
        <v>2476</v>
      </c>
      <c r="B532" s="468" t="n">
        <v>6114.4</v>
      </c>
      <c r="C532" s="469"/>
      <c r="D532" s="473"/>
      <c r="E532" s="473"/>
      <c r="H532" s="0" t="n">
        <v>112</v>
      </c>
      <c r="I532" s="474"/>
    </row>
    <row r="533" customFormat="false" ht="23.85" hidden="false" customHeight="false" outlineLevel="0" collapsed="false">
      <c r="A533" s="467" t="s">
        <v>2494</v>
      </c>
      <c r="B533" s="468" t="n">
        <v>5545.8</v>
      </c>
      <c r="C533" s="469"/>
      <c r="D533" s="472" t="n">
        <v>56</v>
      </c>
      <c r="E533" s="473"/>
      <c r="H533" s="0" t="n">
        <v>149</v>
      </c>
      <c r="I533" s="474" t="n">
        <f aca="false">D533</f>
        <v>56</v>
      </c>
    </row>
    <row r="534" customFormat="false" ht="23.85" hidden="false" customHeight="false" outlineLevel="0" collapsed="false">
      <c r="A534" s="467" t="s">
        <v>2741</v>
      </c>
      <c r="B534" s="468" t="n">
        <v>12434.8</v>
      </c>
      <c r="C534" s="469"/>
      <c r="D534" s="472" t="n">
        <v>60</v>
      </c>
      <c r="E534" s="473"/>
      <c r="H534" s="0" t="n">
        <v>415</v>
      </c>
      <c r="I534" s="474" t="n">
        <f aca="false">D534</f>
        <v>60</v>
      </c>
    </row>
    <row r="535" customFormat="false" ht="23.85" hidden="false" customHeight="false" outlineLevel="0" collapsed="false">
      <c r="A535" s="467" t="s">
        <v>3001</v>
      </c>
      <c r="B535" s="468" t="n">
        <v>11663.7</v>
      </c>
      <c r="C535" s="469"/>
      <c r="D535" s="472" t="n">
        <v>61</v>
      </c>
      <c r="E535" s="473"/>
      <c r="H535" s="0" t="s">
        <v>1169</v>
      </c>
      <c r="I535" s="474" t="n">
        <f aca="false">D535</f>
        <v>61</v>
      </c>
    </row>
    <row r="536" customFormat="false" ht="23.85" hidden="false" customHeight="false" outlineLevel="0" collapsed="false">
      <c r="A536" s="467" t="s">
        <v>2963</v>
      </c>
      <c r="B536" s="468" t="n">
        <v>12050.5</v>
      </c>
      <c r="C536" s="469"/>
      <c r="D536" s="472" t="n">
        <v>61</v>
      </c>
      <c r="E536" s="473"/>
      <c r="H536" s="0" t="s">
        <v>1129</v>
      </c>
      <c r="I536" s="474" t="n">
        <f aca="false">D536</f>
        <v>61</v>
      </c>
    </row>
    <row r="537" customFormat="false" ht="23.85" hidden="false" customHeight="false" outlineLevel="0" collapsed="false">
      <c r="A537" s="467" t="s">
        <v>2579</v>
      </c>
      <c r="B537" s="468" t="n">
        <v>12003.2</v>
      </c>
      <c r="C537" s="469"/>
      <c r="D537" s="472" t="n">
        <v>63</v>
      </c>
      <c r="E537" s="473"/>
      <c r="H537" s="0" t="n">
        <v>253</v>
      </c>
      <c r="I537" s="474" t="n">
        <f aca="false">D537</f>
        <v>63</v>
      </c>
    </row>
    <row r="538" customFormat="false" ht="23.85" hidden="false" customHeight="false" outlineLevel="0" collapsed="false">
      <c r="A538" s="467" t="s">
        <v>2490</v>
      </c>
      <c r="B538" s="468" t="n">
        <v>10953.6</v>
      </c>
      <c r="C538" s="469"/>
      <c r="D538" s="472" t="n">
        <v>58</v>
      </c>
      <c r="E538" s="473"/>
      <c r="H538" s="0" t="n">
        <v>145</v>
      </c>
      <c r="I538" s="474" t="n">
        <f aca="false">D538</f>
        <v>58</v>
      </c>
    </row>
    <row r="539" customFormat="false" ht="15" hidden="false" customHeight="false" outlineLevel="0" collapsed="false">
      <c r="A539" s="467" t="s">
        <v>886</v>
      </c>
      <c r="B539" s="468" t="n">
        <v>483747.3</v>
      </c>
      <c r="C539" s="469"/>
      <c r="D539" s="469"/>
      <c r="E539" s="470"/>
      <c r="I539" s="474"/>
    </row>
    <row r="540" customFormat="false" ht="15" hidden="false" customHeight="false" outlineLevel="0" collapsed="false">
      <c r="A540" s="467" t="s">
        <v>358</v>
      </c>
      <c r="B540" s="468" t="n">
        <v>483747.3</v>
      </c>
      <c r="C540" s="469"/>
      <c r="D540" s="472" t="n">
        <v>42.9</v>
      </c>
      <c r="E540" s="470"/>
      <c r="I540" s="474" t="n">
        <f aca="false">D540</f>
        <v>42.9</v>
      </c>
    </row>
    <row r="541" customFormat="false" ht="23.85" hidden="false" customHeight="false" outlineLevel="0" collapsed="false">
      <c r="A541" s="467" t="s">
        <v>2829</v>
      </c>
      <c r="B541" s="468" t="n">
        <v>12474</v>
      </c>
      <c r="C541" s="469"/>
      <c r="D541" s="472" t="n">
        <v>76</v>
      </c>
      <c r="E541" s="473"/>
      <c r="H541" s="0" t="s">
        <v>969</v>
      </c>
      <c r="I541" s="474" t="n">
        <f aca="false">D541</f>
        <v>76</v>
      </c>
    </row>
    <row r="542" customFormat="false" ht="23.85" hidden="false" customHeight="false" outlineLevel="0" collapsed="false">
      <c r="A542" s="467" t="s">
        <v>2777</v>
      </c>
      <c r="B542" s="468" t="n">
        <v>13510</v>
      </c>
      <c r="C542" s="469"/>
      <c r="D542" s="473"/>
      <c r="E542" s="473"/>
      <c r="H542" s="0" t="n">
        <v>452</v>
      </c>
      <c r="I542" s="474"/>
    </row>
    <row r="543" customFormat="false" ht="23.85" hidden="false" customHeight="false" outlineLevel="0" collapsed="false">
      <c r="A543" s="467" t="s">
        <v>2784</v>
      </c>
      <c r="B543" s="468" t="n">
        <v>11669</v>
      </c>
      <c r="C543" s="469"/>
      <c r="D543" s="473"/>
      <c r="E543" s="473"/>
      <c r="H543" s="0" t="n">
        <v>459</v>
      </c>
      <c r="I543" s="474"/>
    </row>
    <row r="544" customFormat="false" ht="23.85" hidden="false" customHeight="false" outlineLevel="0" collapsed="false">
      <c r="A544" s="467" t="s">
        <v>2785</v>
      </c>
      <c r="B544" s="468" t="n">
        <v>11564</v>
      </c>
      <c r="C544" s="469"/>
      <c r="D544" s="473"/>
      <c r="E544" s="473"/>
      <c r="H544" s="0" t="n">
        <v>460</v>
      </c>
      <c r="I544" s="474"/>
    </row>
    <row r="545" customFormat="false" ht="23.85" hidden="false" customHeight="false" outlineLevel="0" collapsed="false">
      <c r="A545" s="467" t="s">
        <v>2786</v>
      </c>
      <c r="B545" s="468" t="n">
        <v>11397</v>
      </c>
      <c r="C545" s="469"/>
      <c r="D545" s="473"/>
      <c r="E545" s="473"/>
      <c r="H545" s="0" t="n">
        <v>461</v>
      </c>
      <c r="I545" s="474"/>
    </row>
    <row r="546" customFormat="false" ht="23.85" hidden="false" customHeight="false" outlineLevel="0" collapsed="false">
      <c r="A546" s="467" t="s">
        <v>2788</v>
      </c>
      <c r="B546" s="468" t="n">
        <v>11479</v>
      </c>
      <c r="C546" s="469"/>
      <c r="D546" s="473"/>
      <c r="E546" s="473"/>
      <c r="H546" s="0" t="n">
        <v>463</v>
      </c>
      <c r="I546" s="474"/>
    </row>
    <row r="547" customFormat="false" ht="23.85" hidden="false" customHeight="false" outlineLevel="0" collapsed="false">
      <c r="A547" s="467" t="s">
        <v>2790</v>
      </c>
      <c r="B547" s="468" t="n">
        <v>11907</v>
      </c>
      <c r="C547" s="469"/>
      <c r="D547" s="473"/>
      <c r="E547" s="473"/>
      <c r="H547" s="0" t="s">
        <v>924</v>
      </c>
      <c r="I547" s="474"/>
    </row>
    <row r="548" customFormat="false" ht="23.85" hidden="false" customHeight="false" outlineLevel="0" collapsed="false">
      <c r="A548" s="467" t="s">
        <v>2789</v>
      </c>
      <c r="B548" s="468" t="n">
        <v>11406</v>
      </c>
      <c r="C548" s="469"/>
      <c r="D548" s="473"/>
      <c r="E548" s="473"/>
      <c r="H548" s="0" t="s">
        <v>922</v>
      </c>
      <c r="I548" s="474"/>
    </row>
    <row r="549" customFormat="false" ht="23.85" hidden="false" customHeight="false" outlineLevel="0" collapsed="false">
      <c r="A549" s="467" t="s">
        <v>2791</v>
      </c>
      <c r="B549" s="468" t="n">
        <v>10979</v>
      </c>
      <c r="C549" s="469"/>
      <c r="D549" s="473"/>
      <c r="E549" s="473"/>
      <c r="H549" s="0" t="s">
        <v>926</v>
      </c>
      <c r="I549" s="474"/>
    </row>
    <row r="550" customFormat="false" ht="23.85" hidden="false" customHeight="false" outlineLevel="0" collapsed="false">
      <c r="A550" s="467" t="s">
        <v>2792</v>
      </c>
      <c r="B550" s="468" t="n">
        <v>15396</v>
      </c>
      <c r="C550" s="469"/>
      <c r="D550" s="473"/>
      <c r="E550" s="473"/>
      <c r="H550" s="0" t="s">
        <v>928</v>
      </c>
      <c r="I550" s="474"/>
    </row>
    <row r="551" customFormat="false" ht="23.85" hidden="false" customHeight="false" outlineLevel="0" collapsed="false">
      <c r="A551" s="467" t="s">
        <v>2793</v>
      </c>
      <c r="B551" s="468" t="n">
        <v>11634</v>
      </c>
      <c r="C551" s="469"/>
      <c r="D551" s="473"/>
      <c r="E551" s="473"/>
      <c r="H551" s="0" t="s">
        <v>930</v>
      </c>
      <c r="I551" s="474"/>
    </row>
    <row r="552" customFormat="false" ht="23.85" hidden="false" customHeight="false" outlineLevel="0" collapsed="false">
      <c r="A552" s="467" t="s">
        <v>2878</v>
      </c>
      <c r="B552" s="468" t="n">
        <v>13744</v>
      </c>
      <c r="C552" s="469"/>
      <c r="D552" s="473"/>
      <c r="E552" s="473"/>
      <c r="H552" s="0" t="s">
        <v>1024</v>
      </c>
      <c r="I552" s="474"/>
    </row>
    <row r="553" customFormat="false" ht="23.85" hidden="false" customHeight="false" outlineLevel="0" collapsed="false">
      <c r="A553" s="467" t="s">
        <v>2879</v>
      </c>
      <c r="B553" s="468" t="n">
        <v>13168</v>
      </c>
      <c r="C553" s="469"/>
      <c r="D553" s="473"/>
      <c r="E553" s="473"/>
      <c r="H553" s="0" t="s">
        <v>1027</v>
      </c>
      <c r="I553" s="474"/>
    </row>
    <row r="554" customFormat="false" ht="23.85" hidden="false" customHeight="false" outlineLevel="0" collapsed="false">
      <c r="A554" s="467" t="s">
        <v>2880</v>
      </c>
      <c r="B554" s="468" t="n">
        <v>12949</v>
      </c>
      <c r="C554" s="469"/>
      <c r="D554" s="473"/>
      <c r="E554" s="473"/>
      <c r="H554" s="0" t="s">
        <v>1029</v>
      </c>
      <c r="I554" s="474"/>
    </row>
    <row r="555" customFormat="false" ht="23.85" hidden="false" customHeight="false" outlineLevel="0" collapsed="false">
      <c r="A555" s="467" t="s">
        <v>3010</v>
      </c>
      <c r="B555" s="468" t="n">
        <v>12515.2</v>
      </c>
      <c r="C555" s="469"/>
      <c r="D555" s="472" t="n">
        <v>74</v>
      </c>
      <c r="E555" s="473"/>
      <c r="H555" s="0" t="s">
        <v>1179</v>
      </c>
      <c r="I555" s="474" t="n">
        <f aca="false">D555</f>
        <v>74</v>
      </c>
    </row>
    <row r="556" customFormat="false" ht="23.85" hidden="false" customHeight="false" outlineLevel="0" collapsed="false">
      <c r="A556" s="467" t="s">
        <v>2661</v>
      </c>
      <c r="B556" s="468" t="n">
        <v>10004.5</v>
      </c>
      <c r="C556" s="469"/>
      <c r="D556" s="472" t="n">
        <v>74</v>
      </c>
      <c r="E556" s="473"/>
      <c r="H556" s="0" t="n">
        <v>335</v>
      </c>
      <c r="I556" s="474" t="n">
        <f aca="false">D556</f>
        <v>74</v>
      </c>
    </row>
    <row r="557" customFormat="false" ht="23.85" hidden="false" customHeight="false" outlineLevel="0" collapsed="false">
      <c r="A557" s="467" t="s">
        <v>3012</v>
      </c>
      <c r="B557" s="468" t="n">
        <v>11665.4</v>
      </c>
      <c r="C557" s="469"/>
      <c r="D557" s="472" t="n">
        <v>75</v>
      </c>
      <c r="E557" s="473"/>
      <c r="H557" s="0" t="s">
        <v>1181</v>
      </c>
      <c r="I557" s="474" t="n">
        <f aca="false">D557</f>
        <v>75</v>
      </c>
    </row>
    <row r="558" customFormat="false" ht="23.85" hidden="false" customHeight="false" outlineLevel="0" collapsed="false">
      <c r="A558" s="467" t="s">
        <v>2852</v>
      </c>
      <c r="B558" s="468" t="n">
        <v>12453.1</v>
      </c>
      <c r="C558" s="469"/>
      <c r="D558" s="472" t="n">
        <v>72</v>
      </c>
      <c r="E558" s="473"/>
      <c r="H558" s="0" t="s">
        <v>992</v>
      </c>
      <c r="I558" s="474" t="n">
        <f aca="false">D558</f>
        <v>72</v>
      </c>
    </row>
    <row r="559" customFormat="false" ht="23.85" hidden="false" customHeight="false" outlineLevel="0" collapsed="false">
      <c r="A559" s="467" t="s">
        <v>2648</v>
      </c>
      <c r="B559" s="468" t="n">
        <v>11219</v>
      </c>
      <c r="C559" s="469"/>
      <c r="D559" s="472" t="n">
        <v>73</v>
      </c>
      <c r="E559" s="473"/>
      <c r="H559" s="0" t="n">
        <v>322</v>
      </c>
      <c r="I559" s="474" t="n">
        <f aca="false">D559</f>
        <v>73</v>
      </c>
    </row>
    <row r="560" customFormat="false" ht="23.85" hidden="false" customHeight="false" outlineLevel="0" collapsed="false">
      <c r="A560" s="467" t="s">
        <v>2629</v>
      </c>
      <c r="B560" s="468" t="n">
        <v>7393.7</v>
      </c>
      <c r="C560" s="469"/>
      <c r="D560" s="472" t="n">
        <v>72</v>
      </c>
      <c r="E560" s="473"/>
      <c r="H560" s="0" t="n">
        <v>303</v>
      </c>
      <c r="I560" s="474" t="n">
        <f aca="false">D560</f>
        <v>72</v>
      </c>
    </row>
    <row r="561" customFormat="false" ht="23.85" hidden="false" customHeight="false" outlineLevel="0" collapsed="false">
      <c r="A561" s="467" t="s">
        <v>3011</v>
      </c>
      <c r="B561" s="468" t="n">
        <v>12200.7</v>
      </c>
      <c r="C561" s="469"/>
      <c r="D561" s="472" t="n">
        <v>76</v>
      </c>
      <c r="E561" s="473"/>
      <c r="H561" s="0" t="s">
        <v>1180</v>
      </c>
      <c r="I561" s="474" t="n">
        <f aca="false">D561</f>
        <v>76</v>
      </c>
    </row>
    <row r="562" customFormat="false" ht="23.85" hidden="false" customHeight="false" outlineLevel="0" collapsed="false">
      <c r="A562" s="467" t="s">
        <v>2850</v>
      </c>
      <c r="B562" s="468" t="n">
        <v>13865.7</v>
      </c>
      <c r="C562" s="469"/>
      <c r="D562" s="472" t="n">
        <v>75</v>
      </c>
      <c r="E562" s="473"/>
      <c r="H562" s="0" t="s">
        <v>990</v>
      </c>
      <c r="I562" s="474" t="n">
        <f aca="false">D562</f>
        <v>75</v>
      </c>
    </row>
    <row r="563" customFormat="false" ht="23.85" hidden="false" customHeight="false" outlineLevel="0" collapsed="false">
      <c r="A563" s="467" t="s">
        <v>2975</v>
      </c>
      <c r="B563" s="468" t="n">
        <v>12678.6</v>
      </c>
      <c r="C563" s="469"/>
      <c r="D563" s="472" t="n">
        <v>79</v>
      </c>
      <c r="E563" s="473"/>
      <c r="H563" s="0" t="s">
        <v>1141</v>
      </c>
      <c r="I563" s="474" t="n">
        <f aca="false">D563</f>
        <v>79</v>
      </c>
    </row>
    <row r="564" customFormat="false" ht="23.85" hidden="false" customHeight="false" outlineLevel="0" collapsed="false">
      <c r="A564" s="467" t="s">
        <v>2849</v>
      </c>
      <c r="B564" s="468" t="n">
        <v>13940.7</v>
      </c>
      <c r="C564" s="469"/>
      <c r="D564" s="472" t="n">
        <v>73</v>
      </c>
      <c r="E564" s="473"/>
      <c r="H564" s="0" t="s">
        <v>989</v>
      </c>
      <c r="I564" s="474" t="n">
        <f aca="false">D564</f>
        <v>73</v>
      </c>
    </row>
    <row r="565" customFormat="false" ht="23.85" hidden="false" customHeight="false" outlineLevel="0" collapsed="false">
      <c r="A565" s="467" t="s">
        <v>2778</v>
      </c>
      <c r="B565" s="468" t="n">
        <v>6520</v>
      </c>
      <c r="C565" s="469"/>
      <c r="D565" s="473"/>
      <c r="E565" s="473"/>
      <c r="H565" s="0" t="n">
        <v>453</v>
      </c>
      <c r="I565" s="474"/>
    </row>
    <row r="566" customFormat="false" ht="23.85" hidden="false" customHeight="false" outlineLevel="0" collapsed="false">
      <c r="A566" s="467" t="s">
        <v>2776</v>
      </c>
      <c r="B566" s="468" t="n">
        <v>6410</v>
      </c>
      <c r="C566" s="469"/>
      <c r="D566" s="473"/>
      <c r="E566" s="473"/>
      <c r="H566" s="0" t="n">
        <v>451</v>
      </c>
      <c r="I566" s="474"/>
    </row>
    <row r="567" customFormat="false" ht="23.85" hidden="false" customHeight="false" outlineLevel="0" collapsed="false">
      <c r="A567" s="467" t="s">
        <v>2794</v>
      </c>
      <c r="B567" s="468" t="n">
        <v>10897</v>
      </c>
      <c r="C567" s="469"/>
      <c r="D567" s="473"/>
      <c r="E567" s="473"/>
      <c r="H567" s="0" t="s">
        <v>932</v>
      </c>
      <c r="I567" s="474"/>
    </row>
    <row r="568" customFormat="false" ht="23.85" hidden="false" customHeight="false" outlineLevel="0" collapsed="false">
      <c r="A568" s="467" t="s">
        <v>3008</v>
      </c>
      <c r="B568" s="468" t="n">
        <v>11357.5</v>
      </c>
      <c r="C568" s="469"/>
      <c r="D568" s="472" t="n">
        <v>78</v>
      </c>
      <c r="E568" s="473"/>
      <c r="H568" s="0" t="s">
        <v>1177</v>
      </c>
      <c r="I568" s="474" t="n">
        <f aca="false">D568</f>
        <v>78</v>
      </c>
    </row>
    <row r="569" customFormat="false" ht="23.85" hidden="false" customHeight="false" outlineLevel="0" collapsed="false">
      <c r="A569" s="467" t="s">
        <v>2649</v>
      </c>
      <c r="B569" s="468" t="n">
        <v>12075.4</v>
      </c>
      <c r="C569" s="469"/>
      <c r="D569" s="472" t="n">
        <v>75</v>
      </c>
      <c r="E569" s="473"/>
      <c r="H569" s="0" t="n">
        <v>323</v>
      </c>
      <c r="I569" s="474" t="n">
        <f aca="false">D569</f>
        <v>75</v>
      </c>
    </row>
    <row r="570" customFormat="false" ht="23.85" hidden="false" customHeight="false" outlineLevel="0" collapsed="false">
      <c r="A570" s="467" t="s">
        <v>2753</v>
      </c>
      <c r="B570" s="468" t="n">
        <v>12196.9</v>
      </c>
      <c r="C570" s="469"/>
      <c r="D570" s="472" t="n">
        <v>72</v>
      </c>
      <c r="E570" s="473"/>
      <c r="H570" s="0" t="n">
        <v>427</v>
      </c>
      <c r="I570" s="474" t="n">
        <f aca="false">D570</f>
        <v>72</v>
      </c>
    </row>
    <row r="571" customFormat="false" ht="23.85" hidden="false" customHeight="false" outlineLevel="0" collapsed="false">
      <c r="A571" s="467" t="s">
        <v>2983</v>
      </c>
      <c r="B571" s="468" t="n">
        <v>12445.6</v>
      </c>
      <c r="C571" s="469"/>
      <c r="D571" s="472" t="n">
        <v>72</v>
      </c>
      <c r="E571" s="473"/>
      <c r="H571" s="0" t="s">
        <v>1150</v>
      </c>
      <c r="I571" s="474" t="n">
        <f aca="false">D571</f>
        <v>72</v>
      </c>
    </row>
    <row r="572" customFormat="false" ht="23.85" hidden="false" customHeight="false" outlineLevel="0" collapsed="false">
      <c r="A572" s="467" t="s">
        <v>2625</v>
      </c>
      <c r="B572" s="468" t="n">
        <v>7920</v>
      </c>
      <c r="C572" s="469"/>
      <c r="D572" s="472" t="n">
        <v>71</v>
      </c>
      <c r="E572" s="473"/>
      <c r="H572" s="0" t="n">
        <v>299</v>
      </c>
      <c r="I572" s="474" t="n">
        <f aca="false">D572</f>
        <v>71</v>
      </c>
    </row>
    <row r="573" customFormat="false" ht="23.85" hidden="false" customHeight="false" outlineLevel="0" collapsed="false">
      <c r="A573" s="467" t="s">
        <v>2984</v>
      </c>
      <c r="B573" s="468" t="n">
        <v>12136</v>
      </c>
      <c r="C573" s="469"/>
      <c r="D573" s="472" t="n">
        <v>71</v>
      </c>
      <c r="E573" s="473"/>
      <c r="H573" s="0" t="s">
        <v>1151</v>
      </c>
      <c r="I573" s="474" t="n">
        <f aca="false">D573</f>
        <v>71</v>
      </c>
    </row>
    <row r="574" customFormat="false" ht="23.85" hidden="false" customHeight="false" outlineLevel="0" collapsed="false">
      <c r="A574" s="467" t="s">
        <v>2833</v>
      </c>
      <c r="B574" s="468" t="n">
        <v>12663.3</v>
      </c>
      <c r="C574" s="469"/>
      <c r="D574" s="472" t="n">
        <v>70</v>
      </c>
      <c r="E574" s="473"/>
      <c r="H574" s="0" t="s">
        <v>973</v>
      </c>
      <c r="I574" s="474" t="n">
        <f aca="false">D574</f>
        <v>70</v>
      </c>
    </row>
    <row r="575" customFormat="false" ht="23.85" hidden="false" customHeight="false" outlineLevel="0" collapsed="false">
      <c r="A575" s="467" t="s">
        <v>2775</v>
      </c>
      <c r="B575" s="468" t="n">
        <v>6620</v>
      </c>
      <c r="C575" s="469"/>
      <c r="D575" s="473"/>
      <c r="E575" s="473"/>
      <c r="H575" s="0" t="n">
        <v>450</v>
      </c>
      <c r="I575" s="474"/>
    </row>
    <row r="576" customFormat="false" ht="23.85" hidden="false" customHeight="false" outlineLevel="0" collapsed="false">
      <c r="A576" s="467" t="s">
        <v>2652</v>
      </c>
      <c r="B576" s="468" t="n">
        <v>11729.4</v>
      </c>
      <c r="C576" s="469"/>
      <c r="D576" s="472" t="n">
        <v>74</v>
      </c>
      <c r="E576" s="473"/>
      <c r="H576" s="0" t="n">
        <v>326</v>
      </c>
      <c r="I576" s="474" t="n">
        <f aca="false">D576</f>
        <v>74</v>
      </c>
    </row>
    <row r="577" customFormat="false" ht="23.85" hidden="false" customHeight="false" outlineLevel="0" collapsed="false">
      <c r="A577" s="467" t="s">
        <v>2774</v>
      </c>
      <c r="B577" s="468" t="n">
        <v>6330</v>
      </c>
      <c r="C577" s="469"/>
      <c r="D577" s="473"/>
      <c r="E577" s="473"/>
      <c r="H577" s="0" t="n">
        <v>449</v>
      </c>
      <c r="I577" s="474"/>
    </row>
    <row r="578" customFormat="false" ht="23.85" hidden="false" customHeight="false" outlineLevel="0" collapsed="false">
      <c r="A578" s="467" t="s">
        <v>3015</v>
      </c>
      <c r="B578" s="468" t="n">
        <v>10070.1</v>
      </c>
      <c r="C578" s="469"/>
      <c r="D578" s="472" t="n">
        <v>77</v>
      </c>
      <c r="E578" s="473"/>
      <c r="H578" s="0" t="s">
        <v>1184</v>
      </c>
      <c r="I578" s="474" t="n">
        <f aca="false">D578</f>
        <v>77</v>
      </c>
    </row>
    <row r="579" customFormat="false" ht="23.85" hidden="false" customHeight="false" outlineLevel="0" collapsed="false">
      <c r="A579" s="467" t="s">
        <v>2660</v>
      </c>
      <c r="B579" s="468" t="n">
        <v>9823</v>
      </c>
      <c r="C579" s="469"/>
      <c r="D579" s="472" t="n">
        <v>74</v>
      </c>
      <c r="E579" s="473"/>
      <c r="H579" s="0" t="n">
        <v>334</v>
      </c>
      <c r="I579" s="474" t="n">
        <f aca="false">D579</f>
        <v>74</v>
      </c>
    </row>
    <row r="580" customFormat="false" ht="23.85" hidden="false" customHeight="false" outlineLevel="0" collapsed="false">
      <c r="A580" s="467" t="s">
        <v>2755</v>
      </c>
      <c r="B580" s="468" t="n">
        <v>12245.2</v>
      </c>
      <c r="C580" s="469"/>
      <c r="D580" s="472" t="n">
        <v>73</v>
      </c>
      <c r="E580" s="473"/>
      <c r="H580" s="0" t="n">
        <v>429</v>
      </c>
      <c r="I580" s="474" t="n">
        <f aca="false">D580</f>
        <v>73</v>
      </c>
    </row>
    <row r="581" customFormat="false" ht="23.85" hidden="false" customHeight="false" outlineLevel="0" collapsed="false">
      <c r="A581" s="467" t="s">
        <v>2634</v>
      </c>
      <c r="B581" s="468" t="n">
        <v>9327.9</v>
      </c>
      <c r="C581" s="469"/>
      <c r="D581" s="472" t="n">
        <v>74</v>
      </c>
      <c r="E581" s="473"/>
      <c r="H581" s="0" t="n">
        <v>308</v>
      </c>
      <c r="I581" s="474" t="n">
        <f aca="false">D581</f>
        <v>74</v>
      </c>
    </row>
    <row r="582" customFormat="false" ht="23.85" hidden="false" customHeight="false" outlineLevel="0" collapsed="false">
      <c r="A582" s="467" t="s">
        <v>2976</v>
      </c>
      <c r="B582" s="468" t="n">
        <v>9369</v>
      </c>
      <c r="C582" s="469"/>
      <c r="D582" s="472" t="n">
        <v>73</v>
      </c>
      <c r="E582" s="473"/>
      <c r="H582" s="0" t="s">
        <v>1142</v>
      </c>
      <c r="I582" s="474" t="n">
        <f aca="false">D582</f>
        <v>73</v>
      </c>
    </row>
    <row r="583" customFormat="false" ht="23.85" hidden="false" customHeight="false" outlineLevel="0" collapsed="false">
      <c r="A583" s="467" t="s">
        <v>2754</v>
      </c>
      <c r="B583" s="468" t="n">
        <v>12398.4</v>
      </c>
      <c r="C583" s="469"/>
      <c r="D583" s="472" t="n">
        <v>72</v>
      </c>
      <c r="E583" s="473"/>
      <c r="H583" s="0" t="n">
        <v>428</v>
      </c>
      <c r="I583" s="474" t="n">
        <f aca="false">D583</f>
        <v>72</v>
      </c>
    </row>
    <row r="584" customFormat="false" ht="15" hidden="false" customHeight="false" outlineLevel="0" collapsed="false">
      <c r="A584" s="467" t="s">
        <v>3170</v>
      </c>
      <c r="B584" s="468" t="n">
        <v>483747.3</v>
      </c>
      <c r="C584" s="469"/>
      <c r="D584" s="469"/>
      <c r="E584" s="473"/>
    </row>
  </sheetData>
  <autoFilter ref="H12:I583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O1265"/>
  <sheetViews>
    <sheetView showFormulas="false" showGridLines="true" showRowColHeaders="true" showZeros="true" rightToLeft="false" tabSelected="false" showOutlineSymbols="true" defaultGridColor="true" view="normal" topLeftCell="A820" colorId="64" zoomScale="100" zoomScaleNormal="100" zoomScalePageLayoutView="100" workbookViewId="0">
      <selection pane="topLeft" activeCell="B830" activeCellId="0" sqref="B830"/>
    </sheetView>
  </sheetViews>
  <sheetFormatPr defaultColWidth="8.00390625" defaultRowHeight="15" customHeight="true" zeroHeight="false" outlineLevelRow="2" outlineLevelCol="0"/>
  <cols>
    <col collapsed="false" customWidth="true" hidden="false" outlineLevel="0" max="1" min="1" style="0" width="1.57"/>
    <col collapsed="false" customWidth="true" hidden="false" outlineLevel="0" max="2" min="2" style="0" width="48.29"/>
    <col collapsed="false" customWidth="true" hidden="false" outlineLevel="0" max="3" min="3" style="0" width="13.29"/>
    <col collapsed="false" customWidth="true" hidden="false" outlineLevel="0" max="4" min="4" style="0" width="8.86"/>
    <col collapsed="false" customWidth="true" hidden="false" outlineLevel="0" max="5" min="5" style="0" width="18.57"/>
    <col collapsed="false" customWidth="true" hidden="false" outlineLevel="0" max="6" min="6" style="0" width="18.14"/>
    <col collapsed="false" customWidth="true" hidden="false" outlineLevel="0" max="7" min="7" style="0" width="10.85"/>
    <col collapsed="false" customWidth="true" hidden="false" outlineLevel="0" max="8" min="8" style="0" width="16.29"/>
    <col collapsed="false" customWidth="true" hidden="false" outlineLevel="0" max="9" min="9" style="0" width="8.15"/>
    <col collapsed="false" customWidth="true" hidden="false" outlineLevel="0" max="14" min="10" style="0" width="11.71"/>
    <col collapsed="false" customWidth="true" hidden="false" outlineLevel="0" max="15" min="15" style="0" width="15.85"/>
    <col collapsed="false" customWidth="true" hidden="false" outlineLevel="0" max="257" min="257" style="0" width="1.57"/>
    <col collapsed="false" customWidth="true" hidden="false" outlineLevel="0" max="258" min="258" style="0" width="48.29"/>
    <col collapsed="false" customWidth="true" hidden="false" outlineLevel="0" max="259" min="259" style="0" width="13.29"/>
    <col collapsed="false" customWidth="true" hidden="false" outlineLevel="0" max="260" min="260" style="0" width="18.29"/>
    <col collapsed="false" customWidth="true" hidden="false" outlineLevel="0" max="261" min="261" style="0" width="18.57"/>
    <col collapsed="false" customWidth="true" hidden="false" outlineLevel="0" max="262" min="262" style="0" width="12.71"/>
    <col collapsed="false" customWidth="true" hidden="false" outlineLevel="0" max="263" min="263" style="0" width="10.85"/>
    <col collapsed="false" customWidth="true" hidden="false" outlineLevel="0" max="264" min="264" style="0" width="16.29"/>
    <col collapsed="false" customWidth="true" hidden="false" outlineLevel="0" max="265" min="265" style="0" width="8.15"/>
    <col collapsed="false" customWidth="true" hidden="false" outlineLevel="0" max="270" min="266" style="0" width="11.71"/>
    <col collapsed="false" customWidth="true" hidden="false" outlineLevel="0" max="271" min="271" style="0" width="15.85"/>
    <col collapsed="false" customWidth="true" hidden="false" outlineLevel="0" max="513" min="513" style="0" width="1.57"/>
    <col collapsed="false" customWidth="true" hidden="false" outlineLevel="0" max="514" min="514" style="0" width="48.29"/>
    <col collapsed="false" customWidth="true" hidden="false" outlineLevel="0" max="515" min="515" style="0" width="13.29"/>
    <col collapsed="false" customWidth="true" hidden="false" outlineLevel="0" max="516" min="516" style="0" width="18.29"/>
    <col collapsed="false" customWidth="true" hidden="false" outlineLevel="0" max="517" min="517" style="0" width="18.57"/>
    <col collapsed="false" customWidth="true" hidden="false" outlineLevel="0" max="518" min="518" style="0" width="12.71"/>
    <col collapsed="false" customWidth="true" hidden="false" outlineLevel="0" max="519" min="519" style="0" width="10.85"/>
    <col collapsed="false" customWidth="true" hidden="false" outlineLevel="0" max="520" min="520" style="0" width="16.29"/>
    <col collapsed="false" customWidth="true" hidden="false" outlineLevel="0" max="521" min="521" style="0" width="8.15"/>
    <col collapsed="false" customWidth="true" hidden="false" outlineLevel="0" max="526" min="522" style="0" width="11.71"/>
    <col collapsed="false" customWidth="true" hidden="false" outlineLevel="0" max="527" min="527" style="0" width="15.85"/>
    <col collapsed="false" customWidth="true" hidden="false" outlineLevel="0" max="769" min="769" style="0" width="1.57"/>
    <col collapsed="false" customWidth="true" hidden="false" outlineLevel="0" max="770" min="770" style="0" width="48.29"/>
    <col collapsed="false" customWidth="true" hidden="false" outlineLevel="0" max="771" min="771" style="0" width="13.29"/>
    <col collapsed="false" customWidth="true" hidden="false" outlineLevel="0" max="772" min="772" style="0" width="18.29"/>
    <col collapsed="false" customWidth="true" hidden="false" outlineLevel="0" max="773" min="773" style="0" width="18.57"/>
    <col collapsed="false" customWidth="true" hidden="false" outlineLevel="0" max="774" min="774" style="0" width="12.71"/>
    <col collapsed="false" customWidth="true" hidden="false" outlineLevel="0" max="775" min="775" style="0" width="10.85"/>
    <col collapsed="false" customWidth="true" hidden="false" outlineLevel="0" max="776" min="776" style="0" width="16.29"/>
    <col collapsed="false" customWidth="true" hidden="false" outlineLevel="0" max="777" min="777" style="0" width="8.15"/>
    <col collapsed="false" customWidth="true" hidden="false" outlineLevel="0" max="782" min="778" style="0" width="11.71"/>
    <col collapsed="false" customWidth="true" hidden="false" outlineLevel="0" max="783" min="783" style="0" width="15.85"/>
    <col collapsed="false" customWidth="true" hidden="false" outlineLevel="0" max="1025" min="1025" style="0" width="1.57"/>
    <col collapsed="false" customWidth="true" hidden="false" outlineLevel="0" max="1026" min="1026" style="0" width="48.29"/>
    <col collapsed="false" customWidth="true" hidden="false" outlineLevel="0" max="1027" min="1027" style="0" width="13.29"/>
    <col collapsed="false" customWidth="true" hidden="false" outlineLevel="0" max="1028" min="1028" style="0" width="18.29"/>
    <col collapsed="false" customWidth="true" hidden="false" outlineLevel="0" max="1029" min="1029" style="0" width="18.57"/>
    <col collapsed="false" customWidth="true" hidden="false" outlineLevel="0" max="1030" min="1030" style="0" width="12.71"/>
    <col collapsed="false" customWidth="true" hidden="false" outlineLevel="0" max="1031" min="1031" style="0" width="10.85"/>
    <col collapsed="false" customWidth="true" hidden="false" outlineLevel="0" max="1032" min="1032" style="0" width="16.29"/>
    <col collapsed="false" customWidth="true" hidden="false" outlineLevel="0" max="1033" min="1033" style="0" width="8.15"/>
    <col collapsed="false" customWidth="true" hidden="false" outlineLevel="0" max="1038" min="1034" style="0" width="11.71"/>
    <col collapsed="false" customWidth="true" hidden="false" outlineLevel="0" max="1039" min="1039" style="0" width="15.85"/>
    <col collapsed="false" customWidth="true" hidden="false" outlineLevel="0" max="1281" min="1281" style="0" width="1.57"/>
    <col collapsed="false" customWidth="true" hidden="false" outlineLevel="0" max="1282" min="1282" style="0" width="48.29"/>
    <col collapsed="false" customWidth="true" hidden="false" outlineLevel="0" max="1283" min="1283" style="0" width="13.29"/>
    <col collapsed="false" customWidth="true" hidden="false" outlineLevel="0" max="1284" min="1284" style="0" width="18.29"/>
    <col collapsed="false" customWidth="true" hidden="false" outlineLevel="0" max="1285" min="1285" style="0" width="18.57"/>
    <col collapsed="false" customWidth="true" hidden="false" outlineLevel="0" max="1286" min="1286" style="0" width="12.71"/>
    <col collapsed="false" customWidth="true" hidden="false" outlineLevel="0" max="1287" min="1287" style="0" width="10.85"/>
    <col collapsed="false" customWidth="true" hidden="false" outlineLevel="0" max="1288" min="1288" style="0" width="16.29"/>
    <col collapsed="false" customWidth="true" hidden="false" outlineLevel="0" max="1289" min="1289" style="0" width="8.15"/>
    <col collapsed="false" customWidth="true" hidden="false" outlineLevel="0" max="1294" min="1290" style="0" width="11.71"/>
    <col collapsed="false" customWidth="true" hidden="false" outlineLevel="0" max="1295" min="1295" style="0" width="15.85"/>
    <col collapsed="false" customWidth="true" hidden="false" outlineLevel="0" max="1537" min="1537" style="0" width="1.57"/>
    <col collapsed="false" customWidth="true" hidden="false" outlineLevel="0" max="1538" min="1538" style="0" width="48.29"/>
    <col collapsed="false" customWidth="true" hidden="false" outlineLevel="0" max="1539" min="1539" style="0" width="13.29"/>
    <col collapsed="false" customWidth="true" hidden="false" outlineLevel="0" max="1540" min="1540" style="0" width="18.29"/>
    <col collapsed="false" customWidth="true" hidden="false" outlineLevel="0" max="1541" min="1541" style="0" width="18.57"/>
    <col collapsed="false" customWidth="true" hidden="false" outlineLevel="0" max="1542" min="1542" style="0" width="12.71"/>
    <col collapsed="false" customWidth="true" hidden="false" outlineLevel="0" max="1543" min="1543" style="0" width="10.85"/>
    <col collapsed="false" customWidth="true" hidden="false" outlineLevel="0" max="1544" min="1544" style="0" width="16.29"/>
    <col collapsed="false" customWidth="true" hidden="false" outlineLevel="0" max="1545" min="1545" style="0" width="8.15"/>
    <col collapsed="false" customWidth="true" hidden="false" outlineLevel="0" max="1550" min="1546" style="0" width="11.71"/>
    <col collapsed="false" customWidth="true" hidden="false" outlineLevel="0" max="1551" min="1551" style="0" width="15.85"/>
    <col collapsed="false" customWidth="true" hidden="false" outlineLevel="0" max="1793" min="1793" style="0" width="1.57"/>
    <col collapsed="false" customWidth="true" hidden="false" outlineLevel="0" max="1794" min="1794" style="0" width="48.29"/>
    <col collapsed="false" customWidth="true" hidden="false" outlineLevel="0" max="1795" min="1795" style="0" width="13.29"/>
    <col collapsed="false" customWidth="true" hidden="false" outlineLevel="0" max="1796" min="1796" style="0" width="18.29"/>
    <col collapsed="false" customWidth="true" hidden="false" outlineLevel="0" max="1797" min="1797" style="0" width="18.57"/>
    <col collapsed="false" customWidth="true" hidden="false" outlineLevel="0" max="1798" min="1798" style="0" width="12.71"/>
    <col collapsed="false" customWidth="true" hidden="false" outlineLevel="0" max="1799" min="1799" style="0" width="10.85"/>
    <col collapsed="false" customWidth="true" hidden="false" outlineLevel="0" max="1800" min="1800" style="0" width="16.29"/>
    <col collapsed="false" customWidth="true" hidden="false" outlineLevel="0" max="1801" min="1801" style="0" width="8.15"/>
    <col collapsed="false" customWidth="true" hidden="false" outlineLevel="0" max="1806" min="1802" style="0" width="11.71"/>
    <col collapsed="false" customWidth="true" hidden="false" outlineLevel="0" max="1807" min="1807" style="0" width="15.85"/>
    <col collapsed="false" customWidth="true" hidden="false" outlineLevel="0" max="2049" min="2049" style="0" width="1.57"/>
    <col collapsed="false" customWidth="true" hidden="false" outlineLevel="0" max="2050" min="2050" style="0" width="48.29"/>
    <col collapsed="false" customWidth="true" hidden="false" outlineLevel="0" max="2051" min="2051" style="0" width="13.29"/>
    <col collapsed="false" customWidth="true" hidden="false" outlineLevel="0" max="2052" min="2052" style="0" width="18.29"/>
    <col collapsed="false" customWidth="true" hidden="false" outlineLevel="0" max="2053" min="2053" style="0" width="18.57"/>
    <col collapsed="false" customWidth="true" hidden="false" outlineLevel="0" max="2054" min="2054" style="0" width="12.71"/>
    <col collapsed="false" customWidth="true" hidden="false" outlineLevel="0" max="2055" min="2055" style="0" width="10.85"/>
    <col collapsed="false" customWidth="true" hidden="false" outlineLevel="0" max="2056" min="2056" style="0" width="16.29"/>
    <col collapsed="false" customWidth="true" hidden="false" outlineLevel="0" max="2057" min="2057" style="0" width="8.15"/>
    <col collapsed="false" customWidth="true" hidden="false" outlineLevel="0" max="2062" min="2058" style="0" width="11.71"/>
    <col collapsed="false" customWidth="true" hidden="false" outlineLevel="0" max="2063" min="2063" style="0" width="15.85"/>
    <col collapsed="false" customWidth="true" hidden="false" outlineLevel="0" max="2305" min="2305" style="0" width="1.57"/>
    <col collapsed="false" customWidth="true" hidden="false" outlineLevel="0" max="2306" min="2306" style="0" width="48.29"/>
    <col collapsed="false" customWidth="true" hidden="false" outlineLevel="0" max="2307" min="2307" style="0" width="13.29"/>
    <col collapsed="false" customWidth="true" hidden="false" outlineLevel="0" max="2308" min="2308" style="0" width="18.29"/>
    <col collapsed="false" customWidth="true" hidden="false" outlineLevel="0" max="2309" min="2309" style="0" width="18.57"/>
    <col collapsed="false" customWidth="true" hidden="false" outlineLevel="0" max="2310" min="2310" style="0" width="12.71"/>
    <col collapsed="false" customWidth="true" hidden="false" outlineLevel="0" max="2311" min="2311" style="0" width="10.85"/>
    <col collapsed="false" customWidth="true" hidden="false" outlineLevel="0" max="2312" min="2312" style="0" width="16.29"/>
    <col collapsed="false" customWidth="true" hidden="false" outlineLevel="0" max="2313" min="2313" style="0" width="8.15"/>
    <col collapsed="false" customWidth="true" hidden="false" outlineLevel="0" max="2318" min="2314" style="0" width="11.71"/>
    <col collapsed="false" customWidth="true" hidden="false" outlineLevel="0" max="2319" min="2319" style="0" width="15.85"/>
    <col collapsed="false" customWidth="true" hidden="false" outlineLevel="0" max="2561" min="2561" style="0" width="1.57"/>
    <col collapsed="false" customWidth="true" hidden="false" outlineLevel="0" max="2562" min="2562" style="0" width="48.29"/>
    <col collapsed="false" customWidth="true" hidden="false" outlineLevel="0" max="2563" min="2563" style="0" width="13.29"/>
    <col collapsed="false" customWidth="true" hidden="false" outlineLevel="0" max="2564" min="2564" style="0" width="18.29"/>
    <col collapsed="false" customWidth="true" hidden="false" outlineLevel="0" max="2565" min="2565" style="0" width="18.57"/>
    <col collapsed="false" customWidth="true" hidden="false" outlineLevel="0" max="2566" min="2566" style="0" width="12.71"/>
    <col collapsed="false" customWidth="true" hidden="false" outlineLevel="0" max="2567" min="2567" style="0" width="10.85"/>
    <col collapsed="false" customWidth="true" hidden="false" outlineLevel="0" max="2568" min="2568" style="0" width="16.29"/>
    <col collapsed="false" customWidth="true" hidden="false" outlineLevel="0" max="2569" min="2569" style="0" width="8.15"/>
    <col collapsed="false" customWidth="true" hidden="false" outlineLevel="0" max="2574" min="2570" style="0" width="11.71"/>
    <col collapsed="false" customWidth="true" hidden="false" outlineLevel="0" max="2575" min="2575" style="0" width="15.85"/>
    <col collapsed="false" customWidth="true" hidden="false" outlineLevel="0" max="2817" min="2817" style="0" width="1.57"/>
    <col collapsed="false" customWidth="true" hidden="false" outlineLevel="0" max="2818" min="2818" style="0" width="48.29"/>
    <col collapsed="false" customWidth="true" hidden="false" outlineLevel="0" max="2819" min="2819" style="0" width="13.29"/>
    <col collapsed="false" customWidth="true" hidden="false" outlineLevel="0" max="2820" min="2820" style="0" width="18.29"/>
    <col collapsed="false" customWidth="true" hidden="false" outlineLevel="0" max="2821" min="2821" style="0" width="18.57"/>
    <col collapsed="false" customWidth="true" hidden="false" outlineLevel="0" max="2822" min="2822" style="0" width="12.71"/>
    <col collapsed="false" customWidth="true" hidden="false" outlineLevel="0" max="2823" min="2823" style="0" width="10.85"/>
    <col collapsed="false" customWidth="true" hidden="false" outlineLevel="0" max="2824" min="2824" style="0" width="16.29"/>
    <col collapsed="false" customWidth="true" hidden="false" outlineLevel="0" max="2825" min="2825" style="0" width="8.15"/>
    <col collapsed="false" customWidth="true" hidden="false" outlineLevel="0" max="2830" min="2826" style="0" width="11.71"/>
    <col collapsed="false" customWidth="true" hidden="false" outlineLevel="0" max="2831" min="2831" style="0" width="15.85"/>
    <col collapsed="false" customWidth="true" hidden="false" outlineLevel="0" max="3073" min="3073" style="0" width="1.57"/>
    <col collapsed="false" customWidth="true" hidden="false" outlineLevel="0" max="3074" min="3074" style="0" width="48.29"/>
    <col collapsed="false" customWidth="true" hidden="false" outlineLevel="0" max="3075" min="3075" style="0" width="13.29"/>
    <col collapsed="false" customWidth="true" hidden="false" outlineLevel="0" max="3076" min="3076" style="0" width="18.29"/>
    <col collapsed="false" customWidth="true" hidden="false" outlineLevel="0" max="3077" min="3077" style="0" width="18.57"/>
    <col collapsed="false" customWidth="true" hidden="false" outlineLevel="0" max="3078" min="3078" style="0" width="12.71"/>
    <col collapsed="false" customWidth="true" hidden="false" outlineLevel="0" max="3079" min="3079" style="0" width="10.85"/>
    <col collapsed="false" customWidth="true" hidden="false" outlineLevel="0" max="3080" min="3080" style="0" width="16.29"/>
    <col collapsed="false" customWidth="true" hidden="false" outlineLevel="0" max="3081" min="3081" style="0" width="8.15"/>
    <col collapsed="false" customWidth="true" hidden="false" outlineLevel="0" max="3086" min="3082" style="0" width="11.71"/>
    <col collapsed="false" customWidth="true" hidden="false" outlineLevel="0" max="3087" min="3087" style="0" width="15.85"/>
    <col collapsed="false" customWidth="true" hidden="false" outlineLevel="0" max="3329" min="3329" style="0" width="1.57"/>
    <col collapsed="false" customWidth="true" hidden="false" outlineLevel="0" max="3330" min="3330" style="0" width="48.29"/>
    <col collapsed="false" customWidth="true" hidden="false" outlineLevel="0" max="3331" min="3331" style="0" width="13.29"/>
    <col collapsed="false" customWidth="true" hidden="false" outlineLevel="0" max="3332" min="3332" style="0" width="18.29"/>
    <col collapsed="false" customWidth="true" hidden="false" outlineLevel="0" max="3333" min="3333" style="0" width="18.57"/>
    <col collapsed="false" customWidth="true" hidden="false" outlineLevel="0" max="3334" min="3334" style="0" width="12.71"/>
    <col collapsed="false" customWidth="true" hidden="false" outlineLevel="0" max="3335" min="3335" style="0" width="10.85"/>
    <col collapsed="false" customWidth="true" hidden="false" outlineLevel="0" max="3336" min="3336" style="0" width="16.29"/>
    <col collapsed="false" customWidth="true" hidden="false" outlineLevel="0" max="3337" min="3337" style="0" width="8.15"/>
    <col collapsed="false" customWidth="true" hidden="false" outlineLevel="0" max="3342" min="3338" style="0" width="11.71"/>
    <col collapsed="false" customWidth="true" hidden="false" outlineLevel="0" max="3343" min="3343" style="0" width="15.85"/>
    <col collapsed="false" customWidth="true" hidden="false" outlineLevel="0" max="3585" min="3585" style="0" width="1.57"/>
    <col collapsed="false" customWidth="true" hidden="false" outlineLevel="0" max="3586" min="3586" style="0" width="48.29"/>
    <col collapsed="false" customWidth="true" hidden="false" outlineLevel="0" max="3587" min="3587" style="0" width="13.29"/>
    <col collapsed="false" customWidth="true" hidden="false" outlineLevel="0" max="3588" min="3588" style="0" width="18.29"/>
    <col collapsed="false" customWidth="true" hidden="false" outlineLevel="0" max="3589" min="3589" style="0" width="18.57"/>
    <col collapsed="false" customWidth="true" hidden="false" outlineLevel="0" max="3590" min="3590" style="0" width="12.71"/>
    <col collapsed="false" customWidth="true" hidden="false" outlineLevel="0" max="3591" min="3591" style="0" width="10.85"/>
    <col collapsed="false" customWidth="true" hidden="false" outlineLevel="0" max="3592" min="3592" style="0" width="16.29"/>
    <col collapsed="false" customWidth="true" hidden="false" outlineLevel="0" max="3593" min="3593" style="0" width="8.15"/>
    <col collapsed="false" customWidth="true" hidden="false" outlineLevel="0" max="3598" min="3594" style="0" width="11.71"/>
    <col collapsed="false" customWidth="true" hidden="false" outlineLevel="0" max="3599" min="3599" style="0" width="15.85"/>
    <col collapsed="false" customWidth="true" hidden="false" outlineLevel="0" max="3841" min="3841" style="0" width="1.57"/>
    <col collapsed="false" customWidth="true" hidden="false" outlineLevel="0" max="3842" min="3842" style="0" width="48.29"/>
    <col collapsed="false" customWidth="true" hidden="false" outlineLevel="0" max="3843" min="3843" style="0" width="13.29"/>
    <col collapsed="false" customWidth="true" hidden="false" outlineLevel="0" max="3844" min="3844" style="0" width="18.29"/>
    <col collapsed="false" customWidth="true" hidden="false" outlineLevel="0" max="3845" min="3845" style="0" width="18.57"/>
    <col collapsed="false" customWidth="true" hidden="false" outlineLevel="0" max="3846" min="3846" style="0" width="12.71"/>
    <col collapsed="false" customWidth="true" hidden="false" outlineLevel="0" max="3847" min="3847" style="0" width="10.85"/>
    <col collapsed="false" customWidth="true" hidden="false" outlineLevel="0" max="3848" min="3848" style="0" width="16.29"/>
    <col collapsed="false" customWidth="true" hidden="false" outlineLevel="0" max="3849" min="3849" style="0" width="8.15"/>
    <col collapsed="false" customWidth="true" hidden="false" outlineLevel="0" max="3854" min="3850" style="0" width="11.71"/>
    <col collapsed="false" customWidth="true" hidden="false" outlineLevel="0" max="3855" min="3855" style="0" width="15.85"/>
    <col collapsed="false" customWidth="true" hidden="false" outlineLevel="0" max="4097" min="4097" style="0" width="1.57"/>
    <col collapsed="false" customWidth="true" hidden="false" outlineLevel="0" max="4098" min="4098" style="0" width="48.29"/>
    <col collapsed="false" customWidth="true" hidden="false" outlineLevel="0" max="4099" min="4099" style="0" width="13.29"/>
    <col collapsed="false" customWidth="true" hidden="false" outlineLevel="0" max="4100" min="4100" style="0" width="18.29"/>
    <col collapsed="false" customWidth="true" hidden="false" outlineLevel="0" max="4101" min="4101" style="0" width="18.57"/>
    <col collapsed="false" customWidth="true" hidden="false" outlineLevel="0" max="4102" min="4102" style="0" width="12.71"/>
    <col collapsed="false" customWidth="true" hidden="false" outlineLevel="0" max="4103" min="4103" style="0" width="10.85"/>
    <col collapsed="false" customWidth="true" hidden="false" outlineLevel="0" max="4104" min="4104" style="0" width="16.29"/>
    <col collapsed="false" customWidth="true" hidden="false" outlineLevel="0" max="4105" min="4105" style="0" width="8.15"/>
    <col collapsed="false" customWidth="true" hidden="false" outlineLevel="0" max="4110" min="4106" style="0" width="11.71"/>
    <col collapsed="false" customWidth="true" hidden="false" outlineLevel="0" max="4111" min="4111" style="0" width="15.85"/>
    <col collapsed="false" customWidth="true" hidden="false" outlineLevel="0" max="4353" min="4353" style="0" width="1.57"/>
    <col collapsed="false" customWidth="true" hidden="false" outlineLevel="0" max="4354" min="4354" style="0" width="48.29"/>
    <col collapsed="false" customWidth="true" hidden="false" outlineLevel="0" max="4355" min="4355" style="0" width="13.29"/>
    <col collapsed="false" customWidth="true" hidden="false" outlineLevel="0" max="4356" min="4356" style="0" width="18.29"/>
    <col collapsed="false" customWidth="true" hidden="false" outlineLevel="0" max="4357" min="4357" style="0" width="18.57"/>
    <col collapsed="false" customWidth="true" hidden="false" outlineLevel="0" max="4358" min="4358" style="0" width="12.71"/>
    <col collapsed="false" customWidth="true" hidden="false" outlineLevel="0" max="4359" min="4359" style="0" width="10.85"/>
    <col collapsed="false" customWidth="true" hidden="false" outlineLevel="0" max="4360" min="4360" style="0" width="16.29"/>
    <col collapsed="false" customWidth="true" hidden="false" outlineLevel="0" max="4361" min="4361" style="0" width="8.15"/>
    <col collapsed="false" customWidth="true" hidden="false" outlineLevel="0" max="4366" min="4362" style="0" width="11.71"/>
    <col collapsed="false" customWidth="true" hidden="false" outlineLevel="0" max="4367" min="4367" style="0" width="15.85"/>
    <col collapsed="false" customWidth="true" hidden="false" outlineLevel="0" max="4609" min="4609" style="0" width="1.57"/>
    <col collapsed="false" customWidth="true" hidden="false" outlineLevel="0" max="4610" min="4610" style="0" width="48.29"/>
    <col collapsed="false" customWidth="true" hidden="false" outlineLevel="0" max="4611" min="4611" style="0" width="13.29"/>
    <col collapsed="false" customWidth="true" hidden="false" outlineLevel="0" max="4612" min="4612" style="0" width="18.29"/>
    <col collapsed="false" customWidth="true" hidden="false" outlineLevel="0" max="4613" min="4613" style="0" width="18.57"/>
    <col collapsed="false" customWidth="true" hidden="false" outlineLevel="0" max="4614" min="4614" style="0" width="12.71"/>
    <col collapsed="false" customWidth="true" hidden="false" outlineLevel="0" max="4615" min="4615" style="0" width="10.85"/>
    <col collapsed="false" customWidth="true" hidden="false" outlineLevel="0" max="4616" min="4616" style="0" width="16.29"/>
    <col collapsed="false" customWidth="true" hidden="false" outlineLevel="0" max="4617" min="4617" style="0" width="8.15"/>
    <col collapsed="false" customWidth="true" hidden="false" outlineLevel="0" max="4622" min="4618" style="0" width="11.71"/>
    <col collapsed="false" customWidth="true" hidden="false" outlineLevel="0" max="4623" min="4623" style="0" width="15.85"/>
    <col collapsed="false" customWidth="true" hidden="false" outlineLevel="0" max="4865" min="4865" style="0" width="1.57"/>
    <col collapsed="false" customWidth="true" hidden="false" outlineLevel="0" max="4866" min="4866" style="0" width="48.29"/>
    <col collapsed="false" customWidth="true" hidden="false" outlineLevel="0" max="4867" min="4867" style="0" width="13.29"/>
    <col collapsed="false" customWidth="true" hidden="false" outlineLevel="0" max="4868" min="4868" style="0" width="18.29"/>
    <col collapsed="false" customWidth="true" hidden="false" outlineLevel="0" max="4869" min="4869" style="0" width="18.57"/>
    <col collapsed="false" customWidth="true" hidden="false" outlineLevel="0" max="4870" min="4870" style="0" width="12.71"/>
    <col collapsed="false" customWidth="true" hidden="false" outlineLevel="0" max="4871" min="4871" style="0" width="10.85"/>
    <col collapsed="false" customWidth="true" hidden="false" outlineLevel="0" max="4872" min="4872" style="0" width="16.29"/>
    <col collapsed="false" customWidth="true" hidden="false" outlineLevel="0" max="4873" min="4873" style="0" width="8.15"/>
    <col collapsed="false" customWidth="true" hidden="false" outlineLevel="0" max="4878" min="4874" style="0" width="11.71"/>
    <col collapsed="false" customWidth="true" hidden="false" outlineLevel="0" max="4879" min="4879" style="0" width="15.85"/>
    <col collapsed="false" customWidth="true" hidden="false" outlineLevel="0" max="5121" min="5121" style="0" width="1.57"/>
    <col collapsed="false" customWidth="true" hidden="false" outlineLevel="0" max="5122" min="5122" style="0" width="48.29"/>
    <col collapsed="false" customWidth="true" hidden="false" outlineLevel="0" max="5123" min="5123" style="0" width="13.29"/>
    <col collapsed="false" customWidth="true" hidden="false" outlineLevel="0" max="5124" min="5124" style="0" width="18.29"/>
    <col collapsed="false" customWidth="true" hidden="false" outlineLevel="0" max="5125" min="5125" style="0" width="18.57"/>
    <col collapsed="false" customWidth="true" hidden="false" outlineLevel="0" max="5126" min="5126" style="0" width="12.71"/>
    <col collapsed="false" customWidth="true" hidden="false" outlineLevel="0" max="5127" min="5127" style="0" width="10.85"/>
    <col collapsed="false" customWidth="true" hidden="false" outlineLevel="0" max="5128" min="5128" style="0" width="16.29"/>
    <col collapsed="false" customWidth="true" hidden="false" outlineLevel="0" max="5129" min="5129" style="0" width="8.15"/>
    <col collapsed="false" customWidth="true" hidden="false" outlineLevel="0" max="5134" min="5130" style="0" width="11.71"/>
    <col collapsed="false" customWidth="true" hidden="false" outlineLevel="0" max="5135" min="5135" style="0" width="15.85"/>
    <col collapsed="false" customWidth="true" hidden="false" outlineLevel="0" max="5377" min="5377" style="0" width="1.57"/>
    <col collapsed="false" customWidth="true" hidden="false" outlineLevel="0" max="5378" min="5378" style="0" width="48.29"/>
    <col collapsed="false" customWidth="true" hidden="false" outlineLevel="0" max="5379" min="5379" style="0" width="13.29"/>
    <col collapsed="false" customWidth="true" hidden="false" outlineLevel="0" max="5380" min="5380" style="0" width="18.29"/>
    <col collapsed="false" customWidth="true" hidden="false" outlineLevel="0" max="5381" min="5381" style="0" width="18.57"/>
    <col collapsed="false" customWidth="true" hidden="false" outlineLevel="0" max="5382" min="5382" style="0" width="12.71"/>
    <col collapsed="false" customWidth="true" hidden="false" outlineLevel="0" max="5383" min="5383" style="0" width="10.85"/>
    <col collapsed="false" customWidth="true" hidden="false" outlineLevel="0" max="5384" min="5384" style="0" width="16.29"/>
    <col collapsed="false" customWidth="true" hidden="false" outlineLevel="0" max="5385" min="5385" style="0" width="8.15"/>
    <col collapsed="false" customWidth="true" hidden="false" outlineLevel="0" max="5390" min="5386" style="0" width="11.71"/>
    <col collapsed="false" customWidth="true" hidden="false" outlineLevel="0" max="5391" min="5391" style="0" width="15.85"/>
    <col collapsed="false" customWidth="true" hidden="false" outlineLevel="0" max="5633" min="5633" style="0" width="1.57"/>
    <col collapsed="false" customWidth="true" hidden="false" outlineLevel="0" max="5634" min="5634" style="0" width="48.29"/>
    <col collapsed="false" customWidth="true" hidden="false" outlineLevel="0" max="5635" min="5635" style="0" width="13.29"/>
    <col collapsed="false" customWidth="true" hidden="false" outlineLevel="0" max="5636" min="5636" style="0" width="18.29"/>
    <col collapsed="false" customWidth="true" hidden="false" outlineLevel="0" max="5637" min="5637" style="0" width="18.57"/>
    <col collapsed="false" customWidth="true" hidden="false" outlineLevel="0" max="5638" min="5638" style="0" width="12.71"/>
    <col collapsed="false" customWidth="true" hidden="false" outlineLevel="0" max="5639" min="5639" style="0" width="10.85"/>
    <col collapsed="false" customWidth="true" hidden="false" outlineLevel="0" max="5640" min="5640" style="0" width="16.29"/>
    <col collapsed="false" customWidth="true" hidden="false" outlineLevel="0" max="5641" min="5641" style="0" width="8.15"/>
    <col collapsed="false" customWidth="true" hidden="false" outlineLevel="0" max="5646" min="5642" style="0" width="11.71"/>
    <col collapsed="false" customWidth="true" hidden="false" outlineLevel="0" max="5647" min="5647" style="0" width="15.85"/>
    <col collapsed="false" customWidth="true" hidden="false" outlineLevel="0" max="5889" min="5889" style="0" width="1.57"/>
    <col collapsed="false" customWidth="true" hidden="false" outlineLevel="0" max="5890" min="5890" style="0" width="48.29"/>
    <col collapsed="false" customWidth="true" hidden="false" outlineLevel="0" max="5891" min="5891" style="0" width="13.29"/>
    <col collapsed="false" customWidth="true" hidden="false" outlineLevel="0" max="5892" min="5892" style="0" width="18.29"/>
    <col collapsed="false" customWidth="true" hidden="false" outlineLevel="0" max="5893" min="5893" style="0" width="18.57"/>
    <col collapsed="false" customWidth="true" hidden="false" outlineLevel="0" max="5894" min="5894" style="0" width="12.71"/>
    <col collapsed="false" customWidth="true" hidden="false" outlineLevel="0" max="5895" min="5895" style="0" width="10.85"/>
    <col collapsed="false" customWidth="true" hidden="false" outlineLevel="0" max="5896" min="5896" style="0" width="16.29"/>
    <col collapsed="false" customWidth="true" hidden="false" outlineLevel="0" max="5897" min="5897" style="0" width="8.15"/>
    <col collapsed="false" customWidth="true" hidden="false" outlineLevel="0" max="5902" min="5898" style="0" width="11.71"/>
    <col collapsed="false" customWidth="true" hidden="false" outlineLevel="0" max="5903" min="5903" style="0" width="15.85"/>
    <col collapsed="false" customWidth="true" hidden="false" outlineLevel="0" max="6145" min="6145" style="0" width="1.57"/>
    <col collapsed="false" customWidth="true" hidden="false" outlineLevel="0" max="6146" min="6146" style="0" width="48.29"/>
    <col collapsed="false" customWidth="true" hidden="false" outlineLevel="0" max="6147" min="6147" style="0" width="13.29"/>
    <col collapsed="false" customWidth="true" hidden="false" outlineLevel="0" max="6148" min="6148" style="0" width="18.29"/>
    <col collapsed="false" customWidth="true" hidden="false" outlineLevel="0" max="6149" min="6149" style="0" width="18.57"/>
    <col collapsed="false" customWidth="true" hidden="false" outlineLevel="0" max="6150" min="6150" style="0" width="12.71"/>
    <col collapsed="false" customWidth="true" hidden="false" outlineLevel="0" max="6151" min="6151" style="0" width="10.85"/>
    <col collapsed="false" customWidth="true" hidden="false" outlineLevel="0" max="6152" min="6152" style="0" width="16.29"/>
    <col collapsed="false" customWidth="true" hidden="false" outlineLevel="0" max="6153" min="6153" style="0" width="8.15"/>
    <col collapsed="false" customWidth="true" hidden="false" outlineLevel="0" max="6158" min="6154" style="0" width="11.71"/>
    <col collapsed="false" customWidth="true" hidden="false" outlineLevel="0" max="6159" min="6159" style="0" width="15.85"/>
    <col collapsed="false" customWidth="true" hidden="false" outlineLevel="0" max="6401" min="6401" style="0" width="1.57"/>
    <col collapsed="false" customWidth="true" hidden="false" outlineLevel="0" max="6402" min="6402" style="0" width="48.29"/>
    <col collapsed="false" customWidth="true" hidden="false" outlineLevel="0" max="6403" min="6403" style="0" width="13.29"/>
    <col collapsed="false" customWidth="true" hidden="false" outlineLevel="0" max="6404" min="6404" style="0" width="18.29"/>
    <col collapsed="false" customWidth="true" hidden="false" outlineLevel="0" max="6405" min="6405" style="0" width="18.57"/>
    <col collapsed="false" customWidth="true" hidden="false" outlineLevel="0" max="6406" min="6406" style="0" width="12.71"/>
    <col collapsed="false" customWidth="true" hidden="false" outlineLevel="0" max="6407" min="6407" style="0" width="10.85"/>
    <col collapsed="false" customWidth="true" hidden="false" outlineLevel="0" max="6408" min="6408" style="0" width="16.29"/>
    <col collapsed="false" customWidth="true" hidden="false" outlineLevel="0" max="6409" min="6409" style="0" width="8.15"/>
    <col collapsed="false" customWidth="true" hidden="false" outlineLevel="0" max="6414" min="6410" style="0" width="11.71"/>
    <col collapsed="false" customWidth="true" hidden="false" outlineLevel="0" max="6415" min="6415" style="0" width="15.85"/>
    <col collapsed="false" customWidth="true" hidden="false" outlineLevel="0" max="6657" min="6657" style="0" width="1.57"/>
    <col collapsed="false" customWidth="true" hidden="false" outlineLevel="0" max="6658" min="6658" style="0" width="48.29"/>
    <col collapsed="false" customWidth="true" hidden="false" outlineLevel="0" max="6659" min="6659" style="0" width="13.29"/>
    <col collapsed="false" customWidth="true" hidden="false" outlineLevel="0" max="6660" min="6660" style="0" width="18.29"/>
    <col collapsed="false" customWidth="true" hidden="false" outlineLevel="0" max="6661" min="6661" style="0" width="18.57"/>
    <col collapsed="false" customWidth="true" hidden="false" outlineLevel="0" max="6662" min="6662" style="0" width="12.71"/>
    <col collapsed="false" customWidth="true" hidden="false" outlineLevel="0" max="6663" min="6663" style="0" width="10.85"/>
    <col collapsed="false" customWidth="true" hidden="false" outlineLevel="0" max="6664" min="6664" style="0" width="16.29"/>
    <col collapsed="false" customWidth="true" hidden="false" outlineLevel="0" max="6665" min="6665" style="0" width="8.15"/>
    <col collapsed="false" customWidth="true" hidden="false" outlineLevel="0" max="6670" min="6666" style="0" width="11.71"/>
    <col collapsed="false" customWidth="true" hidden="false" outlineLevel="0" max="6671" min="6671" style="0" width="15.85"/>
    <col collapsed="false" customWidth="true" hidden="false" outlineLevel="0" max="6913" min="6913" style="0" width="1.57"/>
    <col collapsed="false" customWidth="true" hidden="false" outlineLevel="0" max="6914" min="6914" style="0" width="48.29"/>
    <col collapsed="false" customWidth="true" hidden="false" outlineLevel="0" max="6915" min="6915" style="0" width="13.29"/>
    <col collapsed="false" customWidth="true" hidden="false" outlineLevel="0" max="6916" min="6916" style="0" width="18.29"/>
    <col collapsed="false" customWidth="true" hidden="false" outlineLevel="0" max="6917" min="6917" style="0" width="18.57"/>
    <col collapsed="false" customWidth="true" hidden="false" outlineLevel="0" max="6918" min="6918" style="0" width="12.71"/>
    <col collapsed="false" customWidth="true" hidden="false" outlineLevel="0" max="6919" min="6919" style="0" width="10.85"/>
    <col collapsed="false" customWidth="true" hidden="false" outlineLevel="0" max="6920" min="6920" style="0" width="16.29"/>
    <col collapsed="false" customWidth="true" hidden="false" outlineLevel="0" max="6921" min="6921" style="0" width="8.15"/>
    <col collapsed="false" customWidth="true" hidden="false" outlineLevel="0" max="6926" min="6922" style="0" width="11.71"/>
    <col collapsed="false" customWidth="true" hidden="false" outlineLevel="0" max="6927" min="6927" style="0" width="15.85"/>
    <col collapsed="false" customWidth="true" hidden="false" outlineLevel="0" max="7169" min="7169" style="0" width="1.57"/>
    <col collapsed="false" customWidth="true" hidden="false" outlineLevel="0" max="7170" min="7170" style="0" width="48.29"/>
    <col collapsed="false" customWidth="true" hidden="false" outlineLevel="0" max="7171" min="7171" style="0" width="13.29"/>
    <col collapsed="false" customWidth="true" hidden="false" outlineLevel="0" max="7172" min="7172" style="0" width="18.29"/>
    <col collapsed="false" customWidth="true" hidden="false" outlineLevel="0" max="7173" min="7173" style="0" width="18.57"/>
    <col collapsed="false" customWidth="true" hidden="false" outlineLevel="0" max="7174" min="7174" style="0" width="12.71"/>
    <col collapsed="false" customWidth="true" hidden="false" outlineLevel="0" max="7175" min="7175" style="0" width="10.85"/>
    <col collapsed="false" customWidth="true" hidden="false" outlineLevel="0" max="7176" min="7176" style="0" width="16.29"/>
    <col collapsed="false" customWidth="true" hidden="false" outlineLevel="0" max="7177" min="7177" style="0" width="8.15"/>
    <col collapsed="false" customWidth="true" hidden="false" outlineLevel="0" max="7182" min="7178" style="0" width="11.71"/>
    <col collapsed="false" customWidth="true" hidden="false" outlineLevel="0" max="7183" min="7183" style="0" width="15.85"/>
    <col collapsed="false" customWidth="true" hidden="false" outlineLevel="0" max="7425" min="7425" style="0" width="1.57"/>
    <col collapsed="false" customWidth="true" hidden="false" outlineLevel="0" max="7426" min="7426" style="0" width="48.29"/>
    <col collapsed="false" customWidth="true" hidden="false" outlineLevel="0" max="7427" min="7427" style="0" width="13.29"/>
    <col collapsed="false" customWidth="true" hidden="false" outlineLevel="0" max="7428" min="7428" style="0" width="18.29"/>
    <col collapsed="false" customWidth="true" hidden="false" outlineLevel="0" max="7429" min="7429" style="0" width="18.57"/>
    <col collapsed="false" customWidth="true" hidden="false" outlineLevel="0" max="7430" min="7430" style="0" width="12.71"/>
    <col collapsed="false" customWidth="true" hidden="false" outlineLevel="0" max="7431" min="7431" style="0" width="10.85"/>
    <col collapsed="false" customWidth="true" hidden="false" outlineLevel="0" max="7432" min="7432" style="0" width="16.29"/>
    <col collapsed="false" customWidth="true" hidden="false" outlineLevel="0" max="7433" min="7433" style="0" width="8.15"/>
    <col collapsed="false" customWidth="true" hidden="false" outlineLevel="0" max="7438" min="7434" style="0" width="11.71"/>
    <col collapsed="false" customWidth="true" hidden="false" outlineLevel="0" max="7439" min="7439" style="0" width="15.85"/>
    <col collapsed="false" customWidth="true" hidden="false" outlineLevel="0" max="7681" min="7681" style="0" width="1.57"/>
    <col collapsed="false" customWidth="true" hidden="false" outlineLevel="0" max="7682" min="7682" style="0" width="48.29"/>
    <col collapsed="false" customWidth="true" hidden="false" outlineLevel="0" max="7683" min="7683" style="0" width="13.29"/>
    <col collapsed="false" customWidth="true" hidden="false" outlineLevel="0" max="7684" min="7684" style="0" width="18.29"/>
    <col collapsed="false" customWidth="true" hidden="false" outlineLevel="0" max="7685" min="7685" style="0" width="18.57"/>
    <col collapsed="false" customWidth="true" hidden="false" outlineLevel="0" max="7686" min="7686" style="0" width="12.71"/>
    <col collapsed="false" customWidth="true" hidden="false" outlineLevel="0" max="7687" min="7687" style="0" width="10.85"/>
    <col collapsed="false" customWidth="true" hidden="false" outlineLevel="0" max="7688" min="7688" style="0" width="16.29"/>
    <col collapsed="false" customWidth="true" hidden="false" outlineLevel="0" max="7689" min="7689" style="0" width="8.15"/>
    <col collapsed="false" customWidth="true" hidden="false" outlineLevel="0" max="7694" min="7690" style="0" width="11.71"/>
    <col collapsed="false" customWidth="true" hidden="false" outlineLevel="0" max="7695" min="7695" style="0" width="15.85"/>
    <col collapsed="false" customWidth="true" hidden="false" outlineLevel="0" max="7937" min="7937" style="0" width="1.57"/>
    <col collapsed="false" customWidth="true" hidden="false" outlineLevel="0" max="7938" min="7938" style="0" width="48.29"/>
    <col collapsed="false" customWidth="true" hidden="false" outlineLevel="0" max="7939" min="7939" style="0" width="13.29"/>
    <col collapsed="false" customWidth="true" hidden="false" outlineLevel="0" max="7940" min="7940" style="0" width="18.29"/>
    <col collapsed="false" customWidth="true" hidden="false" outlineLevel="0" max="7941" min="7941" style="0" width="18.57"/>
    <col collapsed="false" customWidth="true" hidden="false" outlineLevel="0" max="7942" min="7942" style="0" width="12.71"/>
    <col collapsed="false" customWidth="true" hidden="false" outlineLevel="0" max="7943" min="7943" style="0" width="10.85"/>
    <col collapsed="false" customWidth="true" hidden="false" outlineLevel="0" max="7944" min="7944" style="0" width="16.29"/>
    <col collapsed="false" customWidth="true" hidden="false" outlineLevel="0" max="7945" min="7945" style="0" width="8.15"/>
    <col collapsed="false" customWidth="true" hidden="false" outlineLevel="0" max="7950" min="7946" style="0" width="11.71"/>
    <col collapsed="false" customWidth="true" hidden="false" outlineLevel="0" max="7951" min="7951" style="0" width="15.85"/>
    <col collapsed="false" customWidth="true" hidden="false" outlineLevel="0" max="8193" min="8193" style="0" width="1.57"/>
    <col collapsed="false" customWidth="true" hidden="false" outlineLevel="0" max="8194" min="8194" style="0" width="48.29"/>
    <col collapsed="false" customWidth="true" hidden="false" outlineLevel="0" max="8195" min="8195" style="0" width="13.29"/>
    <col collapsed="false" customWidth="true" hidden="false" outlineLevel="0" max="8196" min="8196" style="0" width="18.29"/>
    <col collapsed="false" customWidth="true" hidden="false" outlineLevel="0" max="8197" min="8197" style="0" width="18.57"/>
    <col collapsed="false" customWidth="true" hidden="false" outlineLevel="0" max="8198" min="8198" style="0" width="12.71"/>
    <col collapsed="false" customWidth="true" hidden="false" outlineLevel="0" max="8199" min="8199" style="0" width="10.85"/>
    <col collapsed="false" customWidth="true" hidden="false" outlineLevel="0" max="8200" min="8200" style="0" width="16.29"/>
    <col collapsed="false" customWidth="true" hidden="false" outlineLevel="0" max="8201" min="8201" style="0" width="8.15"/>
    <col collapsed="false" customWidth="true" hidden="false" outlineLevel="0" max="8206" min="8202" style="0" width="11.71"/>
    <col collapsed="false" customWidth="true" hidden="false" outlineLevel="0" max="8207" min="8207" style="0" width="15.85"/>
    <col collapsed="false" customWidth="true" hidden="false" outlineLevel="0" max="8449" min="8449" style="0" width="1.57"/>
    <col collapsed="false" customWidth="true" hidden="false" outlineLevel="0" max="8450" min="8450" style="0" width="48.29"/>
    <col collapsed="false" customWidth="true" hidden="false" outlineLevel="0" max="8451" min="8451" style="0" width="13.29"/>
    <col collapsed="false" customWidth="true" hidden="false" outlineLevel="0" max="8452" min="8452" style="0" width="18.29"/>
    <col collapsed="false" customWidth="true" hidden="false" outlineLevel="0" max="8453" min="8453" style="0" width="18.57"/>
    <col collapsed="false" customWidth="true" hidden="false" outlineLevel="0" max="8454" min="8454" style="0" width="12.71"/>
    <col collapsed="false" customWidth="true" hidden="false" outlineLevel="0" max="8455" min="8455" style="0" width="10.85"/>
    <col collapsed="false" customWidth="true" hidden="false" outlineLevel="0" max="8456" min="8456" style="0" width="16.29"/>
    <col collapsed="false" customWidth="true" hidden="false" outlineLevel="0" max="8457" min="8457" style="0" width="8.15"/>
    <col collapsed="false" customWidth="true" hidden="false" outlineLevel="0" max="8462" min="8458" style="0" width="11.71"/>
    <col collapsed="false" customWidth="true" hidden="false" outlineLevel="0" max="8463" min="8463" style="0" width="15.85"/>
    <col collapsed="false" customWidth="true" hidden="false" outlineLevel="0" max="8705" min="8705" style="0" width="1.57"/>
    <col collapsed="false" customWidth="true" hidden="false" outlineLevel="0" max="8706" min="8706" style="0" width="48.29"/>
    <col collapsed="false" customWidth="true" hidden="false" outlineLevel="0" max="8707" min="8707" style="0" width="13.29"/>
    <col collapsed="false" customWidth="true" hidden="false" outlineLevel="0" max="8708" min="8708" style="0" width="18.29"/>
    <col collapsed="false" customWidth="true" hidden="false" outlineLevel="0" max="8709" min="8709" style="0" width="18.57"/>
    <col collapsed="false" customWidth="true" hidden="false" outlineLevel="0" max="8710" min="8710" style="0" width="12.71"/>
    <col collapsed="false" customWidth="true" hidden="false" outlineLevel="0" max="8711" min="8711" style="0" width="10.85"/>
    <col collapsed="false" customWidth="true" hidden="false" outlineLevel="0" max="8712" min="8712" style="0" width="16.29"/>
    <col collapsed="false" customWidth="true" hidden="false" outlineLevel="0" max="8713" min="8713" style="0" width="8.15"/>
    <col collapsed="false" customWidth="true" hidden="false" outlineLevel="0" max="8718" min="8714" style="0" width="11.71"/>
    <col collapsed="false" customWidth="true" hidden="false" outlineLevel="0" max="8719" min="8719" style="0" width="15.85"/>
    <col collapsed="false" customWidth="true" hidden="false" outlineLevel="0" max="8961" min="8961" style="0" width="1.57"/>
    <col collapsed="false" customWidth="true" hidden="false" outlineLevel="0" max="8962" min="8962" style="0" width="48.29"/>
    <col collapsed="false" customWidth="true" hidden="false" outlineLevel="0" max="8963" min="8963" style="0" width="13.29"/>
    <col collapsed="false" customWidth="true" hidden="false" outlineLevel="0" max="8964" min="8964" style="0" width="18.29"/>
    <col collapsed="false" customWidth="true" hidden="false" outlineLevel="0" max="8965" min="8965" style="0" width="18.57"/>
    <col collapsed="false" customWidth="true" hidden="false" outlineLevel="0" max="8966" min="8966" style="0" width="12.71"/>
    <col collapsed="false" customWidth="true" hidden="false" outlineLevel="0" max="8967" min="8967" style="0" width="10.85"/>
    <col collapsed="false" customWidth="true" hidden="false" outlineLevel="0" max="8968" min="8968" style="0" width="16.29"/>
    <col collapsed="false" customWidth="true" hidden="false" outlineLevel="0" max="8969" min="8969" style="0" width="8.15"/>
    <col collapsed="false" customWidth="true" hidden="false" outlineLevel="0" max="8974" min="8970" style="0" width="11.71"/>
    <col collapsed="false" customWidth="true" hidden="false" outlineLevel="0" max="8975" min="8975" style="0" width="15.85"/>
    <col collapsed="false" customWidth="true" hidden="false" outlineLevel="0" max="9217" min="9217" style="0" width="1.57"/>
    <col collapsed="false" customWidth="true" hidden="false" outlineLevel="0" max="9218" min="9218" style="0" width="48.29"/>
    <col collapsed="false" customWidth="true" hidden="false" outlineLevel="0" max="9219" min="9219" style="0" width="13.29"/>
    <col collapsed="false" customWidth="true" hidden="false" outlineLevel="0" max="9220" min="9220" style="0" width="18.29"/>
    <col collapsed="false" customWidth="true" hidden="false" outlineLevel="0" max="9221" min="9221" style="0" width="18.57"/>
    <col collapsed="false" customWidth="true" hidden="false" outlineLevel="0" max="9222" min="9222" style="0" width="12.71"/>
    <col collapsed="false" customWidth="true" hidden="false" outlineLevel="0" max="9223" min="9223" style="0" width="10.85"/>
    <col collapsed="false" customWidth="true" hidden="false" outlineLevel="0" max="9224" min="9224" style="0" width="16.29"/>
    <col collapsed="false" customWidth="true" hidden="false" outlineLevel="0" max="9225" min="9225" style="0" width="8.15"/>
    <col collapsed="false" customWidth="true" hidden="false" outlineLevel="0" max="9230" min="9226" style="0" width="11.71"/>
    <col collapsed="false" customWidth="true" hidden="false" outlineLevel="0" max="9231" min="9231" style="0" width="15.85"/>
    <col collapsed="false" customWidth="true" hidden="false" outlineLevel="0" max="9473" min="9473" style="0" width="1.57"/>
    <col collapsed="false" customWidth="true" hidden="false" outlineLevel="0" max="9474" min="9474" style="0" width="48.29"/>
    <col collapsed="false" customWidth="true" hidden="false" outlineLevel="0" max="9475" min="9475" style="0" width="13.29"/>
    <col collapsed="false" customWidth="true" hidden="false" outlineLevel="0" max="9476" min="9476" style="0" width="18.29"/>
    <col collapsed="false" customWidth="true" hidden="false" outlineLevel="0" max="9477" min="9477" style="0" width="18.57"/>
    <col collapsed="false" customWidth="true" hidden="false" outlineLevel="0" max="9478" min="9478" style="0" width="12.71"/>
    <col collapsed="false" customWidth="true" hidden="false" outlineLevel="0" max="9479" min="9479" style="0" width="10.85"/>
    <col collapsed="false" customWidth="true" hidden="false" outlineLevel="0" max="9480" min="9480" style="0" width="16.29"/>
    <col collapsed="false" customWidth="true" hidden="false" outlineLevel="0" max="9481" min="9481" style="0" width="8.15"/>
    <col collapsed="false" customWidth="true" hidden="false" outlineLevel="0" max="9486" min="9482" style="0" width="11.71"/>
    <col collapsed="false" customWidth="true" hidden="false" outlineLevel="0" max="9487" min="9487" style="0" width="15.85"/>
    <col collapsed="false" customWidth="true" hidden="false" outlineLevel="0" max="9729" min="9729" style="0" width="1.57"/>
    <col collapsed="false" customWidth="true" hidden="false" outlineLevel="0" max="9730" min="9730" style="0" width="48.29"/>
    <col collapsed="false" customWidth="true" hidden="false" outlineLevel="0" max="9731" min="9731" style="0" width="13.29"/>
    <col collapsed="false" customWidth="true" hidden="false" outlineLevel="0" max="9732" min="9732" style="0" width="18.29"/>
    <col collapsed="false" customWidth="true" hidden="false" outlineLevel="0" max="9733" min="9733" style="0" width="18.57"/>
    <col collapsed="false" customWidth="true" hidden="false" outlineLevel="0" max="9734" min="9734" style="0" width="12.71"/>
    <col collapsed="false" customWidth="true" hidden="false" outlineLevel="0" max="9735" min="9735" style="0" width="10.85"/>
    <col collapsed="false" customWidth="true" hidden="false" outlineLevel="0" max="9736" min="9736" style="0" width="16.29"/>
    <col collapsed="false" customWidth="true" hidden="false" outlineLevel="0" max="9737" min="9737" style="0" width="8.15"/>
    <col collapsed="false" customWidth="true" hidden="false" outlineLevel="0" max="9742" min="9738" style="0" width="11.71"/>
    <col collapsed="false" customWidth="true" hidden="false" outlineLevel="0" max="9743" min="9743" style="0" width="15.85"/>
    <col collapsed="false" customWidth="true" hidden="false" outlineLevel="0" max="9985" min="9985" style="0" width="1.57"/>
    <col collapsed="false" customWidth="true" hidden="false" outlineLevel="0" max="9986" min="9986" style="0" width="48.29"/>
    <col collapsed="false" customWidth="true" hidden="false" outlineLevel="0" max="9987" min="9987" style="0" width="13.29"/>
    <col collapsed="false" customWidth="true" hidden="false" outlineLevel="0" max="9988" min="9988" style="0" width="18.29"/>
    <col collapsed="false" customWidth="true" hidden="false" outlineLevel="0" max="9989" min="9989" style="0" width="18.57"/>
    <col collapsed="false" customWidth="true" hidden="false" outlineLevel="0" max="9990" min="9990" style="0" width="12.71"/>
    <col collapsed="false" customWidth="true" hidden="false" outlineLevel="0" max="9991" min="9991" style="0" width="10.85"/>
    <col collapsed="false" customWidth="true" hidden="false" outlineLevel="0" max="9992" min="9992" style="0" width="16.29"/>
    <col collapsed="false" customWidth="true" hidden="false" outlineLevel="0" max="9993" min="9993" style="0" width="8.15"/>
    <col collapsed="false" customWidth="true" hidden="false" outlineLevel="0" max="9998" min="9994" style="0" width="11.71"/>
    <col collapsed="false" customWidth="true" hidden="false" outlineLevel="0" max="9999" min="9999" style="0" width="15.85"/>
    <col collapsed="false" customWidth="true" hidden="false" outlineLevel="0" max="10241" min="10241" style="0" width="1.57"/>
    <col collapsed="false" customWidth="true" hidden="false" outlineLevel="0" max="10242" min="10242" style="0" width="48.29"/>
    <col collapsed="false" customWidth="true" hidden="false" outlineLevel="0" max="10243" min="10243" style="0" width="13.29"/>
    <col collapsed="false" customWidth="true" hidden="false" outlineLevel="0" max="10244" min="10244" style="0" width="18.29"/>
    <col collapsed="false" customWidth="true" hidden="false" outlineLevel="0" max="10245" min="10245" style="0" width="18.57"/>
    <col collapsed="false" customWidth="true" hidden="false" outlineLevel="0" max="10246" min="10246" style="0" width="12.71"/>
    <col collapsed="false" customWidth="true" hidden="false" outlineLevel="0" max="10247" min="10247" style="0" width="10.85"/>
    <col collapsed="false" customWidth="true" hidden="false" outlineLevel="0" max="10248" min="10248" style="0" width="16.29"/>
    <col collapsed="false" customWidth="true" hidden="false" outlineLevel="0" max="10249" min="10249" style="0" width="8.15"/>
    <col collapsed="false" customWidth="true" hidden="false" outlineLevel="0" max="10254" min="10250" style="0" width="11.71"/>
    <col collapsed="false" customWidth="true" hidden="false" outlineLevel="0" max="10255" min="10255" style="0" width="15.85"/>
    <col collapsed="false" customWidth="true" hidden="false" outlineLevel="0" max="10497" min="10497" style="0" width="1.57"/>
    <col collapsed="false" customWidth="true" hidden="false" outlineLevel="0" max="10498" min="10498" style="0" width="48.29"/>
    <col collapsed="false" customWidth="true" hidden="false" outlineLevel="0" max="10499" min="10499" style="0" width="13.29"/>
    <col collapsed="false" customWidth="true" hidden="false" outlineLevel="0" max="10500" min="10500" style="0" width="18.29"/>
    <col collapsed="false" customWidth="true" hidden="false" outlineLevel="0" max="10501" min="10501" style="0" width="18.57"/>
    <col collapsed="false" customWidth="true" hidden="false" outlineLevel="0" max="10502" min="10502" style="0" width="12.71"/>
    <col collapsed="false" customWidth="true" hidden="false" outlineLevel="0" max="10503" min="10503" style="0" width="10.85"/>
    <col collapsed="false" customWidth="true" hidden="false" outlineLevel="0" max="10504" min="10504" style="0" width="16.29"/>
    <col collapsed="false" customWidth="true" hidden="false" outlineLevel="0" max="10505" min="10505" style="0" width="8.15"/>
    <col collapsed="false" customWidth="true" hidden="false" outlineLevel="0" max="10510" min="10506" style="0" width="11.71"/>
    <col collapsed="false" customWidth="true" hidden="false" outlineLevel="0" max="10511" min="10511" style="0" width="15.85"/>
    <col collapsed="false" customWidth="true" hidden="false" outlineLevel="0" max="10753" min="10753" style="0" width="1.57"/>
    <col collapsed="false" customWidth="true" hidden="false" outlineLevel="0" max="10754" min="10754" style="0" width="48.29"/>
    <col collapsed="false" customWidth="true" hidden="false" outlineLevel="0" max="10755" min="10755" style="0" width="13.29"/>
    <col collapsed="false" customWidth="true" hidden="false" outlineLevel="0" max="10756" min="10756" style="0" width="18.29"/>
    <col collapsed="false" customWidth="true" hidden="false" outlineLevel="0" max="10757" min="10757" style="0" width="18.57"/>
    <col collapsed="false" customWidth="true" hidden="false" outlineLevel="0" max="10758" min="10758" style="0" width="12.71"/>
    <col collapsed="false" customWidth="true" hidden="false" outlineLevel="0" max="10759" min="10759" style="0" width="10.85"/>
    <col collapsed="false" customWidth="true" hidden="false" outlineLevel="0" max="10760" min="10760" style="0" width="16.29"/>
    <col collapsed="false" customWidth="true" hidden="false" outlineLevel="0" max="10761" min="10761" style="0" width="8.15"/>
    <col collapsed="false" customWidth="true" hidden="false" outlineLevel="0" max="10766" min="10762" style="0" width="11.71"/>
    <col collapsed="false" customWidth="true" hidden="false" outlineLevel="0" max="10767" min="10767" style="0" width="15.85"/>
    <col collapsed="false" customWidth="true" hidden="false" outlineLevel="0" max="11009" min="11009" style="0" width="1.57"/>
    <col collapsed="false" customWidth="true" hidden="false" outlineLevel="0" max="11010" min="11010" style="0" width="48.29"/>
    <col collapsed="false" customWidth="true" hidden="false" outlineLevel="0" max="11011" min="11011" style="0" width="13.29"/>
    <col collapsed="false" customWidth="true" hidden="false" outlineLevel="0" max="11012" min="11012" style="0" width="18.29"/>
    <col collapsed="false" customWidth="true" hidden="false" outlineLevel="0" max="11013" min="11013" style="0" width="18.57"/>
    <col collapsed="false" customWidth="true" hidden="false" outlineLevel="0" max="11014" min="11014" style="0" width="12.71"/>
    <col collapsed="false" customWidth="true" hidden="false" outlineLevel="0" max="11015" min="11015" style="0" width="10.85"/>
    <col collapsed="false" customWidth="true" hidden="false" outlineLevel="0" max="11016" min="11016" style="0" width="16.29"/>
    <col collapsed="false" customWidth="true" hidden="false" outlineLevel="0" max="11017" min="11017" style="0" width="8.15"/>
    <col collapsed="false" customWidth="true" hidden="false" outlineLevel="0" max="11022" min="11018" style="0" width="11.71"/>
    <col collapsed="false" customWidth="true" hidden="false" outlineLevel="0" max="11023" min="11023" style="0" width="15.85"/>
    <col collapsed="false" customWidth="true" hidden="false" outlineLevel="0" max="11265" min="11265" style="0" width="1.57"/>
    <col collapsed="false" customWidth="true" hidden="false" outlineLevel="0" max="11266" min="11266" style="0" width="48.29"/>
    <col collapsed="false" customWidth="true" hidden="false" outlineLevel="0" max="11267" min="11267" style="0" width="13.29"/>
    <col collapsed="false" customWidth="true" hidden="false" outlineLevel="0" max="11268" min="11268" style="0" width="18.29"/>
    <col collapsed="false" customWidth="true" hidden="false" outlineLevel="0" max="11269" min="11269" style="0" width="18.57"/>
    <col collapsed="false" customWidth="true" hidden="false" outlineLevel="0" max="11270" min="11270" style="0" width="12.71"/>
    <col collapsed="false" customWidth="true" hidden="false" outlineLevel="0" max="11271" min="11271" style="0" width="10.85"/>
    <col collapsed="false" customWidth="true" hidden="false" outlineLevel="0" max="11272" min="11272" style="0" width="16.29"/>
    <col collapsed="false" customWidth="true" hidden="false" outlineLevel="0" max="11273" min="11273" style="0" width="8.15"/>
    <col collapsed="false" customWidth="true" hidden="false" outlineLevel="0" max="11278" min="11274" style="0" width="11.71"/>
    <col collapsed="false" customWidth="true" hidden="false" outlineLevel="0" max="11279" min="11279" style="0" width="15.85"/>
    <col collapsed="false" customWidth="true" hidden="false" outlineLevel="0" max="11521" min="11521" style="0" width="1.57"/>
    <col collapsed="false" customWidth="true" hidden="false" outlineLevel="0" max="11522" min="11522" style="0" width="48.29"/>
    <col collapsed="false" customWidth="true" hidden="false" outlineLevel="0" max="11523" min="11523" style="0" width="13.29"/>
    <col collapsed="false" customWidth="true" hidden="false" outlineLevel="0" max="11524" min="11524" style="0" width="18.29"/>
    <col collapsed="false" customWidth="true" hidden="false" outlineLevel="0" max="11525" min="11525" style="0" width="18.57"/>
    <col collapsed="false" customWidth="true" hidden="false" outlineLevel="0" max="11526" min="11526" style="0" width="12.71"/>
    <col collapsed="false" customWidth="true" hidden="false" outlineLevel="0" max="11527" min="11527" style="0" width="10.85"/>
    <col collapsed="false" customWidth="true" hidden="false" outlineLevel="0" max="11528" min="11528" style="0" width="16.29"/>
    <col collapsed="false" customWidth="true" hidden="false" outlineLevel="0" max="11529" min="11529" style="0" width="8.15"/>
    <col collapsed="false" customWidth="true" hidden="false" outlineLevel="0" max="11534" min="11530" style="0" width="11.71"/>
    <col collapsed="false" customWidth="true" hidden="false" outlineLevel="0" max="11535" min="11535" style="0" width="15.85"/>
    <col collapsed="false" customWidth="true" hidden="false" outlineLevel="0" max="11777" min="11777" style="0" width="1.57"/>
    <col collapsed="false" customWidth="true" hidden="false" outlineLevel="0" max="11778" min="11778" style="0" width="48.29"/>
    <col collapsed="false" customWidth="true" hidden="false" outlineLevel="0" max="11779" min="11779" style="0" width="13.29"/>
    <col collapsed="false" customWidth="true" hidden="false" outlineLevel="0" max="11780" min="11780" style="0" width="18.29"/>
    <col collapsed="false" customWidth="true" hidden="false" outlineLevel="0" max="11781" min="11781" style="0" width="18.57"/>
    <col collapsed="false" customWidth="true" hidden="false" outlineLevel="0" max="11782" min="11782" style="0" width="12.71"/>
    <col collapsed="false" customWidth="true" hidden="false" outlineLevel="0" max="11783" min="11783" style="0" width="10.85"/>
    <col collapsed="false" customWidth="true" hidden="false" outlineLevel="0" max="11784" min="11784" style="0" width="16.29"/>
    <col collapsed="false" customWidth="true" hidden="false" outlineLevel="0" max="11785" min="11785" style="0" width="8.15"/>
    <col collapsed="false" customWidth="true" hidden="false" outlineLevel="0" max="11790" min="11786" style="0" width="11.71"/>
    <col collapsed="false" customWidth="true" hidden="false" outlineLevel="0" max="11791" min="11791" style="0" width="15.85"/>
    <col collapsed="false" customWidth="true" hidden="false" outlineLevel="0" max="12033" min="12033" style="0" width="1.57"/>
    <col collapsed="false" customWidth="true" hidden="false" outlineLevel="0" max="12034" min="12034" style="0" width="48.29"/>
    <col collapsed="false" customWidth="true" hidden="false" outlineLevel="0" max="12035" min="12035" style="0" width="13.29"/>
    <col collapsed="false" customWidth="true" hidden="false" outlineLevel="0" max="12036" min="12036" style="0" width="18.29"/>
    <col collapsed="false" customWidth="true" hidden="false" outlineLevel="0" max="12037" min="12037" style="0" width="18.57"/>
    <col collapsed="false" customWidth="true" hidden="false" outlineLevel="0" max="12038" min="12038" style="0" width="12.71"/>
    <col collapsed="false" customWidth="true" hidden="false" outlineLevel="0" max="12039" min="12039" style="0" width="10.85"/>
    <col collapsed="false" customWidth="true" hidden="false" outlineLevel="0" max="12040" min="12040" style="0" width="16.29"/>
    <col collapsed="false" customWidth="true" hidden="false" outlineLevel="0" max="12041" min="12041" style="0" width="8.15"/>
    <col collapsed="false" customWidth="true" hidden="false" outlineLevel="0" max="12046" min="12042" style="0" width="11.71"/>
    <col collapsed="false" customWidth="true" hidden="false" outlineLevel="0" max="12047" min="12047" style="0" width="15.85"/>
    <col collapsed="false" customWidth="true" hidden="false" outlineLevel="0" max="12289" min="12289" style="0" width="1.57"/>
    <col collapsed="false" customWidth="true" hidden="false" outlineLevel="0" max="12290" min="12290" style="0" width="48.29"/>
    <col collapsed="false" customWidth="true" hidden="false" outlineLevel="0" max="12291" min="12291" style="0" width="13.29"/>
    <col collapsed="false" customWidth="true" hidden="false" outlineLevel="0" max="12292" min="12292" style="0" width="18.29"/>
    <col collapsed="false" customWidth="true" hidden="false" outlineLevel="0" max="12293" min="12293" style="0" width="18.57"/>
    <col collapsed="false" customWidth="true" hidden="false" outlineLevel="0" max="12294" min="12294" style="0" width="12.71"/>
    <col collapsed="false" customWidth="true" hidden="false" outlineLevel="0" max="12295" min="12295" style="0" width="10.85"/>
    <col collapsed="false" customWidth="true" hidden="false" outlineLevel="0" max="12296" min="12296" style="0" width="16.29"/>
    <col collapsed="false" customWidth="true" hidden="false" outlineLevel="0" max="12297" min="12297" style="0" width="8.15"/>
    <col collapsed="false" customWidth="true" hidden="false" outlineLevel="0" max="12302" min="12298" style="0" width="11.71"/>
    <col collapsed="false" customWidth="true" hidden="false" outlineLevel="0" max="12303" min="12303" style="0" width="15.85"/>
    <col collapsed="false" customWidth="true" hidden="false" outlineLevel="0" max="12545" min="12545" style="0" width="1.57"/>
    <col collapsed="false" customWidth="true" hidden="false" outlineLevel="0" max="12546" min="12546" style="0" width="48.29"/>
    <col collapsed="false" customWidth="true" hidden="false" outlineLevel="0" max="12547" min="12547" style="0" width="13.29"/>
    <col collapsed="false" customWidth="true" hidden="false" outlineLevel="0" max="12548" min="12548" style="0" width="18.29"/>
    <col collapsed="false" customWidth="true" hidden="false" outlineLevel="0" max="12549" min="12549" style="0" width="18.57"/>
    <col collapsed="false" customWidth="true" hidden="false" outlineLevel="0" max="12550" min="12550" style="0" width="12.71"/>
    <col collapsed="false" customWidth="true" hidden="false" outlineLevel="0" max="12551" min="12551" style="0" width="10.85"/>
    <col collapsed="false" customWidth="true" hidden="false" outlineLevel="0" max="12552" min="12552" style="0" width="16.29"/>
    <col collapsed="false" customWidth="true" hidden="false" outlineLevel="0" max="12553" min="12553" style="0" width="8.15"/>
    <col collapsed="false" customWidth="true" hidden="false" outlineLevel="0" max="12558" min="12554" style="0" width="11.71"/>
    <col collapsed="false" customWidth="true" hidden="false" outlineLevel="0" max="12559" min="12559" style="0" width="15.85"/>
    <col collapsed="false" customWidth="true" hidden="false" outlineLevel="0" max="12801" min="12801" style="0" width="1.57"/>
    <col collapsed="false" customWidth="true" hidden="false" outlineLevel="0" max="12802" min="12802" style="0" width="48.29"/>
    <col collapsed="false" customWidth="true" hidden="false" outlineLevel="0" max="12803" min="12803" style="0" width="13.29"/>
    <col collapsed="false" customWidth="true" hidden="false" outlineLevel="0" max="12804" min="12804" style="0" width="18.29"/>
    <col collapsed="false" customWidth="true" hidden="false" outlineLevel="0" max="12805" min="12805" style="0" width="18.57"/>
    <col collapsed="false" customWidth="true" hidden="false" outlineLevel="0" max="12806" min="12806" style="0" width="12.71"/>
    <col collapsed="false" customWidth="true" hidden="false" outlineLevel="0" max="12807" min="12807" style="0" width="10.85"/>
    <col collapsed="false" customWidth="true" hidden="false" outlineLevel="0" max="12808" min="12808" style="0" width="16.29"/>
    <col collapsed="false" customWidth="true" hidden="false" outlineLevel="0" max="12809" min="12809" style="0" width="8.15"/>
    <col collapsed="false" customWidth="true" hidden="false" outlineLevel="0" max="12814" min="12810" style="0" width="11.71"/>
    <col collapsed="false" customWidth="true" hidden="false" outlineLevel="0" max="12815" min="12815" style="0" width="15.85"/>
    <col collapsed="false" customWidth="true" hidden="false" outlineLevel="0" max="13057" min="13057" style="0" width="1.57"/>
    <col collapsed="false" customWidth="true" hidden="false" outlineLevel="0" max="13058" min="13058" style="0" width="48.29"/>
    <col collapsed="false" customWidth="true" hidden="false" outlineLevel="0" max="13059" min="13059" style="0" width="13.29"/>
    <col collapsed="false" customWidth="true" hidden="false" outlineLevel="0" max="13060" min="13060" style="0" width="18.29"/>
    <col collapsed="false" customWidth="true" hidden="false" outlineLevel="0" max="13061" min="13061" style="0" width="18.57"/>
    <col collapsed="false" customWidth="true" hidden="false" outlineLevel="0" max="13062" min="13062" style="0" width="12.71"/>
    <col collapsed="false" customWidth="true" hidden="false" outlineLevel="0" max="13063" min="13063" style="0" width="10.85"/>
    <col collapsed="false" customWidth="true" hidden="false" outlineLevel="0" max="13064" min="13064" style="0" width="16.29"/>
    <col collapsed="false" customWidth="true" hidden="false" outlineLevel="0" max="13065" min="13065" style="0" width="8.15"/>
    <col collapsed="false" customWidth="true" hidden="false" outlineLevel="0" max="13070" min="13066" style="0" width="11.71"/>
    <col collapsed="false" customWidth="true" hidden="false" outlineLevel="0" max="13071" min="13071" style="0" width="15.85"/>
    <col collapsed="false" customWidth="true" hidden="false" outlineLevel="0" max="13313" min="13313" style="0" width="1.57"/>
    <col collapsed="false" customWidth="true" hidden="false" outlineLevel="0" max="13314" min="13314" style="0" width="48.29"/>
    <col collapsed="false" customWidth="true" hidden="false" outlineLevel="0" max="13315" min="13315" style="0" width="13.29"/>
    <col collapsed="false" customWidth="true" hidden="false" outlineLevel="0" max="13316" min="13316" style="0" width="18.29"/>
    <col collapsed="false" customWidth="true" hidden="false" outlineLevel="0" max="13317" min="13317" style="0" width="18.57"/>
    <col collapsed="false" customWidth="true" hidden="false" outlineLevel="0" max="13318" min="13318" style="0" width="12.71"/>
    <col collapsed="false" customWidth="true" hidden="false" outlineLevel="0" max="13319" min="13319" style="0" width="10.85"/>
    <col collapsed="false" customWidth="true" hidden="false" outlineLevel="0" max="13320" min="13320" style="0" width="16.29"/>
    <col collapsed="false" customWidth="true" hidden="false" outlineLevel="0" max="13321" min="13321" style="0" width="8.15"/>
    <col collapsed="false" customWidth="true" hidden="false" outlineLevel="0" max="13326" min="13322" style="0" width="11.71"/>
    <col collapsed="false" customWidth="true" hidden="false" outlineLevel="0" max="13327" min="13327" style="0" width="15.85"/>
    <col collapsed="false" customWidth="true" hidden="false" outlineLevel="0" max="13569" min="13569" style="0" width="1.57"/>
    <col collapsed="false" customWidth="true" hidden="false" outlineLevel="0" max="13570" min="13570" style="0" width="48.29"/>
    <col collapsed="false" customWidth="true" hidden="false" outlineLevel="0" max="13571" min="13571" style="0" width="13.29"/>
    <col collapsed="false" customWidth="true" hidden="false" outlineLevel="0" max="13572" min="13572" style="0" width="18.29"/>
    <col collapsed="false" customWidth="true" hidden="false" outlineLevel="0" max="13573" min="13573" style="0" width="18.57"/>
    <col collapsed="false" customWidth="true" hidden="false" outlineLevel="0" max="13574" min="13574" style="0" width="12.71"/>
    <col collapsed="false" customWidth="true" hidden="false" outlineLevel="0" max="13575" min="13575" style="0" width="10.85"/>
    <col collapsed="false" customWidth="true" hidden="false" outlineLevel="0" max="13576" min="13576" style="0" width="16.29"/>
    <col collapsed="false" customWidth="true" hidden="false" outlineLevel="0" max="13577" min="13577" style="0" width="8.15"/>
    <col collapsed="false" customWidth="true" hidden="false" outlineLevel="0" max="13582" min="13578" style="0" width="11.71"/>
    <col collapsed="false" customWidth="true" hidden="false" outlineLevel="0" max="13583" min="13583" style="0" width="15.85"/>
    <col collapsed="false" customWidth="true" hidden="false" outlineLevel="0" max="13825" min="13825" style="0" width="1.57"/>
    <col collapsed="false" customWidth="true" hidden="false" outlineLevel="0" max="13826" min="13826" style="0" width="48.29"/>
    <col collapsed="false" customWidth="true" hidden="false" outlineLevel="0" max="13827" min="13827" style="0" width="13.29"/>
    <col collapsed="false" customWidth="true" hidden="false" outlineLevel="0" max="13828" min="13828" style="0" width="18.29"/>
    <col collapsed="false" customWidth="true" hidden="false" outlineLevel="0" max="13829" min="13829" style="0" width="18.57"/>
    <col collapsed="false" customWidth="true" hidden="false" outlineLevel="0" max="13830" min="13830" style="0" width="12.71"/>
    <col collapsed="false" customWidth="true" hidden="false" outlineLevel="0" max="13831" min="13831" style="0" width="10.85"/>
    <col collapsed="false" customWidth="true" hidden="false" outlineLevel="0" max="13832" min="13832" style="0" width="16.29"/>
    <col collapsed="false" customWidth="true" hidden="false" outlineLevel="0" max="13833" min="13833" style="0" width="8.15"/>
    <col collapsed="false" customWidth="true" hidden="false" outlineLevel="0" max="13838" min="13834" style="0" width="11.71"/>
    <col collapsed="false" customWidth="true" hidden="false" outlineLevel="0" max="13839" min="13839" style="0" width="15.85"/>
    <col collapsed="false" customWidth="true" hidden="false" outlineLevel="0" max="14081" min="14081" style="0" width="1.57"/>
    <col collapsed="false" customWidth="true" hidden="false" outlineLevel="0" max="14082" min="14082" style="0" width="48.29"/>
    <col collapsed="false" customWidth="true" hidden="false" outlineLevel="0" max="14083" min="14083" style="0" width="13.29"/>
    <col collapsed="false" customWidth="true" hidden="false" outlineLevel="0" max="14084" min="14084" style="0" width="18.29"/>
    <col collapsed="false" customWidth="true" hidden="false" outlineLevel="0" max="14085" min="14085" style="0" width="18.57"/>
    <col collapsed="false" customWidth="true" hidden="false" outlineLevel="0" max="14086" min="14086" style="0" width="12.71"/>
    <col collapsed="false" customWidth="true" hidden="false" outlineLevel="0" max="14087" min="14087" style="0" width="10.85"/>
    <col collapsed="false" customWidth="true" hidden="false" outlineLevel="0" max="14088" min="14088" style="0" width="16.29"/>
    <col collapsed="false" customWidth="true" hidden="false" outlineLevel="0" max="14089" min="14089" style="0" width="8.15"/>
    <col collapsed="false" customWidth="true" hidden="false" outlineLevel="0" max="14094" min="14090" style="0" width="11.71"/>
    <col collapsed="false" customWidth="true" hidden="false" outlineLevel="0" max="14095" min="14095" style="0" width="15.85"/>
    <col collapsed="false" customWidth="true" hidden="false" outlineLevel="0" max="14337" min="14337" style="0" width="1.57"/>
    <col collapsed="false" customWidth="true" hidden="false" outlineLevel="0" max="14338" min="14338" style="0" width="48.29"/>
    <col collapsed="false" customWidth="true" hidden="false" outlineLevel="0" max="14339" min="14339" style="0" width="13.29"/>
    <col collapsed="false" customWidth="true" hidden="false" outlineLevel="0" max="14340" min="14340" style="0" width="18.29"/>
    <col collapsed="false" customWidth="true" hidden="false" outlineLevel="0" max="14341" min="14341" style="0" width="18.57"/>
    <col collapsed="false" customWidth="true" hidden="false" outlineLevel="0" max="14342" min="14342" style="0" width="12.71"/>
    <col collapsed="false" customWidth="true" hidden="false" outlineLevel="0" max="14343" min="14343" style="0" width="10.85"/>
    <col collapsed="false" customWidth="true" hidden="false" outlineLevel="0" max="14344" min="14344" style="0" width="16.29"/>
    <col collapsed="false" customWidth="true" hidden="false" outlineLevel="0" max="14345" min="14345" style="0" width="8.15"/>
    <col collapsed="false" customWidth="true" hidden="false" outlineLevel="0" max="14350" min="14346" style="0" width="11.71"/>
    <col collapsed="false" customWidth="true" hidden="false" outlineLevel="0" max="14351" min="14351" style="0" width="15.85"/>
    <col collapsed="false" customWidth="true" hidden="false" outlineLevel="0" max="14593" min="14593" style="0" width="1.57"/>
    <col collapsed="false" customWidth="true" hidden="false" outlineLevel="0" max="14594" min="14594" style="0" width="48.29"/>
    <col collapsed="false" customWidth="true" hidden="false" outlineLevel="0" max="14595" min="14595" style="0" width="13.29"/>
    <col collapsed="false" customWidth="true" hidden="false" outlineLevel="0" max="14596" min="14596" style="0" width="18.29"/>
    <col collapsed="false" customWidth="true" hidden="false" outlineLevel="0" max="14597" min="14597" style="0" width="18.57"/>
    <col collapsed="false" customWidth="true" hidden="false" outlineLevel="0" max="14598" min="14598" style="0" width="12.71"/>
    <col collapsed="false" customWidth="true" hidden="false" outlineLevel="0" max="14599" min="14599" style="0" width="10.85"/>
    <col collapsed="false" customWidth="true" hidden="false" outlineLevel="0" max="14600" min="14600" style="0" width="16.29"/>
    <col collapsed="false" customWidth="true" hidden="false" outlineLevel="0" max="14601" min="14601" style="0" width="8.15"/>
    <col collapsed="false" customWidth="true" hidden="false" outlineLevel="0" max="14606" min="14602" style="0" width="11.71"/>
    <col collapsed="false" customWidth="true" hidden="false" outlineLevel="0" max="14607" min="14607" style="0" width="15.85"/>
    <col collapsed="false" customWidth="true" hidden="false" outlineLevel="0" max="14849" min="14849" style="0" width="1.57"/>
    <col collapsed="false" customWidth="true" hidden="false" outlineLevel="0" max="14850" min="14850" style="0" width="48.29"/>
    <col collapsed="false" customWidth="true" hidden="false" outlineLevel="0" max="14851" min="14851" style="0" width="13.29"/>
    <col collapsed="false" customWidth="true" hidden="false" outlineLevel="0" max="14852" min="14852" style="0" width="18.29"/>
    <col collapsed="false" customWidth="true" hidden="false" outlineLevel="0" max="14853" min="14853" style="0" width="18.57"/>
    <col collapsed="false" customWidth="true" hidden="false" outlineLevel="0" max="14854" min="14854" style="0" width="12.71"/>
    <col collapsed="false" customWidth="true" hidden="false" outlineLevel="0" max="14855" min="14855" style="0" width="10.85"/>
    <col collapsed="false" customWidth="true" hidden="false" outlineLevel="0" max="14856" min="14856" style="0" width="16.29"/>
    <col collapsed="false" customWidth="true" hidden="false" outlineLevel="0" max="14857" min="14857" style="0" width="8.15"/>
    <col collapsed="false" customWidth="true" hidden="false" outlineLevel="0" max="14862" min="14858" style="0" width="11.71"/>
    <col collapsed="false" customWidth="true" hidden="false" outlineLevel="0" max="14863" min="14863" style="0" width="15.85"/>
    <col collapsed="false" customWidth="true" hidden="false" outlineLevel="0" max="15105" min="15105" style="0" width="1.57"/>
    <col collapsed="false" customWidth="true" hidden="false" outlineLevel="0" max="15106" min="15106" style="0" width="48.29"/>
    <col collapsed="false" customWidth="true" hidden="false" outlineLevel="0" max="15107" min="15107" style="0" width="13.29"/>
    <col collapsed="false" customWidth="true" hidden="false" outlineLevel="0" max="15108" min="15108" style="0" width="18.29"/>
    <col collapsed="false" customWidth="true" hidden="false" outlineLevel="0" max="15109" min="15109" style="0" width="18.57"/>
    <col collapsed="false" customWidth="true" hidden="false" outlineLevel="0" max="15110" min="15110" style="0" width="12.71"/>
    <col collapsed="false" customWidth="true" hidden="false" outlineLevel="0" max="15111" min="15111" style="0" width="10.85"/>
    <col collapsed="false" customWidth="true" hidden="false" outlineLevel="0" max="15112" min="15112" style="0" width="16.29"/>
    <col collapsed="false" customWidth="true" hidden="false" outlineLevel="0" max="15113" min="15113" style="0" width="8.15"/>
    <col collapsed="false" customWidth="true" hidden="false" outlineLevel="0" max="15118" min="15114" style="0" width="11.71"/>
    <col collapsed="false" customWidth="true" hidden="false" outlineLevel="0" max="15119" min="15119" style="0" width="15.85"/>
    <col collapsed="false" customWidth="true" hidden="false" outlineLevel="0" max="15361" min="15361" style="0" width="1.57"/>
    <col collapsed="false" customWidth="true" hidden="false" outlineLevel="0" max="15362" min="15362" style="0" width="48.29"/>
    <col collapsed="false" customWidth="true" hidden="false" outlineLevel="0" max="15363" min="15363" style="0" width="13.29"/>
    <col collapsed="false" customWidth="true" hidden="false" outlineLevel="0" max="15364" min="15364" style="0" width="18.29"/>
    <col collapsed="false" customWidth="true" hidden="false" outlineLevel="0" max="15365" min="15365" style="0" width="18.57"/>
    <col collapsed="false" customWidth="true" hidden="false" outlineLevel="0" max="15366" min="15366" style="0" width="12.71"/>
    <col collapsed="false" customWidth="true" hidden="false" outlineLevel="0" max="15367" min="15367" style="0" width="10.85"/>
    <col collapsed="false" customWidth="true" hidden="false" outlineLevel="0" max="15368" min="15368" style="0" width="16.29"/>
    <col collapsed="false" customWidth="true" hidden="false" outlineLevel="0" max="15369" min="15369" style="0" width="8.15"/>
    <col collapsed="false" customWidth="true" hidden="false" outlineLevel="0" max="15374" min="15370" style="0" width="11.71"/>
    <col collapsed="false" customWidth="true" hidden="false" outlineLevel="0" max="15375" min="15375" style="0" width="15.85"/>
    <col collapsed="false" customWidth="true" hidden="false" outlineLevel="0" max="15617" min="15617" style="0" width="1.57"/>
    <col collapsed="false" customWidth="true" hidden="false" outlineLevel="0" max="15618" min="15618" style="0" width="48.29"/>
    <col collapsed="false" customWidth="true" hidden="false" outlineLevel="0" max="15619" min="15619" style="0" width="13.29"/>
    <col collapsed="false" customWidth="true" hidden="false" outlineLevel="0" max="15620" min="15620" style="0" width="18.29"/>
    <col collapsed="false" customWidth="true" hidden="false" outlineLevel="0" max="15621" min="15621" style="0" width="18.57"/>
    <col collapsed="false" customWidth="true" hidden="false" outlineLevel="0" max="15622" min="15622" style="0" width="12.71"/>
    <col collapsed="false" customWidth="true" hidden="false" outlineLevel="0" max="15623" min="15623" style="0" width="10.85"/>
    <col collapsed="false" customWidth="true" hidden="false" outlineLevel="0" max="15624" min="15624" style="0" width="16.29"/>
    <col collapsed="false" customWidth="true" hidden="false" outlineLevel="0" max="15625" min="15625" style="0" width="8.15"/>
    <col collapsed="false" customWidth="true" hidden="false" outlineLevel="0" max="15630" min="15626" style="0" width="11.71"/>
    <col collapsed="false" customWidth="true" hidden="false" outlineLevel="0" max="15631" min="15631" style="0" width="15.85"/>
    <col collapsed="false" customWidth="true" hidden="false" outlineLevel="0" max="15873" min="15873" style="0" width="1.57"/>
    <col collapsed="false" customWidth="true" hidden="false" outlineLevel="0" max="15874" min="15874" style="0" width="48.29"/>
    <col collapsed="false" customWidth="true" hidden="false" outlineLevel="0" max="15875" min="15875" style="0" width="13.29"/>
    <col collapsed="false" customWidth="true" hidden="false" outlineLevel="0" max="15876" min="15876" style="0" width="18.29"/>
    <col collapsed="false" customWidth="true" hidden="false" outlineLevel="0" max="15877" min="15877" style="0" width="18.57"/>
    <col collapsed="false" customWidth="true" hidden="false" outlineLevel="0" max="15878" min="15878" style="0" width="12.71"/>
    <col collapsed="false" customWidth="true" hidden="false" outlineLevel="0" max="15879" min="15879" style="0" width="10.85"/>
    <col collapsed="false" customWidth="true" hidden="false" outlineLevel="0" max="15880" min="15880" style="0" width="16.29"/>
    <col collapsed="false" customWidth="true" hidden="false" outlineLevel="0" max="15881" min="15881" style="0" width="8.15"/>
    <col collapsed="false" customWidth="true" hidden="false" outlineLevel="0" max="15886" min="15882" style="0" width="11.71"/>
    <col collapsed="false" customWidth="true" hidden="false" outlineLevel="0" max="15887" min="15887" style="0" width="15.85"/>
    <col collapsed="false" customWidth="true" hidden="false" outlineLevel="0" max="16129" min="16129" style="0" width="1.57"/>
    <col collapsed="false" customWidth="true" hidden="false" outlineLevel="0" max="16130" min="16130" style="0" width="48.29"/>
    <col collapsed="false" customWidth="true" hidden="false" outlineLevel="0" max="16131" min="16131" style="0" width="13.29"/>
    <col collapsed="false" customWidth="true" hidden="false" outlineLevel="0" max="16132" min="16132" style="0" width="18.29"/>
    <col collapsed="false" customWidth="true" hidden="false" outlineLevel="0" max="16133" min="16133" style="0" width="18.57"/>
    <col collapsed="false" customWidth="true" hidden="false" outlineLevel="0" max="16134" min="16134" style="0" width="12.71"/>
    <col collapsed="false" customWidth="true" hidden="false" outlineLevel="0" max="16135" min="16135" style="0" width="10.85"/>
    <col collapsed="false" customWidth="true" hidden="false" outlineLevel="0" max="16136" min="16136" style="0" width="16.29"/>
    <col collapsed="false" customWidth="true" hidden="false" outlineLevel="0" max="16137" min="16137" style="0" width="8.15"/>
    <col collapsed="false" customWidth="true" hidden="false" outlineLevel="0" max="16142" min="16138" style="0" width="11.71"/>
    <col collapsed="false" customWidth="true" hidden="false" outlineLevel="0" max="16143" min="16143" style="0" width="15.85"/>
  </cols>
  <sheetData>
    <row r="1" s="458" customFormat="true" ht="18.75" hidden="false" customHeight="true" outlineLevel="0" collapsed="false"/>
    <row r="2" s="458" customFormat="true" ht="18.75" hidden="false" customHeight="true" outlineLevel="0" collapsed="false">
      <c r="B2" s="483" t="s">
        <v>3174</v>
      </c>
      <c r="C2" s="483"/>
      <c r="D2" s="483"/>
      <c r="E2" s="483"/>
      <c r="F2" s="483"/>
      <c r="G2" s="483"/>
      <c r="H2" s="483"/>
      <c r="I2" s="483"/>
      <c r="J2" s="483"/>
      <c r="K2" s="483"/>
      <c r="L2" s="483"/>
      <c r="M2" s="483"/>
      <c r="N2" s="483"/>
    </row>
    <row r="3" s="458" customFormat="true" ht="6" hidden="false" customHeight="true" outlineLevel="0" collapsed="false"/>
    <row r="4" s="458" customFormat="true" ht="18.75" hidden="false" customHeight="true" outlineLevel="0" collapsed="false">
      <c r="B4" s="484" t="s">
        <v>3175</v>
      </c>
    </row>
    <row r="6" customFormat="false" ht="24.75" hidden="false" customHeight="true" outlineLevel="0" collapsed="false">
      <c r="B6" s="485" t="s">
        <v>1415</v>
      </c>
      <c r="C6" s="485" t="s">
        <v>1417</v>
      </c>
      <c r="D6" s="485" t="s">
        <v>1418</v>
      </c>
      <c r="E6" s="485" t="s">
        <v>339</v>
      </c>
      <c r="F6" s="485" t="s">
        <v>1419</v>
      </c>
      <c r="G6" s="485" t="s">
        <v>1420</v>
      </c>
      <c r="H6" s="485" t="s">
        <v>341</v>
      </c>
      <c r="I6" s="486" t="s">
        <v>1416</v>
      </c>
      <c r="J6" s="485" t="s">
        <v>1421</v>
      </c>
      <c r="K6" s="485" t="s">
        <v>1422</v>
      </c>
      <c r="L6" s="485" t="s">
        <v>1423</v>
      </c>
      <c r="M6" s="485" t="s">
        <v>1424</v>
      </c>
      <c r="N6" s="485" t="s">
        <v>1425</v>
      </c>
      <c r="O6" s="486" t="s">
        <v>281</v>
      </c>
    </row>
    <row r="7" customFormat="false" ht="12.75" hidden="false" customHeight="true" outlineLevel="0" collapsed="false">
      <c r="B7" s="485" t="s">
        <v>1416</v>
      </c>
      <c r="C7" s="485"/>
      <c r="D7" s="485"/>
      <c r="E7" s="485"/>
      <c r="F7" s="485"/>
      <c r="G7" s="485"/>
      <c r="H7" s="485"/>
      <c r="I7" s="486"/>
      <c r="J7" s="485"/>
      <c r="K7" s="485"/>
      <c r="L7" s="485"/>
      <c r="M7" s="485"/>
      <c r="N7" s="485"/>
      <c r="O7" s="486"/>
    </row>
    <row r="8" customFormat="false" ht="36.75" hidden="false" customHeight="true" outlineLevel="0" collapsed="false">
      <c r="B8" s="487" t="s">
        <v>2693</v>
      </c>
      <c r="C8" s="488" t="n">
        <v>411</v>
      </c>
      <c r="D8" s="489" t="n">
        <v>31</v>
      </c>
      <c r="E8" s="487" t="s">
        <v>899</v>
      </c>
      <c r="F8" s="487" t="s">
        <v>365</v>
      </c>
      <c r="G8" s="487" t="s">
        <v>373</v>
      </c>
      <c r="H8" s="487" t="s">
        <v>628</v>
      </c>
      <c r="I8" s="487" t="s">
        <v>904</v>
      </c>
      <c r="J8" s="487" t="s">
        <v>1435</v>
      </c>
      <c r="K8" s="490" t="n">
        <v>34890</v>
      </c>
      <c r="L8" s="490" t="n">
        <v>18650</v>
      </c>
      <c r="M8" s="491" t="n">
        <v>9.5</v>
      </c>
      <c r="N8" s="490" t="n">
        <v>16240</v>
      </c>
      <c r="O8" s="490" t="n">
        <v>14697.2</v>
      </c>
    </row>
    <row r="9" customFormat="false" ht="12.75" hidden="true" customHeight="true" outlineLevel="1" collapsed="false">
      <c r="B9" s="487" t="s">
        <v>417</v>
      </c>
      <c r="C9" s="487"/>
      <c r="D9" s="487"/>
      <c r="E9" s="487"/>
      <c r="F9" s="487"/>
      <c r="G9" s="487"/>
      <c r="H9" s="487"/>
      <c r="I9" s="487"/>
      <c r="J9" s="487"/>
      <c r="K9" s="492"/>
      <c r="L9" s="492"/>
      <c r="M9" s="492"/>
      <c r="N9" s="490" t="n">
        <v>16240</v>
      </c>
      <c r="O9" s="490" t="n">
        <v>14697.2</v>
      </c>
    </row>
    <row r="10" customFormat="false" ht="36.75" hidden="false" customHeight="true" outlineLevel="0" collapsed="false">
      <c r="B10" s="487" t="s">
        <v>2694</v>
      </c>
      <c r="C10" s="488" t="n">
        <v>414</v>
      </c>
      <c r="D10" s="489" t="n">
        <v>32</v>
      </c>
      <c r="E10" s="487" t="s">
        <v>899</v>
      </c>
      <c r="F10" s="487" t="s">
        <v>457</v>
      </c>
      <c r="G10" s="487" t="s">
        <v>366</v>
      </c>
      <c r="H10" s="487" t="s">
        <v>628</v>
      </c>
      <c r="I10" s="487" t="s">
        <v>904</v>
      </c>
      <c r="J10" s="487" t="s">
        <v>1435</v>
      </c>
      <c r="K10" s="490" t="n">
        <v>28220</v>
      </c>
      <c r="L10" s="490" t="n">
        <v>14820</v>
      </c>
      <c r="M10" s="491" t="n">
        <v>12.5</v>
      </c>
      <c r="N10" s="490" t="n">
        <v>13400</v>
      </c>
      <c r="O10" s="490" t="n">
        <v>11725</v>
      </c>
    </row>
    <row r="11" customFormat="false" ht="12.75" hidden="true" customHeight="true" outlineLevel="1" collapsed="false">
      <c r="B11" s="487" t="s">
        <v>417</v>
      </c>
      <c r="C11" s="487"/>
      <c r="D11" s="487"/>
      <c r="E11" s="487"/>
      <c r="F11" s="487"/>
      <c r="G11" s="487"/>
      <c r="H11" s="487"/>
      <c r="I11" s="487"/>
      <c r="J11" s="487"/>
      <c r="K11" s="492"/>
      <c r="L11" s="492"/>
      <c r="M11" s="492"/>
      <c r="N11" s="490" t="n">
        <v>13400</v>
      </c>
      <c r="O11" s="490" t="n">
        <v>11725</v>
      </c>
    </row>
    <row r="12" customFormat="false" ht="36.75" hidden="false" customHeight="true" outlineLevel="0" collapsed="false">
      <c r="B12" s="487" t="s">
        <v>2695</v>
      </c>
      <c r="C12" s="488" t="n">
        <v>415</v>
      </c>
      <c r="D12" s="489" t="n">
        <v>34</v>
      </c>
      <c r="E12" s="487" t="s">
        <v>899</v>
      </c>
      <c r="F12" s="487" t="s">
        <v>433</v>
      </c>
      <c r="G12" s="487" t="s">
        <v>437</v>
      </c>
      <c r="H12" s="487" t="s">
        <v>628</v>
      </c>
      <c r="I12" s="487" t="s">
        <v>904</v>
      </c>
      <c r="J12" s="487" t="s">
        <v>1435</v>
      </c>
      <c r="K12" s="490" t="n">
        <v>28150</v>
      </c>
      <c r="L12" s="490" t="n">
        <v>14910</v>
      </c>
      <c r="M12" s="491" t="n">
        <v>8.5</v>
      </c>
      <c r="N12" s="490" t="n">
        <v>13240</v>
      </c>
      <c r="O12" s="490" t="n">
        <v>12114.6</v>
      </c>
    </row>
    <row r="13" customFormat="false" ht="12.75" hidden="true" customHeight="true" outlineLevel="1" collapsed="false">
      <c r="B13" s="487" t="s">
        <v>417</v>
      </c>
      <c r="C13" s="487"/>
      <c r="D13" s="487"/>
      <c r="E13" s="487"/>
      <c r="F13" s="487"/>
      <c r="G13" s="487"/>
      <c r="H13" s="487"/>
      <c r="I13" s="487"/>
      <c r="J13" s="487"/>
      <c r="K13" s="492"/>
      <c r="L13" s="492"/>
      <c r="M13" s="492"/>
      <c r="N13" s="490" t="n">
        <v>13240</v>
      </c>
      <c r="O13" s="490" t="n">
        <v>12114.6</v>
      </c>
    </row>
    <row r="14" customFormat="false" ht="36.75" hidden="false" customHeight="true" outlineLevel="0" collapsed="false">
      <c r="B14" s="487" t="s">
        <v>2696</v>
      </c>
      <c r="C14" s="488" t="n">
        <v>418</v>
      </c>
      <c r="D14" s="489" t="n">
        <v>33</v>
      </c>
      <c r="E14" s="487" t="s">
        <v>899</v>
      </c>
      <c r="F14" s="487" t="s">
        <v>439</v>
      </c>
      <c r="G14" s="487" t="s">
        <v>443</v>
      </c>
      <c r="H14" s="487" t="s">
        <v>628</v>
      </c>
      <c r="I14" s="487" t="s">
        <v>904</v>
      </c>
      <c r="J14" s="487" t="s">
        <v>1435</v>
      </c>
      <c r="K14" s="490" t="n">
        <v>37170</v>
      </c>
      <c r="L14" s="490" t="n">
        <v>23840</v>
      </c>
      <c r="M14" s="491" t="n">
        <v>13.5</v>
      </c>
      <c r="N14" s="490" t="n">
        <v>13330</v>
      </c>
      <c r="O14" s="490" t="n">
        <v>11530.4</v>
      </c>
    </row>
    <row r="15" customFormat="false" ht="12.75" hidden="true" customHeight="true" outlineLevel="1" collapsed="false">
      <c r="B15" s="487" t="s">
        <v>417</v>
      </c>
      <c r="C15" s="487"/>
      <c r="D15" s="487"/>
      <c r="E15" s="487"/>
      <c r="F15" s="487"/>
      <c r="G15" s="487"/>
      <c r="H15" s="487"/>
      <c r="I15" s="487"/>
      <c r="J15" s="487"/>
      <c r="K15" s="492"/>
      <c r="L15" s="492"/>
      <c r="M15" s="492"/>
      <c r="N15" s="490" t="n">
        <v>13330</v>
      </c>
      <c r="O15" s="490" t="n">
        <v>11530.4</v>
      </c>
    </row>
    <row r="16" customFormat="false" ht="36.75" hidden="false" customHeight="true" outlineLevel="0" collapsed="false">
      <c r="B16" s="487" t="s">
        <v>2697</v>
      </c>
      <c r="C16" s="488" t="n">
        <v>420</v>
      </c>
      <c r="D16" s="487" t="s">
        <v>906</v>
      </c>
      <c r="E16" s="487" t="s">
        <v>908</v>
      </c>
      <c r="F16" s="487" t="s">
        <v>378</v>
      </c>
      <c r="G16" s="487" t="s">
        <v>379</v>
      </c>
      <c r="H16" s="489" t="n">
        <v>16</v>
      </c>
      <c r="I16" s="487" t="s">
        <v>904</v>
      </c>
      <c r="J16" s="487" t="s">
        <v>1435</v>
      </c>
      <c r="K16" s="490" t="n">
        <v>8910</v>
      </c>
      <c r="L16" s="490" t="n">
        <v>4610</v>
      </c>
      <c r="M16" s="491" t="n">
        <v>27.5</v>
      </c>
      <c r="N16" s="490" t="n">
        <v>4300</v>
      </c>
      <c r="O16" s="490" t="n">
        <v>3117.5</v>
      </c>
    </row>
    <row r="17" customFormat="false" ht="12.75" hidden="true" customHeight="true" outlineLevel="1" collapsed="false">
      <c r="B17" s="487" t="s">
        <v>417</v>
      </c>
      <c r="C17" s="487"/>
      <c r="D17" s="487"/>
      <c r="E17" s="487"/>
      <c r="F17" s="487"/>
      <c r="G17" s="487"/>
      <c r="H17" s="487"/>
      <c r="I17" s="487"/>
      <c r="J17" s="487"/>
      <c r="K17" s="492"/>
      <c r="L17" s="492"/>
      <c r="M17" s="492"/>
      <c r="N17" s="490" t="n">
        <v>4300</v>
      </c>
      <c r="O17" s="490" t="n">
        <v>3117.5</v>
      </c>
    </row>
    <row r="18" customFormat="false" ht="36.75" hidden="false" customHeight="true" outlineLevel="0" collapsed="false">
      <c r="B18" s="487" t="s">
        <v>2698</v>
      </c>
      <c r="C18" s="488" t="n">
        <v>421</v>
      </c>
      <c r="D18" s="489" t="n">
        <v>35</v>
      </c>
      <c r="E18" s="487" t="s">
        <v>899</v>
      </c>
      <c r="F18" s="487" t="s">
        <v>359</v>
      </c>
      <c r="G18" s="487" t="s">
        <v>426</v>
      </c>
      <c r="H18" s="487" t="s">
        <v>628</v>
      </c>
      <c r="I18" s="487" t="s">
        <v>904</v>
      </c>
      <c r="J18" s="487" t="s">
        <v>1435</v>
      </c>
      <c r="K18" s="490" t="n">
        <v>28520</v>
      </c>
      <c r="L18" s="490" t="n">
        <v>13780</v>
      </c>
      <c r="M18" s="491" t="n">
        <v>23.5</v>
      </c>
      <c r="N18" s="490" t="n">
        <v>14740</v>
      </c>
      <c r="O18" s="490" t="n">
        <v>11276.1</v>
      </c>
    </row>
    <row r="19" customFormat="false" ht="12.75" hidden="true" customHeight="true" outlineLevel="1" collapsed="false">
      <c r="B19" s="487" t="s">
        <v>417</v>
      </c>
      <c r="C19" s="487"/>
      <c r="D19" s="487"/>
      <c r="E19" s="487"/>
      <c r="F19" s="487"/>
      <c r="G19" s="487"/>
      <c r="H19" s="487"/>
      <c r="I19" s="487"/>
      <c r="J19" s="487"/>
      <c r="K19" s="492"/>
      <c r="L19" s="492"/>
      <c r="M19" s="492"/>
      <c r="N19" s="490" t="n">
        <v>14740</v>
      </c>
      <c r="O19" s="490" t="n">
        <v>11276.1</v>
      </c>
    </row>
    <row r="20" customFormat="false" ht="36.75" hidden="false" customHeight="true" outlineLevel="0" collapsed="false">
      <c r="B20" s="487" t="s">
        <v>2699</v>
      </c>
      <c r="C20" s="488" t="n">
        <v>422</v>
      </c>
      <c r="D20" s="487" t="s">
        <v>906</v>
      </c>
      <c r="E20" s="487" t="s">
        <v>908</v>
      </c>
      <c r="F20" s="487" t="s">
        <v>374</v>
      </c>
      <c r="G20" s="487" t="s">
        <v>375</v>
      </c>
      <c r="H20" s="489" t="n">
        <v>16</v>
      </c>
      <c r="I20" s="487" t="s">
        <v>904</v>
      </c>
      <c r="J20" s="487" t="s">
        <v>1435</v>
      </c>
      <c r="K20" s="490" t="n">
        <v>8780</v>
      </c>
      <c r="L20" s="490" t="n">
        <v>4590</v>
      </c>
      <c r="M20" s="491" t="n">
        <v>17.5</v>
      </c>
      <c r="N20" s="490" t="n">
        <v>4190</v>
      </c>
      <c r="O20" s="490" t="n">
        <v>3456.7</v>
      </c>
    </row>
    <row r="21" customFormat="false" ht="12.75" hidden="true" customHeight="true" outlineLevel="1" collapsed="false">
      <c r="B21" s="487" t="s">
        <v>417</v>
      </c>
      <c r="C21" s="487"/>
      <c r="D21" s="487"/>
      <c r="E21" s="487"/>
      <c r="F21" s="487"/>
      <c r="G21" s="487"/>
      <c r="H21" s="487"/>
      <c r="I21" s="487"/>
      <c r="J21" s="487"/>
      <c r="K21" s="492"/>
      <c r="L21" s="492"/>
      <c r="M21" s="492"/>
      <c r="N21" s="490" t="n">
        <v>4190</v>
      </c>
      <c r="O21" s="490" t="n">
        <v>3456.7</v>
      </c>
    </row>
    <row r="22" customFormat="false" ht="36.75" hidden="false" customHeight="true" outlineLevel="0" collapsed="false">
      <c r="B22" s="487" t="s">
        <v>2700</v>
      </c>
      <c r="C22" s="488" t="n">
        <v>423</v>
      </c>
      <c r="D22" s="489" t="n">
        <v>36</v>
      </c>
      <c r="E22" s="487" t="s">
        <v>899</v>
      </c>
      <c r="F22" s="487" t="s">
        <v>553</v>
      </c>
      <c r="G22" s="487" t="s">
        <v>557</v>
      </c>
      <c r="H22" s="487" t="s">
        <v>628</v>
      </c>
      <c r="I22" s="487" t="s">
        <v>904</v>
      </c>
      <c r="J22" s="487" t="s">
        <v>1435</v>
      </c>
      <c r="K22" s="490" t="n">
        <v>28660</v>
      </c>
      <c r="L22" s="490" t="n">
        <v>14850</v>
      </c>
      <c r="M22" s="491" t="n">
        <v>20.5</v>
      </c>
      <c r="N22" s="490" t="n">
        <v>13810</v>
      </c>
      <c r="O22" s="490" t="n">
        <v>10978.9</v>
      </c>
    </row>
    <row r="23" customFormat="false" ht="12.75" hidden="true" customHeight="true" outlineLevel="1" collapsed="false">
      <c r="B23" s="487" t="s">
        <v>417</v>
      </c>
      <c r="C23" s="487"/>
      <c r="D23" s="487"/>
      <c r="E23" s="487"/>
      <c r="F23" s="487"/>
      <c r="G23" s="487"/>
      <c r="H23" s="487"/>
      <c r="I23" s="487"/>
      <c r="J23" s="487"/>
      <c r="K23" s="492"/>
      <c r="L23" s="492"/>
      <c r="M23" s="492"/>
      <c r="N23" s="490" t="n">
        <v>13810</v>
      </c>
      <c r="O23" s="490" t="n">
        <v>10978.9</v>
      </c>
    </row>
    <row r="24" customFormat="false" ht="36.75" hidden="false" customHeight="true" outlineLevel="0" collapsed="false">
      <c r="B24" s="487" t="s">
        <v>2701</v>
      </c>
      <c r="C24" s="488" t="n">
        <v>424</v>
      </c>
      <c r="D24" s="489" t="n">
        <v>37</v>
      </c>
      <c r="E24" s="487" t="s">
        <v>899</v>
      </c>
      <c r="F24" s="487" t="s">
        <v>547</v>
      </c>
      <c r="G24" s="487" t="s">
        <v>551</v>
      </c>
      <c r="H24" s="487" t="s">
        <v>901</v>
      </c>
      <c r="I24" s="487" t="s">
        <v>904</v>
      </c>
      <c r="J24" s="487" t="s">
        <v>1435</v>
      </c>
      <c r="K24" s="490" t="n">
        <v>28160</v>
      </c>
      <c r="L24" s="490" t="n">
        <v>14620</v>
      </c>
      <c r="M24" s="491" t="n">
        <v>13.5</v>
      </c>
      <c r="N24" s="490" t="n">
        <v>13540</v>
      </c>
      <c r="O24" s="490" t="n">
        <v>11712.1</v>
      </c>
    </row>
    <row r="25" customFormat="false" ht="12.75" hidden="true" customHeight="true" outlineLevel="1" collapsed="false">
      <c r="B25" s="487" t="s">
        <v>417</v>
      </c>
      <c r="C25" s="487"/>
      <c r="D25" s="487"/>
      <c r="E25" s="487"/>
      <c r="F25" s="487"/>
      <c r="G25" s="487"/>
      <c r="H25" s="487"/>
      <c r="I25" s="487"/>
      <c r="J25" s="487"/>
      <c r="K25" s="492"/>
      <c r="L25" s="492"/>
      <c r="M25" s="492"/>
      <c r="N25" s="490" t="n">
        <v>13540</v>
      </c>
      <c r="O25" s="490" t="n">
        <v>11712.1</v>
      </c>
    </row>
    <row r="26" customFormat="false" ht="36.75" hidden="false" customHeight="true" outlineLevel="0" collapsed="false">
      <c r="B26" s="487" t="s">
        <v>2702</v>
      </c>
      <c r="C26" s="488" t="n">
        <v>426</v>
      </c>
      <c r="D26" s="487" t="s">
        <v>906</v>
      </c>
      <c r="E26" s="487" t="s">
        <v>908</v>
      </c>
      <c r="F26" s="487" t="s">
        <v>378</v>
      </c>
      <c r="G26" s="487" t="s">
        <v>379</v>
      </c>
      <c r="H26" s="489" t="n">
        <v>16</v>
      </c>
      <c r="I26" s="487" t="s">
        <v>904</v>
      </c>
      <c r="J26" s="487" t="s">
        <v>1435</v>
      </c>
      <c r="K26" s="490" t="n">
        <v>9430</v>
      </c>
      <c r="L26" s="490" t="n">
        <v>4590</v>
      </c>
      <c r="M26" s="491" t="n">
        <v>20.5</v>
      </c>
      <c r="N26" s="490" t="n">
        <v>4840</v>
      </c>
      <c r="O26" s="490" t="n">
        <v>3847.8</v>
      </c>
    </row>
    <row r="27" customFormat="false" ht="12.75" hidden="true" customHeight="true" outlineLevel="1" collapsed="false">
      <c r="B27" s="487" t="s">
        <v>417</v>
      </c>
      <c r="C27" s="487"/>
      <c r="D27" s="487"/>
      <c r="E27" s="487"/>
      <c r="F27" s="487"/>
      <c r="G27" s="487"/>
      <c r="H27" s="487"/>
      <c r="I27" s="487"/>
      <c r="J27" s="487"/>
      <c r="K27" s="492"/>
      <c r="L27" s="492"/>
      <c r="M27" s="492"/>
      <c r="N27" s="490" t="n">
        <v>4840</v>
      </c>
      <c r="O27" s="490" t="n">
        <v>3847.8</v>
      </c>
    </row>
    <row r="28" customFormat="false" ht="36.75" hidden="false" customHeight="true" outlineLevel="0" collapsed="false">
      <c r="B28" s="487" t="s">
        <v>2703</v>
      </c>
      <c r="C28" s="488" t="n">
        <v>425</v>
      </c>
      <c r="D28" s="489" t="n">
        <v>38</v>
      </c>
      <c r="E28" s="487" t="s">
        <v>899</v>
      </c>
      <c r="F28" s="487" t="s">
        <v>363</v>
      </c>
      <c r="G28" s="487" t="s">
        <v>364</v>
      </c>
      <c r="H28" s="487" t="s">
        <v>628</v>
      </c>
      <c r="I28" s="487" t="s">
        <v>904</v>
      </c>
      <c r="J28" s="487" t="s">
        <v>1435</v>
      </c>
      <c r="K28" s="490" t="n">
        <v>28330</v>
      </c>
      <c r="L28" s="490" t="n">
        <v>14590</v>
      </c>
      <c r="M28" s="491" t="n">
        <v>10.5</v>
      </c>
      <c r="N28" s="490" t="n">
        <v>13740</v>
      </c>
      <c r="O28" s="490" t="n">
        <v>12297.3</v>
      </c>
    </row>
    <row r="29" customFormat="false" ht="12.75" hidden="true" customHeight="true" outlineLevel="1" collapsed="false">
      <c r="B29" s="487" t="s">
        <v>417</v>
      </c>
      <c r="C29" s="487"/>
      <c r="D29" s="487"/>
      <c r="E29" s="487"/>
      <c r="F29" s="487"/>
      <c r="G29" s="487"/>
      <c r="H29" s="487"/>
      <c r="I29" s="487"/>
      <c r="J29" s="487"/>
      <c r="K29" s="492"/>
      <c r="L29" s="492"/>
      <c r="M29" s="492"/>
      <c r="N29" s="490" t="n">
        <v>13740</v>
      </c>
      <c r="O29" s="490" t="n">
        <v>12297.3</v>
      </c>
    </row>
    <row r="30" customFormat="false" ht="36.75" hidden="false" customHeight="true" outlineLevel="0" collapsed="false">
      <c r="B30" s="487" t="s">
        <v>2704</v>
      </c>
      <c r="C30" s="488" t="n">
        <v>427</v>
      </c>
      <c r="D30" s="487" t="s">
        <v>906</v>
      </c>
      <c r="E30" s="487" t="s">
        <v>908</v>
      </c>
      <c r="F30" s="487" t="s">
        <v>374</v>
      </c>
      <c r="G30" s="487" t="s">
        <v>375</v>
      </c>
      <c r="H30" s="489" t="n">
        <v>16</v>
      </c>
      <c r="I30" s="487" t="s">
        <v>904</v>
      </c>
      <c r="J30" s="487" t="s">
        <v>1435</v>
      </c>
      <c r="K30" s="490" t="n">
        <v>9160</v>
      </c>
      <c r="L30" s="490" t="n">
        <v>4560</v>
      </c>
      <c r="M30" s="491" t="n">
        <v>18.5</v>
      </c>
      <c r="N30" s="490" t="n">
        <v>4600</v>
      </c>
      <c r="O30" s="490" t="n">
        <v>3749</v>
      </c>
    </row>
    <row r="31" customFormat="false" ht="12.75" hidden="true" customHeight="true" outlineLevel="1" collapsed="false">
      <c r="B31" s="487" t="s">
        <v>417</v>
      </c>
      <c r="C31" s="487"/>
      <c r="D31" s="487"/>
      <c r="E31" s="487"/>
      <c r="F31" s="487"/>
      <c r="G31" s="487"/>
      <c r="H31" s="487"/>
      <c r="I31" s="487"/>
      <c r="J31" s="487"/>
      <c r="K31" s="492"/>
      <c r="L31" s="492"/>
      <c r="M31" s="492"/>
      <c r="N31" s="490" t="n">
        <v>4600</v>
      </c>
      <c r="O31" s="490" t="n">
        <v>3749</v>
      </c>
    </row>
    <row r="32" customFormat="false" ht="36.75" hidden="false" customHeight="true" outlineLevel="0" collapsed="false">
      <c r="B32" s="487" t="s">
        <v>2708</v>
      </c>
      <c r="C32" s="488" t="n">
        <v>429</v>
      </c>
      <c r="D32" s="489" t="n">
        <v>39</v>
      </c>
      <c r="E32" s="487" t="s">
        <v>899</v>
      </c>
      <c r="F32" s="487" t="s">
        <v>445</v>
      </c>
      <c r="G32" s="487" t="s">
        <v>449</v>
      </c>
      <c r="H32" s="487" t="s">
        <v>628</v>
      </c>
      <c r="I32" s="487" t="s">
        <v>904</v>
      </c>
      <c r="J32" s="487" t="s">
        <v>1435</v>
      </c>
      <c r="K32" s="490" t="n">
        <v>29140</v>
      </c>
      <c r="L32" s="490" t="n">
        <v>15600</v>
      </c>
      <c r="M32" s="491" t="n">
        <v>9</v>
      </c>
      <c r="N32" s="490" t="n">
        <v>13540</v>
      </c>
      <c r="O32" s="490" t="n">
        <v>12321.4</v>
      </c>
    </row>
    <row r="33" customFormat="false" ht="12.75" hidden="true" customHeight="true" outlineLevel="1" collapsed="false">
      <c r="B33" s="487" t="s">
        <v>746</v>
      </c>
      <c r="C33" s="487"/>
      <c r="D33" s="487"/>
      <c r="E33" s="487"/>
      <c r="F33" s="487"/>
      <c r="G33" s="487"/>
      <c r="H33" s="487"/>
      <c r="I33" s="487"/>
      <c r="J33" s="487"/>
      <c r="K33" s="492"/>
      <c r="L33" s="492"/>
      <c r="M33" s="492"/>
      <c r="N33" s="490" t="n">
        <v>13540</v>
      </c>
      <c r="O33" s="490" t="n">
        <v>12321.4</v>
      </c>
    </row>
    <row r="34" customFormat="false" ht="36.75" hidden="false" customHeight="true" outlineLevel="0" collapsed="false">
      <c r="B34" s="487" t="s">
        <v>2706</v>
      </c>
      <c r="C34" s="488" t="n">
        <v>430</v>
      </c>
      <c r="D34" s="489" t="n">
        <v>41</v>
      </c>
      <c r="E34" s="487" t="s">
        <v>899</v>
      </c>
      <c r="F34" s="487" t="s">
        <v>361</v>
      </c>
      <c r="G34" s="487" t="s">
        <v>362</v>
      </c>
      <c r="H34" s="487" t="s">
        <v>628</v>
      </c>
      <c r="I34" s="487" t="s">
        <v>904</v>
      </c>
      <c r="J34" s="487" t="s">
        <v>1435</v>
      </c>
      <c r="K34" s="490" t="n">
        <v>28710</v>
      </c>
      <c r="L34" s="490" t="n">
        <v>14780</v>
      </c>
      <c r="M34" s="491" t="n">
        <v>20</v>
      </c>
      <c r="N34" s="490" t="n">
        <v>13930</v>
      </c>
      <c r="O34" s="490" t="n">
        <v>11144</v>
      </c>
    </row>
    <row r="35" customFormat="false" ht="12.75" hidden="true" customHeight="true" outlineLevel="1" collapsed="false">
      <c r="B35" s="487" t="s">
        <v>417</v>
      </c>
      <c r="C35" s="487"/>
      <c r="D35" s="487"/>
      <c r="E35" s="487"/>
      <c r="F35" s="487"/>
      <c r="G35" s="487"/>
      <c r="H35" s="487"/>
      <c r="I35" s="487"/>
      <c r="J35" s="487"/>
      <c r="K35" s="492"/>
      <c r="L35" s="492"/>
      <c r="M35" s="492"/>
      <c r="N35" s="490" t="n">
        <v>13930</v>
      </c>
      <c r="O35" s="490" t="n">
        <v>11144</v>
      </c>
    </row>
    <row r="36" customFormat="false" ht="36.75" hidden="false" customHeight="true" outlineLevel="0" collapsed="false">
      <c r="B36" s="487" t="s">
        <v>2705</v>
      </c>
      <c r="C36" s="488" t="n">
        <v>428</v>
      </c>
      <c r="D36" s="489" t="n">
        <v>40</v>
      </c>
      <c r="E36" s="487" t="s">
        <v>899</v>
      </c>
      <c r="F36" s="487" t="s">
        <v>451</v>
      </c>
      <c r="G36" s="487" t="s">
        <v>455</v>
      </c>
      <c r="H36" s="487" t="s">
        <v>628</v>
      </c>
      <c r="I36" s="487" t="s">
        <v>904</v>
      </c>
      <c r="J36" s="487" t="s">
        <v>1435</v>
      </c>
      <c r="K36" s="490" t="n">
        <v>28610</v>
      </c>
      <c r="L36" s="490" t="n">
        <v>14940</v>
      </c>
      <c r="M36" s="491" t="n">
        <v>9</v>
      </c>
      <c r="N36" s="490" t="n">
        <v>13670</v>
      </c>
      <c r="O36" s="490" t="n">
        <v>12439.7</v>
      </c>
    </row>
    <row r="37" customFormat="false" ht="12.75" hidden="true" customHeight="true" outlineLevel="1" collapsed="false">
      <c r="B37" s="487" t="s">
        <v>746</v>
      </c>
      <c r="C37" s="487"/>
      <c r="D37" s="487"/>
      <c r="E37" s="487"/>
      <c r="F37" s="487"/>
      <c r="G37" s="487"/>
      <c r="H37" s="487"/>
      <c r="I37" s="487"/>
      <c r="J37" s="487"/>
      <c r="K37" s="492"/>
      <c r="L37" s="492"/>
      <c r="M37" s="492"/>
      <c r="N37" s="490" t="n">
        <v>13670</v>
      </c>
      <c r="O37" s="490" t="n">
        <v>12439.7</v>
      </c>
    </row>
    <row r="38" customFormat="false" ht="36.75" hidden="false" customHeight="true" outlineLevel="0" collapsed="false">
      <c r="B38" s="487" t="s">
        <v>2707</v>
      </c>
      <c r="C38" s="488" t="n">
        <v>431</v>
      </c>
      <c r="D38" s="487" t="s">
        <v>906</v>
      </c>
      <c r="E38" s="487" t="s">
        <v>908</v>
      </c>
      <c r="F38" s="487" t="s">
        <v>378</v>
      </c>
      <c r="G38" s="487" t="s">
        <v>379</v>
      </c>
      <c r="H38" s="489" t="n">
        <v>16</v>
      </c>
      <c r="I38" s="487" t="s">
        <v>904</v>
      </c>
      <c r="J38" s="487" t="s">
        <v>1435</v>
      </c>
      <c r="K38" s="490" t="n">
        <v>8810</v>
      </c>
      <c r="L38" s="490" t="n">
        <v>4590</v>
      </c>
      <c r="M38" s="491" t="n">
        <v>20.5</v>
      </c>
      <c r="N38" s="490" t="n">
        <v>4220</v>
      </c>
      <c r="O38" s="490" t="n">
        <v>3354.9</v>
      </c>
    </row>
    <row r="39" customFormat="false" ht="12.75" hidden="true" customHeight="true" outlineLevel="1" collapsed="false">
      <c r="B39" s="487" t="s">
        <v>417</v>
      </c>
      <c r="C39" s="487"/>
      <c r="D39" s="487"/>
      <c r="E39" s="487"/>
      <c r="F39" s="487"/>
      <c r="G39" s="487"/>
      <c r="H39" s="487"/>
      <c r="I39" s="487"/>
      <c r="J39" s="487"/>
      <c r="K39" s="492"/>
      <c r="L39" s="492"/>
      <c r="M39" s="492"/>
      <c r="N39" s="490" t="n">
        <v>4220</v>
      </c>
      <c r="O39" s="490" t="n">
        <v>3354.9</v>
      </c>
    </row>
    <row r="40" customFormat="false" ht="36.75" hidden="false" customHeight="true" outlineLevel="0" collapsed="false">
      <c r="B40" s="487" t="s">
        <v>2709</v>
      </c>
      <c r="C40" s="488" t="n">
        <v>432</v>
      </c>
      <c r="D40" s="489" t="n">
        <v>42</v>
      </c>
      <c r="E40" s="487" t="s">
        <v>899</v>
      </c>
      <c r="F40" s="487" t="s">
        <v>55</v>
      </c>
      <c r="G40" s="487" t="s">
        <v>56</v>
      </c>
      <c r="H40" s="487" t="s">
        <v>628</v>
      </c>
      <c r="I40" s="487" t="s">
        <v>904</v>
      </c>
      <c r="J40" s="487" t="s">
        <v>1435</v>
      </c>
      <c r="K40" s="490" t="n">
        <v>28150</v>
      </c>
      <c r="L40" s="490" t="n">
        <v>14560</v>
      </c>
      <c r="M40" s="491" t="n">
        <v>17.5</v>
      </c>
      <c r="N40" s="490" t="n">
        <v>13590</v>
      </c>
      <c r="O40" s="490" t="n">
        <v>11211.7</v>
      </c>
    </row>
    <row r="41" customFormat="false" ht="12.75" hidden="true" customHeight="true" outlineLevel="1" collapsed="false">
      <c r="B41" s="487" t="s">
        <v>417</v>
      </c>
      <c r="C41" s="487"/>
      <c r="D41" s="487"/>
      <c r="E41" s="487"/>
      <c r="F41" s="487"/>
      <c r="G41" s="487"/>
      <c r="H41" s="487"/>
      <c r="I41" s="487"/>
      <c r="J41" s="487"/>
      <c r="K41" s="492"/>
      <c r="L41" s="492"/>
      <c r="M41" s="492"/>
      <c r="N41" s="490" t="n">
        <v>13590</v>
      </c>
      <c r="O41" s="490" t="n">
        <v>11211.7</v>
      </c>
    </row>
    <row r="42" customFormat="false" ht="36.75" hidden="false" customHeight="true" outlineLevel="0" collapsed="false">
      <c r="B42" s="487" t="s">
        <v>2710</v>
      </c>
      <c r="C42" s="488" t="n">
        <v>433</v>
      </c>
      <c r="D42" s="487" t="s">
        <v>906</v>
      </c>
      <c r="E42" s="487" t="s">
        <v>899</v>
      </c>
      <c r="F42" s="487" t="s">
        <v>57</v>
      </c>
      <c r="G42" s="487" t="s">
        <v>58</v>
      </c>
      <c r="H42" s="487" t="s">
        <v>907</v>
      </c>
      <c r="I42" s="487" t="s">
        <v>904</v>
      </c>
      <c r="J42" s="487" t="s">
        <v>1435</v>
      </c>
      <c r="K42" s="490" t="n">
        <v>28620</v>
      </c>
      <c r="L42" s="490" t="n">
        <v>15420</v>
      </c>
      <c r="M42" s="491" t="n">
        <v>19.5</v>
      </c>
      <c r="N42" s="490" t="n">
        <v>13200</v>
      </c>
      <c r="O42" s="490" t="n">
        <v>10626</v>
      </c>
    </row>
    <row r="43" customFormat="false" ht="12.75" hidden="true" customHeight="true" outlineLevel="1" collapsed="false">
      <c r="B43" s="487" t="s">
        <v>417</v>
      </c>
      <c r="C43" s="487"/>
      <c r="D43" s="487"/>
      <c r="E43" s="487"/>
      <c r="F43" s="487"/>
      <c r="G43" s="487"/>
      <c r="H43" s="487"/>
      <c r="I43" s="487"/>
      <c r="J43" s="487"/>
      <c r="K43" s="492"/>
      <c r="L43" s="492"/>
      <c r="M43" s="492"/>
      <c r="N43" s="490" t="n">
        <v>13200</v>
      </c>
      <c r="O43" s="490" t="n">
        <v>10626</v>
      </c>
    </row>
    <row r="44" customFormat="false" ht="36.75" hidden="false" customHeight="true" outlineLevel="0" collapsed="false">
      <c r="B44" s="487" t="s">
        <v>2711</v>
      </c>
      <c r="C44" s="488" t="n">
        <v>434</v>
      </c>
      <c r="D44" s="487" t="s">
        <v>906</v>
      </c>
      <c r="E44" s="487" t="s">
        <v>899</v>
      </c>
      <c r="F44" s="487" t="s">
        <v>48</v>
      </c>
      <c r="G44" s="487" t="s">
        <v>49</v>
      </c>
      <c r="H44" s="489" t="n">
        <v>43</v>
      </c>
      <c r="I44" s="487" t="s">
        <v>909</v>
      </c>
      <c r="J44" s="487" t="s">
        <v>1435</v>
      </c>
      <c r="K44" s="490" t="n">
        <v>27970</v>
      </c>
      <c r="L44" s="490" t="n">
        <v>14950</v>
      </c>
      <c r="M44" s="491" t="n">
        <v>14.5</v>
      </c>
      <c r="N44" s="490" t="n">
        <v>13020</v>
      </c>
      <c r="O44" s="490" t="n">
        <v>11132.1</v>
      </c>
    </row>
    <row r="45" customFormat="false" ht="12.75" hidden="true" customHeight="true" outlineLevel="1" collapsed="false">
      <c r="B45" s="487" t="s">
        <v>746</v>
      </c>
      <c r="C45" s="487"/>
      <c r="D45" s="487"/>
      <c r="E45" s="487"/>
      <c r="F45" s="487"/>
      <c r="G45" s="487"/>
      <c r="H45" s="487"/>
      <c r="I45" s="487"/>
      <c r="J45" s="487"/>
      <c r="K45" s="492"/>
      <c r="L45" s="492"/>
      <c r="M45" s="492"/>
      <c r="N45" s="490" t="n">
        <v>13020</v>
      </c>
      <c r="O45" s="490" t="n">
        <v>11132.1</v>
      </c>
    </row>
    <row r="46" customFormat="false" ht="36.75" hidden="false" customHeight="true" outlineLevel="0" collapsed="false">
      <c r="B46" s="487" t="s">
        <v>2716</v>
      </c>
      <c r="C46" s="488" t="n">
        <v>437</v>
      </c>
      <c r="D46" s="487" t="s">
        <v>910</v>
      </c>
      <c r="E46" s="487" t="s">
        <v>899</v>
      </c>
      <c r="F46" s="487" t="s">
        <v>427</v>
      </c>
      <c r="G46" s="487" t="s">
        <v>431</v>
      </c>
      <c r="H46" s="489" t="n">
        <v>46</v>
      </c>
      <c r="I46" s="487" t="s">
        <v>904</v>
      </c>
      <c r="J46" s="487" t="s">
        <v>1435</v>
      </c>
      <c r="K46" s="490" t="n">
        <v>34940</v>
      </c>
      <c r="L46" s="490" t="n">
        <v>27670</v>
      </c>
      <c r="M46" s="491" t="n">
        <v>18.5</v>
      </c>
      <c r="N46" s="490" t="n">
        <v>7270</v>
      </c>
      <c r="O46" s="490" t="n">
        <v>5925</v>
      </c>
    </row>
    <row r="47" customFormat="false" ht="12.75" hidden="true" customHeight="true" outlineLevel="1" collapsed="false">
      <c r="B47" s="487" t="s">
        <v>417</v>
      </c>
      <c r="C47" s="487"/>
      <c r="D47" s="487"/>
      <c r="E47" s="487"/>
      <c r="F47" s="487"/>
      <c r="G47" s="487"/>
      <c r="H47" s="487"/>
      <c r="I47" s="487"/>
      <c r="J47" s="487"/>
      <c r="K47" s="492"/>
      <c r="L47" s="492"/>
      <c r="M47" s="492"/>
      <c r="N47" s="490" t="n">
        <v>7270</v>
      </c>
      <c r="O47" s="490" t="n">
        <v>5925</v>
      </c>
    </row>
    <row r="48" customFormat="false" ht="36.75" hidden="false" customHeight="true" outlineLevel="0" collapsed="false">
      <c r="B48" s="487" t="s">
        <v>2712</v>
      </c>
      <c r="C48" s="488" t="n">
        <v>440</v>
      </c>
      <c r="D48" s="487" t="s">
        <v>910</v>
      </c>
      <c r="E48" s="487" t="s">
        <v>899</v>
      </c>
      <c r="F48" s="487" t="s">
        <v>427</v>
      </c>
      <c r="G48" s="487" t="s">
        <v>431</v>
      </c>
      <c r="H48" s="489" t="n">
        <v>43</v>
      </c>
      <c r="I48" s="487" t="s">
        <v>909</v>
      </c>
      <c r="J48" s="487" t="s">
        <v>1435</v>
      </c>
      <c r="K48" s="490" t="n">
        <v>27650</v>
      </c>
      <c r="L48" s="490" t="n">
        <v>21060</v>
      </c>
      <c r="M48" s="491" t="n">
        <v>6.5</v>
      </c>
      <c r="N48" s="490" t="n">
        <v>6590</v>
      </c>
      <c r="O48" s="490" t="n">
        <v>6161.6</v>
      </c>
    </row>
    <row r="49" customFormat="false" ht="12.75" hidden="true" customHeight="true" outlineLevel="1" collapsed="false">
      <c r="B49" s="487" t="s">
        <v>746</v>
      </c>
      <c r="C49" s="487"/>
      <c r="D49" s="487"/>
      <c r="E49" s="487"/>
      <c r="F49" s="487"/>
      <c r="G49" s="487"/>
      <c r="H49" s="487"/>
      <c r="I49" s="487"/>
      <c r="J49" s="487"/>
      <c r="K49" s="492"/>
      <c r="L49" s="492"/>
      <c r="M49" s="492"/>
      <c r="N49" s="490" t="n">
        <v>6590</v>
      </c>
      <c r="O49" s="490" t="n">
        <v>6161.6</v>
      </c>
    </row>
    <row r="50" customFormat="false" ht="36.75" hidden="false" customHeight="true" outlineLevel="0" collapsed="false">
      <c r="B50" s="487" t="s">
        <v>2713</v>
      </c>
      <c r="C50" s="488" t="n">
        <v>435</v>
      </c>
      <c r="D50" s="487" t="s">
        <v>906</v>
      </c>
      <c r="E50" s="487" t="s">
        <v>899</v>
      </c>
      <c r="F50" s="487" t="s">
        <v>365</v>
      </c>
      <c r="G50" s="487" t="s">
        <v>373</v>
      </c>
      <c r="H50" s="489" t="n">
        <v>43</v>
      </c>
      <c r="I50" s="487" t="s">
        <v>909</v>
      </c>
      <c r="J50" s="487" t="s">
        <v>1435</v>
      </c>
      <c r="K50" s="490" t="n">
        <v>31950</v>
      </c>
      <c r="L50" s="490" t="n">
        <v>18710</v>
      </c>
      <c r="M50" s="491" t="n">
        <v>9.5</v>
      </c>
      <c r="N50" s="490" t="n">
        <v>13240</v>
      </c>
      <c r="O50" s="490" t="n">
        <v>11982.2</v>
      </c>
    </row>
    <row r="51" customFormat="false" ht="12.75" hidden="true" customHeight="true" outlineLevel="1" collapsed="false">
      <c r="B51" s="487" t="s">
        <v>746</v>
      </c>
      <c r="C51" s="487"/>
      <c r="D51" s="487"/>
      <c r="E51" s="487"/>
      <c r="F51" s="487"/>
      <c r="G51" s="487"/>
      <c r="H51" s="487"/>
      <c r="I51" s="487"/>
      <c r="J51" s="487"/>
      <c r="K51" s="492"/>
      <c r="L51" s="492"/>
      <c r="M51" s="492"/>
      <c r="N51" s="490" t="n">
        <v>13240</v>
      </c>
      <c r="O51" s="490" t="n">
        <v>11982.2</v>
      </c>
    </row>
    <row r="52" customFormat="false" ht="36.75" hidden="false" customHeight="true" outlineLevel="0" collapsed="false">
      <c r="B52" s="487" t="s">
        <v>2717</v>
      </c>
      <c r="C52" s="488" t="n">
        <v>441</v>
      </c>
      <c r="D52" s="487" t="s">
        <v>906</v>
      </c>
      <c r="E52" s="487" t="s">
        <v>899</v>
      </c>
      <c r="F52" s="487" t="s">
        <v>433</v>
      </c>
      <c r="G52" s="487" t="s">
        <v>437</v>
      </c>
      <c r="H52" s="489" t="n">
        <v>44</v>
      </c>
      <c r="I52" s="487" t="s">
        <v>909</v>
      </c>
      <c r="J52" s="487" t="s">
        <v>1435</v>
      </c>
      <c r="K52" s="490" t="n">
        <v>28140</v>
      </c>
      <c r="L52" s="490" t="n">
        <v>14940</v>
      </c>
      <c r="M52" s="491" t="n">
        <v>10.5</v>
      </c>
      <c r="N52" s="490" t="n">
        <v>13200</v>
      </c>
      <c r="O52" s="490" t="n">
        <v>11814</v>
      </c>
    </row>
    <row r="53" customFormat="false" ht="12.75" hidden="true" customHeight="true" outlineLevel="1" collapsed="false">
      <c r="B53" s="487" t="s">
        <v>746</v>
      </c>
      <c r="C53" s="487"/>
      <c r="D53" s="487"/>
      <c r="E53" s="487"/>
      <c r="F53" s="487"/>
      <c r="G53" s="487"/>
      <c r="H53" s="487"/>
      <c r="I53" s="487"/>
      <c r="J53" s="487"/>
      <c r="K53" s="492"/>
      <c r="L53" s="492"/>
      <c r="M53" s="492"/>
      <c r="N53" s="490" t="n">
        <v>13200</v>
      </c>
      <c r="O53" s="490" t="n">
        <v>11814</v>
      </c>
    </row>
    <row r="54" customFormat="false" ht="36.75" hidden="false" customHeight="true" outlineLevel="0" collapsed="false">
      <c r="B54" s="487" t="s">
        <v>2714</v>
      </c>
      <c r="C54" s="488" t="n">
        <v>436</v>
      </c>
      <c r="D54" s="487" t="s">
        <v>906</v>
      </c>
      <c r="E54" s="487" t="s">
        <v>899</v>
      </c>
      <c r="F54" s="487" t="s">
        <v>371</v>
      </c>
      <c r="G54" s="487" t="s">
        <v>372</v>
      </c>
      <c r="H54" s="489" t="n">
        <v>43</v>
      </c>
      <c r="I54" s="487" t="s">
        <v>909</v>
      </c>
      <c r="J54" s="487" t="s">
        <v>1435</v>
      </c>
      <c r="K54" s="490" t="n">
        <v>28170</v>
      </c>
      <c r="L54" s="490" t="n">
        <v>14970</v>
      </c>
      <c r="M54" s="491" t="n">
        <v>6.5</v>
      </c>
      <c r="N54" s="490" t="n">
        <v>13200</v>
      </c>
      <c r="O54" s="490" t="n">
        <v>12342</v>
      </c>
    </row>
    <row r="55" customFormat="false" ht="12.75" hidden="true" customHeight="true" outlineLevel="1" collapsed="false">
      <c r="B55" s="487" t="s">
        <v>746</v>
      </c>
      <c r="C55" s="487"/>
      <c r="D55" s="487"/>
      <c r="E55" s="487"/>
      <c r="F55" s="487"/>
      <c r="G55" s="487"/>
      <c r="H55" s="487"/>
      <c r="I55" s="487"/>
      <c r="J55" s="487"/>
      <c r="K55" s="492"/>
      <c r="L55" s="492"/>
      <c r="M55" s="492"/>
      <c r="N55" s="490" t="n">
        <v>13200</v>
      </c>
      <c r="O55" s="490" t="n">
        <v>12342</v>
      </c>
    </row>
    <row r="56" customFormat="false" ht="36.75" hidden="false" customHeight="true" outlineLevel="0" collapsed="false">
      <c r="B56" s="487" t="s">
        <v>2715</v>
      </c>
      <c r="C56" s="488" t="n">
        <v>438</v>
      </c>
      <c r="D56" s="487" t="s">
        <v>906</v>
      </c>
      <c r="E56" s="487" t="s">
        <v>899</v>
      </c>
      <c r="F56" s="487" t="s">
        <v>439</v>
      </c>
      <c r="G56" s="487" t="s">
        <v>443</v>
      </c>
      <c r="H56" s="489" t="n">
        <v>43</v>
      </c>
      <c r="I56" s="487" t="s">
        <v>909</v>
      </c>
      <c r="J56" s="487" t="s">
        <v>1435</v>
      </c>
      <c r="K56" s="490" t="n">
        <v>37310</v>
      </c>
      <c r="L56" s="490" t="n">
        <v>24000</v>
      </c>
      <c r="M56" s="491" t="n">
        <v>6.5</v>
      </c>
      <c r="N56" s="490" t="n">
        <v>13310</v>
      </c>
      <c r="O56" s="490" t="n">
        <v>12444.8</v>
      </c>
    </row>
    <row r="57" customFormat="false" ht="12.75" hidden="true" customHeight="true" outlineLevel="1" collapsed="false">
      <c r="B57" s="487" t="s">
        <v>746</v>
      </c>
      <c r="C57" s="487"/>
      <c r="D57" s="487"/>
      <c r="E57" s="487"/>
      <c r="F57" s="487"/>
      <c r="G57" s="487"/>
      <c r="H57" s="487"/>
      <c r="I57" s="487"/>
      <c r="J57" s="487"/>
      <c r="K57" s="492"/>
      <c r="L57" s="492"/>
      <c r="M57" s="492"/>
      <c r="N57" s="490" t="n">
        <v>13310</v>
      </c>
      <c r="O57" s="490" t="n">
        <v>12444.8</v>
      </c>
    </row>
    <row r="58" customFormat="false" ht="36.75" hidden="false" customHeight="true" outlineLevel="0" collapsed="false">
      <c r="B58" s="487" t="s">
        <v>2718</v>
      </c>
      <c r="C58" s="488" t="n">
        <v>443</v>
      </c>
      <c r="D58" s="487" t="s">
        <v>906</v>
      </c>
      <c r="E58" s="487" t="s">
        <v>908</v>
      </c>
      <c r="F58" s="487" t="s">
        <v>374</v>
      </c>
      <c r="G58" s="487" t="s">
        <v>375</v>
      </c>
      <c r="H58" s="489" t="n">
        <v>16</v>
      </c>
      <c r="I58" s="487" t="s">
        <v>904</v>
      </c>
      <c r="J58" s="487" t="s">
        <v>1435</v>
      </c>
      <c r="K58" s="490" t="n">
        <v>9100</v>
      </c>
      <c r="L58" s="490" t="n">
        <v>4590</v>
      </c>
      <c r="M58" s="491" t="n">
        <v>18.5</v>
      </c>
      <c r="N58" s="490" t="n">
        <v>4510</v>
      </c>
      <c r="O58" s="490" t="n">
        <v>3675.6</v>
      </c>
    </row>
    <row r="59" customFormat="false" ht="12.75" hidden="true" customHeight="true" outlineLevel="1" collapsed="false">
      <c r="B59" s="487" t="s">
        <v>417</v>
      </c>
      <c r="C59" s="487"/>
      <c r="D59" s="487"/>
      <c r="E59" s="487"/>
      <c r="F59" s="487"/>
      <c r="G59" s="487"/>
      <c r="H59" s="487"/>
      <c r="I59" s="487"/>
      <c r="J59" s="487"/>
      <c r="K59" s="492"/>
      <c r="L59" s="492"/>
      <c r="M59" s="492"/>
      <c r="N59" s="490" t="n">
        <v>4510</v>
      </c>
      <c r="O59" s="490" t="n">
        <v>3675.6</v>
      </c>
    </row>
    <row r="60" customFormat="false" ht="36.75" hidden="false" customHeight="true" outlineLevel="0" collapsed="false">
      <c r="B60" s="487" t="s">
        <v>2719</v>
      </c>
      <c r="C60" s="488" t="n">
        <v>444</v>
      </c>
      <c r="D60" s="487" t="s">
        <v>906</v>
      </c>
      <c r="E60" s="487" t="s">
        <v>899</v>
      </c>
      <c r="F60" s="487" t="s">
        <v>359</v>
      </c>
      <c r="G60" s="487" t="s">
        <v>426</v>
      </c>
      <c r="H60" s="489" t="n">
        <v>44</v>
      </c>
      <c r="I60" s="487" t="s">
        <v>909</v>
      </c>
      <c r="J60" s="487" t="s">
        <v>1435</v>
      </c>
      <c r="K60" s="490" t="n">
        <v>27130</v>
      </c>
      <c r="L60" s="490" t="n">
        <v>13770</v>
      </c>
      <c r="M60" s="491" t="n">
        <v>12</v>
      </c>
      <c r="N60" s="490" t="n">
        <v>13360</v>
      </c>
      <c r="O60" s="490" t="n">
        <v>11756.8</v>
      </c>
    </row>
    <row r="61" customFormat="false" ht="12.75" hidden="true" customHeight="true" outlineLevel="1" collapsed="false">
      <c r="B61" s="487" t="s">
        <v>746</v>
      </c>
      <c r="C61" s="487"/>
      <c r="D61" s="487"/>
      <c r="E61" s="487"/>
      <c r="F61" s="487"/>
      <c r="G61" s="487"/>
      <c r="H61" s="487"/>
      <c r="I61" s="487"/>
      <c r="J61" s="487"/>
      <c r="K61" s="492"/>
      <c r="L61" s="492"/>
      <c r="M61" s="492"/>
      <c r="N61" s="490" t="n">
        <v>13360</v>
      </c>
      <c r="O61" s="490" t="n">
        <v>11756.8</v>
      </c>
    </row>
    <row r="62" customFormat="false" ht="36.75" hidden="false" customHeight="true" outlineLevel="0" collapsed="false">
      <c r="B62" s="487" t="s">
        <v>2720</v>
      </c>
      <c r="C62" s="488" t="n">
        <v>445</v>
      </c>
      <c r="D62" s="487" t="s">
        <v>906</v>
      </c>
      <c r="E62" s="487" t="s">
        <v>899</v>
      </c>
      <c r="F62" s="487" t="s">
        <v>457</v>
      </c>
      <c r="G62" s="487" t="s">
        <v>366</v>
      </c>
      <c r="H62" s="489" t="n">
        <v>43</v>
      </c>
      <c r="I62" s="487" t="s">
        <v>909</v>
      </c>
      <c r="J62" s="487" t="s">
        <v>1435</v>
      </c>
      <c r="K62" s="490" t="n">
        <v>28050</v>
      </c>
      <c r="L62" s="490" t="n">
        <v>14730</v>
      </c>
      <c r="M62" s="491" t="n">
        <v>11</v>
      </c>
      <c r="N62" s="490" t="n">
        <v>13320</v>
      </c>
      <c r="O62" s="490" t="n">
        <v>11854.8</v>
      </c>
    </row>
    <row r="63" customFormat="false" ht="12.75" hidden="true" customHeight="true" outlineLevel="1" collapsed="false">
      <c r="B63" s="487" t="s">
        <v>746</v>
      </c>
      <c r="C63" s="487"/>
      <c r="D63" s="487"/>
      <c r="E63" s="487"/>
      <c r="F63" s="487"/>
      <c r="G63" s="487"/>
      <c r="H63" s="487"/>
      <c r="I63" s="487"/>
      <c r="J63" s="487"/>
      <c r="K63" s="492"/>
      <c r="L63" s="492"/>
      <c r="M63" s="492"/>
      <c r="N63" s="490" t="n">
        <v>13320</v>
      </c>
      <c r="O63" s="490" t="n">
        <v>11854.8</v>
      </c>
    </row>
    <row r="64" customFormat="false" ht="36.75" hidden="false" customHeight="true" outlineLevel="0" collapsed="false">
      <c r="B64" s="487" t="s">
        <v>2721</v>
      </c>
      <c r="C64" s="488" t="n">
        <v>447</v>
      </c>
      <c r="D64" s="487" t="s">
        <v>906</v>
      </c>
      <c r="E64" s="487" t="s">
        <v>899</v>
      </c>
      <c r="F64" s="487" t="s">
        <v>547</v>
      </c>
      <c r="G64" s="487" t="s">
        <v>551</v>
      </c>
      <c r="H64" s="489" t="n">
        <v>43</v>
      </c>
      <c r="I64" s="487" t="s">
        <v>909</v>
      </c>
      <c r="J64" s="487" t="s">
        <v>1435</v>
      </c>
      <c r="K64" s="490" t="n">
        <v>27780</v>
      </c>
      <c r="L64" s="490" t="n">
        <v>14570</v>
      </c>
      <c r="M64" s="491" t="n">
        <v>9</v>
      </c>
      <c r="N64" s="490" t="n">
        <v>13210</v>
      </c>
      <c r="O64" s="490" t="n">
        <v>12021.1</v>
      </c>
    </row>
    <row r="65" customFormat="false" ht="12.75" hidden="true" customHeight="true" outlineLevel="1" collapsed="false">
      <c r="B65" s="487" t="s">
        <v>746</v>
      </c>
      <c r="C65" s="487"/>
      <c r="D65" s="487"/>
      <c r="E65" s="487"/>
      <c r="F65" s="487"/>
      <c r="G65" s="487"/>
      <c r="H65" s="487"/>
      <c r="I65" s="487"/>
      <c r="J65" s="487"/>
      <c r="K65" s="492"/>
      <c r="L65" s="492"/>
      <c r="M65" s="492"/>
      <c r="N65" s="490" t="n">
        <v>13210</v>
      </c>
      <c r="O65" s="490" t="n">
        <v>12021.1</v>
      </c>
    </row>
    <row r="66" customFormat="false" ht="36.75" hidden="false" customHeight="true" outlineLevel="0" collapsed="false">
      <c r="B66" s="487" t="s">
        <v>2722</v>
      </c>
      <c r="C66" s="488" t="n">
        <v>446</v>
      </c>
      <c r="D66" s="487" t="s">
        <v>906</v>
      </c>
      <c r="E66" s="487" t="s">
        <v>899</v>
      </c>
      <c r="F66" s="487" t="s">
        <v>553</v>
      </c>
      <c r="G66" s="487" t="s">
        <v>557</v>
      </c>
      <c r="H66" s="489" t="n">
        <v>43</v>
      </c>
      <c r="I66" s="487" t="s">
        <v>909</v>
      </c>
      <c r="J66" s="487" t="s">
        <v>1435</v>
      </c>
      <c r="K66" s="490" t="n">
        <v>27970</v>
      </c>
      <c r="L66" s="490" t="n">
        <v>14760</v>
      </c>
      <c r="M66" s="491" t="n">
        <v>11.5</v>
      </c>
      <c r="N66" s="490" t="n">
        <v>13210</v>
      </c>
      <c r="O66" s="490" t="n">
        <v>11690.8</v>
      </c>
    </row>
    <row r="67" customFormat="false" ht="12.75" hidden="true" customHeight="true" outlineLevel="1" collapsed="false">
      <c r="B67" s="487" t="s">
        <v>417</v>
      </c>
      <c r="C67" s="487"/>
      <c r="D67" s="487"/>
      <c r="E67" s="487"/>
      <c r="F67" s="487"/>
      <c r="G67" s="487"/>
      <c r="H67" s="487"/>
      <c r="I67" s="487"/>
      <c r="J67" s="487"/>
      <c r="K67" s="492"/>
      <c r="L67" s="492"/>
      <c r="M67" s="492"/>
      <c r="N67" s="490" t="n">
        <v>13210</v>
      </c>
      <c r="O67" s="490" t="n">
        <v>11690.8</v>
      </c>
    </row>
    <row r="68" customFormat="false" ht="36.75" hidden="false" customHeight="true" outlineLevel="0" collapsed="false">
      <c r="B68" s="487" t="s">
        <v>2727</v>
      </c>
      <c r="C68" s="488" t="n">
        <v>452</v>
      </c>
      <c r="D68" s="487" t="s">
        <v>906</v>
      </c>
      <c r="E68" s="487" t="s">
        <v>899</v>
      </c>
      <c r="F68" s="487" t="s">
        <v>395</v>
      </c>
      <c r="G68" s="487" t="s">
        <v>566</v>
      </c>
      <c r="H68" s="489" t="n">
        <v>43</v>
      </c>
      <c r="I68" s="487" t="s">
        <v>909</v>
      </c>
      <c r="J68" s="487" t="s">
        <v>1435</v>
      </c>
      <c r="K68" s="490" t="n">
        <v>27420</v>
      </c>
      <c r="L68" s="490" t="n">
        <v>14420</v>
      </c>
      <c r="M68" s="491" t="n">
        <v>14</v>
      </c>
      <c r="N68" s="490" t="n">
        <v>13000</v>
      </c>
      <c r="O68" s="490" t="n">
        <v>11180</v>
      </c>
    </row>
    <row r="69" customFormat="false" ht="12.75" hidden="true" customHeight="true" outlineLevel="1" collapsed="false">
      <c r="B69" s="487" t="s">
        <v>746</v>
      </c>
      <c r="C69" s="487"/>
      <c r="D69" s="487"/>
      <c r="E69" s="487"/>
      <c r="F69" s="487"/>
      <c r="G69" s="487"/>
      <c r="H69" s="487"/>
      <c r="I69" s="487"/>
      <c r="J69" s="487"/>
      <c r="K69" s="492"/>
      <c r="L69" s="492"/>
      <c r="M69" s="492"/>
      <c r="N69" s="490" t="n">
        <v>13000</v>
      </c>
      <c r="O69" s="490" t="n">
        <v>11180</v>
      </c>
    </row>
    <row r="70" customFormat="false" ht="36.75" hidden="false" customHeight="true" outlineLevel="0" collapsed="false">
      <c r="B70" s="487" t="s">
        <v>2728</v>
      </c>
      <c r="C70" s="488" t="n">
        <v>453</v>
      </c>
      <c r="D70" s="487" t="s">
        <v>906</v>
      </c>
      <c r="E70" s="487" t="s">
        <v>899</v>
      </c>
      <c r="F70" s="487" t="s">
        <v>48</v>
      </c>
      <c r="G70" s="487" t="s">
        <v>49</v>
      </c>
      <c r="H70" s="489" t="n">
        <v>44</v>
      </c>
      <c r="I70" s="487" t="s">
        <v>909</v>
      </c>
      <c r="J70" s="487" t="s">
        <v>1435</v>
      </c>
      <c r="K70" s="490" t="n">
        <v>28390</v>
      </c>
      <c r="L70" s="490" t="n">
        <v>14890</v>
      </c>
      <c r="M70" s="491" t="n">
        <v>10</v>
      </c>
      <c r="N70" s="490" t="n">
        <v>13500</v>
      </c>
      <c r="O70" s="490" t="n">
        <v>12150</v>
      </c>
    </row>
    <row r="71" customFormat="false" ht="12.75" hidden="true" customHeight="true" outlineLevel="1" collapsed="false">
      <c r="B71" s="487" t="s">
        <v>746</v>
      </c>
      <c r="C71" s="487"/>
      <c r="D71" s="487"/>
      <c r="E71" s="487"/>
      <c r="F71" s="487"/>
      <c r="G71" s="487"/>
      <c r="H71" s="487"/>
      <c r="I71" s="487"/>
      <c r="J71" s="487"/>
      <c r="K71" s="492"/>
      <c r="L71" s="492"/>
      <c r="M71" s="492"/>
      <c r="N71" s="490" t="n">
        <v>13500</v>
      </c>
      <c r="O71" s="490" t="n">
        <v>12150</v>
      </c>
    </row>
    <row r="72" customFormat="false" ht="36.75" hidden="false" customHeight="true" outlineLevel="0" collapsed="false">
      <c r="B72" s="487" t="s">
        <v>2723</v>
      </c>
      <c r="C72" s="488" t="n">
        <v>448</v>
      </c>
      <c r="D72" s="487" t="s">
        <v>906</v>
      </c>
      <c r="E72" s="487" t="s">
        <v>899</v>
      </c>
      <c r="F72" s="487" t="s">
        <v>363</v>
      </c>
      <c r="G72" s="487" t="s">
        <v>364</v>
      </c>
      <c r="H72" s="489" t="n">
        <v>43</v>
      </c>
      <c r="I72" s="487" t="s">
        <v>909</v>
      </c>
      <c r="J72" s="487" t="s">
        <v>1435</v>
      </c>
      <c r="K72" s="490" t="n">
        <v>27860</v>
      </c>
      <c r="L72" s="490" t="n">
        <v>14590</v>
      </c>
      <c r="M72" s="491" t="n">
        <v>14.5</v>
      </c>
      <c r="N72" s="490" t="n">
        <v>13270</v>
      </c>
      <c r="O72" s="490" t="n">
        <v>11345.8</v>
      </c>
    </row>
    <row r="73" customFormat="false" ht="12.75" hidden="true" customHeight="true" outlineLevel="1" collapsed="false">
      <c r="B73" s="487" t="s">
        <v>746</v>
      </c>
      <c r="C73" s="487"/>
      <c r="D73" s="487"/>
      <c r="E73" s="487"/>
      <c r="F73" s="487"/>
      <c r="G73" s="487"/>
      <c r="H73" s="487"/>
      <c r="I73" s="487"/>
      <c r="J73" s="487"/>
      <c r="K73" s="492"/>
      <c r="L73" s="492"/>
      <c r="M73" s="492"/>
      <c r="N73" s="490" t="n">
        <v>13270</v>
      </c>
      <c r="O73" s="490" t="n">
        <v>11345.8</v>
      </c>
    </row>
    <row r="74" customFormat="false" ht="36.75" hidden="false" customHeight="true" outlineLevel="0" collapsed="false">
      <c r="B74" s="487" t="s">
        <v>2724</v>
      </c>
      <c r="C74" s="488" t="n">
        <v>449</v>
      </c>
      <c r="D74" s="487" t="s">
        <v>906</v>
      </c>
      <c r="E74" s="487" t="s">
        <v>899</v>
      </c>
      <c r="F74" s="487" t="s">
        <v>361</v>
      </c>
      <c r="G74" s="487" t="s">
        <v>362</v>
      </c>
      <c r="H74" s="489" t="n">
        <v>43</v>
      </c>
      <c r="I74" s="487" t="s">
        <v>909</v>
      </c>
      <c r="J74" s="487" t="s">
        <v>1435</v>
      </c>
      <c r="K74" s="490" t="n">
        <v>28040</v>
      </c>
      <c r="L74" s="490" t="n">
        <v>14690</v>
      </c>
      <c r="M74" s="491" t="n">
        <v>19.5</v>
      </c>
      <c r="N74" s="490" t="n">
        <v>13350</v>
      </c>
      <c r="O74" s="490" t="n">
        <v>10746.7</v>
      </c>
    </row>
    <row r="75" customFormat="false" ht="12.75" hidden="true" customHeight="true" outlineLevel="1" collapsed="false">
      <c r="B75" s="487" t="s">
        <v>417</v>
      </c>
      <c r="C75" s="487"/>
      <c r="D75" s="487"/>
      <c r="E75" s="487"/>
      <c r="F75" s="487"/>
      <c r="G75" s="487"/>
      <c r="H75" s="487"/>
      <c r="I75" s="487"/>
      <c r="J75" s="487"/>
      <c r="K75" s="492"/>
      <c r="L75" s="492"/>
      <c r="M75" s="492"/>
      <c r="N75" s="490" t="n">
        <v>13350</v>
      </c>
      <c r="O75" s="490" t="n">
        <v>10746.7</v>
      </c>
    </row>
    <row r="76" customFormat="false" ht="36.75" hidden="false" customHeight="true" outlineLevel="0" collapsed="false">
      <c r="B76" s="487" t="s">
        <v>2725</v>
      </c>
      <c r="C76" s="488" t="n">
        <v>450</v>
      </c>
      <c r="D76" s="487" t="s">
        <v>906</v>
      </c>
      <c r="E76" s="487" t="s">
        <v>899</v>
      </c>
      <c r="F76" s="487" t="s">
        <v>451</v>
      </c>
      <c r="G76" s="487" t="s">
        <v>455</v>
      </c>
      <c r="H76" s="489" t="n">
        <v>43</v>
      </c>
      <c r="I76" s="487" t="s">
        <v>909</v>
      </c>
      <c r="J76" s="487" t="s">
        <v>1435</v>
      </c>
      <c r="K76" s="490" t="n">
        <v>28180</v>
      </c>
      <c r="L76" s="490" t="n">
        <v>14860</v>
      </c>
      <c r="M76" s="491" t="n">
        <v>11</v>
      </c>
      <c r="N76" s="490" t="n">
        <v>13320</v>
      </c>
      <c r="O76" s="490" t="n">
        <v>11854.8</v>
      </c>
    </row>
    <row r="77" customFormat="false" ht="12.75" hidden="true" customHeight="true" outlineLevel="1" collapsed="false">
      <c r="B77" s="487" t="s">
        <v>746</v>
      </c>
      <c r="C77" s="487"/>
      <c r="D77" s="487"/>
      <c r="E77" s="487"/>
      <c r="F77" s="487"/>
      <c r="G77" s="487"/>
      <c r="H77" s="487"/>
      <c r="I77" s="487"/>
      <c r="J77" s="487"/>
      <c r="K77" s="492"/>
      <c r="L77" s="492"/>
      <c r="M77" s="492"/>
      <c r="N77" s="490" t="n">
        <v>13320</v>
      </c>
      <c r="O77" s="490" t="n">
        <v>11854.8</v>
      </c>
    </row>
    <row r="78" customFormat="false" ht="36.75" hidden="false" customHeight="true" outlineLevel="0" collapsed="false">
      <c r="B78" s="487" t="s">
        <v>2729</v>
      </c>
      <c r="C78" s="488" t="n">
        <v>454</v>
      </c>
      <c r="D78" s="487" t="s">
        <v>906</v>
      </c>
      <c r="E78" s="487" t="s">
        <v>899</v>
      </c>
      <c r="F78" s="487" t="s">
        <v>55</v>
      </c>
      <c r="G78" s="487" t="s">
        <v>56</v>
      </c>
      <c r="H78" s="489" t="n">
        <v>43</v>
      </c>
      <c r="I78" s="487" t="s">
        <v>909</v>
      </c>
      <c r="J78" s="487" t="s">
        <v>1435</v>
      </c>
      <c r="K78" s="490" t="n">
        <v>27550</v>
      </c>
      <c r="L78" s="490" t="n">
        <v>14700</v>
      </c>
      <c r="M78" s="491" t="n">
        <v>9</v>
      </c>
      <c r="N78" s="490" t="n">
        <v>12850</v>
      </c>
      <c r="O78" s="490" t="n">
        <v>11693.5</v>
      </c>
    </row>
    <row r="79" customFormat="false" ht="12.75" hidden="true" customHeight="true" outlineLevel="1" collapsed="false">
      <c r="B79" s="487" t="s">
        <v>746</v>
      </c>
      <c r="C79" s="487"/>
      <c r="D79" s="487"/>
      <c r="E79" s="487"/>
      <c r="F79" s="487"/>
      <c r="G79" s="487"/>
      <c r="H79" s="487"/>
      <c r="I79" s="487"/>
      <c r="J79" s="487"/>
      <c r="K79" s="492"/>
      <c r="L79" s="492"/>
      <c r="M79" s="492"/>
      <c r="N79" s="490" t="n">
        <v>12850</v>
      </c>
      <c r="O79" s="490" t="n">
        <v>11693.5</v>
      </c>
    </row>
    <row r="80" customFormat="false" ht="36.75" hidden="false" customHeight="true" outlineLevel="0" collapsed="false">
      <c r="B80" s="487" t="s">
        <v>2730</v>
      </c>
      <c r="C80" s="488" t="n">
        <v>455</v>
      </c>
      <c r="D80" s="487" t="s">
        <v>906</v>
      </c>
      <c r="E80" s="487" t="s">
        <v>899</v>
      </c>
      <c r="F80" s="487" t="s">
        <v>365</v>
      </c>
      <c r="G80" s="487" t="s">
        <v>373</v>
      </c>
      <c r="H80" s="489" t="n">
        <v>44</v>
      </c>
      <c r="I80" s="487" t="s">
        <v>909</v>
      </c>
      <c r="J80" s="487" t="s">
        <v>1435</v>
      </c>
      <c r="K80" s="490" t="n">
        <v>32500</v>
      </c>
      <c r="L80" s="490" t="n">
        <v>18650</v>
      </c>
      <c r="M80" s="491" t="n">
        <v>10.5</v>
      </c>
      <c r="N80" s="490" t="n">
        <v>13850</v>
      </c>
      <c r="O80" s="490" t="n">
        <v>12395.7</v>
      </c>
    </row>
    <row r="81" customFormat="false" ht="12.75" hidden="true" customHeight="true" outlineLevel="1" collapsed="false">
      <c r="B81" s="487" t="s">
        <v>746</v>
      </c>
      <c r="C81" s="487"/>
      <c r="D81" s="487"/>
      <c r="E81" s="487"/>
      <c r="F81" s="487"/>
      <c r="G81" s="487"/>
      <c r="H81" s="487"/>
      <c r="I81" s="487"/>
      <c r="J81" s="487"/>
      <c r="K81" s="492"/>
      <c r="L81" s="492"/>
      <c r="M81" s="492"/>
      <c r="N81" s="490" t="n">
        <v>13850</v>
      </c>
      <c r="O81" s="490" t="n">
        <v>12395.7</v>
      </c>
    </row>
    <row r="82" customFormat="false" ht="36.75" hidden="false" customHeight="true" outlineLevel="0" collapsed="false">
      <c r="B82" s="487" t="s">
        <v>2726</v>
      </c>
      <c r="C82" s="488" t="n">
        <v>451</v>
      </c>
      <c r="D82" s="487" t="s">
        <v>906</v>
      </c>
      <c r="E82" s="487" t="s">
        <v>899</v>
      </c>
      <c r="F82" s="487" t="s">
        <v>445</v>
      </c>
      <c r="G82" s="487" t="s">
        <v>449</v>
      </c>
      <c r="H82" s="489" t="n">
        <v>44</v>
      </c>
      <c r="I82" s="487" t="s">
        <v>909</v>
      </c>
      <c r="J82" s="487" t="s">
        <v>1435</v>
      </c>
      <c r="K82" s="490" t="n">
        <v>29070</v>
      </c>
      <c r="L82" s="490" t="n">
        <v>15520</v>
      </c>
      <c r="M82" s="491" t="n">
        <v>10</v>
      </c>
      <c r="N82" s="490" t="n">
        <v>13550</v>
      </c>
      <c r="O82" s="490" t="n">
        <v>12195</v>
      </c>
    </row>
    <row r="83" customFormat="false" ht="12.75" hidden="true" customHeight="true" outlineLevel="1" collapsed="false">
      <c r="B83" s="487" t="s">
        <v>417</v>
      </c>
      <c r="C83" s="487"/>
      <c r="D83" s="487"/>
      <c r="E83" s="487"/>
      <c r="F83" s="487"/>
      <c r="G83" s="487"/>
      <c r="H83" s="487"/>
      <c r="I83" s="487"/>
      <c r="J83" s="487"/>
      <c r="K83" s="492"/>
      <c r="L83" s="492"/>
      <c r="M83" s="492"/>
      <c r="N83" s="490" t="n">
        <v>13550</v>
      </c>
      <c r="O83" s="490" t="n">
        <v>12195</v>
      </c>
    </row>
    <row r="84" customFormat="false" ht="36.75" hidden="false" customHeight="true" outlineLevel="0" collapsed="false">
      <c r="B84" s="487" t="s">
        <v>2732</v>
      </c>
      <c r="C84" s="488" t="n">
        <v>456</v>
      </c>
      <c r="D84" s="487" t="s">
        <v>906</v>
      </c>
      <c r="E84" s="487" t="s">
        <v>899</v>
      </c>
      <c r="F84" s="487" t="s">
        <v>57</v>
      </c>
      <c r="G84" s="487" t="s">
        <v>58</v>
      </c>
      <c r="H84" s="489" t="n">
        <v>43</v>
      </c>
      <c r="I84" s="487" t="s">
        <v>909</v>
      </c>
      <c r="J84" s="487" t="s">
        <v>1435</v>
      </c>
      <c r="K84" s="490" t="n">
        <v>28720</v>
      </c>
      <c r="L84" s="490" t="n">
        <v>15620</v>
      </c>
      <c r="M84" s="491" t="n">
        <v>13.5</v>
      </c>
      <c r="N84" s="490" t="n">
        <v>13100</v>
      </c>
      <c r="O84" s="490" t="n">
        <v>11331.5</v>
      </c>
    </row>
    <row r="85" customFormat="false" ht="12.75" hidden="true" customHeight="true" outlineLevel="1" collapsed="false">
      <c r="B85" s="487" t="s">
        <v>746</v>
      </c>
      <c r="C85" s="487"/>
      <c r="D85" s="487"/>
      <c r="E85" s="487"/>
      <c r="F85" s="487"/>
      <c r="G85" s="487"/>
      <c r="H85" s="487"/>
      <c r="I85" s="487"/>
      <c r="J85" s="487"/>
      <c r="K85" s="492"/>
      <c r="L85" s="492"/>
      <c r="M85" s="492"/>
      <c r="N85" s="490" t="n">
        <v>13100</v>
      </c>
      <c r="O85" s="490" t="n">
        <v>11331.5</v>
      </c>
    </row>
    <row r="86" customFormat="false" ht="36.75" hidden="false" customHeight="true" outlineLevel="0" collapsed="false">
      <c r="B86" s="487" t="s">
        <v>2731</v>
      </c>
      <c r="C86" s="488" t="n">
        <v>457</v>
      </c>
      <c r="D86" s="487" t="s">
        <v>906</v>
      </c>
      <c r="E86" s="487" t="s">
        <v>899</v>
      </c>
      <c r="F86" s="487" t="s">
        <v>371</v>
      </c>
      <c r="G86" s="487" t="s">
        <v>372</v>
      </c>
      <c r="H86" s="489" t="n">
        <v>44</v>
      </c>
      <c r="I86" s="487" t="s">
        <v>909</v>
      </c>
      <c r="J86" s="487" t="s">
        <v>1435</v>
      </c>
      <c r="K86" s="490" t="n">
        <v>28590</v>
      </c>
      <c r="L86" s="490" t="n">
        <v>14990</v>
      </c>
      <c r="M86" s="491" t="n">
        <v>12.5</v>
      </c>
      <c r="N86" s="490" t="n">
        <v>13600</v>
      </c>
      <c r="O86" s="490" t="n">
        <v>11900</v>
      </c>
    </row>
    <row r="87" customFormat="false" ht="12.75" hidden="true" customHeight="true" outlineLevel="1" collapsed="false">
      <c r="B87" s="487" t="s">
        <v>746</v>
      </c>
      <c r="C87" s="487"/>
      <c r="D87" s="487"/>
      <c r="E87" s="487"/>
      <c r="F87" s="487"/>
      <c r="G87" s="487"/>
      <c r="H87" s="487"/>
      <c r="I87" s="487"/>
      <c r="J87" s="487"/>
      <c r="K87" s="492"/>
      <c r="L87" s="492"/>
      <c r="M87" s="492"/>
      <c r="N87" s="490" t="n">
        <v>13600</v>
      </c>
      <c r="O87" s="490" t="n">
        <v>11900</v>
      </c>
    </row>
    <row r="88" customFormat="false" ht="36.75" hidden="false" customHeight="true" outlineLevel="0" collapsed="false">
      <c r="B88" s="487" t="s">
        <v>2733</v>
      </c>
      <c r="C88" s="488" t="n">
        <v>458</v>
      </c>
      <c r="D88" s="487" t="s">
        <v>906</v>
      </c>
      <c r="E88" s="487" t="s">
        <v>899</v>
      </c>
      <c r="F88" s="487" t="s">
        <v>511</v>
      </c>
      <c r="G88" s="487" t="s">
        <v>515</v>
      </c>
      <c r="H88" s="489" t="n">
        <v>43</v>
      </c>
      <c r="I88" s="487" t="s">
        <v>909</v>
      </c>
      <c r="J88" s="487" t="s">
        <v>1435</v>
      </c>
      <c r="K88" s="490" t="n">
        <v>27660</v>
      </c>
      <c r="L88" s="490" t="n">
        <v>14660</v>
      </c>
      <c r="M88" s="491" t="n">
        <v>11</v>
      </c>
      <c r="N88" s="490" t="n">
        <v>13000</v>
      </c>
      <c r="O88" s="490" t="n">
        <v>11570</v>
      </c>
    </row>
    <row r="89" customFormat="false" ht="12.75" hidden="true" customHeight="true" outlineLevel="1" collapsed="false">
      <c r="B89" s="487" t="s">
        <v>746</v>
      </c>
      <c r="C89" s="487"/>
      <c r="D89" s="487"/>
      <c r="E89" s="487"/>
      <c r="F89" s="487"/>
      <c r="G89" s="487"/>
      <c r="H89" s="487"/>
      <c r="I89" s="487"/>
      <c r="J89" s="487"/>
      <c r="K89" s="492"/>
      <c r="L89" s="492"/>
      <c r="M89" s="492"/>
      <c r="N89" s="490" t="n">
        <v>13000</v>
      </c>
      <c r="O89" s="490" t="n">
        <v>11570</v>
      </c>
    </row>
    <row r="90" customFormat="false" ht="36.75" hidden="false" customHeight="true" outlineLevel="0" collapsed="false">
      <c r="B90" s="487" t="s">
        <v>2734</v>
      </c>
      <c r="C90" s="488" t="n">
        <v>459</v>
      </c>
      <c r="D90" s="487" t="s">
        <v>906</v>
      </c>
      <c r="E90" s="487" t="s">
        <v>899</v>
      </c>
      <c r="F90" s="487" t="s">
        <v>439</v>
      </c>
      <c r="G90" s="487" t="s">
        <v>443</v>
      </c>
      <c r="H90" s="489" t="n">
        <v>44</v>
      </c>
      <c r="I90" s="487" t="s">
        <v>909</v>
      </c>
      <c r="J90" s="487" t="s">
        <v>1435</v>
      </c>
      <c r="K90" s="490" t="n">
        <v>37400</v>
      </c>
      <c r="L90" s="490" t="n">
        <v>23890</v>
      </c>
      <c r="M90" s="491" t="n">
        <v>8.5</v>
      </c>
      <c r="N90" s="490" t="n">
        <v>13510</v>
      </c>
      <c r="O90" s="490" t="n">
        <v>12361.6</v>
      </c>
    </row>
    <row r="91" customFormat="false" ht="12.75" hidden="true" customHeight="true" outlineLevel="1" collapsed="false">
      <c r="B91" s="487" t="s">
        <v>746</v>
      </c>
      <c r="C91" s="487"/>
      <c r="D91" s="487"/>
      <c r="E91" s="487"/>
      <c r="F91" s="487"/>
      <c r="G91" s="487"/>
      <c r="H91" s="487"/>
      <c r="I91" s="487"/>
      <c r="J91" s="487"/>
      <c r="K91" s="492"/>
      <c r="L91" s="492"/>
      <c r="M91" s="492"/>
      <c r="N91" s="490" t="n">
        <v>13510</v>
      </c>
      <c r="O91" s="490" t="n">
        <v>12361.6</v>
      </c>
    </row>
    <row r="92" customFormat="false" ht="36.75" hidden="false" customHeight="true" outlineLevel="0" collapsed="false">
      <c r="B92" s="487" t="s">
        <v>2735</v>
      </c>
      <c r="C92" s="488" t="n">
        <v>460</v>
      </c>
      <c r="D92" s="487" t="s">
        <v>906</v>
      </c>
      <c r="E92" s="487" t="s">
        <v>899</v>
      </c>
      <c r="F92" s="487" t="s">
        <v>433</v>
      </c>
      <c r="G92" s="487" t="s">
        <v>437</v>
      </c>
      <c r="H92" s="489" t="n">
        <v>43</v>
      </c>
      <c r="I92" s="487" t="s">
        <v>909</v>
      </c>
      <c r="J92" s="487" t="s">
        <v>1435</v>
      </c>
      <c r="K92" s="490" t="n">
        <v>28240</v>
      </c>
      <c r="L92" s="490" t="n">
        <v>14940</v>
      </c>
      <c r="M92" s="491" t="n">
        <v>9</v>
      </c>
      <c r="N92" s="490" t="n">
        <v>13300</v>
      </c>
      <c r="O92" s="490" t="n">
        <v>12103</v>
      </c>
    </row>
    <row r="93" customFormat="false" ht="12.75" hidden="true" customHeight="true" outlineLevel="1" collapsed="false">
      <c r="B93" s="487" t="s">
        <v>746</v>
      </c>
      <c r="C93" s="487"/>
      <c r="D93" s="487"/>
      <c r="E93" s="487"/>
      <c r="F93" s="487"/>
      <c r="G93" s="487"/>
      <c r="H93" s="487"/>
      <c r="I93" s="487"/>
      <c r="J93" s="487"/>
      <c r="K93" s="492"/>
      <c r="L93" s="492"/>
      <c r="M93" s="492"/>
      <c r="N93" s="490" t="n">
        <v>13300</v>
      </c>
      <c r="O93" s="490" t="n">
        <v>12103</v>
      </c>
    </row>
    <row r="94" customFormat="false" ht="36.75" hidden="false" customHeight="true" outlineLevel="0" collapsed="false">
      <c r="B94" s="487" t="s">
        <v>2736</v>
      </c>
      <c r="C94" s="488" t="n">
        <v>462</v>
      </c>
      <c r="D94" s="489" t="n">
        <v>67</v>
      </c>
      <c r="E94" s="487" t="s">
        <v>899</v>
      </c>
      <c r="F94" s="487" t="s">
        <v>427</v>
      </c>
      <c r="G94" s="487" t="s">
        <v>431</v>
      </c>
      <c r="H94" s="489" t="n">
        <v>44</v>
      </c>
      <c r="I94" s="487" t="s">
        <v>909</v>
      </c>
      <c r="J94" s="487" t="s">
        <v>1435</v>
      </c>
      <c r="K94" s="490" t="n">
        <v>34370</v>
      </c>
      <c r="L94" s="490" t="n">
        <v>20950</v>
      </c>
      <c r="M94" s="491" t="n">
        <v>13</v>
      </c>
      <c r="N94" s="490" t="n">
        <v>13420</v>
      </c>
      <c r="O94" s="490" t="n">
        <v>11675.4</v>
      </c>
    </row>
    <row r="95" customFormat="false" ht="12.75" hidden="true" customHeight="true" outlineLevel="1" collapsed="false">
      <c r="B95" s="487" t="s">
        <v>746</v>
      </c>
      <c r="C95" s="487"/>
      <c r="D95" s="487"/>
      <c r="E95" s="487"/>
      <c r="F95" s="487"/>
      <c r="G95" s="487"/>
      <c r="H95" s="487"/>
      <c r="I95" s="487"/>
      <c r="J95" s="487"/>
      <c r="K95" s="492"/>
      <c r="L95" s="492"/>
      <c r="M95" s="492"/>
      <c r="N95" s="490" t="n">
        <v>13420</v>
      </c>
      <c r="O95" s="490" t="n">
        <v>11675.4</v>
      </c>
    </row>
    <row r="96" customFormat="false" ht="36.75" hidden="false" customHeight="true" outlineLevel="0" collapsed="false">
      <c r="B96" s="487" t="s">
        <v>2737</v>
      </c>
      <c r="C96" s="488" t="n">
        <v>464</v>
      </c>
      <c r="D96" s="489" t="n">
        <v>68</v>
      </c>
      <c r="E96" s="487" t="s">
        <v>899</v>
      </c>
      <c r="F96" s="487" t="s">
        <v>457</v>
      </c>
      <c r="G96" s="487" t="s">
        <v>366</v>
      </c>
      <c r="H96" s="489" t="n">
        <v>45</v>
      </c>
      <c r="I96" s="487" t="s">
        <v>909</v>
      </c>
      <c r="J96" s="487" t="s">
        <v>1435</v>
      </c>
      <c r="K96" s="490" t="n">
        <v>27800</v>
      </c>
      <c r="L96" s="490" t="n">
        <v>14820</v>
      </c>
      <c r="M96" s="491" t="n">
        <v>15</v>
      </c>
      <c r="N96" s="490" t="n">
        <v>12980</v>
      </c>
      <c r="O96" s="490" t="n">
        <v>11033</v>
      </c>
    </row>
    <row r="97" customFormat="false" ht="12.75" hidden="true" customHeight="true" outlineLevel="1" collapsed="false">
      <c r="B97" s="487" t="s">
        <v>417</v>
      </c>
      <c r="C97" s="487"/>
      <c r="D97" s="487"/>
      <c r="E97" s="487"/>
      <c r="F97" s="487"/>
      <c r="G97" s="487"/>
      <c r="H97" s="487"/>
      <c r="I97" s="487"/>
      <c r="J97" s="487"/>
      <c r="K97" s="492"/>
      <c r="L97" s="492"/>
      <c r="M97" s="492"/>
      <c r="N97" s="490" t="n">
        <v>12980</v>
      </c>
      <c r="O97" s="490" t="n">
        <v>11033</v>
      </c>
    </row>
    <row r="98" customFormat="false" ht="36.75" hidden="false" customHeight="true" outlineLevel="0" collapsed="false">
      <c r="B98" s="487" t="s">
        <v>2738</v>
      </c>
      <c r="C98" s="488" t="n">
        <v>465</v>
      </c>
      <c r="D98" s="489" t="n">
        <v>69</v>
      </c>
      <c r="E98" s="487" t="s">
        <v>899</v>
      </c>
      <c r="F98" s="487" t="s">
        <v>553</v>
      </c>
      <c r="G98" s="487" t="s">
        <v>557</v>
      </c>
      <c r="H98" s="489" t="n">
        <v>45</v>
      </c>
      <c r="I98" s="487" t="s">
        <v>909</v>
      </c>
      <c r="J98" s="487" t="s">
        <v>1435</v>
      </c>
      <c r="K98" s="490" t="n">
        <v>28260</v>
      </c>
      <c r="L98" s="490" t="n">
        <v>14770</v>
      </c>
      <c r="M98" s="491" t="n">
        <v>14</v>
      </c>
      <c r="N98" s="490" t="n">
        <v>13490</v>
      </c>
      <c r="O98" s="490" t="n">
        <v>11601.4</v>
      </c>
    </row>
    <row r="99" customFormat="false" ht="12.75" hidden="true" customHeight="true" outlineLevel="1" collapsed="false">
      <c r="B99" s="487" t="s">
        <v>417</v>
      </c>
      <c r="C99" s="487"/>
      <c r="D99" s="487"/>
      <c r="E99" s="487"/>
      <c r="F99" s="487"/>
      <c r="G99" s="487"/>
      <c r="H99" s="487"/>
      <c r="I99" s="487"/>
      <c r="J99" s="487"/>
      <c r="K99" s="492"/>
      <c r="L99" s="492"/>
      <c r="M99" s="492"/>
      <c r="N99" s="490" t="n">
        <v>13490</v>
      </c>
      <c r="O99" s="490" t="n">
        <v>11601.4</v>
      </c>
    </row>
    <row r="100" customFormat="false" ht="36.75" hidden="false" customHeight="true" outlineLevel="0" collapsed="false">
      <c r="B100" s="487" t="s">
        <v>2739</v>
      </c>
      <c r="C100" s="488" t="n">
        <v>466</v>
      </c>
      <c r="D100" s="489" t="n">
        <v>70</v>
      </c>
      <c r="E100" s="487" t="s">
        <v>899</v>
      </c>
      <c r="F100" s="487" t="s">
        <v>547</v>
      </c>
      <c r="G100" s="487" t="s">
        <v>551</v>
      </c>
      <c r="H100" s="489" t="n">
        <v>45</v>
      </c>
      <c r="I100" s="487" t="s">
        <v>909</v>
      </c>
      <c r="J100" s="487" t="s">
        <v>1435</v>
      </c>
      <c r="K100" s="490" t="n">
        <v>27760</v>
      </c>
      <c r="L100" s="490" t="n">
        <v>14670</v>
      </c>
      <c r="M100" s="491" t="n">
        <v>18</v>
      </c>
      <c r="N100" s="490" t="n">
        <v>13090</v>
      </c>
      <c r="O100" s="490" t="n">
        <v>10733.8</v>
      </c>
    </row>
    <row r="101" customFormat="false" ht="12.75" hidden="true" customHeight="true" outlineLevel="1" collapsed="false">
      <c r="B101" s="487" t="s">
        <v>417</v>
      </c>
      <c r="C101" s="487"/>
      <c r="D101" s="487"/>
      <c r="E101" s="487"/>
      <c r="F101" s="487"/>
      <c r="G101" s="487"/>
      <c r="H101" s="487"/>
      <c r="I101" s="487"/>
      <c r="J101" s="487"/>
      <c r="K101" s="492"/>
      <c r="L101" s="492"/>
      <c r="M101" s="492"/>
      <c r="N101" s="490" t="n">
        <v>13090</v>
      </c>
      <c r="O101" s="490" t="n">
        <v>10733.8</v>
      </c>
    </row>
    <row r="102" customFormat="false" ht="36.75" hidden="false" customHeight="true" outlineLevel="0" collapsed="false">
      <c r="B102" s="487" t="s">
        <v>2740</v>
      </c>
      <c r="C102" s="488" t="n">
        <v>467</v>
      </c>
      <c r="D102" s="489" t="n">
        <v>71</v>
      </c>
      <c r="E102" s="487" t="s">
        <v>899</v>
      </c>
      <c r="F102" s="487" t="s">
        <v>363</v>
      </c>
      <c r="G102" s="487" t="s">
        <v>364</v>
      </c>
      <c r="H102" s="489" t="n">
        <v>45</v>
      </c>
      <c r="I102" s="487" t="s">
        <v>909</v>
      </c>
      <c r="J102" s="487" t="s">
        <v>1435</v>
      </c>
      <c r="K102" s="490" t="n">
        <v>27960</v>
      </c>
      <c r="L102" s="490" t="n">
        <v>14600</v>
      </c>
      <c r="M102" s="491" t="n">
        <v>17</v>
      </c>
      <c r="N102" s="490" t="n">
        <v>13360</v>
      </c>
      <c r="O102" s="490" t="n">
        <v>11088.8</v>
      </c>
    </row>
    <row r="103" customFormat="false" ht="12.75" hidden="true" customHeight="true" outlineLevel="1" collapsed="false">
      <c r="B103" s="487" t="s">
        <v>417</v>
      </c>
      <c r="C103" s="487"/>
      <c r="D103" s="487"/>
      <c r="E103" s="487"/>
      <c r="F103" s="487"/>
      <c r="G103" s="487"/>
      <c r="H103" s="487"/>
      <c r="I103" s="487"/>
      <c r="J103" s="487"/>
      <c r="K103" s="492"/>
      <c r="L103" s="492"/>
      <c r="M103" s="492"/>
      <c r="N103" s="490" t="n">
        <v>13360</v>
      </c>
      <c r="O103" s="490" t="n">
        <v>11088.8</v>
      </c>
    </row>
    <row r="104" customFormat="false" ht="36.75" hidden="false" customHeight="true" outlineLevel="0" collapsed="false">
      <c r="B104" s="487" t="s">
        <v>2741</v>
      </c>
      <c r="C104" s="488" t="n">
        <v>469</v>
      </c>
      <c r="D104" s="489" t="n">
        <v>73</v>
      </c>
      <c r="E104" s="487" t="s">
        <v>899</v>
      </c>
      <c r="F104" s="487" t="s">
        <v>445</v>
      </c>
      <c r="G104" s="487" t="s">
        <v>449</v>
      </c>
      <c r="H104" s="489" t="n">
        <v>45</v>
      </c>
      <c r="I104" s="487" t="s">
        <v>909</v>
      </c>
      <c r="J104" s="487" t="s">
        <v>1435</v>
      </c>
      <c r="K104" s="490" t="n">
        <v>29200</v>
      </c>
      <c r="L104" s="490" t="n">
        <v>15610</v>
      </c>
      <c r="M104" s="491" t="n">
        <v>8.5</v>
      </c>
      <c r="N104" s="490" t="n">
        <v>13590</v>
      </c>
      <c r="O104" s="490" t="n">
        <v>12434.8</v>
      </c>
    </row>
    <row r="105" customFormat="false" ht="12.75" hidden="true" customHeight="true" outlineLevel="1" collapsed="false">
      <c r="B105" s="487" t="s">
        <v>417</v>
      </c>
      <c r="C105" s="487"/>
      <c r="D105" s="487"/>
      <c r="E105" s="487"/>
      <c r="F105" s="487"/>
      <c r="G105" s="487"/>
      <c r="H105" s="487"/>
      <c r="I105" s="487"/>
      <c r="J105" s="487"/>
      <c r="K105" s="492"/>
      <c r="L105" s="492"/>
      <c r="M105" s="492"/>
      <c r="N105" s="490" t="n">
        <v>13590</v>
      </c>
      <c r="O105" s="490" t="n">
        <v>12434.8</v>
      </c>
    </row>
    <row r="106" customFormat="false" ht="36.75" hidden="false" customHeight="true" outlineLevel="0" collapsed="false">
      <c r="B106" s="487" t="s">
        <v>2742</v>
      </c>
      <c r="C106" s="488" t="n">
        <v>468</v>
      </c>
      <c r="D106" s="489" t="n">
        <v>72</v>
      </c>
      <c r="E106" s="487" t="s">
        <v>899</v>
      </c>
      <c r="F106" s="487" t="s">
        <v>451</v>
      </c>
      <c r="G106" s="487" t="s">
        <v>455</v>
      </c>
      <c r="H106" s="489" t="n">
        <v>45</v>
      </c>
      <c r="I106" s="487" t="s">
        <v>909</v>
      </c>
      <c r="J106" s="487" t="s">
        <v>1435</v>
      </c>
      <c r="K106" s="490" t="n">
        <v>28230</v>
      </c>
      <c r="L106" s="490" t="n">
        <v>14990</v>
      </c>
      <c r="M106" s="491" t="n">
        <v>12.5</v>
      </c>
      <c r="N106" s="490" t="n">
        <v>13240</v>
      </c>
      <c r="O106" s="490" t="n">
        <v>11585</v>
      </c>
    </row>
    <row r="107" customFormat="false" ht="12.75" hidden="true" customHeight="true" outlineLevel="1" collapsed="false">
      <c r="B107" s="487" t="s">
        <v>417</v>
      </c>
      <c r="C107" s="487"/>
      <c r="D107" s="487"/>
      <c r="E107" s="487"/>
      <c r="F107" s="487"/>
      <c r="G107" s="487"/>
      <c r="H107" s="487"/>
      <c r="I107" s="487"/>
      <c r="J107" s="487"/>
      <c r="K107" s="492"/>
      <c r="L107" s="492"/>
      <c r="M107" s="492"/>
      <c r="N107" s="490" t="n">
        <v>13240</v>
      </c>
      <c r="O107" s="490" t="n">
        <v>11585</v>
      </c>
    </row>
    <row r="108" customFormat="false" ht="36.75" hidden="false" customHeight="true" outlineLevel="0" collapsed="false">
      <c r="B108" s="487" t="s">
        <v>2743</v>
      </c>
      <c r="C108" s="488" t="n">
        <v>471</v>
      </c>
      <c r="D108" s="487" t="s">
        <v>906</v>
      </c>
      <c r="E108" s="487" t="s">
        <v>899</v>
      </c>
      <c r="F108" s="487" t="s">
        <v>395</v>
      </c>
      <c r="G108" s="487" t="s">
        <v>566</v>
      </c>
      <c r="H108" s="489" t="n">
        <v>45</v>
      </c>
      <c r="I108" s="487" t="s">
        <v>909</v>
      </c>
      <c r="J108" s="487" t="s">
        <v>1435</v>
      </c>
      <c r="K108" s="490" t="n">
        <v>27820</v>
      </c>
      <c r="L108" s="490" t="n">
        <v>14340</v>
      </c>
      <c r="M108" s="491" t="n">
        <v>11</v>
      </c>
      <c r="N108" s="490" t="n">
        <v>13480</v>
      </c>
      <c r="O108" s="490" t="n">
        <v>11997.2</v>
      </c>
    </row>
    <row r="109" customFormat="false" ht="12.75" hidden="true" customHeight="true" outlineLevel="1" collapsed="false">
      <c r="B109" s="487" t="s">
        <v>746</v>
      </c>
      <c r="C109" s="487"/>
      <c r="D109" s="487"/>
      <c r="E109" s="487"/>
      <c r="F109" s="487"/>
      <c r="G109" s="487"/>
      <c r="H109" s="487"/>
      <c r="I109" s="487"/>
      <c r="J109" s="487"/>
      <c r="K109" s="492"/>
      <c r="L109" s="492"/>
      <c r="M109" s="492"/>
      <c r="N109" s="490" t="n">
        <v>13480</v>
      </c>
      <c r="O109" s="490" t="n">
        <v>11997.2</v>
      </c>
    </row>
    <row r="110" customFormat="false" ht="36.75" hidden="false" customHeight="true" outlineLevel="0" collapsed="false">
      <c r="B110" s="487" t="s">
        <v>2744</v>
      </c>
      <c r="C110" s="488" t="n">
        <v>472</v>
      </c>
      <c r="D110" s="487" t="s">
        <v>906</v>
      </c>
      <c r="E110" s="487" t="s">
        <v>899</v>
      </c>
      <c r="F110" s="487" t="s">
        <v>48</v>
      </c>
      <c r="G110" s="487" t="s">
        <v>49</v>
      </c>
      <c r="H110" s="489" t="n">
        <v>44</v>
      </c>
      <c r="I110" s="487" t="s">
        <v>909</v>
      </c>
      <c r="J110" s="487" t="s">
        <v>1435</v>
      </c>
      <c r="K110" s="490" t="n">
        <v>28360</v>
      </c>
      <c r="L110" s="490" t="n">
        <v>21690</v>
      </c>
      <c r="M110" s="491" t="n">
        <v>9</v>
      </c>
      <c r="N110" s="490" t="n">
        <v>6670</v>
      </c>
      <c r="O110" s="490" t="n">
        <v>6069.7</v>
      </c>
    </row>
    <row r="111" customFormat="false" ht="12.75" hidden="true" customHeight="true" outlineLevel="1" collapsed="false">
      <c r="B111" s="487" t="s">
        <v>746</v>
      </c>
      <c r="C111" s="487"/>
      <c r="D111" s="487"/>
      <c r="E111" s="487"/>
      <c r="F111" s="487"/>
      <c r="G111" s="487"/>
      <c r="H111" s="487"/>
      <c r="I111" s="487"/>
      <c r="J111" s="487"/>
      <c r="K111" s="492"/>
      <c r="L111" s="492"/>
      <c r="M111" s="492"/>
      <c r="N111" s="490" t="n">
        <v>6670</v>
      </c>
      <c r="O111" s="490" t="n">
        <v>6069.7</v>
      </c>
    </row>
    <row r="112" customFormat="false" ht="36.75" hidden="false" customHeight="true" outlineLevel="0" collapsed="false">
      <c r="B112" s="487" t="s">
        <v>2745</v>
      </c>
      <c r="C112" s="488" t="n">
        <v>474</v>
      </c>
      <c r="D112" s="487" t="s">
        <v>906</v>
      </c>
      <c r="E112" s="487" t="s">
        <v>899</v>
      </c>
      <c r="F112" s="487" t="s">
        <v>48</v>
      </c>
      <c r="G112" s="487" t="s">
        <v>49</v>
      </c>
      <c r="H112" s="489" t="n">
        <v>45</v>
      </c>
      <c r="I112" s="487" t="s">
        <v>909</v>
      </c>
      <c r="J112" s="487" t="s">
        <v>1435</v>
      </c>
      <c r="K112" s="490" t="n">
        <v>21690</v>
      </c>
      <c r="L112" s="490" t="n">
        <v>14970</v>
      </c>
      <c r="M112" s="491" t="n">
        <v>8.5</v>
      </c>
      <c r="N112" s="490" t="n">
        <v>6720</v>
      </c>
      <c r="O112" s="490" t="n">
        <v>6148.8</v>
      </c>
    </row>
    <row r="113" customFormat="false" ht="12.75" hidden="true" customHeight="true" outlineLevel="1" collapsed="false">
      <c r="B113" s="487" t="s">
        <v>746</v>
      </c>
      <c r="C113" s="487"/>
      <c r="D113" s="487"/>
      <c r="E113" s="487"/>
      <c r="F113" s="487"/>
      <c r="G113" s="487"/>
      <c r="H113" s="487"/>
      <c r="I113" s="487"/>
      <c r="J113" s="487"/>
      <c r="K113" s="492"/>
      <c r="L113" s="492"/>
      <c r="M113" s="492"/>
      <c r="N113" s="490" t="n">
        <v>6720</v>
      </c>
      <c r="O113" s="490" t="n">
        <v>6148.8</v>
      </c>
    </row>
    <row r="114" customFormat="false" ht="36.75" hidden="false" customHeight="true" outlineLevel="0" collapsed="false">
      <c r="B114" s="487" t="s">
        <v>2747</v>
      </c>
      <c r="C114" s="488" t="n">
        <v>475</v>
      </c>
      <c r="D114" s="487" t="s">
        <v>906</v>
      </c>
      <c r="E114" s="487" t="s">
        <v>899</v>
      </c>
      <c r="F114" s="487" t="s">
        <v>371</v>
      </c>
      <c r="G114" s="487" t="s">
        <v>372</v>
      </c>
      <c r="H114" s="489" t="n">
        <v>44</v>
      </c>
      <c r="I114" s="487" t="s">
        <v>909</v>
      </c>
      <c r="J114" s="487" t="s">
        <v>1435</v>
      </c>
      <c r="K114" s="490" t="n">
        <v>28130</v>
      </c>
      <c r="L114" s="490" t="n">
        <v>15000</v>
      </c>
      <c r="M114" s="491" t="n">
        <v>6.5</v>
      </c>
      <c r="N114" s="490" t="n">
        <v>13130</v>
      </c>
      <c r="O114" s="490" t="n">
        <v>12276.5</v>
      </c>
    </row>
    <row r="115" customFormat="false" ht="12.75" hidden="true" customHeight="true" outlineLevel="1" collapsed="false">
      <c r="B115" s="487" t="s">
        <v>746</v>
      </c>
      <c r="C115" s="487"/>
      <c r="D115" s="487"/>
      <c r="E115" s="487"/>
      <c r="F115" s="487"/>
      <c r="G115" s="487"/>
      <c r="H115" s="487"/>
      <c r="I115" s="487"/>
      <c r="J115" s="487"/>
      <c r="K115" s="492"/>
      <c r="L115" s="492"/>
      <c r="M115" s="492"/>
      <c r="N115" s="490" t="n">
        <v>13130</v>
      </c>
      <c r="O115" s="490" t="n">
        <v>12276.5</v>
      </c>
    </row>
    <row r="116" customFormat="false" ht="36.75" hidden="false" customHeight="true" outlineLevel="0" collapsed="false">
      <c r="B116" s="487" t="s">
        <v>2748</v>
      </c>
      <c r="C116" s="488" t="n">
        <v>476</v>
      </c>
      <c r="D116" s="487" t="s">
        <v>906</v>
      </c>
      <c r="E116" s="487" t="s">
        <v>899</v>
      </c>
      <c r="F116" s="487" t="s">
        <v>55</v>
      </c>
      <c r="G116" s="487" t="s">
        <v>56</v>
      </c>
      <c r="H116" s="489" t="n">
        <v>43</v>
      </c>
      <c r="I116" s="487" t="s">
        <v>909</v>
      </c>
      <c r="J116" s="487" t="s">
        <v>1435</v>
      </c>
      <c r="K116" s="490" t="n">
        <v>27790</v>
      </c>
      <c r="L116" s="490" t="n">
        <v>14620</v>
      </c>
      <c r="M116" s="491" t="n">
        <v>7.5</v>
      </c>
      <c r="N116" s="490" t="n">
        <v>13170</v>
      </c>
      <c r="O116" s="490" t="n">
        <v>12182.2</v>
      </c>
    </row>
    <row r="117" customFormat="false" ht="12.75" hidden="true" customHeight="true" outlineLevel="1" collapsed="false">
      <c r="B117" s="487" t="s">
        <v>746</v>
      </c>
      <c r="C117" s="487"/>
      <c r="D117" s="487"/>
      <c r="E117" s="487"/>
      <c r="F117" s="487"/>
      <c r="G117" s="487"/>
      <c r="H117" s="487"/>
      <c r="I117" s="487"/>
      <c r="J117" s="487"/>
      <c r="K117" s="492"/>
      <c r="L117" s="492"/>
      <c r="M117" s="492"/>
      <c r="N117" s="490" t="n">
        <v>13170</v>
      </c>
      <c r="O117" s="490" t="n">
        <v>12182.2</v>
      </c>
    </row>
    <row r="118" customFormat="false" ht="36.75" hidden="false" customHeight="true" outlineLevel="0" collapsed="false">
      <c r="B118" s="487" t="s">
        <v>2749</v>
      </c>
      <c r="C118" s="488" t="n">
        <v>477</v>
      </c>
      <c r="D118" s="487" t="s">
        <v>906</v>
      </c>
      <c r="E118" s="487" t="s">
        <v>899</v>
      </c>
      <c r="F118" s="487" t="s">
        <v>57</v>
      </c>
      <c r="G118" s="487" t="s">
        <v>58</v>
      </c>
      <c r="H118" s="489" t="n">
        <v>43</v>
      </c>
      <c r="I118" s="487" t="s">
        <v>909</v>
      </c>
      <c r="J118" s="487" t="s">
        <v>1435</v>
      </c>
      <c r="K118" s="490" t="n">
        <v>28530</v>
      </c>
      <c r="L118" s="490" t="n">
        <v>15580</v>
      </c>
      <c r="M118" s="491" t="n">
        <v>9</v>
      </c>
      <c r="N118" s="490" t="n">
        <v>12950</v>
      </c>
      <c r="O118" s="490" t="n">
        <v>11784.5</v>
      </c>
    </row>
    <row r="119" customFormat="false" ht="12.75" hidden="true" customHeight="true" outlineLevel="1" collapsed="false">
      <c r="B119" s="487" t="s">
        <v>746</v>
      </c>
      <c r="C119" s="487"/>
      <c r="D119" s="487"/>
      <c r="E119" s="487"/>
      <c r="F119" s="487"/>
      <c r="G119" s="487"/>
      <c r="H119" s="487"/>
      <c r="I119" s="487"/>
      <c r="J119" s="487"/>
      <c r="K119" s="492"/>
      <c r="L119" s="492"/>
      <c r="M119" s="492"/>
      <c r="N119" s="490" t="n">
        <v>12950</v>
      </c>
      <c r="O119" s="490" t="n">
        <v>11784.5</v>
      </c>
    </row>
    <row r="120" customFormat="false" ht="36.75" hidden="false" customHeight="true" outlineLevel="0" collapsed="false">
      <c r="B120" s="487" t="s">
        <v>2746</v>
      </c>
      <c r="C120" s="488" t="n">
        <v>473</v>
      </c>
      <c r="D120" s="487" t="s">
        <v>906</v>
      </c>
      <c r="E120" s="487" t="s">
        <v>899</v>
      </c>
      <c r="F120" s="487" t="s">
        <v>511</v>
      </c>
      <c r="G120" s="487" t="s">
        <v>515</v>
      </c>
      <c r="H120" s="489" t="n">
        <v>44</v>
      </c>
      <c r="I120" s="487" t="s">
        <v>909</v>
      </c>
      <c r="J120" s="487" t="s">
        <v>1435</v>
      </c>
      <c r="K120" s="490" t="n">
        <v>28140</v>
      </c>
      <c r="L120" s="490" t="n">
        <v>14690</v>
      </c>
      <c r="M120" s="491" t="n">
        <v>8</v>
      </c>
      <c r="N120" s="490" t="n">
        <v>13450</v>
      </c>
      <c r="O120" s="490" t="n">
        <v>12374</v>
      </c>
    </row>
    <row r="121" customFormat="false" ht="12.75" hidden="true" customHeight="true" outlineLevel="1" collapsed="false">
      <c r="B121" s="487" t="s">
        <v>746</v>
      </c>
      <c r="C121" s="487"/>
      <c r="D121" s="487"/>
      <c r="E121" s="487"/>
      <c r="F121" s="487"/>
      <c r="G121" s="487"/>
      <c r="H121" s="487"/>
      <c r="I121" s="487"/>
      <c r="J121" s="487"/>
      <c r="K121" s="492"/>
      <c r="L121" s="492"/>
      <c r="M121" s="492"/>
      <c r="N121" s="490" t="n">
        <v>13450</v>
      </c>
      <c r="O121" s="490" t="n">
        <v>12374</v>
      </c>
    </row>
    <row r="122" customFormat="false" ht="36.75" hidden="false" customHeight="true" outlineLevel="0" collapsed="false">
      <c r="B122" s="487" t="s">
        <v>2750</v>
      </c>
      <c r="C122" s="488" t="n">
        <v>478</v>
      </c>
      <c r="D122" s="487" t="s">
        <v>906</v>
      </c>
      <c r="E122" s="487" t="s">
        <v>899</v>
      </c>
      <c r="F122" s="487" t="s">
        <v>382</v>
      </c>
      <c r="G122" s="487" t="s">
        <v>383</v>
      </c>
      <c r="H122" s="489" t="n">
        <v>43</v>
      </c>
      <c r="I122" s="487" t="s">
        <v>909</v>
      </c>
      <c r="J122" s="487" t="s">
        <v>1435</v>
      </c>
      <c r="K122" s="490" t="n">
        <v>28040</v>
      </c>
      <c r="L122" s="490" t="n">
        <v>14890</v>
      </c>
      <c r="M122" s="491" t="n">
        <v>7</v>
      </c>
      <c r="N122" s="490" t="n">
        <v>13150</v>
      </c>
      <c r="O122" s="490" t="n">
        <v>12229.5</v>
      </c>
    </row>
    <row r="123" customFormat="false" ht="12.75" hidden="true" customHeight="true" outlineLevel="1" collapsed="false">
      <c r="B123" s="487" t="s">
        <v>746</v>
      </c>
      <c r="C123" s="487"/>
      <c r="D123" s="487"/>
      <c r="E123" s="487"/>
      <c r="F123" s="487"/>
      <c r="G123" s="487"/>
      <c r="H123" s="487"/>
      <c r="I123" s="487"/>
      <c r="J123" s="487"/>
      <c r="K123" s="492"/>
      <c r="L123" s="492"/>
      <c r="M123" s="492"/>
      <c r="N123" s="490" t="n">
        <v>13150</v>
      </c>
      <c r="O123" s="490" t="n">
        <v>12229.5</v>
      </c>
    </row>
    <row r="124" customFormat="false" ht="36.75" hidden="false" customHeight="true" outlineLevel="0" collapsed="false">
      <c r="B124" s="487" t="s">
        <v>2751</v>
      </c>
      <c r="C124" s="488" t="n">
        <v>481</v>
      </c>
      <c r="D124" s="487" t="s">
        <v>906</v>
      </c>
      <c r="E124" s="487" t="s">
        <v>899</v>
      </c>
      <c r="F124" s="487" t="s">
        <v>457</v>
      </c>
      <c r="G124" s="487" t="s">
        <v>366</v>
      </c>
      <c r="H124" s="489" t="n">
        <v>43</v>
      </c>
      <c r="I124" s="487" t="s">
        <v>909</v>
      </c>
      <c r="J124" s="487" t="s">
        <v>1435</v>
      </c>
      <c r="K124" s="490" t="n">
        <v>27690</v>
      </c>
      <c r="L124" s="490" t="n">
        <v>14700</v>
      </c>
      <c r="M124" s="491" t="n">
        <v>9.5</v>
      </c>
      <c r="N124" s="490" t="n">
        <v>12990</v>
      </c>
      <c r="O124" s="490" t="n">
        <v>11755.9</v>
      </c>
    </row>
    <row r="125" customFormat="false" ht="12.75" hidden="true" customHeight="true" outlineLevel="1" collapsed="false">
      <c r="B125" s="487" t="s">
        <v>746</v>
      </c>
      <c r="C125" s="487"/>
      <c r="D125" s="487"/>
      <c r="E125" s="487"/>
      <c r="F125" s="487"/>
      <c r="G125" s="487"/>
      <c r="H125" s="487"/>
      <c r="I125" s="487"/>
      <c r="J125" s="487"/>
      <c r="K125" s="492"/>
      <c r="L125" s="492"/>
      <c r="M125" s="492"/>
      <c r="N125" s="490" t="n">
        <v>12990</v>
      </c>
      <c r="O125" s="490" t="n">
        <v>11755.9</v>
      </c>
    </row>
    <row r="126" customFormat="false" ht="36.75" hidden="false" customHeight="true" outlineLevel="0" collapsed="false">
      <c r="B126" s="487" t="s">
        <v>2752</v>
      </c>
      <c r="C126" s="488" t="n">
        <v>479</v>
      </c>
      <c r="D126" s="487" t="s">
        <v>906</v>
      </c>
      <c r="E126" s="487" t="s">
        <v>899</v>
      </c>
      <c r="F126" s="487" t="s">
        <v>384</v>
      </c>
      <c r="G126" s="487" t="s">
        <v>385</v>
      </c>
      <c r="H126" s="489" t="n">
        <v>43</v>
      </c>
      <c r="I126" s="487" t="s">
        <v>909</v>
      </c>
      <c r="J126" s="487" t="s">
        <v>1435</v>
      </c>
      <c r="K126" s="490" t="n">
        <v>27340</v>
      </c>
      <c r="L126" s="490" t="n">
        <v>14430</v>
      </c>
      <c r="M126" s="491" t="n">
        <v>9.5</v>
      </c>
      <c r="N126" s="490" t="n">
        <v>12910</v>
      </c>
      <c r="O126" s="490" t="n">
        <v>11683.5</v>
      </c>
    </row>
    <row r="127" customFormat="false" ht="12.75" hidden="true" customHeight="true" outlineLevel="1" collapsed="false">
      <c r="B127" s="487" t="s">
        <v>746</v>
      </c>
      <c r="C127" s="487"/>
      <c r="D127" s="487"/>
      <c r="E127" s="487"/>
      <c r="F127" s="487"/>
      <c r="G127" s="487"/>
      <c r="H127" s="487"/>
      <c r="I127" s="487"/>
      <c r="J127" s="487"/>
      <c r="K127" s="492"/>
      <c r="L127" s="492"/>
      <c r="M127" s="492"/>
      <c r="N127" s="490" t="n">
        <v>12910</v>
      </c>
      <c r="O127" s="490" t="n">
        <v>11683.5</v>
      </c>
    </row>
    <row r="128" customFormat="false" ht="36.75" hidden="false" customHeight="true" outlineLevel="0" collapsed="false">
      <c r="B128" s="487" t="s">
        <v>2753</v>
      </c>
      <c r="C128" s="488" t="n">
        <v>480</v>
      </c>
      <c r="D128" s="487" t="s">
        <v>906</v>
      </c>
      <c r="E128" s="487" t="s">
        <v>899</v>
      </c>
      <c r="F128" s="487" t="s">
        <v>433</v>
      </c>
      <c r="G128" s="487" t="s">
        <v>437</v>
      </c>
      <c r="H128" s="489" t="n">
        <v>43</v>
      </c>
      <c r="I128" s="487" t="s">
        <v>909</v>
      </c>
      <c r="J128" s="487" t="s">
        <v>1435</v>
      </c>
      <c r="K128" s="490" t="n">
        <v>28260</v>
      </c>
      <c r="L128" s="490" t="n">
        <v>14930</v>
      </c>
      <c r="M128" s="491" t="n">
        <v>8.5</v>
      </c>
      <c r="N128" s="490" t="n">
        <v>13330</v>
      </c>
      <c r="O128" s="490" t="n">
        <v>12196.9</v>
      </c>
    </row>
    <row r="129" customFormat="false" ht="12.75" hidden="true" customHeight="true" outlineLevel="1" collapsed="false">
      <c r="B129" s="487" t="s">
        <v>886</v>
      </c>
      <c r="C129" s="487"/>
      <c r="D129" s="487"/>
      <c r="E129" s="487"/>
      <c r="F129" s="487"/>
      <c r="G129" s="487"/>
      <c r="H129" s="487"/>
      <c r="I129" s="487"/>
      <c r="J129" s="487"/>
      <c r="K129" s="492"/>
      <c r="L129" s="492"/>
      <c r="M129" s="492"/>
      <c r="N129" s="490" t="n">
        <v>13330</v>
      </c>
      <c r="O129" s="490" t="n">
        <v>12196.9</v>
      </c>
    </row>
    <row r="130" customFormat="false" ht="36.75" hidden="false" customHeight="true" outlineLevel="0" collapsed="false">
      <c r="B130" s="487" t="s">
        <v>2754</v>
      </c>
      <c r="C130" s="488" t="n">
        <v>482</v>
      </c>
      <c r="D130" s="487" t="s">
        <v>906</v>
      </c>
      <c r="E130" s="487" t="s">
        <v>899</v>
      </c>
      <c r="F130" s="487" t="s">
        <v>365</v>
      </c>
      <c r="G130" s="487" t="s">
        <v>373</v>
      </c>
      <c r="H130" s="489" t="n">
        <v>43</v>
      </c>
      <c r="I130" s="487" t="s">
        <v>909</v>
      </c>
      <c r="J130" s="487" t="s">
        <v>1435</v>
      </c>
      <c r="K130" s="490" t="n">
        <v>31920</v>
      </c>
      <c r="L130" s="490" t="n">
        <v>18800</v>
      </c>
      <c r="M130" s="491" t="n">
        <v>5.5</v>
      </c>
      <c r="N130" s="490" t="n">
        <v>13120</v>
      </c>
      <c r="O130" s="490" t="n">
        <v>12398.4</v>
      </c>
    </row>
    <row r="131" customFormat="false" ht="12.75" hidden="true" customHeight="true" outlineLevel="1" collapsed="false">
      <c r="B131" s="487" t="s">
        <v>886</v>
      </c>
      <c r="C131" s="487"/>
      <c r="D131" s="487"/>
      <c r="E131" s="487"/>
      <c r="F131" s="487"/>
      <c r="G131" s="487"/>
      <c r="H131" s="487"/>
      <c r="I131" s="487"/>
      <c r="J131" s="487"/>
      <c r="K131" s="492"/>
      <c r="L131" s="492"/>
      <c r="M131" s="492"/>
      <c r="N131" s="490" t="n">
        <v>13120</v>
      </c>
      <c r="O131" s="490" t="n">
        <v>12398.4</v>
      </c>
    </row>
    <row r="132" customFormat="false" ht="36.75" hidden="false" customHeight="true" outlineLevel="0" collapsed="false">
      <c r="B132" s="487" t="s">
        <v>2755</v>
      </c>
      <c r="C132" s="488" t="n">
        <v>483</v>
      </c>
      <c r="D132" s="487" t="s">
        <v>906</v>
      </c>
      <c r="E132" s="487" t="s">
        <v>899</v>
      </c>
      <c r="F132" s="487" t="s">
        <v>439</v>
      </c>
      <c r="G132" s="487" t="s">
        <v>443</v>
      </c>
      <c r="H132" s="489" t="n">
        <v>43</v>
      </c>
      <c r="I132" s="487" t="s">
        <v>909</v>
      </c>
      <c r="J132" s="487" t="s">
        <v>1435</v>
      </c>
      <c r="K132" s="490" t="n">
        <v>37340</v>
      </c>
      <c r="L132" s="490" t="n">
        <v>24030</v>
      </c>
      <c r="M132" s="491" t="n">
        <v>8</v>
      </c>
      <c r="N132" s="490" t="n">
        <v>13310</v>
      </c>
      <c r="O132" s="490" t="n">
        <v>12245.2</v>
      </c>
    </row>
    <row r="133" customFormat="false" ht="12.75" hidden="true" customHeight="true" outlineLevel="1" collapsed="false">
      <c r="B133" s="487" t="s">
        <v>886</v>
      </c>
      <c r="C133" s="487"/>
      <c r="D133" s="487"/>
      <c r="E133" s="487"/>
      <c r="F133" s="487"/>
      <c r="G133" s="487"/>
      <c r="H133" s="487"/>
      <c r="I133" s="487"/>
      <c r="J133" s="487"/>
      <c r="K133" s="492"/>
      <c r="L133" s="492"/>
      <c r="M133" s="492"/>
      <c r="N133" s="490" t="n">
        <v>13310</v>
      </c>
      <c r="O133" s="490" t="n">
        <v>12245.2</v>
      </c>
    </row>
    <row r="134" customFormat="false" ht="36.75" hidden="false" customHeight="true" outlineLevel="0" collapsed="false">
      <c r="B134" s="487" t="s">
        <v>2780</v>
      </c>
      <c r="C134" s="488" t="n">
        <v>492</v>
      </c>
      <c r="D134" s="487" t="s">
        <v>906</v>
      </c>
      <c r="E134" s="487" t="s">
        <v>899</v>
      </c>
      <c r="F134" s="487" t="s">
        <v>363</v>
      </c>
      <c r="G134" s="487" t="s">
        <v>364</v>
      </c>
      <c r="H134" s="489" t="n">
        <v>44</v>
      </c>
      <c r="I134" s="487" t="s">
        <v>909</v>
      </c>
      <c r="J134" s="487" t="s">
        <v>1435</v>
      </c>
      <c r="K134" s="490" t="n">
        <v>27790</v>
      </c>
      <c r="L134" s="490" t="n">
        <v>21160</v>
      </c>
      <c r="M134" s="491" t="n">
        <v>14.5</v>
      </c>
      <c r="N134" s="490" t="n">
        <v>6630</v>
      </c>
      <c r="O134" s="490" t="n">
        <v>5668.6</v>
      </c>
    </row>
    <row r="135" customFormat="false" ht="12.75" hidden="true" customHeight="true" outlineLevel="1" collapsed="false">
      <c r="B135" s="487" t="s">
        <v>746</v>
      </c>
      <c r="C135" s="487"/>
      <c r="D135" s="487"/>
      <c r="E135" s="487"/>
      <c r="F135" s="487"/>
      <c r="G135" s="487"/>
      <c r="H135" s="487"/>
      <c r="I135" s="487"/>
      <c r="J135" s="487"/>
      <c r="K135" s="492"/>
      <c r="L135" s="492"/>
      <c r="M135" s="492"/>
      <c r="N135" s="490" t="n">
        <v>6630</v>
      </c>
      <c r="O135" s="490" t="n">
        <v>5668.6</v>
      </c>
    </row>
    <row r="136" customFormat="false" ht="36.75" hidden="false" customHeight="true" outlineLevel="0" collapsed="false">
      <c r="B136" s="487" t="s">
        <v>2756</v>
      </c>
      <c r="C136" s="488" t="n">
        <v>484</v>
      </c>
      <c r="D136" s="487" t="s">
        <v>906</v>
      </c>
      <c r="E136" s="487" t="s">
        <v>899</v>
      </c>
      <c r="F136" s="487" t="s">
        <v>361</v>
      </c>
      <c r="G136" s="487" t="s">
        <v>362</v>
      </c>
      <c r="H136" s="487" t="s">
        <v>133</v>
      </c>
      <c r="I136" s="487" t="s">
        <v>909</v>
      </c>
      <c r="J136" s="487" t="s">
        <v>1435</v>
      </c>
      <c r="K136" s="490" t="n">
        <v>28270</v>
      </c>
      <c r="L136" s="490" t="n">
        <v>21420</v>
      </c>
      <c r="M136" s="491" t="n">
        <v>10.5</v>
      </c>
      <c r="N136" s="490" t="n">
        <v>6850</v>
      </c>
      <c r="O136" s="490" t="n">
        <v>6130.7</v>
      </c>
    </row>
    <row r="137" customFormat="false" ht="12.75" hidden="true" customHeight="true" outlineLevel="1" collapsed="false">
      <c r="B137" s="487" t="s">
        <v>746</v>
      </c>
      <c r="C137" s="487"/>
      <c r="D137" s="487"/>
      <c r="E137" s="487"/>
      <c r="F137" s="487"/>
      <c r="G137" s="487"/>
      <c r="H137" s="487"/>
      <c r="I137" s="487"/>
      <c r="J137" s="487"/>
      <c r="K137" s="492"/>
      <c r="L137" s="492"/>
      <c r="M137" s="492"/>
      <c r="N137" s="490" t="n">
        <v>6850</v>
      </c>
      <c r="O137" s="490" t="n">
        <v>6130.7</v>
      </c>
    </row>
    <row r="138" customFormat="false" ht="36.75" hidden="false" customHeight="true" outlineLevel="0" collapsed="false">
      <c r="B138" s="487" t="s">
        <v>2781</v>
      </c>
      <c r="C138" s="488" t="n">
        <v>493</v>
      </c>
      <c r="D138" s="489" t="n">
        <v>90</v>
      </c>
      <c r="E138" s="487" t="s">
        <v>899</v>
      </c>
      <c r="F138" s="487" t="s">
        <v>451</v>
      </c>
      <c r="G138" s="487" t="s">
        <v>455</v>
      </c>
      <c r="H138" s="489" t="n">
        <v>44</v>
      </c>
      <c r="I138" s="487" t="s">
        <v>909</v>
      </c>
      <c r="J138" s="487" t="s">
        <v>1435</v>
      </c>
      <c r="K138" s="490" t="n">
        <v>28260</v>
      </c>
      <c r="L138" s="490" t="n">
        <v>21610</v>
      </c>
      <c r="M138" s="491" t="n">
        <v>7.5</v>
      </c>
      <c r="N138" s="490" t="n">
        <v>6650</v>
      </c>
      <c r="O138" s="490" t="n">
        <v>6151.2</v>
      </c>
    </row>
    <row r="139" customFormat="false" ht="12.75" hidden="true" customHeight="true" outlineLevel="1" collapsed="false">
      <c r="B139" s="487" t="s">
        <v>746</v>
      </c>
      <c r="C139" s="487"/>
      <c r="D139" s="487"/>
      <c r="E139" s="487"/>
      <c r="F139" s="487"/>
      <c r="G139" s="487"/>
      <c r="H139" s="487"/>
      <c r="I139" s="487"/>
      <c r="J139" s="487"/>
      <c r="K139" s="492"/>
      <c r="L139" s="492"/>
      <c r="M139" s="492"/>
      <c r="N139" s="490" t="n">
        <v>6650</v>
      </c>
      <c r="O139" s="490" t="n">
        <v>6151.2</v>
      </c>
    </row>
    <row r="140" customFormat="false" ht="36.75" hidden="false" customHeight="true" outlineLevel="0" collapsed="false">
      <c r="B140" s="487" t="s">
        <v>2757</v>
      </c>
      <c r="C140" s="488" t="n">
        <v>491</v>
      </c>
      <c r="D140" s="487" t="s">
        <v>906</v>
      </c>
      <c r="E140" s="487" t="s">
        <v>899</v>
      </c>
      <c r="F140" s="487" t="s">
        <v>361</v>
      </c>
      <c r="G140" s="487" t="s">
        <v>362</v>
      </c>
      <c r="H140" s="489" t="n">
        <v>43</v>
      </c>
      <c r="I140" s="487" t="s">
        <v>909</v>
      </c>
      <c r="J140" s="487" t="s">
        <v>1435</v>
      </c>
      <c r="K140" s="490" t="n">
        <v>21420</v>
      </c>
      <c r="L140" s="490" t="n">
        <v>14770</v>
      </c>
      <c r="M140" s="491" t="n">
        <v>14.5</v>
      </c>
      <c r="N140" s="490" t="n">
        <v>6650</v>
      </c>
      <c r="O140" s="490" t="n">
        <v>5685.7</v>
      </c>
    </row>
    <row r="141" customFormat="false" ht="12.75" hidden="true" customHeight="true" outlineLevel="1" collapsed="false">
      <c r="B141" s="487" t="s">
        <v>746</v>
      </c>
      <c r="C141" s="487"/>
      <c r="D141" s="487"/>
      <c r="E141" s="487"/>
      <c r="F141" s="487"/>
      <c r="G141" s="487"/>
      <c r="H141" s="487"/>
      <c r="I141" s="487"/>
      <c r="J141" s="487"/>
      <c r="K141" s="492"/>
      <c r="L141" s="492"/>
      <c r="M141" s="492"/>
      <c r="N141" s="490" t="n">
        <v>6650</v>
      </c>
      <c r="O141" s="490" t="n">
        <v>5685.7</v>
      </c>
    </row>
    <row r="142" customFormat="false" ht="36.75" hidden="false" customHeight="true" outlineLevel="0" collapsed="false">
      <c r="B142" s="487" t="s">
        <v>2758</v>
      </c>
      <c r="C142" s="488" t="n">
        <v>487</v>
      </c>
      <c r="D142" s="487" t="s">
        <v>906</v>
      </c>
      <c r="E142" s="487" t="s">
        <v>908</v>
      </c>
      <c r="F142" s="487" t="s">
        <v>374</v>
      </c>
      <c r="G142" s="487" t="s">
        <v>375</v>
      </c>
      <c r="H142" s="489" t="n">
        <v>15</v>
      </c>
      <c r="I142" s="487" t="s">
        <v>904</v>
      </c>
      <c r="J142" s="487" t="s">
        <v>1435</v>
      </c>
      <c r="K142" s="490" t="n">
        <v>6630</v>
      </c>
      <c r="L142" s="490" t="n">
        <v>4560</v>
      </c>
      <c r="M142" s="491" t="n">
        <v>14.5</v>
      </c>
      <c r="N142" s="490" t="n">
        <v>2070</v>
      </c>
      <c r="O142" s="490" t="n">
        <v>1769.8</v>
      </c>
    </row>
    <row r="143" customFormat="false" ht="12.75" hidden="true" customHeight="true" outlineLevel="1" collapsed="false">
      <c r="B143" s="487" t="s">
        <v>417</v>
      </c>
      <c r="C143" s="487"/>
      <c r="D143" s="487"/>
      <c r="E143" s="487"/>
      <c r="F143" s="487"/>
      <c r="G143" s="487"/>
      <c r="H143" s="487"/>
      <c r="I143" s="487"/>
      <c r="J143" s="487"/>
      <c r="K143" s="492"/>
      <c r="L143" s="492"/>
      <c r="M143" s="492"/>
      <c r="N143" s="490" t="n">
        <v>2070</v>
      </c>
      <c r="O143" s="490" t="n">
        <v>1769.8</v>
      </c>
    </row>
    <row r="144" customFormat="false" ht="36.75" hidden="false" customHeight="true" outlineLevel="0" collapsed="false">
      <c r="B144" s="487" t="s">
        <v>2777</v>
      </c>
      <c r="C144" s="488" t="n">
        <v>496</v>
      </c>
      <c r="D144" s="487" t="s">
        <v>914</v>
      </c>
      <c r="E144" s="487" t="s">
        <v>899</v>
      </c>
      <c r="F144" s="487" t="s">
        <v>445</v>
      </c>
      <c r="G144" s="487" t="s">
        <v>449</v>
      </c>
      <c r="H144" s="489" t="n">
        <v>44</v>
      </c>
      <c r="I144" s="487" t="s">
        <v>909</v>
      </c>
      <c r="J144" s="487" t="s">
        <v>1435</v>
      </c>
      <c r="K144" s="490" t="n">
        <v>29040</v>
      </c>
      <c r="L144" s="490" t="n">
        <v>15530</v>
      </c>
      <c r="M144" s="492"/>
      <c r="N144" s="490" t="n">
        <v>13510</v>
      </c>
      <c r="O144" s="490" t="n">
        <v>13510</v>
      </c>
    </row>
    <row r="145" customFormat="false" ht="12.75" hidden="true" customHeight="true" outlineLevel="1" collapsed="false">
      <c r="B145" s="487" t="s">
        <v>886</v>
      </c>
      <c r="C145" s="487"/>
      <c r="D145" s="487"/>
      <c r="E145" s="487"/>
      <c r="F145" s="487"/>
      <c r="G145" s="487"/>
      <c r="H145" s="487"/>
      <c r="I145" s="487"/>
      <c r="J145" s="487"/>
      <c r="K145" s="492"/>
      <c r="L145" s="492"/>
      <c r="M145" s="492"/>
      <c r="N145" s="490" t="n">
        <v>13510</v>
      </c>
      <c r="O145" s="490" t="n">
        <v>13510</v>
      </c>
    </row>
    <row r="146" customFormat="false" ht="36.75" hidden="false" customHeight="true" outlineLevel="0" collapsed="false">
      <c r="B146" s="487" t="s">
        <v>2784</v>
      </c>
      <c r="C146" s="488" t="n">
        <v>496</v>
      </c>
      <c r="D146" s="487" t="s">
        <v>917</v>
      </c>
      <c r="E146" s="487" t="s">
        <v>899</v>
      </c>
      <c r="F146" s="487" t="s">
        <v>395</v>
      </c>
      <c r="G146" s="487" t="s">
        <v>566</v>
      </c>
      <c r="H146" s="489" t="n">
        <v>44</v>
      </c>
      <c r="I146" s="487" t="s">
        <v>909</v>
      </c>
      <c r="J146" s="487" t="s">
        <v>1435</v>
      </c>
      <c r="K146" s="490" t="n">
        <v>27700</v>
      </c>
      <c r="L146" s="490" t="n">
        <v>14440</v>
      </c>
      <c r="M146" s="491" t="n">
        <v>12</v>
      </c>
      <c r="N146" s="490" t="n">
        <v>13260</v>
      </c>
      <c r="O146" s="490" t="n">
        <v>11669</v>
      </c>
    </row>
    <row r="147" customFormat="false" ht="12.75" hidden="true" customHeight="true" outlineLevel="1" collapsed="false">
      <c r="B147" s="487" t="s">
        <v>886</v>
      </c>
      <c r="C147" s="487"/>
      <c r="D147" s="487"/>
      <c r="E147" s="487"/>
      <c r="F147" s="487"/>
      <c r="G147" s="487"/>
      <c r="H147" s="487"/>
      <c r="I147" s="487"/>
      <c r="J147" s="487"/>
      <c r="K147" s="492"/>
      <c r="L147" s="492"/>
      <c r="M147" s="492"/>
      <c r="N147" s="490" t="n">
        <v>13260</v>
      </c>
      <c r="O147" s="490" t="n">
        <v>11669</v>
      </c>
    </row>
    <row r="148" customFormat="false" ht="36.75" hidden="false" customHeight="true" outlineLevel="0" collapsed="false">
      <c r="B148" s="487" t="s">
        <v>2774</v>
      </c>
      <c r="C148" s="488" t="n">
        <v>498</v>
      </c>
      <c r="D148" s="487" t="s">
        <v>911</v>
      </c>
      <c r="E148" s="487" t="s">
        <v>899</v>
      </c>
      <c r="F148" s="487" t="s">
        <v>553</v>
      </c>
      <c r="G148" s="487" t="s">
        <v>557</v>
      </c>
      <c r="H148" s="487" t="s">
        <v>133</v>
      </c>
      <c r="I148" s="487" t="s">
        <v>909</v>
      </c>
      <c r="J148" s="487" t="s">
        <v>1435</v>
      </c>
      <c r="K148" s="490" t="n">
        <v>21170</v>
      </c>
      <c r="L148" s="490" t="n">
        <v>14840</v>
      </c>
      <c r="M148" s="492"/>
      <c r="N148" s="490" t="n">
        <v>6330</v>
      </c>
      <c r="O148" s="490" t="n">
        <v>6330</v>
      </c>
    </row>
    <row r="149" customFormat="false" ht="12.75" hidden="true" customHeight="true" outlineLevel="1" collapsed="false">
      <c r="B149" s="487" t="s">
        <v>886</v>
      </c>
      <c r="C149" s="487"/>
      <c r="D149" s="487"/>
      <c r="E149" s="487"/>
      <c r="F149" s="487"/>
      <c r="G149" s="487"/>
      <c r="H149" s="487"/>
      <c r="I149" s="487"/>
      <c r="J149" s="487"/>
      <c r="K149" s="492"/>
      <c r="L149" s="492"/>
      <c r="M149" s="492"/>
      <c r="N149" s="490" t="n">
        <v>6330</v>
      </c>
      <c r="O149" s="490" t="n">
        <v>6330</v>
      </c>
    </row>
    <row r="150" customFormat="false" ht="36.75" hidden="false" customHeight="true" outlineLevel="0" collapsed="false">
      <c r="B150" s="487" t="s">
        <v>2775</v>
      </c>
      <c r="C150" s="488" t="n">
        <v>499</v>
      </c>
      <c r="D150" s="487" t="s">
        <v>912</v>
      </c>
      <c r="E150" s="487" t="s">
        <v>899</v>
      </c>
      <c r="F150" s="487" t="s">
        <v>363</v>
      </c>
      <c r="G150" s="487" t="s">
        <v>364</v>
      </c>
      <c r="H150" s="489" t="n">
        <v>44</v>
      </c>
      <c r="I150" s="487" t="s">
        <v>909</v>
      </c>
      <c r="J150" s="487" t="s">
        <v>1435</v>
      </c>
      <c r="K150" s="490" t="n">
        <v>21160</v>
      </c>
      <c r="L150" s="490" t="n">
        <v>14540</v>
      </c>
      <c r="M150" s="492"/>
      <c r="N150" s="490" t="n">
        <v>6620</v>
      </c>
      <c r="O150" s="490" t="n">
        <v>6620</v>
      </c>
    </row>
    <row r="151" customFormat="false" ht="12.75" hidden="true" customHeight="true" outlineLevel="1" collapsed="false">
      <c r="B151" s="487" t="s">
        <v>886</v>
      </c>
      <c r="C151" s="487"/>
      <c r="D151" s="487"/>
      <c r="E151" s="487"/>
      <c r="F151" s="487"/>
      <c r="G151" s="487"/>
      <c r="H151" s="487"/>
      <c r="I151" s="487"/>
      <c r="J151" s="487"/>
      <c r="K151" s="492"/>
      <c r="L151" s="492"/>
      <c r="M151" s="492"/>
      <c r="N151" s="490" t="n">
        <v>6620</v>
      </c>
      <c r="O151" s="490" t="n">
        <v>6620</v>
      </c>
    </row>
    <row r="152" customFormat="false" ht="36.75" hidden="false" customHeight="true" outlineLevel="0" collapsed="false">
      <c r="B152" s="487" t="s">
        <v>2782</v>
      </c>
      <c r="C152" s="488" t="n">
        <v>500</v>
      </c>
      <c r="D152" s="489" t="n">
        <v>92</v>
      </c>
      <c r="E152" s="487" t="s">
        <v>899</v>
      </c>
      <c r="F152" s="487" t="s">
        <v>427</v>
      </c>
      <c r="G152" s="487" t="s">
        <v>431</v>
      </c>
      <c r="H152" s="489" t="n">
        <v>44</v>
      </c>
      <c r="I152" s="487" t="s">
        <v>909</v>
      </c>
      <c r="J152" s="487" t="s">
        <v>1435</v>
      </c>
      <c r="K152" s="490" t="n">
        <v>34230</v>
      </c>
      <c r="L152" s="490" t="n">
        <v>27490</v>
      </c>
      <c r="M152" s="491" t="n">
        <v>13.5</v>
      </c>
      <c r="N152" s="490" t="n">
        <v>6740</v>
      </c>
      <c r="O152" s="490" t="n">
        <v>5830.1</v>
      </c>
    </row>
    <row r="153" customFormat="false" ht="12.75" hidden="true" customHeight="true" outlineLevel="1" collapsed="false">
      <c r="B153" s="487" t="s">
        <v>746</v>
      </c>
      <c r="C153" s="487"/>
      <c r="D153" s="487"/>
      <c r="E153" s="487"/>
      <c r="F153" s="487"/>
      <c r="G153" s="487"/>
      <c r="H153" s="487"/>
      <c r="I153" s="487"/>
      <c r="J153" s="487"/>
      <c r="K153" s="492"/>
      <c r="L153" s="492"/>
      <c r="M153" s="492"/>
      <c r="N153" s="490" t="n">
        <v>6740</v>
      </c>
      <c r="O153" s="490" t="n">
        <v>5830.1</v>
      </c>
    </row>
    <row r="154" customFormat="false" ht="36.75" hidden="false" customHeight="true" outlineLevel="0" collapsed="false">
      <c r="B154" s="487" t="s">
        <v>2759</v>
      </c>
      <c r="C154" s="488" t="n">
        <v>489</v>
      </c>
      <c r="D154" s="489" t="n">
        <v>87</v>
      </c>
      <c r="E154" s="487" t="s">
        <v>899</v>
      </c>
      <c r="F154" s="487" t="s">
        <v>553</v>
      </c>
      <c r="G154" s="487" t="s">
        <v>557</v>
      </c>
      <c r="H154" s="489" t="n">
        <v>44</v>
      </c>
      <c r="I154" s="487" t="s">
        <v>909</v>
      </c>
      <c r="J154" s="487" t="s">
        <v>1435</v>
      </c>
      <c r="K154" s="490" t="n">
        <v>27820</v>
      </c>
      <c r="L154" s="490" t="n">
        <v>21170</v>
      </c>
      <c r="M154" s="491" t="n">
        <v>12.5</v>
      </c>
      <c r="N154" s="490" t="n">
        <v>6650</v>
      </c>
      <c r="O154" s="490" t="n">
        <v>5818.7</v>
      </c>
    </row>
    <row r="155" customFormat="false" ht="12.75" hidden="true" customHeight="true" outlineLevel="1" collapsed="false">
      <c r="B155" s="487" t="s">
        <v>746</v>
      </c>
      <c r="C155" s="487"/>
      <c r="D155" s="487"/>
      <c r="E155" s="487"/>
      <c r="F155" s="487"/>
      <c r="G155" s="487"/>
      <c r="H155" s="487"/>
      <c r="I155" s="487"/>
      <c r="J155" s="487"/>
      <c r="K155" s="492"/>
      <c r="L155" s="492"/>
      <c r="M155" s="492"/>
      <c r="N155" s="490" t="n">
        <v>6650</v>
      </c>
      <c r="O155" s="490" t="n">
        <v>5818.7</v>
      </c>
    </row>
    <row r="156" customFormat="false" ht="36.75" hidden="false" customHeight="true" outlineLevel="0" collapsed="false">
      <c r="B156" s="487" t="s">
        <v>2760</v>
      </c>
      <c r="C156" s="488" t="n">
        <v>490</v>
      </c>
      <c r="D156" s="489" t="n">
        <v>47</v>
      </c>
      <c r="E156" s="487" t="s">
        <v>899</v>
      </c>
      <c r="F156" s="487" t="s">
        <v>547</v>
      </c>
      <c r="G156" s="487" t="s">
        <v>551</v>
      </c>
      <c r="H156" s="489" t="n">
        <v>44</v>
      </c>
      <c r="I156" s="487" t="s">
        <v>909</v>
      </c>
      <c r="J156" s="487" t="s">
        <v>1435</v>
      </c>
      <c r="K156" s="490" t="n">
        <v>27950</v>
      </c>
      <c r="L156" s="490" t="n">
        <v>14670</v>
      </c>
      <c r="M156" s="491" t="n">
        <v>10.5</v>
      </c>
      <c r="N156" s="490" t="n">
        <v>13280</v>
      </c>
      <c r="O156" s="490" t="n">
        <v>11885.6</v>
      </c>
    </row>
    <row r="157" customFormat="false" ht="12.75" hidden="true" customHeight="true" outlineLevel="1" collapsed="false">
      <c r="B157" s="487" t="s">
        <v>746</v>
      </c>
      <c r="C157" s="487"/>
      <c r="D157" s="487"/>
      <c r="E157" s="487"/>
      <c r="F157" s="487"/>
      <c r="G157" s="487"/>
      <c r="H157" s="487"/>
      <c r="I157" s="487"/>
      <c r="J157" s="487"/>
      <c r="K157" s="492"/>
      <c r="L157" s="492"/>
      <c r="M157" s="492"/>
      <c r="N157" s="490" t="n">
        <v>13280</v>
      </c>
      <c r="O157" s="490" t="n">
        <v>11885.6</v>
      </c>
    </row>
    <row r="158" customFormat="false" ht="36.75" hidden="false" customHeight="true" outlineLevel="0" collapsed="false">
      <c r="B158" s="487" t="s">
        <v>2778</v>
      </c>
      <c r="C158" s="488" t="n">
        <v>501</v>
      </c>
      <c r="D158" s="487" t="s">
        <v>915</v>
      </c>
      <c r="E158" s="487" t="s">
        <v>899</v>
      </c>
      <c r="F158" s="487" t="s">
        <v>451</v>
      </c>
      <c r="G158" s="487" t="s">
        <v>455</v>
      </c>
      <c r="H158" s="489" t="n">
        <v>44</v>
      </c>
      <c r="I158" s="487" t="s">
        <v>909</v>
      </c>
      <c r="J158" s="487" t="s">
        <v>1435</v>
      </c>
      <c r="K158" s="490" t="n">
        <v>21600</v>
      </c>
      <c r="L158" s="490" t="n">
        <v>15080</v>
      </c>
      <c r="M158" s="492"/>
      <c r="N158" s="490" t="n">
        <v>6520</v>
      </c>
      <c r="O158" s="490" t="n">
        <v>6520</v>
      </c>
    </row>
    <row r="159" customFormat="false" ht="12.75" hidden="true" customHeight="true" outlineLevel="1" collapsed="false">
      <c r="B159" s="487" t="s">
        <v>886</v>
      </c>
      <c r="C159" s="487"/>
      <c r="D159" s="487"/>
      <c r="E159" s="487"/>
      <c r="F159" s="487"/>
      <c r="G159" s="487"/>
      <c r="H159" s="487"/>
      <c r="I159" s="487"/>
      <c r="J159" s="487"/>
      <c r="K159" s="492"/>
      <c r="L159" s="492"/>
      <c r="M159" s="492"/>
      <c r="N159" s="490" t="n">
        <v>6520</v>
      </c>
      <c r="O159" s="490" t="n">
        <v>6520</v>
      </c>
    </row>
    <row r="160" customFormat="false" ht="36.75" hidden="false" customHeight="true" outlineLevel="0" collapsed="false">
      <c r="B160" s="487" t="s">
        <v>2776</v>
      </c>
      <c r="C160" s="488" t="n">
        <v>502</v>
      </c>
      <c r="D160" s="487" t="s">
        <v>913</v>
      </c>
      <c r="E160" s="487" t="s">
        <v>899</v>
      </c>
      <c r="F160" s="487" t="s">
        <v>427</v>
      </c>
      <c r="G160" s="487" t="s">
        <v>431</v>
      </c>
      <c r="H160" s="489" t="n">
        <v>44</v>
      </c>
      <c r="I160" s="487" t="s">
        <v>909</v>
      </c>
      <c r="J160" s="487" t="s">
        <v>1435</v>
      </c>
      <c r="K160" s="490" t="n">
        <v>27440</v>
      </c>
      <c r="L160" s="490" t="n">
        <v>21030</v>
      </c>
      <c r="M160" s="492"/>
      <c r="N160" s="490" t="n">
        <v>6410</v>
      </c>
      <c r="O160" s="490" t="n">
        <v>6410</v>
      </c>
    </row>
    <row r="161" customFormat="false" ht="12.75" hidden="true" customHeight="true" outlineLevel="1" collapsed="false">
      <c r="B161" s="487" t="s">
        <v>886</v>
      </c>
      <c r="C161" s="487"/>
      <c r="D161" s="487"/>
      <c r="E161" s="487"/>
      <c r="F161" s="487"/>
      <c r="G161" s="487"/>
      <c r="H161" s="487"/>
      <c r="I161" s="487"/>
      <c r="J161" s="487"/>
      <c r="K161" s="492"/>
      <c r="L161" s="492"/>
      <c r="M161" s="492"/>
      <c r="N161" s="490" t="n">
        <v>6410</v>
      </c>
      <c r="O161" s="490" t="n">
        <v>6410</v>
      </c>
    </row>
    <row r="162" customFormat="false" ht="36.75" hidden="false" customHeight="true" outlineLevel="0" collapsed="false">
      <c r="B162" s="487" t="s">
        <v>2761</v>
      </c>
      <c r="C162" s="488" t="n">
        <v>497</v>
      </c>
      <c r="D162" s="487" t="s">
        <v>906</v>
      </c>
      <c r="E162" s="487" t="s">
        <v>908</v>
      </c>
      <c r="F162" s="487" t="s">
        <v>371</v>
      </c>
      <c r="G162" s="487" t="s">
        <v>372</v>
      </c>
      <c r="H162" s="489" t="n">
        <v>16</v>
      </c>
      <c r="I162" s="487" t="s">
        <v>904</v>
      </c>
      <c r="J162" s="487" t="s">
        <v>1435</v>
      </c>
      <c r="K162" s="490" t="n">
        <v>16710</v>
      </c>
      <c r="L162" s="490" t="n">
        <v>9700</v>
      </c>
      <c r="M162" s="491" t="n">
        <v>19.5</v>
      </c>
      <c r="N162" s="490" t="n">
        <v>7010</v>
      </c>
      <c r="O162" s="490" t="n">
        <v>5643</v>
      </c>
    </row>
    <row r="163" customFormat="false" ht="12.75" hidden="true" customHeight="true" outlineLevel="1" collapsed="false">
      <c r="B163" s="487" t="s">
        <v>417</v>
      </c>
      <c r="C163" s="487"/>
      <c r="D163" s="487"/>
      <c r="E163" s="487"/>
      <c r="F163" s="487"/>
      <c r="G163" s="487"/>
      <c r="H163" s="487"/>
      <c r="I163" s="487"/>
      <c r="J163" s="487"/>
      <c r="K163" s="492"/>
      <c r="L163" s="492"/>
      <c r="M163" s="492"/>
      <c r="N163" s="490" t="n">
        <v>7010</v>
      </c>
      <c r="O163" s="490" t="n">
        <v>5643</v>
      </c>
    </row>
    <row r="164" customFormat="false" ht="36.75" hidden="false" customHeight="true" outlineLevel="0" collapsed="false">
      <c r="B164" s="487" t="s">
        <v>2785</v>
      </c>
      <c r="C164" s="488" t="n">
        <v>496</v>
      </c>
      <c r="D164" s="487" t="s">
        <v>919</v>
      </c>
      <c r="E164" s="487" t="s">
        <v>899</v>
      </c>
      <c r="F164" s="487" t="s">
        <v>48</v>
      </c>
      <c r="G164" s="487" t="s">
        <v>918</v>
      </c>
      <c r="H164" s="489" t="n">
        <v>44</v>
      </c>
      <c r="I164" s="487" t="s">
        <v>909</v>
      </c>
      <c r="J164" s="487" t="s">
        <v>1435</v>
      </c>
      <c r="K164" s="490" t="n">
        <v>28260</v>
      </c>
      <c r="L164" s="490" t="n">
        <v>15060</v>
      </c>
      <c r="M164" s="491" t="n">
        <v>12.4</v>
      </c>
      <c r="N164" s="490" t="n">
        <v>13200</v>
      </c>
      <c r="O164" s="490" t="n">
        <v>11564</v>
      </c>
    </row>
    <row r="165" customFormat="false" ht="12.75" hidden="true" customHeight="true" outlineLevel="1" collapsed="false">
      <c r="B165" s="487" t="s">
        <v>886</v>
      </c>
      <c r="C165" s="487"/>
      <c r="D165" s="487"/>
      <c r="E165" s="487"/>
      <c r="F165" s="487"/>
      <c r="G165" s="487"/>
      <c r="H165" s="487"/>
      <c r="I165" s="487"/>
      <c r="J165" s="487"/>
      <c r="K165" s="492"/>
      <c r="L165" s="492"/>
      <c r="M165" s="492"/>
      <c r="N165" s="490" t="n">
        <v>13200</v>
      </c>
      <c r="O165" s="490" t="n">
        <v>11564</v>
      </c>
    </row>
    <row r="166" customFormat="false" ht="36.75" hidden="false" customHeight="true" outlineLevel="0" collapsed="false">
      <c r="B166" s="487" t="s">
        <v>2762</v>
      </c>
      <c r="C166" s="488" t="n">
        <v>503</v>
      </c>
      <c r="D166" s="489" t="n">
        <v>95</v>
      </c>
      <c r="E166" s="487" t="s">
        <v>899</v>
      </c>
      <c r="F166" s="487" t="s">
        <v>57</v>
      </c>
      <c r="G166" s="487" t="s">
        <v>58</v>
      </c>
      <c r="H166" s="489" t="n">
        <v>46</v>
      </c>
      <c r="I166" s="487" t="s">
        <v>904</v>
      </c>
      <c r="J166" s="487" t="s">
        <v>1435</v>
      </c>
      <c r="K166" s="490" t="n">
        <v>29220</v>
      </c>
      <c r="L166" s="490" t="n">
        <v>15490</v>
      </c>
      <c r="M166" s="491" t="n">
        <v>15.5</v>
      </c>
      <c r="N166" s="490" t="n">
        <v>13730</v>
      </c>
      <c r="O166" s="490" t="n">
        <v>11601.8</v>
      </c>
    </row>
    <row r="167" customFormat="false" ht="12.75" hidden="true" customHeight="true" outlineLevel="1" collapsed="false">
      <c r="B167" s="487" t="s">
        <v>417</v>
      </c>
      <c r="C167" s="487"/>
      <c r="D167" s="487"/>
      <c r="E167" s="487"/>
      <c r="F167" s="487"/>
      <c r="G167" s="487"/>
      <c r="H167" s="487"/>
      <c r="I167" s="487"/>
      <c r="J167" s="487"/>
      <c r="K167" s="492"/>
      <c r="L167" s="492"/>
      <c r="M167" s="492"/>
      <c r="N167" s="490" t="n">
        <v>13730</v>
      </c>
      <c r="O167" s="490" t="n">
        <v>11601.8</v>
      </c>
    </row>
    <row r="168" customFormat="false" ht="36.75" hidden="false" customHeight="true" outlineLevel="0" collapsed="false">
      <c r="B168" s="487" t="s">
        <v>2763</v>
      </c>
      <c r="C168" s="488" t="n">
        <v>505</v>
      </c>
      <c r="D168" s="487" t="s">
        <v>906</v>
      </c>
      <c r="E168" s="487" t="s">
        <v>908</v>
      </c>
      <c r="F168" s="487" t="s">
        <v>378</v>
      </c>
      <c r="G168" s="487" t="s">
        <v>379</v>
      </c>
      <c r="H168" s="489" t="n">
        <v>16</v>
      </c>
      <c r="I168" s="487" t="s">
        <v>904</v>
      </c>
      <c r="J168" s="487" t="s">
        <v>1435</v>
      </c>
      <c r="K168" s="490" t="n">
        <v>9640</v>
      </c>
      <c r="L168" s="490" t="n">
        <v>4650</v>
      </c>
      <c r="M168" s="491" t="n">
        <v>8.5</v>
      </c>
      <c r="N168" s="490" t="n">
        <v>4990</v>
      </c>
      <c r="O168" s="490" t="n">
        <v>4565.8</v>
      </c>
    </row>
    <row r="169" customFormat="false" ht="12.75" hidden="true" customHeight="true" outlineLevel="1" collapsed="false">
      <c r="B169" s="487" t="s">
        <v>417</v>
      </c>
      <c r="C169" s="487"/>
      <c r="D169" s="487"/>
      <c r="E169" s="487"/>
      <c r="F169" s="487"/>
      <c r="G169" s="487"/>
      <c r="H169" s="487"/>
      <c r="I169" s="487"/>
      <c r="J169" s="487"/>
      <c r="K169" s="492"/>
      <c r="L169" s="492"/>
      <c r="M169" s="492"/>
      <c r="N169" s="490" t="n">
        <v>4990</v>
      </c>
      <c r="O169" s="490" t="n">
        <v>4565.8</v>
      </c>
    </row>
    <row r="170" customFormat="false" ht="36.75" hidden="false" customHeight="true" outlineLevel="0" collapsed="false">
      <c r="B170" s="487" t="s">
        <v>2764</v>
      </c>
      <c r="C170" s="488" t="n">
        <v>506</v>
      </c>
      <c r="D170" s="487" t="s">
        <v>906</v>
      </c>
      <c r="E170" s="487" t="s">
        <v>899</v>
      </c>
      <c r="F170" s="487" t="s">
        <v>359</v>
      </c>
      <c r="G170" s="487" t="s">
        <v>426</v>
      </c>
      <c r="H170" s="489" t="n">
        <v>46</v>
      </c>
      <c r="I170" s="487" t="s">
        <v>904</v>
      </c>
      <c r="J170" s="487" t="s">
        <v>1435</v>
      </c>
      <c r="K170" s="490" t="n">
        <v>27130</v>
      </c>
      <c r="L170" s="490" t="n">
        <v>13820</v>
      </c>
      <c r="M170" s="491" t="n">
        <v>21</v>
      </c>
      <c r="N170" s="490" t="n">
        <v>13310</v>
      </c>
      <c r="O170" s="490" t="n">
        <v>10514.9</v>
      </c>
    </row>
    <row r="171" customFormat="false" ht="12.75" hidden="true" customHeight="true" outlineLevel="1" collapsed="false">
      <c r="B171" s="487" t="s">
        <v>417</v>
      </c>
      <c r="C171" s="487"/>
      <c r="D171" s="487"/>
      <c r="E171" s="487"/>
      <c r="F171" s="487"/>
      <c r="G171" s="487"/>
      <c r="H171" s="487"/>
      <c r="I171" s="487"/>
      <c r="J171" s="487"/>
      <c r="K171" s="492"/>
      <c r="L171" s="492"/>
      <c r="M171" s="492"/>
      <c r="N171" s="490" t="n">
        <v>13310</v>
      </c>
      <c r="O171" s="490" t="n">
        <v>10514.9</v>
      </c>
    </row>
    <row r="172" customFormat="false" ht="36.75" hidden="false" customHeight="true" outlineLevel="0" collapsed="false">
      <c r="B172" s="487" t="s">
        <v>2789</v>
      </c>
      <c r="C172" s="488" t="n">
        <v>496</v>
      </c>
      <c r="D172" s="487" t="s">
        <v>923</v>
      </c>
      <c r="E172" s="487" t="s">
        <v>899</v>
      </c>
      <c r="F172" s="487" t="s">
        <v>395</v>
      </c>
      <c r="G172" s="487" t="s">
        <v>566</v>
      </c>
      <c r="H172" s="489" t="n">
        <v>44</v>
      </c>
      <c r="I172" s="487" t="s">
        <v>909</v>
      </c>
      <c r="J172" s="487" t="s">
        <v>1435</v>
      </c>
      <c r="K172" s="490" t="n">
        <v>27600</v>
      </c>
      <c r="L172" s="490" t="n">
        <v>14580</v>
      </c>
      <c r="M172" s="491" t="n">
        <v>12.4</v>
      </c>
      <c r="N172" s="490" t="n">
        <v>13020</v>
      </c>
      <c r="O172" s="490" t="n">
        <v>11406</v>
      </c>
    </row>
    <row r="173" customFormat="false" ht="12.75" hidden="true" customHeight="true" outlineLevel="1" collapsed="false">
      <c r="B173" s="487" t="s">
        <v>886</v>
      </c>
      <c r="C173" s="487"/>
      <c r="D173" s="487"/>
      <c r="E173" s="487"/>
      <c r="F173" s="487"/>
      <c r="G173" s="487"/>
      <c r="H173" s="487"/>
      <c r="I173" s="487"/>
      <c r="J173" s="487"/>
      <c r="K173" s="492"/>
      <c r="L173" s="492"/>
      <c r="M173" s="492"/>
      <c r="N173" s="490" t="n">
        <v>13020</v>
      </c>
      <c r="O173" s="490" t="n">
        <v>11406</v>
      </c>
    </row>
    <row r="174" customFormat="false" ht="36.75" hidden="false" customHeight="true" outlineLevel="0" collapsed="false">
      <c r="B174" s="487" t="s">
        <v>2765</v>
      </c>
      <c r="C174" s="488" t="n">
        <v>507</v>
      </c>
      <c r="D174" s="487" t="s">
        <v>906</v>
      </c>
      <c r="E174" s="487" t="s">
        <v>899</v>
      </c>
      <c r="F174" s="487" t="s">
        <v>386</v>
      </c>
      <c r="G174" s="487" t="s">
        <v>387</v>
      </c>
      <c r="H174" s="489" t="n">
        <v>46</v>
      </c>
      <c r="I174" s="487" t="s">
        <v>904</v>
      </c>
      <c r="J174" s="487" t="s">
        <v>1435</v>
      </c>
      <c r="K174" s="490" t="n">
        <v>30100</v>
      </c>
      <c r="L174" s="490" t="n">
        <v>15310</v>
      </c>
      <c r="M174" s="491" t="n">
        <v>14.5</v>
      </c>
      <c r="N174" s="490" t="n">
        <v>14790</v>
      </c>
      <c r="O174" s="490" t="n">
        <v>12645.4</v>
      </c>
    </row>
    <row r="175" customFormat="false" ht="12.75" hidden="true" customHeight="true" outlineLevel="1" collapsed="false">
      <c r="B175" s="487" t="s">
        <v>417</v>
      </c>
      <c r="C175" s="487"/>
      <c r="D175" s="487"/>
      <c r="E175" s="487"/>
      <c r="F175" s="487"/>
      <c r="G175" s="487"/>
      <c r="H175" s="487"/>
      <c r="I175" s="487"/>
      <c r="J175" s="487"/>
      <c r="K175" s="492"/>
      <c r="L175" s="492"/>
      <c r="M175" s="492"/>
      <c r="N175" s="490" t="n">
        <v>14790</v>
      </c>
      <c r="O175" s="490" t="n">
        <v>12645.4</v>
      </c>
    </row>
    <row r="176" customFormat="false" ht="36.75" hidden="false" customHeight="true" outlineLevel="0" collapsed="false">
      <c r="B176" s="487" t="s">
        <v>2766</v>
      </c>
      <c r="C176" s="488" t="n">
        <v>508</v>
      </c>
      <c r="D176" s="487" t="s">
        <v>906</v>
      </c>
      <c r="E176" s="487" t="s">
        <v>908</v>
      </c>
      <c r="F176" s="487" t="s">
        <v>374</v>
      </c>
      <c r="G176" s="487" t="s">
        <v>375</v>
      </c>
      <c r="H176" s="489" t="n">
        <v>16</v>
      </c>
      <c r="I176" s="487" t="s">
        <v>904</v>
      </c>
      <c r="J176" s="487" t="s">
        <v>1435</v>
      </c>
      <c r="K176" s="490" t="n">
        <v>8350</v>
      </c>
      <c r="L176" s="490" t="n">
        <v>4580</v>
      </c>
      <c r="M176" s="491" t="n">
        <v>9.5</v>
      </c>
      <c r="N176" s="490" t="n">
        <v>3770</v>
      </c>
      <c r="O176" s="490" t="n">
        <v>3411.8</v>
      </c>
    </row>
    <row r="177" customFormat="false" ht="12.75" hidden="true" customHeight="true" outlineLevel="1" collapsed="false">
      <c r="B177" s="487" t="s">
        <v>417</v>
      </c>
      <c r="C177" s="487"/>
      <c r="D177" s="487"/>
      <c r="E177" s="487"/>
      <c r="F177" s="487"/>
      <c r="G177" s="487"/>
      <c r="H177" s="487"/>
      <c r="I177" s="487"/>
      <c r="J177" s="487"/>
      <c r="K177" s="492"/>
      <c r="L177" s="492"/>
      <c r="M177" s="492"/>
      <c r="N177" s="490" t="n">
        <v>3770</v>
      </c>
      <c r="O177" s="490" t="n">
        <v>3411.8</v>
      </c>
    </row>
    <row r="178" customFormat="false" ht="36.75" hidden="false" customHeight="true" outlineLevel="0" collapsed="false">
      <c r="B178" s="487" t="s">
        <v>2767</v>
      </c>
      <c r="C178" s="488" t="n">
        <v>509</v>
      </c>
      <c r="D178" s="487" t="s">
        <v>906</v>
      </c>
      <c r="E178" s="487" t="s">
        <v>908</v>
      </c>
      <c r="F178" s="487" t="s">
        <v>378</v>
      </c>
      <c r="G178" s="487" t="s">
        <v>379</v>
      </c>
      <c r="H178" s="489" t="n">
        <v>15</v>
      </c>
      <c r="I178" s="487" t="s">
        <v>904</v>
      </c>
      <c r="J178" s="487" t="s">
        <v>1435</v>
      </c>
      <c r="K178" s="490" t="n">
        <v>6950</v>
      </c>
      <c r="L178" s="490" t="n">
        <v>4600</v>
      </c>
      <c r="M178" s="491" t="n">
        <v>12.5</v>
      </c>
      <c r="N178" s="490" t="n">
        <v>2350</v>
      </c>
      <c r="O178" s="490" t="n">
        <v>2056.2</v>
      </c>
    </row>
    <row r="179" customFormat="false" ht="12.75" hidden="true" customHeight="true" outlineLevel="1" collapsed="false">
      <c r="B179" s="487" t="s">
        <v>417</v>
      </c>
      <c r="C179" s="487"/>
      <c r="D179" s="487"/>
      <c r="E179" s="487"/>
      <c r="F179" s="487"/>
      <c r="G179" s="487"/>
      <c r="H179" s="487"/>
      <c r="I179" s="487"/>
      <c r="J179" s="487"/>
      <c r="K179" s="492"/>
      <c r="L179" s="492"/>
      <c r="M179" s="492"/>
      <c r="N179" s="490" t="n">
        <v>2350</v>
      </c>
      <c r="O179" s="490" t="n">
        <v>2056.2</v>
      </c>
    </row>
    <row r="180" customFormat="false" ht="36.75" hidden="false" customHeight="true" outlineLevel="0" collapsed="false">
      <c r="B180" s="487" t="s">
        <v>2786</v>
      </c>
      <c r="C180" s="488" t="n">
        <v>496</v>
      </c>
      <c r="D180" s="487" t="s">
        <v>920</v>
      </c>
      <c r="E180" s="487" t="s">
        <v>899</v>
      </c>
      <c r="F180" s="487" t="s">
        <v>395</v>
      </c>
      <c r="G180" s="487" t="s">
        <v>566</v>
      </c>
      <c r="H180" s="489" t="n">
        <v>44</v>
      </c>
      <c r="I180" s="487" t="s">
        <v>909</v>
      </c>
      <c r="J180" s="487" t="s">
        <v>1435</v>
      </c>
      <c r="K180" s="490" t="n">
        <v>27900</v>
      </c>
      <c r="L180" s="490" t="n">
        <v>14460</v>
      </c>
      <c r="M180" s="491" t="n">
        <v>15.2</v>
      </c>
      <c r="N180" s="490" t="n">
        <v>13440</v>
      </c>
      <c r="O180" s="490" t="n">
        <v>11397</v>
      </c>
    </row>
    <row r="181" customFormat="false" ht="12.75" hidden="true" customHeight="true" outlineLevel="1" collapsed="false">
      <c r="B181" s="487" t="s">
        <v>886</v>
      </c>
      <c r="C181" s="487"/>
      <c r="D181" s="487"/>
      <c r="E181" s="487"/>
      <c r="F181" s="487"/>
      <c r="G181" s="487"/>
      <c r="H181" s="487"/>
      <c r="I181" s="487"/>
      <c r="J181" s="487"/>
      <c r="K181" s="492"/>
      <c r="L181" s="492"/>
      <c r="M181" s="492"/>
      <c r="N181" s="490" t="n">
        <v>13440</v>
      </c>
      <c r="O181" s="490" t="n">
        <v>11397</v>
      </c>
    </row>
    <row r="182" customFormat="false" ht="36.75" hidden="false" customHeight="true" outlineLevel="0" collapsed="false">
      <c r="B182" s="487" t="s">
        <v>2768</v>
      </c>
      <c r="C182" s="488" t="n">
        <v>510</v>
      </c>
      <c r="D182" s="487" t="s">
        <v>906</v>
      </c>
      <c r="E182" s="487" t="s">
        <v>908</v>
      </c>
      <c r="F182" s="487" t="s">
        <v>374</v>
      </c>
      <c r="G182" s="487" t="s">
        <v>375</v>
      </c>
      <c r="H182" s="489" t="n">
        <v>15</v>
      </c>
      <c r="I182" s="487" t="s">
        <v>904</v>
      </c>
      <c r="J182" s="487" t="s">
        <v>1435</v>
      </c>
      <c r="K182" s="490" t="n">
        <v>9060</v>
      </c>
      <c r="L182" s="490" t="n">
        <v>4550</v>
      </c>
      <c r="M182" s="491" t="n">
        <v>20.5</v>
      </c>
      <c r="N182" s="490" t="n">
        <v>4510</v>
      </c>
      <c r="O182" s="490" t="n">
        <v>3585.4</v>
      </c>
    </row>
    <row r="183" customFormat="false" ht="12.75" hidden="true" customHeight="true" outlineLevel="1" collapsed="false">
      <c r="B183" s="487" t="s">
        <v>417</v>
      </c>
      <c r="C183" s="487"/>
      <c r="D183" s="487"/>
      <c r="E183" s="487"/>
      <c r="F183" s="487"/>
      <c r="G183" s="487"/>
      <c r="H183" s="487"/>
      <c r="I183" s="487"/>
      <c r="J183" s="487"/>
      <c r="K183" s="492"/>
      <c r="L183" s="492"/>
      <c r="M183" s="492"/>
      <c r="N183" s="490" t="n">
        <v>4510</v>
      </c>
      <c r="O183" s="490" t="n">
        <v>3585.4</v>
      </c>
    </row>
    <row r="184" customFormat="false" ht="36.75" hidden="false" customHeight="true" outlineLevel="0" collapsed="false">
      <c r="B184" s="487" t="s">
        <v>2769</v>
      </c>
      <c r="C184" s="488" t="n">
        <v>511</v>
      </c>
      <c r="D184" s="487" t="s">
        <v>906</v>
      </c>
      <c r="E184" s="487" t="s">
        <v>908</v>
      </c>
      <c r="F184" s="487" t="s">
        <v>55</v>
      </c>
      <c r="G184" s="487" t="s">
        <v>56</v>
      </c>
      <c r="H184" s="489" t="n">
        <v>15</v>
      </c>
      <c r="I184" s="487" t="s">
        <v>904</v>
      </c>
      <c r="J184" s="487" t="s">
        <v>1435</v>
      </c>
      <c r="K184" s="490" t="n">
        <v>28310</v>
      </c>
      <c r="L184" s="490" t="n">
        <v>14750</v>
      </c>
      <c r="M184" s="491" t="n">
        <v>14.5</v>
      </c>
      <c r="N184" s="490" t="n">
        <v>13560</v>
      </c>
      <c r="O184" s="490" t="n">
        <v>11593.8</v>
      </c>
    </row>
    <row r="185" customFormat="false" ht="12.75" hidden="true" customHeight="true" outlineLevel="1" collapsed="false">
      <c r="B185" s="487" t="s">
        <v>417</v>
      </c>
      <c r="C185" s="487"/>
      <c r="D185" s="487"/>
      <c r="E185" s="487"/>
      <c r="F185" s="487"/>
      <c r="G185" s="487"/>
      <c r="H185" s="487"/>
      <c r="I185" s="487"/>
      <c r="J185" s="487"/>
      <c r="K185" s="492"/>
      <c r="L185" s="492"/>
      <c r="M185" s="492"/>
      <c r="N185" s="490" t="n">
        <v>13560</v>
      </c>
      <c r="O185" s="490" t="n">
        <v>11593.8</v>
      </c>
    </row>
    <row r="186" customFormat="false" ht="36.75" hidden="false" customHeight="true" outlineLevel="0" collapsed="false">
      <c r="B186" s="487" t="s">
        <v>2788</v>
      </c>
      <c r="C186" s="488" t="n">
        <v>496</v>
      </c>
      <c r="D186" s="487" t="s">
        <v>921</v>
      </c>
      <c r="E186" s="487" t="s">
        <v>899</v>
      </c>
      <c r="F186" s="487" t="s">
        <v>511</v>
      </c>
      <c r="G186" s="487" t="s">
        <v>515</v>
      </c>
      <c r="H186" s="489" t="n">
        <v>44</v>
      </c>
      <c r="I186" s="487" t="s">
        <v>909</v>
      </c>
      <c r="J186" s="487" t="s">
        <v>1435</v>
      </c>
      <c r="K186" s="490" t="n">
        <v>27960</v>
      </c>
      <c r="L186" s="490" t="n">
        <v>15040</v>
      </c>
      <c r="M186" s="491" t="n">
        <v>11.2</v>
      </c>
      <c r="N186" s="490" t="n">
        <v>12920</v>
      </c>
      <c r="O186" s="490" t="n">
        <v>11479</v>
      </c>
    </row>
    <row r="187" customFormat="false" ht="12.75" hidden="true" customHeight="true" outlineLevel="1" collapsed="false">
      <c r="B187" s="487" t="s">
        <v>886</v>
      </c>
      <c r="C187" s="487"/>
      <c r="D187" s="487"/>
      <c r="E187" s="487"/>
      <c r="F187" s="487"/>
      <c r="G187" s="487"/>
      <c r="H187" s="487"/>
      <c r="I187" s="487"/>
      <c r="J187" s="487"/>
      <c r="K187" s="492"/>
      <c r="L187" s="492"/>
      <c r="M187" s="492"/>
      <c r="N187" s="490" t="n">
        <v>12920</v>
      </c>
      <c r="O187" s="490" t="n">
        <v>11479</v>
      </c>
    </row>
    <row r="188" customFormat="false" ht="36.75" hidden="false" customHeight="true" outlineLevel="0" collapsed="false">
      <c r="B188" s="487" t="s">
        <v>2790</v>
      </c>
      <c r="C188" s="488" t="n">
        <v>496</v>
      </c>
      <c r="D188" s="487" t="s">
        <v>925</v>
      </c>
      <c r="E188" s="487" t="s">
        <v>899</v>
      </c>
      <c r="F188" s="487" t="s">
        <v>48</v>
      </c>
      <c r="G188" s="487" t="s">
        <v>918</v>
      </c>
      <c r="H188" s="489" t="n">
        <v>44</v>
      </c>
      <c r="I188" s="487" t="s">
        <v>909</v>
      </c>
      <c r="J188" s="487" t="s">
        <v>1435</v>
      </c>
      <c r="K188" s="490" t="n">
        <v>28340</v>
      </c>
      <c r="L188" s="490" t="n">
        <v>15100</v>
      </c>
      <c r="M188" s="491" t="n">
        <v>10.1</v>
      </c>
      <c r="N188" s="490" t="n">
        <v>13240</v>
      </c>
      <c r="O188" s="490" t="n">
        <v>11907</v>
      </c>
    </row>
    <row r="189" customFormat="false" ht="12.75" hidden="true" customHeight="true" outlineLevel="1" collapsed="false">
      <c r="B189" s="487" t="s">
        <v>886</v>
      </c>
      <c r="C189" s="487"/>
      <c r="D189" s="487"/>
      <c r="E189" s="487"/>
      <c r="F189" s="487"/>
      <c r="G189" s="487"/>
      <c r="H189" s="487"/>
      <c r="I189" s="487"/>
      <c r="J189" s="487"/>
      <c r="K189" s="492"/>
      <c r="L189" s="492"/>
      <c r="M189" s="492"/>
      <c r="N189" s="490" t="n">
        <v>13240</v>
      </c>
      <c r="O189" s="490" t="n">
        <v>11907</v>
      </c>
    </row>
    <row r="190" customFormat="false" ht="36.75" hidden="false" customHeight="true" outlineLevel="0" collapsed="false">
      <c r="B190" s="487" t="s">
        <v>2791</v>
      </c>
      <c r="C190" s="488" t="n">
        <v>496</v>
      </c>
      <c r="D190" s="487" t="s">
        <v>927</v>
      </c>
      <c r="E190" s="487" t="s">
        <v>899</v>
      </c>
      <c r="F190" s="487" t="s">
        <v>48</v>
      </c>
      <c r="G190" s="487" t="s">
        <v>918</v>
      </c>
      <c r="H190" s="489" t="n">
        <v>44</v>
      </c>
      <c r="I190" s="487" t="s">
        <v>909</v>
      </c>
      <c r="J190" s="487" t="s">
        <v>1435</v>
      </c>
      <c r="K190" s="490" t="n">
        <v>28460</v>
      </c>
      <c r="L190" s="490" t="n">
        <v>15120</v>
      </c>
      <c r="M190" s="491" t="n">
        <v>17.7</v>
      </c>
      <c r="N190" s="490" t="n">
        <v>13340</v>
      </c>
      <c r="O190" s="490" t="n">
        <v>10979</v>
      </c>
    </row>
    <row r="191" customFormat="false" ht="12.75" hidden="true" customHeight="true" outlineLevel="1" collapsed="false">
      <c r="B191" s="487" t="s">
        <v>886</v>
      </c>
      <c r="C191" s="487"/>
      <c r="D191" s="487"/>
      <c r="E191" s="487"/>
      <c r="F191" s="487"/>
      <c r="G191" s="487"/>
      <c r="H191" s="487"/>
      <c r="I191" s="487"/>
      <c r="J191" s="487"/>
      <c r="K191" s="492"/>
      <c r="L191" s="492"/>
      <c r="M191" s="492"/>
      <c r="N191" s="490" t="n">
        <v>13340</v>
      </c>
      <c r="O191" s="490" t="n">
        <v>10979</v>
      </c>
    </row>
    <row r="192" customFormat="false" ht="36.75" hidden="false" customHeight="true" outlineLevel="0" collapsed="false">
      <c r="B192" s="487" t="s">
        <v>2792</v>
      </c>
      <c r="C192" s="488" t="n">
        <v>496</v>
      </c>
      <c r="D192" s="487" t="s">
        <v>929</v>
      </c>
      <c r="E192" s="487" t="s">
        <v>899</v>
      </c>
      <c r="F192" s="487" t="s">
        <v>511</v>
      </c>
      <c r="G192" s="487" t="s">
        <v>515</v>
      </c>
      <c r="H192" s="489" t="n">
        <v>44</v>
      </c>
      <c r="I192" s="487" t="s">
        <v>909</v>
      </c>
      <c r="J192" s="487" t="s">
        <v>1435</v>
      </c>
      <c r="K192" s="490" t="n">
        <v>32380</v>
      </c>
      <c r="L192" s="490" t="n">
        <v>15000</v>
      </c>
      <c r="M192" s="491" t="n">
        <v>11.4</v>
      </c>
      <c r="N192" s="490" t="n">
        <v>17380</v>
      </c>
      <c r="O192" s="490" t="n">
        <v>15396</v>
      </c>
    </row>
    <row r="193" customFormat="false" ht="12.75" hidden="true" customHeight="true" outlineLevel="1" collapsed="false">
      <c r="B193" s="487" t="s">
        <v>886</v>
      </c>
      <c r="C193" s="487"/>
      <c r="D193" s="487"/>
      <c r="E193" s="487"/>
      <c r="F193" s="487"/>
      <c r="G193" s="487"/>
      <c r="H193" s="487"/>
      <c r="I193" s="487"/>
      <c r="J193" s="487"/>
      <c r="K193" s="492"/>
      <c r="L193" s="492"/>
      <c r="M193" s="492"/>
      <c r="N193" s="490" t="n">
        <v>17380</v>
      </c>
      <c r="O193" s="490" t="n">
        <v>15396</v>
      </c>
    </row>
    <row r="194" customFormat="false" ht="36.75" hidden="false" customHeight="true" outlineLevel="0" collapsed="false">
      <c r="B194" s="487" t="s">
        <v>2793</v>
      </c>
      <c r="C194" s="488" t="n">
        <v>496</v>
      </c>
      <c r="D194" s="487" t="s">
        <v>931</v>
      </c>
      <c r="E194" s="487" t="s">
        <v>899</v>
      </c>
      <c r="F194" s="487" t="s">
        <v>511</v>
      </c>
      <c r="G194" s="487" t="s">
        <v>515</v>
      </c>
      <c r="H194" s="489" t="n">
        <v>44</v>
      </c>
      <c r="I194" s="487" t="s">
        <v>909</v>
      </c>
      <c r="J194" s="487" t="s">
        <v>1435</v>
      </c>
      <c r="K194" s="490" t="n">
        <v>28240</v>
      </c>
      <c r="L194" s="490" t="n">
        <v>14740</v>
      </c>
      <c r="M194" s="491" t="n">
        <v>13.8</v>
      </c>
      <c r="N194" s="490" t="n">
        <v>13500</v>
      </c>
      <c r="O194" s="490" t="n">
        <v>11634</v>
      </c>
    </row>
    <row r="195" customFormat="false" ht="12.75" hidden="true" customHeight="true" outlineLevel="1" collapsed="false">
      <c r="B195" s="487" t="s">
        <v>886</v>
      </c>
      <c r="C195" s="487"/>
      <c r="D195" s="487"/>
      <c r="E195" s="487"/>
      <c r="F195" s="487"/>
      <c r="G195" s="487"/>
      <c r="H195" s="487"/>
      <c r="I195" s="487"/>
      <c r="J195" s="487"/>
      <c r="K195" s="492"/>
      <c r="L195" s="492"/>
      <c r="M195" s="492"/>
      <c r="N195" s="490" t="n">
        <v>13500</v>
      </c>
      <c r="O195" s="490" t="n">
        <v>11634</v>
      </c>
    </row>
    <row r="196" customFormat="false" ht="36.75" hidden="false" customHeight="true" outlineLevel="0" collapsed="false">
      <c r="B196" s="487" t="s">
        <v>2794</v>
      </c>
      <c r="C196" s="488" t="n">
        <v>502</v>
      </c>
      <c r="D196" s="487" t="s">
        <v>934</v>
      </c>
      <c r="E196" s="487" t="s">
        <v>899</v>
      </c>
      <c r="F196" s="487" t="s">
        <v>933</v>
      </c>
      <c r="G196" s="487" t="s">
        <v>470</v>
      </c>
      <c r="H196" s="489" t="n">
        <v>44</v>
      </c>
      <c r="I196" s="487" t="s">
        <v>909</v>
      </c>
      <c r="J196" s="487" t="s">
        <v>1435</v>
      </c>
      <c r="K196" s="490" t="n">
        <v>27900</v>
      </c>
      <c r="L196" s="490" t="n">
        <v>14940</v>
      </c>
      <c r="M196" s="491" t="n">
        <v>15.9</v>
      </c>
      <c r="N196" s="490" t="n">
        <v>12960</v>
      </c>
      <c r="O196" s="490" t="n">
        <v>10897</v>
      </c>
    </row>
    <row r="197" customFormat="false" ht="12.75" hidden="true" customHeight="true" outlineLevel="1" collapsed="false">
      <c r="B197" s="487" t="s">
        <v>886</v>
      </c>
      <c r="C197" s="487"/>
      <c r="D197" s="487"/>
      <c r="E197" s="487"/>
      <c r="F197" s="487"/>
      <c r="G197" s="487"/>
      <c r="H197" s="487"/>
      <c r="I197" s="487"/>
      <c r="J197" s="487"/>
      <c r="K197" s="492"/>
      <c r="L197" s="492"/>
      <c r="M197" s="492"/>
      <c r="N197" s="490" t="n">
        <v>12960</v>
      </c>
      <c r="O197" s="490" t="n">
        <v>10897</v>
      </c>
    </row>
    <row r="198" customFormat="false" ht="36.75" hidden="false" customHeight="true" outlineLevel="0" collapsed="false">
      <c r="B198" s="487" t="s">
        <v>2770</v>
      </c>
      <c r="C198" s="488" t="n">
        <v>512</v>
      </c>
      <c r="D198" s="487" t="s">
        <v>906</v>
      </c>
      <c r="E198" s="487" t="s">
        <v>908</v>
      </c>
      <c r="F198" s="487" t="s">
        <v>363</v>
      </c>
      <c r="G198" s="487" t="s">
        <v>364</v>
      </c>
      <c r="H198" s="489" t="n">
        <v>15</v>
      </c>
      <c r="I198" s="487" t="s">
        <v>904</v>
      </c>
      <c r="J198" s="487" t="s">
        <v>1435</v>
      </c>
      <c r="K198" s="490" t="n">
        <v>28060</v>
      </c>
      <c r="L198" s="490" t="n">
        <v>14670</v>
      </c>
      <c r="M198" s="491" t="n">
        <v>13.5</v>
      </c>
      <c r="N198" s="490" t="n">
        <v>13390</v>
      </c>
      <c r="O198" s="490" t="n">
        <v>11582.3</v>
      </c>
    </row>
    <row r="199" customFormat="false" ht="12.75" hidden="true" customHeight="true" outlineLevel="1" collapsed="false">
      <c r="B199" s="487" t="s">
        <v>417</v>
      </c>
      <c r="C199" s="487"/>
      <c r="D199" s="487"/>
      <c r="E199" s="487"/>
      <c r="F199" s="487"/>
      <c r="G199" s="487"/>
      <c r="H199" s="487"/>
      <c r="I199" s="487"/>
      <c r="J199" s="487"/>
      <c r="K199" s="492"/>
      <c r="L199" s="492"/>
      <c r="M199" s="492"/>
      <c r="N199" s="490" t="n">
        <v>13390</v>
      </c>
      <c r="O199" s="490" t="n">
        <v>11582.3</v>
      </c>
    </row>
    <row r="200" customFormat="false" ht="48.75" hidden="false" customHeight="true" outlineLevel="0" collapsed="false">
      <c r="B200" s="487" t="s">
        <v>2771</v>
      </c>
      <c r="C200" s="488" t="n">
        <v>513</v>
      </c>
      <c r="D200" s="487" t="s">
        <v>906</v>
      </c>
      <c r="E200" s="487" t="s">
        <v>908</v>
      </c>
      <c r="F200" s="487" t="s">
        <v>519</v>
      </c>
      <c r="G200" s="487" t="s">
        <v>523</v>
      </c>
      <c r="H200" s="489" t="n">
        <v>15</v>
      </c>
      <c r="I200" s="487" t="s">
        <v>904</v>
      </c>
      <c r="J200" s="487" t="s">
        <v>1435</v>
      </c>
      <c r="K200" s="490" t="n">
        <v>29120</v>
      </c>
      <c r="L200" s="490" t="n">
        <v>15650</v>
      </c>
      <c r="M200" s="491" t="n">
        <v>13.5</v>
      </c>
      <c r="N200" s="490" t="n">
        <v>13470</v>
      </c>
      <c r="O200" s="490" t="n">
        <v>11651.5</v>
      </c>
    </row>
    <row r="201" customFormat="false" ht="12.75" hidden="true" customHeight="true" outlineLevel="1" collapsed="false">
      <c r="B201" s="487" t="s">
        <v>417</v>
      </c>
      <c r="C201" s="487"/>
      <c r="D201" s="487"/>
      <c r="E201" s="487"/>
      <c r="F201" s="487"/>
      <c r="G201" s="487"/>
      <c r="H201" s="487"/>
      <c r="I201" s="487"/>
      <c r="J201" s="487"/>
      <c r="K201" s="492"/>
      <c r="L201" s="492"/>
      <c r="M201" s="492"/>
      <c r="N201" s="490" t="n">
        <v>13470</v>
      </c>
      <c r="O201" s="490" t="n">
        <v>11651.5</v>
      </c>
    </row>
    <row r="202" customFormat="false" ht="36.75" hidden="false" customHeight="true" outlineLevel="0" collapsed="false">
      <c r="B202" s="487" t="s">
        <v>2772</v>
      </c>
      <c r="C202" s="488" t="n">
        <v>514</v>
      </c>
      <c r="D202" s="487" t="s">
        <v>906</v>
      </c>
      <c r="E202" s="487" t="s">
        <v>908</v>
      </c>
      <c r="F202" s="487" t="s">
        <v>359</v>
      </c>
      <c r="G202" s="487" t="s">
        <v>426</v>
      </c>
      <c r="H202" s="489" t="n">
        <v>15</v>
      </c>
      <c r="I202" s="487" t="s">
        <v>904</v>
      </c>
      <c r="J202" s="487" t="s">
        <v>1435</v>
      </c>
      <c r="K202" s="490" t="n">
        <v>27390</v>
      </c>
      <c r="L202" s="490" t="n">
        <v>13870</v>
      </c>
      <c r="M202" s="491" t="n">
        <v>12.5</v>
      </c>
      <c r="N202" s="490" t="n">
        <v>13520</v>
      </c>
      <c r="O202" s="490" t="n">
        <v>11830</v>
      </c>
    </row>
    <row r="203" customFormat="false" ht="12.75" hidden="true" customHeight="true" outlineLevel="1" collapsed="false">
      <c r="B203" s="487" t="s">
        <v>417</v>
      </c>
      <c r="C203" s="487"/>
      <c r="D203" s="487"/>
      <c r="E203" s="487"/>
      <c r="F203" s="487"/>
      <c r="G203" s="487"/>
      <c r="H203" s="487"/>
      <c r="I203" s="487"/>
      <c r="J203" s="487"/>
      <c r="K203" s="492"/>
      <c r="L203" s="492"/>
      <c r="M203" s="492"/>
      <c r="N203" s="490" t="n">
        <v>13520</v>
      </c>
      <c r="O203" s="490" t="n">
        <v>11830</v>
      </c>
    </row>
    <row r="204" customFormat="false" ht="36.75" hidden="false" customHeight="true" outlineLevel="0" collapsed="false">
      <c r="B204" s="487" t="s">
        <v>2773</v>
      </c>
      <c r="C204" s="488" t="n">
        <v>515</v>
      </c>
      <c r="D204" s="487" t="s">
        <v>906</v>
      </c>
      <c r="E204" s="487" t="s">
        <v>908</v>
      </c>
      <c r="F204" s="487" t="s">
        <v>439</v>
      </c>
      <c r="G204" s="487" t="s">
        <v>443</v>
      </c>
      <c r="H204" s="489" t="n">
        <v>15</v>
      </c>
      <c r="I204" s="487" t="s">
        <v>904</v>
      </c>
      <c r="J204" s="487" t="s">
        <v>1435</v>
      </c>
      <c r="K204" s="490" t="n">
        <v>37650</v>
      </c>
      <c r="L204" s="490" t="n">
        <v>24170</v>
      </c>
      <c r="M204" s="491" t="n">
        <v>11.5</v>
      </c>
      <c r="N204" s="490" t="n">
        <v>13480</v>
      </c>
      <c r="O204" s="490" t="n">
        <v>11929.8</v>
      </c>
    </row>
    <row r="205" customFormat="false" ht="12.75" hidden="true" customHeight="true" outlineLevel="1" collapsed="false">
      <c r="B205" s="487" t="s">
        <v>417</v>
      </c>
      <c r="C205" s="487"/>
      <c r="D205" s="487"/>
      <c r="E205" s="487"/>
      <c r="F205" s="487"/>
      <c r="G205" s="487"/>
      <c r="H205" s="487"/>
      <c r="I205" s="487"/>
      <c r="J205" s="487"/>
      <c r="K205" s="492"/>
      <c r="L205" s="492"/>
      <c r="M205" s="492"/>
      <c r="N205" s="490" t="n">
        <v>13480</v>
      </c>
      <c r="O205" s="490" t="n">
        <v>11929.8</v>
      </c>
    </row>
    <row r="206" customFormat="false" ht="36.75" hidden="false" customHeight="true" outlineLevel="0" collapsed="false">
      <c r="B206" s="487" t="s">
        <v>2783</v>
      </c>
      <c r="C206" s="488" t="n">
        <v>520</v>
      </c>
      <c r="D206" s="487" t="s">
        <v>906</v>
      </c>
      <c r="E206" s="487" t="s">
        <v>908</v>
      </c>
      <c r="F206" s="487" t="s">
        <v>371</v>
      </c>
      <c r="G206" s="487" t="s">
        <v>372</v>
      </c>
      <c r="H206" s="489" t="n">
        <v>15</v>
      </c>
      <c r="I206" s="487" t="s">
        <v>904</v>
      </c>
      <c r="J206" s="487" t="s">
        <v>1435</v>
      </c>
      <c r="K206" s="490" t="n">
        <v>28350</v>
      </c>
      <c r="L206" s="490" t="n">
        <v>15040</v>
      </c>
      <c r="M206" s="491" t="n">
        <v>12.5</v>
      </c>
      <c r="N206" s="490" t="n">
        <v>13310</v>
      </c>
      <c r="O206" s="490" t="n">
        <v>11646.2</v>
      </c>
    </row>
    <row r="207" customFormat="false" ht="12.75" hidden="true" customHeight="true" outlineLevel="1" collapsed="false">
      <c r="B207" s="487" t="s">
        <v>417</v>
      </c>
      <c r="C207" s="487"/>
      <c r="D207" s="487"/>
      <c r="E207" s="487"/>
      <c r="F207" s="487"/>
      <c r="G207" s="487"/>
      <c r="H207" s="487"/>
      <c r="I207" s="487"/>
      <c r="J207" s="487"/>
      <c r="K207" s="492"/>
      <c r="L207" s="492"/>
      <c r="M207" s="492"/>
      <c r="N207" s="490" t="n">
        <v>13310</v>
      </c>
      <c r="O207" s="490" t="n">
        <v>11646.2</v>
      </c>
    </row>
    <row r="208" customFormat="false" ht="36.75" hidden="false" customHeight="true" outlineLevel="0" collapsed="false">
      <c r="B208" s="487" t="s">
        <v>2779</v>
      </c>
      <c r="C208" s="488" t="n">
        <v>516</v>
      </c>
      <c r="D208" s="487" t="s">
        <v>906</v>
      </c>
      <c r="E208" s="487" t="s">
        <v>908</v>
      </c>
      <c r="F208" s="487" t="s">
        <v>433</v>
      </c>
      <c r="G208" s="487" t="s">
        <v>437</v>
      </c>
      <c r="H208" s="489" t="n">
        <v>15</v>
      </c>
      <c r="I208" s="487" t="s">
        <v>904</v>
      </c>
      <c r="J208" s="487" t="s">
        <v>1435</v>
      </c>
      <c r="K208" s="490" t="n">
        <v>28510</v>
      </c>
      <c r="L208" s="490" t="n">
        <v>14990</v>
      </c>
      <c r="M208" s="491" t="n">
        <v>6.5</v>
      </c>
      <c r="N208" s="490" t="n">
        <v>13520</v>
      </c>
      <c r="O208" s="490" t="n">
        <v>12641.2</v>
      </c>
    </row>
    <row r="209" customFormat="false" ht="12.75" hidden="true" customHeight="true" outlineLevel="1" collapsed="false">
      <c r="B209" s="487" t="s">
        <v>417</v>
      </c>
      <c r="C209" s="487"/>
      <c r="D209" s="487"/>
      <c r="E209" s="487"/>
      <c r="F209" s="487"/>
      <c r="G209" s="487"/>
      <c r="H209" s="487"/>
      <c r="I209" s="487"/>
      <c r="J209" s="487"/>
      <c r="K209" s="492"/>
      <c r="L209" s="492"/>
      <c r="M209" s="492"/>
      <c r="N209" s="490" t="n">
        <v>13520</v>
      </c>
      <c r="O209" s="490" t="n">
        <v>12641.2</v>
      </c>
    </row>
    <row r="210" customFormat="false" ht="36.75" hidden="false" customHeight="true" outlineLevel="0" collapsed="false">
      <c r="B210" s="487" t="s">
        <v>2787</v>
      </c>
      <c r="C210" s="488" t="n">
        <v>521</v>
      </c>
      <c r="D210" s="487" t="s">
        <v>906</v>
      </c>
      <c r="E210" s="487" t="s">
        <v>908</v>
      </c>
      <c r="F210" s="487" t="s">
        <v>384</v>
      </c>
      <c r="G210" s="487" t="s">
        <v>385</v>
      </c>
      <c r="H210" s="489" t="n">
        <v>15</v>
      </c>
      <c r="I210" s="487" t="s">
        <v>904</v>
      </c>
      <c r="J210" s="487" t="s">
        <v>1435</v>
      </c>
      <c r="K210" s="490" t="n">
        <v>27510</v>
      </c>
      <c r="L210" s="490" t="n">
        <v>14650</v>
      </c>
      <c r="M210" s="491" t="n">
        <v>6.5</v>
      </c>
      <c r="N210" s="490" t="n">
        <v>12860</v>
      </c>
      <c r="O210" s="490" t="n">
        <v>12024.1</v>
      </c>
    </row>
    <row r="211" customFormat="false" ht="12.75" hidden="true" customHeight="true" outlineLevel="1" collapsed="false">
      <c r="B211" s="487" t="s">
        <v>417</v>
      </c>
      <c r="C211" s="487"/>
      <c r="D211" s="487"/>
      <c r="E211" s="487"/>
      <c r="F211" s="487"/>
      <c r="G211" s="487"/>
      <c r="H211" s="487"/>
      <c r="I211" s="487"/>
      <c r="J211" s="487"/>
      <c r="K211" s="492"/>
      <c r="L211" s="492"/>
      <c r="M211" s="492"/>
      <c r="N211" s="490" t="n">
        <v>12860</v>
      </c>
      <c r="O211" s="490" t="n">
        <v>12024.1</v>
      </c>
    </row>
    <row r="212" customFormat="false" ht="36.75" hidden="false" customHeight="true" outlineLevel="0" collapsed="false">
      <c r="B212" s="487" t="s">
        <v>2795</v>
      </c>
      <c r="C212" s="488" t="n">
        <v>523</v>
      </c>
      <c r="D212" s="487" t="s">
        <v>906</v>
      </c>
      <c r="E212" s="487" t="s">
        <v>908</v>
      </c>
      <c r="F212" s="487" t="s">
        <v>382</v>
      </c>
      <c r="G212" s="487" t="s">
        <v>383</v>
      </c>
      <c r="H212" s="489" t="n">
        <v>15</v>
      </c>
      <c r="I212" s="487" t="s">
        <v>904</v>
      </c>
      <c r="J212" s="487" t="s">
        <v>1435</v>
      </c>
      <c r="K212" s="490" t="n">
        <v>28110</v>
      </c>
      <c r="L212" s="490" t="n">
        <v>15120</v>
      </c>
      <c r="M212" s="491" t="n">
        <v>13.5</v>
      </c>
      <c r="N212" s="490" t="n">
        <v>12990</v>
      </c>
      <c r="O212" s="490" t="n">
        <v>11236.3</v>
      </c>
    </row>
    <row r="213" customFormat="false" ht="12.75" hidden="true" customHeight="true" outlineLevel="1" collapsed="false">
      <c r="B213" s="487" t="s">
        <v>417</v>
      </c>
      <c r="C213" s="487"/>
      <c r="D213" s="487"/>
      <c r="E213" s="487"/>
      <c r="F213" s="487"/>
      <c r="G213" s="487"/>
      <c r="H213" s="487"/>
      <c r="I213" s="487"/>
      <c r="J213" s="487"/>
      <c r="K213" s="492"/>
      <c r="L213" s="492"/>
      <c r="M213" s="492"/>
      <c r="N213" s="490" t="n">
        <v>12990</v>
      </c>
      <c r="O213" s="490" t="n">
        <v>11236.3</v>
      </c>
    </row>
    <row r="214" customFormat="false" ht="36.75" hidden="false" customHeight="true" outlineLevel="0" collapsed="false">
      <c r="B214" s="487" t="s">
        <v>2796</v>
      </c>
      <c r="C214" s="488" t="n">
        <v>526</v>
      </c>
      <c r="D214" s="487" t="s">
        <v>906</v>
      </c>
      <c r="E214" s="487" t="s">
        <v>908</v>
      </c>
      <c r="F214" s="487" t="s">
        <v>55</v>
      </c>
      <c r="G214" s="487" t="s">
        <v>56</v>
      </c>
      <c r="H214" s="489" t="n">
        <v>15</v>
      </c>
      <c r="I214" s="487" t="s">
        <v>904</v>
      </c>
      <c r="J214" s="487" t="s">
        <v>1435</v>
      </c>
      <c r="K214" s="490" t="n">
        <v>27760</v>
      </c>
      <c r="L214" s="490" t="n">
        <v>14690</v>
      </c>
      <c r="M214" s="491" t="n">
        <v>9.5</v>
      </c>
      <c r="N214" s="490" t="n">
        <v>13070</v>
      </c>
      <c r="O214" s="490" t="n">
        <v>11828.3</v>
      </c>
    </row>
    <row r="215" customFormat="false" ht="12.75" hidden="true" customHeight="true" outlineLevel="1" collapsed="false">
      <c r="B215" s="487" t="s">
        <v>417</v>
      </c>
      <c r="C215" s="487"/>
      <c r="D215" s="487"/>
      <c r="E215" s="487"/>
      <c r="F215" s="487"/>
      <c r="G215" s="487"/>
      <c r="H215" s="487"/>
      <c r="I215" s="487"/>
      <c r="J215" s="487"/>
      <c r="K215" s="492"/>
      <c r="L215" s="492"/>
      <c r="M215" s="492"/>
      <c r="N215" s="490" t="n">
        <v>13070</v>
      </c>
      <c r="O215" s="490" t="n">
        <v>11828.3</v>
      </c>
    </row>
    <row r="216" customFormat="false" ht="36.75" hidden="false" customHeight="true" outlineLevel="0" collapsed="false">
      <c r="B216" s="487" t="s">
        <v>2797</v>
      </c>
      <c r="C216" s="488" t="n">
        <v>527</v>
      </c>
      <c r="D216" s="487" t="s">
        <v>906</v>
      </c>
      <c r="E216" s="487" t="s">
        <v>908</v>
      </c>
      <c r="F216" s="487" t="s">
        <v>363</v>
      </c>
      <c r="G216" s="487" t="s">
        <v>364</v>
      </c>
      <c r="H216" s="489" t="n">
        <v>15</v>
      </c>
      <c r="I216" s="487" t="s">
        <v>904</v>
      </c>
      <c r="J216" s="487" t="s">
        <v>1435</v>
      </c>
      <c r="K216" s="490" t="n">
        <v>27890</v>
      </c>
      <c r="L216" s="490" t="n">
        <v>14620</v>
      </c>
      <c r="M216" s="491" t="n">
        <v>13</v>
      </c>
      <c r="N216" s="490" t="n">
        <v>13270</v>
      </c>
      <c r="O216" s="490" t="n">
        <v>11544.9</v>
      </c>
    </row>
    <row r="217" customFormat="false" ht="12.75" hidden="true" customHeight="true" outlineLevel="1" collapsed="false">
      <c r="B217" s="487" t="s">
        <v>417</v>
      </c>
      <c r="C217" s="487"/>
      <c r="D217" s="487"/>
      <c r="E217" s="487"/>
      <c r="F217" s="487"/>
      <c r="G217" s="487"/>
      <c r="H217" s="487"/>
      <c r="I217" s="487"/>
      <c r="J217" s="487"/>
      <c r="K217" s="492"/>
      <c r="L217" s="492"/>
      <c r="M217" s="492"/>
      <c r="N217" s="490" t="n">
        <v>13270</v>
      </c>
      <c r="O217" s="490" t="n">
        <v>11544.9</v>
      </c>
    </row>
    <row r="218" customFormat="false" ht="48.75" hidden="false" customHeight="true" outlineLevel="0" collapsed="false">
      <c r="B218" s="487" t="s">
        <v>2798</v>
      </c>
      <c r="C218" s="488" t="n">
        <v>528</v>
      </c>
      <c r="D218" s="487" t="s">
        <v>906</v>
      </c>
      <c r="E218" s="487" t="s">
        <v>908</v>
      </c>
      <c r="F218" s="487" t="s">
        <v>519</v>
      </c>
      <c r="G218" s="487" t="s">
        <v>523</v>
      </c>
      <c r="H218" s="489" t="n">
        <v>15</v>
      </c>
      <c r="I218" s="487" t="s">
        <v>904</v>
      </c>
      <c r="J218" s="487" t="s">
        <v>1435</v>
      </c>
      <c r="K218" s="490" t="n">
        <v>28770</v>
      </c>
      <c r="L218" s="490" t="n">
        <v>15560</v>
      </c>
      <c r="M218" s="491" t="n">
        <v>6.5</v>
      </c>
      <c r="N218" s="490" t="n">
        <v>13210</v>
      </c>
      <c r="O218" s="490" t="n">
        <v>12351.3</v>
      </c>
    </row>
    <row r="219" customFormat="false" ht="12.75" hidden="true" customHeight="true" outlineLevel="1" collapsed="false">
      <c r="B219" s="487" t="s">
        <v>417</v>
      </c>
      <c r="C219" s="487"/>
      <c r="D219" s="487"/>
      <c r="E219" s="487"/>
      <c r="F219" s="487"/>
      <c r="G219" s="487"/>
      <c r="H219" s="487"/>
      <c r="I219" s="487"/>
      <c r="J219" s="487"/>
      <c r="K219" s="492"/>
      <c r="L219" s="492"/>
      <c r="M219" s="492"/>
      <c r="N219" s="490" t="n">
        <v>13210</v>
      </c>
      <c r="O219" s="490" t="n">
        <v>12351.3</v>
      </c>
    </row>
    <row r="220" customFormat="false" ht="36.75" hidden="false" customHeight="true" outlineLevel="0" collapsed="false">
      <c r="B220" s="487" t="s">
        <v>2799</v>
      </c>
      <c r="C220" s="488" t="n">
        <v>529</v>
      </c>
      <c r="D220" s="487" t="s">
        <v>906</v>
      </c>
      <c r="E220" s="487" t="s">
        <v>908</v>
      </c>
      <c r="F220" s="487" t="s">
        <v>427</v>
      </c>
      <c r="G220" s="487" t="s">
        <v>431</v>
      </c>
      <c r="H220" s="489" t="n">
        <v>15</v>
      </c>
      <c r="I220" s="487" t="s">
        <v>904</v>
      </c>
      <c r="J220" s="487" t="s">
        <v>1435</v>
      </c>
      <c r="K220" s="490" t="n">
        <v>34270</v>
      </c>
      <c r="L220" s="490" t="n">
        <v>21010</v>
      </c>
      <c r="M220" s="491" t="n">
        <v>11.5</v>
      </c>
      <c r="N220" s="490" t="n">
        <v>13260</v>
      </c>
      <c r="O220" s="490" t="n">
        <v>11735.1</v>
      </c>
    </row>
    <row r="221" customFormat="false" ht="12.75" hidden="true" customHeight="true" outlineLevel="1" collapsed="false">
      <c r="B221" s="487" t="s">
        <v>417</v>
      </c>
      <c r="C221" s="487"/>
      <c r="D221" s="487"/>
      <c r="E221" s="487"/>
      <c r="F221" s="487"/>
      <c r="G221" s="487"/>
      <c r="H221" s="487"/>
      <c r="I221" s="487"/>
      <c r="J221" s="487"/>
      <c r="K221" s="492"/>
      <c r="L221" s="492"/>
      <c r="M221" s="492"/>
      <c r="N221" s="490" t="n">
        <v>13260</v>
      </c>
      <c r="O221" s="490" t="n">
        <v>11735.1</v>
      </c>
    </row>
    <row r="222" customFormat="false" ht="36.75" hidden="false" customHeight="true" outlineLevel="0" collapsed="false">
      <c r="B222" s="487" t="s">
        <v>2800</v>
      </c>
      <c r="C222" s="488" t="n">
        <v>530</v>
      </c>
      <c r="D222" s="487" t="s">
        <v>906</v>
      </c>
      <c r="E222" s="487" t="s">
        <v>908</v>
      </c>
      <c r="F222" s="487" t="s">
        <v>361</v>
      </c>
      <c r="G222" s="487" t="s">
        <v>362</v>
      </c>
      <c r="H222" s="489" t="n">
        <v>15</v>
      </c>
      <c r="I222" s="487" t="s">
        <v>904</v>
      </c>
      <c r="J222" s="487" t="s">
        <v>1435</v>
      </c>
      <c r="K222" s="490" t="n">
        <v>28000</v>
      </c>
      <c r="L222" s="490" t="n">
        <v>14720</v>
      </c>
      <c r="M222" s="491" t="n">
        <v>6.5</v>
      </c>
      <c r="N222" s="490" t="n">
        <v>13280</v>
      </c>
      <c r="O222" s="490" t="n">
        <v>12416.8</v>
      </c>
    </row>
    <row r="223" customFormat="false" ht="12.75" hidden="true" customHeight="true" outlineLevel="1" collapsed="false">
      <c r="B223" s="487" t="s">
        <v>417</v>
      </c>
      <c r="C223" s="487"/>
      <c r="D223" s="487"/>
      <c r="E223" s="487"/>
      <c r="F223" s="487"/>
      <c r="G223" s="487"/>
      <c r="H223" s="487"/>
      <c r="I223" s="487"/>
      <c r="J223" s="487"/>
      <c r="K223" s="492"/>
      <c r="L223" s="492"/>
      <c r="M223" s="492"/>
      <c r="N223" s="490" t="n">
        <v>13280</v>
      </c>
      <c r="O223" s="490" t="n">
        <v>12416.8</v>
      </c>
    </row>
    <row r="224" customFormat="false" ht="36.75" hidden="false" customHeight="true" outlineLevel="0" collapsed="false">
      <c r="B224" s="487" t="s">
        <v>2801</v>
      </c>
      <c r="C224" s="488" t="n">
        <v>531</v>
      </c>
      <c r="D224" s="489" t="n">
        <v>54927</v>
      </c>
      <c r="E224" s="487" t="s">
        <v>908</v>
      </c>
      <c r="F224" s="487" t="s">
        <v>359</v>
      </c>
      <c r="G224" s="487" t="s">
        <v>426</v>
      </c>
      <c r="H224" s="489" t="n">
        <v>15</v>
      </c>
      <c r="I224" s="487" t="s">
        <v>904</v>
      </c>
      <c r="J224" s="487" t="s">
        <v>1435</v>
      </c>
      <c r="K224" s="490" t="n">
        <v>27280</v>
      </c>
      <c r="L224" s="490" t="n">
        <v>13870</v>
      </c>
      <c r="M224" s="491" t="n">
        <v>9.5</v>
      </c>
      <c r="N224" s="490" t="n">
        <v>13410</v>
      </c>
      <c r="O224" s="490" t="n">
        <v>12136</v>
      </c>
    </row>
    <row r="225" customFormat="false" ht="12.75" hidden="true" customHeight="true" outlineLevel="1" collapsed="false">
      <c r="B225" s="487" t="s">
        <v>417</v>
      </c>
      <c r="C225" s="487"/>
      <c r="D225" s="487"/>
      <c r="E225" s="487"/>
      <c r="F225" s="487"/>
      <c r="G225" s="487"/>
      <c r="H225" s="487"/>
      <c r="I225" s="487"/>
      <c r="J225" s="487"/>
      <c r="K225" s="492"/>
      <c r="L225" s="492"/>
      <c r="M225" s="492"/>
      <c r="N225" s="490" t="n">
        <v>13410</v>
      </c>
      <c r="O225" s="490" t="n">
        <v>12136</v>
      </c>
    </row>
    <row r="226" customFormat="false" ht="36.75" hidden="false" customHeight="true" outlineLevel="0" collapsed="false">
      <c r="B226" s="487" t="s">
        <v>2803</v>
      </c>
      <c r="C226" s="488" t="n">
        <v>533</v>
      </c>
      <c r="D226" s="489" t="n">
        <v>54927</v>
      </c>
      <c r="E226" s="487" t="s">
        <v>908</v>
      </c>
      <c r="F226" s="487" t="s">
        <v>439</v>
      </c>
      <c r="G226" s="487" t="s">
        <v>443</v>
      </c>
      <c r="H226" s="489" t="n">
        <v>15</v>
      </c>
      <c r="I226" s="487" t="s">
        <v>904</v>
      </c>
      <c r="J226" s="487" t="s">
        <v>1435</v>
      </c>
      <c r="K226" s="490" t="n">
        <v>36820</v>
      </c>
      <c r="L226" s="490" t="n">
        <v>24060</v>
      </c>
      <c r="M226" s="491" t="n">
        <v>7.5</v>
      </c>
      <c r="N226" s="490" t="n">
        <v>12760</v>
      </c>
      <c r="O226" s="490" t="n">
        <v>11803</v>
      </c>
    </row>
    <row r="227" customFormat="false" ht="12.75" hidden="true" customHeight="true" outlineLevel="1" collapsed="false">
      <c r="B227" s="487" t="s">
        <v>417</v>
      </c>
      <c r="C227" s="487"/>
      <c r="D227" s="487"/>
      <c r="E227" s="487"/>
      <c r="F227" s="487"/>
      <c r="G227" s="487"/>
      <c r="H227" s="487"/>
      <c r="I227" s="487"/>
      <c r="J227" s="487"/>
      <c r="K227" s="492"/>
      <c r="L227" s="492"/>
      <c r="M227" s="492"/>
      <c r="N227" s="490" t="n">
        <v>12760</v>
      </c>
      <c r="O227" s="490" t="n">
        <v>11803</v>
      </c>
    </row>
    <row r="228" customFormat="false" ht="36.75" hidden="false" customHeight="true" outlineLevel="0" collapsed="false">
      <c r="B228" s="487" t="s">
        <v>2802</v>
      </c>
      <c r="C228" s="488" t="n">
        <v>532</v>
      </c>
      <c r="D228" s="489" t="n">
        <v>54928</v>
      </c>
      <c r="E228" s="487" t="s">
        <v>908</v>
      </c>
      <c r="F228" s="487" t="s">
        <v>433</v>
      </c>
      <c r="G228" s="487" t="s">
        <v>437</v>
      </c>
      <c r="H228" s="489" t="n">
        <v>15</v>
      </c>
      <c r="I228" s="487" t="s">
        <v>904</v>
      </c>
      <c r="J228" s="487" t="s">
        <v>1435</v>
      </c>
      <c r="K228" s="490" t="n">
        <v>28170</v>
      </c>
      <c r="L228" s="490" t="n">
        <v>14930</v>
      </c>
      <c r="M228" s="491" t="n">
        <v>7.5</v>
      </c>
      <c r="N228" s="490" t="n">
        <v>13240</v>
      </c>
      <c r="O228" s="490" t="n">
        <v>12247</v>
      </c>
    </row>
    <row r="229" customFormat="false" ht="12.75" hidden="true" customHeight="true" outlineLevel="1" collapsed="false">
      <c r="B229" s="487" t="s">
        <v>417</v>
      </c>
      <c r="C229" s="487"/>
      <c r="D229" s="487"/>
      <c r="E229" s="487"/>
      <c r="F229" s="487"/>
      <c r="G229" s="487"/>
      <c r="H229" s="487"/>
      <c r="I229" s="487"/>
      <c r="J229" s="487"/>
      <c r="K229" s="492"/>
      <c r="L229" s="492"/>
      <c r="M229" s="492"/>
      <c r="N229" s="490" t="n">
        <v>13240</v>
      </c>
      <c r="O229" s="490" t="n">
        <v>12247</v>
      </c>
    </row>
    <row r="230" customFormat="false" ht="36.75" hidden="false" customHeight="true" outlineLevel="0" collapsed="false">
      <c r="B230" s="487" t="s">
        <v>2804</v>
      </c>
      <c r="C230" s="488" t="n">
        <v>534</v>
      </c>
      <c r="D230" s="489" t="n">
        <v>54928</v>
      </c>
      <c r="E230" s="487" t="s">
        <v>908</v>
      </c>
      <c r="F230" s="487" t="s">
        <v>371</v>
      </c>
      <c r="G230" s="487" t="s">
        <v>372</v>
      </c>
      <c r="H230" s="489" t="n">
        <v>15</v>
      </c>
      <c r="I230" s="487" t="s">
        <v>904</v>
      </c>
      <c r="J230" s="487" t="s">
        <v>1435</v>
      </c>
      <c r="K230" s="490" t="n">
        <v>27850</v>
      </c>
      <c r="L230" s="490" t="n">
        <v>15040</v>
      </c>
      <c r="M230" s="491" t="n">
        <v>6.5</v>
      </c>
      <c r="N230" s="490" t="n">
        <v>12810</v>
      </c>
      <c r="O230" s="490" t="n">
        <v>11977.3</v>
      </c>
    </row>
    <row r="231" customFormat="false" ht="12.75" hidden="true" customHeight="true" outlineLevel="1" collapsed="false">
      <c r="B231" s="487" t="s">
        <v>417</v>
      </c>
      <c r="C231" s="487"/>
      <c r="D231" s="487"/>
      <c r="E231" s="487"/>
      <c r="F231" s="487"/>
      <c r="G231" s="487"/>
      <c r="H231" s="487"/>
      <c r="I231" s="487"/>
      <c r="J231" s="487"/>
      <c r="K231" s="492"/>
      <c r="L231" s="492"/>
      <c r="M231" s="492"/>
      <c r="N231" s="490" t="n">
        <v>12810</v>
      </c>
      <c r="O231" s="490" t="n">
        <v>11977.3</v>
      </c>
    </row>
    <row r="232" customFormat="false" ht="36.75" hidden="false" customHeight="true" outlineLevel="0" collapsed="false">
      <c r="B232" s="487" t="s">
        <v>2805</v>
      </c>
      <c r="C232" s="488" t="n">
        <v>535</v>
      </c>
      <c r="D232" s="489" t="n">
        <v>54929</v>
      </c>
      <c r="E232" s="487" t="s">
        <v>908</v>
      </c>
      <c r="F232" s="487" t="s">
        <v>55</v>
      </c>
      <c r="G232" s="487" t="s">
        <v>56</v>
      </c>
      <c r="H232" s="489" t="n">
        <v>15</v>
      </c>
      <c r="I232" s="487" t="s">
        <v>904</v>
      </c>
      <c r="J232" s="487" t="s">
        <v>1435</v>
      </c>
      <c r="K232" s="490" t="n">
        <v>27380</v>
      </c>
      <c r="L232" s="490" t="n">
        <v>14650</v>
      </c>
      <c r="M232" s="491" t="n">
        <v>5.5</v>
      </c>
      <c r="N232" s="490" t="n">
        <v>12730</v>
      </c>
      <c r="O232" s="490" t="n">
        <v>12029.8</v>
      </c>
    </row>
    <row r="233" customFormat="false" ht="12.75" hidden="true" customHeight="true" outlineLevel="1" collapsed="false">
      <c r="B233" s="487" t="s">
        <v>417</v>
      </c>
      <c r="C233" s="487"/>
      <c r="D233" s="487"/>
      <c r="E233" s="487"/>
      <c r="F233" s="487"/>
      <c r="G233" s="487"/>
      <c r="H233" s="487"/>
      <c r="I233" s="487"/>
      <c r="J233" s="487"/>
      <c r="K233" s="492"/>
      <c r="L233" s="492"/>
      <c r="M233" s="492"/>
      <c r="N233" s="490" t="n">
        <v>12730</v>
      </c>
      <c r="O233" s="490" t="n">
        <v>12029.8</v>
      </c>
    </row>
    <row r="234" customFormat="false" ht="36.75" hidden="false" customHeight="true" outlineLevel="0" collapsed="false">
      <c r="B234" s="487" t="s">
        <v>2806</v>
      </c>
      <c r="C234" s="488" t="n">
        <v>536</v>
      </c>
      <c r="D234" s="489" t="n">
        <v>54929</v>
      </c>
      <c r="E234" s="487" t="s">
        <v>908</v>
      </c>
      <c r="F234" s="487" t="s">
        <v>363</v>
      </c>
      <c r="G234" s="487" t="s">
        <v>364</v>
      </c>
      <c r="H234" s="489" t="n">
        <v>15</v>
      </c>
      <c r="I234" s="487" t="s">
        <v>904</v>
      </c>
      <c r="J234" s="487" t="s">
        <v>1435</v>
      </c>
      <c r="K234" s="490" t="n">
        <v>27650</v>
      </c>
      <c r="L234" s="490" t="n">
        <v>14660</v>
      </c>
      <c r="M234" s="491" t="n">
        <v>6.5</v>
      </c>
      <c r="N234" s="490" t="n">
        <v>12990</v>
      </c>
      <c r="O234" s="490" t="n">
        <v>12145.6</v>
      </c>
    </row>
    <row r="235" customFormat="false" ht="12.75" hidden="true" customHeight="true" outlineLevel="1" collapsed="false">
      <c r="B235" s="487" t="s">
        <v>417</v>
      </c>
      <c r="C235" s="487"/>
      <c r="D235" s="487"/>
      <c r="E235" s="487"/>
      <c r="F235" s="487"/>
      <c r="G235" s="487"/>
      <c r="H235" s="487"/>
      <c r="I235" s="487"/>
      <c r="J235" s="487"/>
      <c r="K235" s="492"/>
      <c r="L235" s="492"/>
      <c r="M235" s="492"/>
      <c r="N235" s="490" t="n">
        <v>12990</v>
      </c>
      <c r="O235" s="490" t="n">
        <v>12145.6</v>
      </c>
    </row>
    <row r="236" customFormat="false" ht="36.75" hidden="false" customHeight="true" outlineLevel="0" collapsed="false">
      <c r="B236" s="487" t="s">
        <v>2807</v>
      </c>
      <c r="C236" s="488" t="n">
        <v>537</v>
      </c>
      <c r="D236" s="489" t="n">
        <v>54930</v>
      </c>
      <c r="E236" s="487" t="s">
        <v>908</v>
      </c>
      <c r="F236" s="487" t="s">
        <v>382</v>
      </c>
      <c r="G236" s="487" t="s">
        <v>383</v>
      </c>
      <c r="H236" s="489" t="n">
        <v>15</v>
      </c>
      <c r="I236" s="487" t="s">
        <v>904</v>
      </c>
      <c r="J236" s="487" t="s">
        <v>1435</v>
      </c>
      <c r="K236" s="490" t="n">
        <v>28680</v>
      </c>
      <c r="L236" s="490" t="n">
        <v>14980</v>
      </c>
      <c r="M236" s="491" t="n">
        <v>8.5</v>
      </c>
      <c r="N236" s="490" t="n">
        <v>13700</v>
      </c>
      <c r="O236" s="490" t="n">
        <v>12535.5</v>
      </c>
    </row>
    <row r="237" customFormat="false" ht="12.75" hidden="true" customHeight="true" outlineLevel="1" collapsed="false">
      <c r="B237" s="487" t="s">
        <v>417</v>
      </c>
      <c r="C237" s="487"/>
      <c r="D237" s="487"/>
      <c r="E237" s="487"/>
      <c r="F237" s="487"/>
      <c r="G237" s="487"/>
      <c r="H237" s="487"/>
      <c r="I237" s="487"/>
      <c r="J237" s="487"/>
      <c r="K237" s="492"/>
      <c r="L237" s="492"/>
      <c r="M237" s="492"/>
      <c r="N237" s="490" t="n">
        <v>13700</v>
      </c>
      <c r="O237" s="490" t="n">
        <v>12535.5</v>
      </c>
    </row>
    <row r="238" customFormat="false" ht="36.75" hidden="false" customHeight="true" outlineLevel="0" collapsed="false">
      <c r="B238" s="487" t="s">
        <v>2808</v>
      </c>
      <c r="C238" s="488" t="n">
        <v>538</v>
      </c>
      <c r="D238" s="489" t="n">
        <v>54930</v>
      </c>
      <c r="E238" s="487" t="s">
        <v>908</v>
      </c>
      <c r="F238" s="487" t="s">
        <v>384</v>
      </c>
      <c r="G238" s="487" t="s">
        <v>385</v>
      </c>
      <c r="H238" s="489" t="n">
        <v>16</v>
      </c>
      <c r="I238" s="487" t="s">
        <v>904</v>
      </c>
      <c r="J238" s="487" t="s">
        <v>1435</v>
      </c>
      <c r="K238" s="490" t="n">
        <v>27300</v>
      </c>
      <c r="L238" s="490" t="n">
        <v>14510</v>
      </c>
      <c r="M238" s="491" t="n">
        <v>6.5</v>
      </c>
      <c r="N238" s="490" t="n">
        <v>12790</v>
      </c>
      <c r="O238" s="490" t="n">
        <v>11958.6</v>
      </c>
    </row>
    <row r="239" customFormat="false" ht="12.75" hidden="true" customHeight="true" outlineLevel="1" collapsed="false">
      <c r="B239" s="487" t="s">
        <v>417</v>
      </c>
      <c r="C239" s="487"/>
      <c r="D239" s="487"/>
      <c r="E239" s="487"/>
      <c r="F239" s="487"/>
      <c r="G239" s="487"/>
      <c r="H239" s="487"/>
      <c r="I239" s="487"/>
      <c r="J239" s="487"/>
      <c r="K239" s="492"/>
      <c r="L239" s="492"/>
      <c r="M239" s="492"/>
      <c r="N239" s="490" t="n">
        <v>12790</v>
      </c>
      <c r="O239" s="490" t="n">
        <v>11958.6</v>
      </c>
    </row>
    <row r="240" customFormat="false" ht="48.75" hidden="false" customHeight="true" outlineLevel="0" collapsed="false">
      <c r="B240" s="487" t="s">
        <v>2809</v>
      </c>
      <c r="C240" s="488" t="n">
        <v>539</v>
      </c>
      <c r="D240" s="489" t="n">
        <v>54931</v>
      </c>
      <c r="E240" s="487" t="s">
        <v>908</v>
      </c>
      <c r="F240" s="487" t="s">
        <v>519</v>
      </c>
      <c r="G240" s="487" t="s">
        <v>523</v>
      </c>
      <c r="H240" s="489" t="n">
        <v>16</v>
      </c>
      <c r="I240" s="487" t="s">
        <v>904</v>
      </c>
      <c r="J240" s="487" t="s">
        <v>1435</v>
      </c>
      <c r="K240" s="490" t="n">
        <v>28560</v>
      </c>
      <c r="L240" s="490" t="n">
        <v>15560</v>
      </c>
      <c r="M240" s="491" t="n">
        <v>8.5</v>
      </c>
      <c r="N240" s="490" t="n">
        <v>13000</v>
      </c>
      <c r="O240" s="490" t="n">
        <v>11895</v>
      </c>
    </row>
    <row r="241" customFormat="false" ht="12.75" hidden="true" customHeight="true" outlineLevel="1" collapsed="false">
      <c r="B241" s="487" t="s">
        <v>417</v>
      </c>
      <c r="C241" s="487"/>
      <c r="D241" s="487"/>
      <c r="E241" s="487"/>
      <c r="F241" s="487"/>
      <c r="G241" s="487"/>
      <c r="H241" s="487"/>
      <c r="I241" s="487"/>
      <c r="J241" s="487"/>
      <c r="K241" s="492"/>
      <c r="L241" s="492"/>
      <c r="M241" s="492"/>
      <c r="N241" s="490" t="n">
        <v>13000</v>
      </c>
      <c r="O241" s="490" t="n">
        <v>11895</v>
      </c>
    </row>
    <row r="242" customFormat="false" ht="36.75" hidden="false" customHeight="true" outlineLevel="0" collapsed="false">
      <c r="B242" s="487" t="s">
        <v>2810</v>
      </c>
      <c r="C242" s="488" t="n">
        <v>541</v>
      </c>
      <c r="D242" s="489" t="n">
        <v>54931</v>
      </c>
      <c r="E242" s="487" t="s">
        <v>908</v>
      </c>
      <c r="F242" s="487" t="s">
        <v>361</v>
      </c>
      <c r="G242" s="487" t="s">
        <v>362</v>
      </c>
      <c r="H242" s="489" t="n">
        <v>16</v>
      </c>
      <c r="I242" s="487" t="s">
        <v>904</v>
      </c>
      <c r="J242" s="487" t="s">
        <v>1435</v>
      </c>
      <c r="K242" s="490" t="n">
        <v>27680</v>
      </c>
      <c r="L242" s="490" t="n">
        <v>14660</v>
      </c>
      <c r="M242" s="491" t="n">
        <v>7.5</v>
      </c>
      <c r="N242" s="490" t="n">
        <v>13020</v>
      </c>
      <c r="O242" s="490" t="n">
        <v>12043.5</v>
      </c>
    </row>
    <row r="243" customFormat="false" ht="12.75" hidden="true" customHeight="true" outlineLevel="1" collapsed="false">
      <c r="B243" s="487" t="s">
        <v>417</v>
      </c>
      <c r="C243" s="487"/>
      <c r="D243" s="487"/>
      <c r="E243" s="487"/>
      <c r="F243" s="487"/>
      <c r="G243" s="487"/>
      <c r="H243" s="487"/>
      <c r="I243" s="487"/>
      <c r="J243" s="487"/>
      <c r="K243" s="492"/>
      <c r="L243" s="492"/>
      <c r="M243" s="492"/>
      <c r="N243" s="490" t="n">
        <v>13020</v>
      </c>
      <c r="O243" s="490" t="n">
        <v>12043.5</v>
      </c>
    </row>
    <row r="244" customFormat="false" ht="36.75" hidden="false" customHeight="true" outlineLevel="0" collapsed="false">
      <c r="B244" s="487" t="s">
        <v>2811</v>
      </c>
      <c r="C244" s="488" t="n">
        <v>543</v>
      </c>
      <c r="D244" s="489" t="n">
        <v>54933</v>
      </c>
      <c r="E244" s="487" t="s">
        <v>908</v>
      </c>
      <c r="F244" s="487" t="s">
        <v>439</v>
      </c>
      <c r="G244" s="487" t="s">
        <v>443</v>
      </c>
      <c r="H244" s="489" t="n">
        <v>16</v>
      </c>
      <c r="I244" s="487" t="s">
        <v>904</v>
      </c>
      <c r="J244" s="487" t="s">
        <v>1435</v>
      </c>
      <c r="K244" s="490" t="n">
        <v>37000</v>
      </c>
      <c r="L244" s="490" t="n">
        <v>23960</v>
      </c>
      <c r="M244" s="491" t="n">
        <v>6.5</v>
      </c>
      <c r="N244" s="490" t="n">
        <v>13040</v>
      </c>
      <c r="O244" s="490" t="n">
        <v>12192.4</v>
      </c>
    </row>
    <row r="245" customFormat="false" ht="12.75" hidden="true" customHeight="true" outlineLevel="1" collapsed="false">
      <c r="B245" s="487" t="s">
        <v>417</v>
      </c>
      <c r="C245" s="487"/>
      <c r="D245" s="487"/>
      <c r="E245" s="487"/>
      <c r="F245" s="487"/>
      <c r="G245" s="487"/>
      <c r="H245" s="487"/>
      <c r="I245" s="487"/>
      <c r="J245" s="487"/>
      <c r="K245" s="492"/>
      <c r="L245" s="492"/>
      <c r="M245" s="492"/>
      <c r="N245" s="490" t="n">
        <v>13040</v>
      </c>
      <c r="O245" s="490" t="n">
        <v>12192.4</v>
      </c>
    </row>
    <row r="246" customFormat="false" ht="36.75" hidden="false" customHeight="true" outlineLevel="0" collapsed="false">
      <c r="B246" s="487" t="s">
        <v>2812</v>
      </c>
      <c r="C246" s="488" t="n">
        <v>544</v>
      </c>
      <c r="D246" s="489" t="n">
        <v>54934</v>
      </c>
      <c r="E246" s="487" t="s">
        <v>908</v>
      </c>
      <c r="F246" s="487" t="s">
        <v>433</v>
      </c>
      <c r="G246" s="487" t="s">
        <v>437</v>
      </c>
      <c r="H246" s="489" t="n">
        <v>16</v>
      </c>
      <c r="I246" s="487" t="s">
        <v>904</v>
      </c>
      <c r="J246" s="487" t="s">
        <v>1435</v>
      </c>
      <c r="K246" s="490" t="n">
        <v>28150</v>
      </c>
      <c r="L246" s="490" t="n">
        <v>14960</v>
      </c>
      <c r="M246" s="491" t="n">
        <v>8.5</v>
      </c>
      <c r="N246" s="490" t="n">
        <v>13190</v>
      </c>
      <c r="O246" s="490" t="n">
        <v>12068.8</v>
      </c>
    </row>
    <row r="247" customFormat="false" ht="12.75" hidden="true" customHeight="true" outlineLevel="1" collapsed="false">
      <c r="B247" s="487" t="s">
        <v>417</v>
      </c>
      <c r="C247" s="487"/>
      <c r="D247" s="487"/>
      <c r="E247" s="487"/>
      <c r="F247" s="487"/>
      <c r="G247" s="487"/>
      <c r="H247" s="487"/>
      <c r="I247" s="487"/>
      <c r="J247" s="487"/>
      <c r="K247" s="492"/>
      <c r="L247" s="492"/>
      <c r="M247" s="492"/>
      <c r="N247" s="490" t="n">
        <v>13190</v>
      </c>
      <c r="O247" s="490" t="n">
        <v>12068.8</v>
      </c>
    </row>
    <row r="248" customFormat="false" ht="36.75" hidden="false" customHeight="true" outlineLevel="0" collapsed="false">
      <c r="B248" s="487" t="s">
        <v>2813</v>
      </c>
      <c r="C248" s="488" t="n">
        <v>547</v>
      </c>
      <c r="D248" s="489" t="n">
        <v>54934</v>
      </c>
      <c r="E248" s="487" t="s">
        <v>908</v>
      </c>
      <c r="F248" s="487" t="s">
        <v>55</v>
      </c>
      <c r="G248" s="487" t="s">
        <v>56</v>
      </c>
      <c r="H248" s="489" t="n">
        <v>16</v>
      </c>
      <c r="I248" s="487" t="s">
        <v>904</v>
      </c>
      <c r="J248" s="487" t="s">
        <v>1435</v>
      </c>
      <c r="K248" s="490" t="n">
        <v>27940</v>
      </c>
      <c r="L248" s="490" t="n">
        <v>14570</v>
      </c>
      <c r="M248" s="491" t="n">
        <v>9.5</v>
      </c>
      <c r="N248" s="490" t="n">
        <v>13370</v>
      </c>
      <c r="O248" s="490" t="n">
        <v>12099.8</v>
      </c>
    </row>
    <row r="249" customFormat="false" ht="12.75" hidden="true" customHeight="true" outlineLevel="1" collapsed="false">
      <c r="B249" s="487" t="s">
        <v>417</v>
      </c>
      <c r="C249" s="487"/>
      <c r="D249" s="487"/>
      <c r="E249" s="487"/>
      <c r="F249" s="487"/>
      <c r="G249" s="487"/>
      <c r="H249" s="487"/>
      <c r="I249" s="487"/>
      <c r="J249" s="487"/>
      <c r="K249" s="492"/>
      <c r="L249" s="492"/>
      <c r="M249" s="492"/>
      <c r="N249" s="490" t="n">
        <v>13370</v>
      </c>
      <c r="O249" s="490" t="n">
        <v>12099.8</v>
      </c>
    </row>
    <row r="250" customFormat="false" ht="36.75" hidden="false" customHeight="true" outlineLevel="0" collapsed="false">
      <c r="B250" s="487" t="s">
        <v>2814</v>
      </c>
      <c r="C250" s="488" t="n">
        <v>549</v>
      </c>
      <c r="D250" s="489" t="n">
        <v>54934</v>
      </c>
      <c r="E250" s="487" t="s">
        <v>908</v>
      </c>
      <c r="F250" s="487" t="s">
        <v>371</v>
      </c>
      <c r="G250" s="487" t="s">
        <v>372</v>
      </c>
      <c r="H250" s="489" t="n">
        <v>16</v>
      </c>
      <c r="I250" s="487" t="s">
        <v>904</v>
      </c>
      <c r="J250" s="487" t="s">
        <v>1435</v>
      </c>
      <c r="K250" s="490" t="n">
        <v>28260</v>
      </c>
      <c r="L250" s="490" t="n">
        <v>14960</v>
      </c>
      <c r="M250" s="491" t="n">
        <v>13</v>
      </c>
      <c r="N250" s="490" t="n">
        <v>13300</v>
      </c>
      <c r="O250" s="490" t="n">
        <v>11571</v>
      </c>
    </row>
    <row r="251" customFormat="false" ht="12.75" hidden="true" customHeight="true" outlineLevel="1" collapsed="false">
      <c r="B251" s="487" t="s">
        <v>417</v>
      </c>
      <c r="C251" s="487"/>
      <c r="D251" s="487"/>
      <c r="E251" s="487"/>
      <c r="F251" s="487"/>
      <c r="G251" s="487"/>
      <c r="H251" s="487"/>
      <c r="I251" s="487"/>
      <c r="J251" s="487"/>
      <c r="K251" s="492"/>
      <c r="L251" s="492"/>
      <c r="M251" s="492"/>
      <c r="N251" s="490" t="n">
        <v>13300</v>
      </c>
      <c r="O251" s="490" t="n">
        <v>11571</v>
      </c>
    </row>
    <row r="252" customFormat="false" ht="36.75" hidden="false" customHeight="true" outlineLevel="0" collapsed="false">
      <c r="B252" s="487" t="s">
        <v>2815</v>
      </c>
      <c r="C252" s="488" t="n">
        <v>551</v>
      </c>
      <c r="D252" s="489" t="n">
        <v>54936</v>
      </c>
      <c r="E252" s="487" t="s">
        <v>908</v>
      </c>
      <c r="F252" s="487" t="s">
        <v>427</v>
      </c>
      <c r="G252" s="487" t="s">
        <v>431</v>
      </c>
      <c r="H252" s="489" t="n">
        <v>16</v>
      </c>
      <c r="I252" s="487" t="s">
        <v>904</v>
      </c>
      <c r="J252" s="487" t="s">
        <v>1435</v>
      </c>
      <c r="K252" s="490" t="n">
        <v>34460</v>
      </c>
      <c r="L252" s="490" t="n">
        <v>21030</v>
      </c>
      <c r="M252" s="491" t="n">
        <v>12.5</v>
      </c>
      <c r="N252" s="490" t="n">
        <v>13430</v>
      </c>
      <c r="O252" s="490" t="n">
        <v>11751.2</v>
      </c>
    </row>
    <row r="253" customFormat="false" ht="12.75" hidden="true" customHeight="true" outlineLevel="1" collapsed="false">
      <c r="B253" s="487" t="s">
        <v>417</v>
      </c>
      <c r="C253" s="487"/>
      <c r="D253" s="487"/>
      <c r="E253" s="487"/>
      <c r="F253" s="487"/>
      <c r="G253" s="487"/>
      <c r="H253" s="487"/>
      <c r="I253" s="487"/>
      <c r="J253" s="487"/>
      <c r="K253" s="492"/>
      <c r="L253" s="492"/>
      <c r="M253" s="492"/>
      <c r="N253" s="490" t="n">
        <v>13430</v>
      </c>
      <c r="O253" s="490" t="n">
        <v>11751.2</v>
      </c>
    </row>
    <row r="254" customFormat="false" ht="36.75" hidden="false" customHeight="true" outlineLevel="0" collapsed="false">
      <c r="B254" s="487" t="s">
        <v>2816</v>
      </c>
      <c r="C254" s="488" t="n">
        <v>550</v>
      </c>
      <c r="D254" s="489" t="n">
        <v>54935</v>
      </c>
      <c r="E254" s="487" t="s">
        <v>908</v>
      </c>
      <c r="F254" s="487" t="s">
        <v>363</v>
      </c>
      <c r="G254" s="487" t="s">
        <v>364</v>
      </c>
      <c r="H254" s="489" t="n">
        <v>16</v>
      </c>
      <c r="I254" s="487" t="s">
        <v>904</v>
      </c>
      <c r="J254" s="487" t="s">
        <v>1435</v>
      </c>
      <c r="K254" s="490" t="n">
        <v>27940</v>
      </c>
      <c r="L254" s="490" t="n">
        <v>14590</v>
      </c>
      <c r="M254" s="491" t="n">
        <v>9.5</v>
      </c>
      <c r="N254" s="490" t="n">
        <v>13350</v>
      </c>
      <c r="O254" s="490" t="n">
        <v>12081.7</v>
      </c>
    </row>
    <row r="255" customFormat="false" ht="12.75" hidden="true" customHeight="true" outlineLevel="1" collapsed="false">
      <c r="B255" s="487" t="s">
        <v>417</v>
      </c>
      <c r="C255" s="487"/>
      <c r="D255" s="487"/>
      <c r="E255" s="487"/>
      <c r="F255" s="487"/>
      <c r="G255" s="487"/>
      <c r="H255" s="487"/>
      <c r="I255" s="487"/>
      <c r="J255" s="487"/>
      <c r="K255" s="492"/>
      <c r="L255" s="492"/>
      <c r="M255" s="492"/>
      <c r="N255" s="490" t="n">
        <v>13350</v>
      </c>
      <c r="O255" s="490" t="n">
        <v>12081.7</v>
      </c>
    </row>
    <row r="256" customFormat="false" ht="36.75" hidden="false" customHeight="true" outlineLevel="0" collapsed="false">
      <c r="B256" s="487" t="s">
        <v>2817</v>
      </c>
      <c r="C256" s="488" t="n">
        <v>552</v>
      </c>
      <c r="D256" s="489" t="n">
        <v>54936</v>
      </c>
      <c r="E256" s="487" t="s">
        <v>908</v>
      </c>
      <c r="F256" s="487" t="s">
        <v>359</v>
      </c>
      <c r="G256" s="487" t="s">
        <v>426</v>
      </c>
      <c r="H256" s="489" t="n">
        <v>16</v>
      </c>
      <c r="I256" s="487" t="s">
        <v>904</v>
      </c>
      <c r="J256" s="487" t="s">
        <v>1435</v>
      </c>
      <c r="K256" s="490" t="n">
        <v>27200</v>
      </c>
      <c r="L256" s="490" t="n">
        <v>13800</v>
      </c>
      <c r="M256" s="491" t="n">
        <v>10.5</v>
      </c>
      <c r="N256" s="490" t="n">
        <v>13400</v>
      </c>
      <c r="O256" s="490" t="n">
        <v>11993</v>
      </c>
    </row>
    <row r="257" customFormat="false" ht="12.75" hidden="true" customHeight="true" outlineLevel="1" collapsed="false">
      <c r="B257" s="487" t="s">
        <v>417</v>
      </c>
      <c r="C257" s="487"/>
      <c r="D257" s="487"/>
      <c r="E257" s="487"/>
      <c r="F257" s="487"/>
      <c r="G257" s="487"/>
      <c r="H257" s="487"/>
      <c r="I257" s="487"/>
      <c r="J257" s="487"/>
      <c r="K257" s="492"/>
      <c r="L257" s="492"/>
      <c r="M257" s="492"/>
      <c r="N257" s="490" t="n">
        <v>13400</v>
      </c>
      <c r="O257" s="490" t="n">
        <v>11993</v>
      </c>
    </row>
    <row r="258" customFormat="false" ht="48.75" hidden="false" customHeight="true" outlineLevel="0" collapsed="false">
      <c r="B258" s="487" t="s">
        <v>2818</v>
      </c>
      <c r="C258" s="488" t="n">
        <v>553</v>
      </c>
      <c r="D258" s="489" t="n">
        <v>54937</v>
      </c>
      <c r="E258" s="487" t="s">
        <v>908</v>
      </c>
      <c r="F258" s="487" t="s">
        <v>519</v>
      </c>
      <c r="G258" s="487" t="s">
        <v>523</v>
      </c>
      <c r="H258" s="489" t="n">
        <v>16</v>
      </c>
      <c r="I258" s="487" t="s">
        <v>904</v>
      </c>
      <c r="J258" s="487" t="s">
        <v>1435</v>
      </c>
      <c r="K258" s="490" t="n">
        <v>29170</v>
      </c>
      <c r="L258" s="490" t="n">
        <v>15500</v>
      </c>
      <c r="M258" s="491" t="n">
        <v>7.5</v>
      </c>
      <c r="N258" s="490" t="n">
        <v>13670</v>
      </c>
      <c r="O258" s="490" t="n">
        <v>12644.7</v>
      </c>
    </row>
    <row r="259" customFormat="false" ht="12.75" hidden="true" customHeight="true" outlineLevel="1" collapsed="false">
      <c r="B259" s="487" t="s">
        <v>417</v>
      </c>
      <c r="C259" s="487"/>
      <c r="D259" s="487"/>
      <c r="E259" s="487"/>
      <c r="F259" s="487"/>
      <c r="G259" s="487"/>
      <c r="H259" s="487"/>
      <c r="I259" s="487"/>
      <c r="J259" s="487"/>
      <c r="K259" s="492"/>
      <c r="L259" s="492"/>
      <c r="M259" s="492"/>
      <c r="N259" s="490" t="n">
        <v>13670</v>
      </c>
      <c r="O259" s="490" t="n">
        <v>12644.7</v>
      </c>
    </row>
    <row r="260" customFormat="false" ht="36.75" hidden="false" customHeight="true" outlineLevel="0" collapsed="false">
      <c r="B260" s="487" t="s">
        <v>2819</v>
      </c>
      <c r="C260" s="488" t="n">
        <v>555</v>
      </c>
      <c r="D260" s="489" t="n">
        <v>54937</v>
      </c>
      <c r="E260" s="487" t="s">
        <v>908</v>
      </c>
      <c r="F260" s="487" t="s">
        <v>382</v>
      </c>
      <c r="G260" s="487" t="s">
        <v>383</v>
      </c>
      <c r="H260" s="489" t="n">
        <v>16</v>
      </c>
      <c r="I260" s="487" t="s">
        <v>904</v>
      </c>
      <c r="J260" s="487" t="s">
        <v>1435</v>
      </c>
      <c r="K260" s="490" t="n">
        <v>28460</v>
      </c>
      <c r="L260" s="490" t="n">
        <v>14900</v>
      </c>
      <c r="M260" s="491" t="n">
        <v>6.5</v>
      </c>
      <c r="N260" s="490" t="n">
        <v>13560</v>
      </c>
      <c r="O260" s="490" t="n">
        <v>12678.6</v>
      </c>
    </row>
    <row r="261" customFormat="false" ht="12.75" hidden="true" customHeight="true" outlineLevel="1" collapsed="false">
      <c r="B261" s="487" t="s">
        <v>417</v>
      </c>
      <c r="C261" s="487"/>
      <c r="D261" s="487"/>
      <c r="E261" s="487"/>
      <c r="F261" s="487"/>
      <c r="G261" s="487"/>
      <c r="H261" s="487"/>
      <c r="I261" s="487"/>
      <c r="J261" s="487"/>
      <c r="K261" s="492"/>
      <c r="L261" s="492"/>
      <c r="M261" s="492"/>
      <c r="N261" s="490" t="n">
        <v>13560</v>
      </c>
      <c r="O261" s="490" t="n">
        <v>12678.6</v>
      </c>
    </row>
    <row r="262" customFormat="false" ht="36.75" hidden="false" customHeight="true" outlineLevel="0" collapsed="false">
      <c r="B262" s="487" t="s">
        <v>2821</v>
      </c>
      <c r="C262" s="488" t="n">
        <v>556</v>
      </c>
      <c r="D262" s="489" t="n">
        <v>54938</v>
      </c>
      <c r="E262" s="487" t="s">
        <v>908</v>
      </c>
      <c r="F262" s="487" t="s">
        <v>361</v>
      </c>
      <c r="G262" s="487" t="s">
        <v>362</v>
      </c>
      <c r="H262" s="489" t="n">
        <v>16</v>
      </c>
      <c r="I262" s="487" t="s">
        <v>904</v>
      </c>
      <c r="J262" s="487" t="s">
        <v>1435</v>
      </c>
      <c r="K262" s="490" t="n">
        <v>28110</v>
      </c>
      <c r="L262" s="490" t="n">
        <v>14730</v>
      </c>
      <c r="M262" s="491" t="n">
        <v>8.5</v>
      </c>
      <c r="N262" s="490" t="n">
        <v>13380</v>
      </c>
      <c r="O262" s="490" t="n">
        <v>12242.7</v>
      </c>
    </row>
    <row r="263" customFormat="false" ht="12.75" hidden="true" customHeight="true" outlineLevel="1" collapsed="false">
      <c r="B263" s="487" t="s">
        <v>417</v>
      </c>
      <c r="C263" s="487"/>
      <c r="D263" s="487"/>
      <c r="E263" s="487"/>
      <c r="F263" s="487"/>
      <c r="G263" s="487"/>
      <c r="H263" s="487"/>
      <c r="I263" s="487"/>
      <c r="J263" s="487"/>
      <c r="K263" s="492"/>
      <c r="L263" s="492"/>
      <c r="M263" s="492"/>
      <c r="N263" s="490" t="n">
        <v>13380</v>
      </c>
      <c r="O263" s="490" t="n">
        <v>12242.7</v>
      </c>
    </row>
    <row r="264" customFormat="false" ht="36.75" hidden="false" customHeight="true" outlineLevel="0" collapsed="false">
      <c r="B264" s="487" t="s">
        <v>2820</v>
      </c>
      <c r="C264" s="488" t="n">
        <v>554</v>
      </c>
      <c r="D264" s="489" t="n">
        <v>54937</v>
      </c>
      <c r="E264" s="487" t="s">
        <v>908</v>
      </c>
      <c r="F264" s="487" t="s">
        <v>384</v>
      </c>
      <c r="G264" s="487" t="s">
        <v>385</v>
      </c>
      <c r="H264" s="489" t="n">
        <v>16</v>
      </c>
      <c r="I264" s="487" t="s">
        <v>904</v>
      </c>
      <c r="J264" s="487" t="s">
        <v>1435</v>
      </c>
      <c r="K264" s="490" t="n">
        <v>27920</v>
      </c>
      <c r="L264" s="490" t="n">
        <v>14400</v>
      </c>
      <c r="M264" s="491" t="n">
        <v>9.5</v>
      </c>
      <c r="N264" s="490" t="n">
        <v>13520</v>
      </c>
      <c r="O264" s="490" t="n">
        <v>12235.6</v>
      </c>
    </row>
    <row r="265" customFormat="false" ht="12.75" hidden="true" customHeight="true" outlineLevel="1" collapsed="false">
      <c r="B265" s="487" t="s">
        <v>417</v>
      </c>
      <c r="C265" s="487"/>
      <c r="D265" s="487"/>
      <c r="E265" s="487"/>
      <c r="F265" s="487"/>
      <c r="G265" s="487"/>
      <c r="H265" s="487"/>
      <c r="I265" s="487"/>
      <c r="J265" s="487"/>
      <c r="K265" s="492"/>
      <c r="L265" s="492"/>
      <c r="M265" s="492"/>
      <c r="N265" s="490" t="n">
        <v>13520</v>
      </c>
      <c r="O265" s="490" t="n">
        <v>12235.6</v>
      </c>
    </row>
    <row r="266" customFormat="false" ht="36.75" hidden="false" customHeight="true" outlineLevel="0" collapsed="false">
      <c r="B266" s="487" t="s">
        <v>2822</v>
      </c>
      <c r="C266" s="488" t="n">
        <v>557</v>
      </c>
      <c r="D266" s="489" t="n">
        <v>54938</v>
      </c>
      <c r="E266" s="487" t="s">
        <v>908</v>
      </c>
      <c r="F266" s="487" t="s">
        <v>433</v>
      </c>
      <c r="G266" s="487" t="s">
        <v>437</v>
      </c>
      <c r="H266" s="489" t="n">
        <v>16</v>
      </c>
      <c r="I266" s="487" t="s">
        <v>904</v>
      </c>
      <c r="J266" s="487" t="s">
        <v>1435</v>
      </c>
      <c r="K266" s="490" t="n">
        <v>28060</v>
      </c>
      <c r="L266" s="490" t="n">
        <v>14890</v>
      </c>
      <c r="M266" s="491" t="n">
        <v>6.5</v>
      </c>
      <c r="N266" s="490" t="n">
        <v>13170</v>
      </c>
      <c r="O266" s="490" t="n">
        <v>12313.9</v>
      </c>
    </row>
    <row r="267" customFormat="false" ht="12.75" hidden="true" customHeight="true" outlineLevel="1" collapsed="false">
      <c r="B267" s="487" t="s">
        <v>746</v>
      </c>
      <c r="C267" s="487"/>
      <c r="D267" s="487"/>
      <c r="E267" s="487"/>
      <c r="F267" s="487"/>
      <c r="G267" s="487"/>
      <c r="H267" s="487"/>
      <c r="I267" s="487"/>
      <c r="J267" s="487"/>
      <c r="K267" s="492"/>
      <c r="L267" s="492"/>
      <c r="M267" s="492"/>
      <c r="N267" s="490" t="n">
        <v>13170</v>
      </c>
      <c r="O267" s="490" t="n">
        <v>12313.9</v>
      </c>
    </row>
    <row r="268" customFormat="false" ht="36.75" hidden="false" customHeight="true" outlineLevel="0" collapsed="false">
      <c r="B268" s="487" t="s">
        <v>2824</v>
      </c>
      <c r="C268" s="488" t="n">
        <v>558</v>
      </c>
      <c r="D268" s="489" t="n">
        <v>54939</v>
      </c>
      <c r="E268" s="487" t="s">
        <v>908</v>
      </c>
      <c r="F268" s="487" t="s">
        <v>439</v>
      </c>
      <c r="G268" s="487" t="s">
        <v>443</v>
      </c>
      <c r="H268" s="489" t="n">
        <v>16</v>
      </c>
      <c r="I268" s="487" t="s">
        <v>904</v>
      </c>
      <c r="J268" s="487" t="s">
        <v>1435</v>
      </c>
      <c r="K268" s="490" t="n">
        <v>37150</v>
      </c>
      <c r="L268" s="490" t="n">
        <v>24140</v>
      </c>
      <c r="M268" s="491" t="n">
        <v>6.5</v>
      </c>
      <c r="N268" s="490" t="n">
        <v>13010</v>
      </c>
      <c r="O268" s="490" t="n">
        <v>12164.3</v>
      </c>
    </row>
    <row r="269" customFormat="false" ht="12.75" hidden="true" customHeight="true" outlineLevel="1" collapsed="false">
      <c r="B269" s="487" t="s">
        <v>746</v>
      </c>
      <c r="C269" s="487"/>
      <c r="D269" s="487"/>
      <c r="E269" s="487"/>
      <c r="F269" s="487"/>
      <c r="G269" s="487"/>
      <c r="H269" s="487"/>
      <c r="I269" s="487"/>
      <c r="J269" s="487"/>
      <c r="K269" s="492"/>
      <c r="L269" s="492"/>
      <c r="M269" s="492"/>
      <c r="N269" s="490" t="n">
        <v>13010</v>
      </c>
      <c r="O269" s="490" t="n">
        <v>12164.3</v>
      </c>
    </row>
    <row r="270" customFormat="false" ht="36.75" hidden="false" customHeight="true" outlineLevel="0" collapsed="false">
      <c r="B270" s="487" t="s">
        <v>2823</v>
      </c>
      <c r="C270" s="488" t="n">
        <v>559</v>
      </c>
      <c r="D270" s="489" t="n">
        <v>54939</v>
      </c>
      <c r="E270" s="487" t="s">
        <v>908</v>
      </c>
      <c r="F270" s="487" t="s">
        <v>371</v>
      </c>
      <c r="G270" s="487" t="s">
        <v>372</v>
      </c>
      <c r="H270" s="489" t="n">
        <v>16</v>
      </c>
      <c r="I270" s="487" t="s">
        <v>904</v>
      </c>
      <c r="J270" s="487" t="s">
        <v>1435</v>
      </c>
      <c r="K270" s="490" t="n">
        <v>28140</v>
      </c>
      <c r="L270" s="490" t="n">
        <v>15020</v>
      </c>
      <c r="M270" s="491" t="n">
        <v>5.5</v>
      </c>
      <c r="N270" s="490" t="n">
        <v>13120</v>
      </c>
      <c r="O270" s="490" t="n">
        <v>12398.4</v>
      </c>
    </row>
    <row r="271" customFormat="false" ht="12.75" hidden="true" customHeight="true" outlineLevel="1" collapsed="false">
      <c r="B271" s="487" t="s">
        <v>746</v>
      </c>
      <c r="C271" s="487"/>
      <c r="D271" s="487"/>
      <c r="E271" s="487"/>
      <c r="F271" s="487"/>
      <c r="G271" s="487"/>
      <c r="H271" s="487"/>
      <c r="I271" s="487"/>
      <c r="J271" s="487"/>
      <c r="K271" s="492"/>
      <c r="L271" s="492"/>
      <c r="M271" s="492"/>
      <c r="N271" s="490" t="n">
        <v>13120</v>
      </c>
      <c r="O271" s="490" t="n">
        <v>12398.4</v>
      </c>
    </row>
    <row r="272" customFormat="false" ht="36.75" hidden="false" customHeight="true" outlineLevel="0" collapsed="false">
      <c r="B272" s="487" t="s">
        <v>2825</v>
      </c>
      <c r="C272" s="488" t="n">
        <v>561</v>
      </c>
      <c r="D272" s="489" t="n">
        <v>54940</v>
      </c>
      <c r="E272" s="487" t="s">
        <v>908</v>
      </c>
      <c r="F272" s="487" t="s">
        <v>365</v>
      </c>
      <c r="G272" s="487" t="s">
        <v>373</v>
      </c>
      <c r="H272" s="489" t="n">
        <v>16</v>
      </c>
      <c r="I272" s="487" t="s">
        <v>904</v>
      </c>
      <c r="J272" s="487" t="s">
        <v>1435</v>
      </c>
      <c r="K272" s="490" t="n">
        <v>31800</v>
      </c>
      <c r="L272" s="490" t="n">
        <v>18680</v>
      </c>
      <c r="M272" s="491" t="n">
        <v>6.5</v>
      </c>
      <c r="N272" s="490" t="n">
        <v>13120</v>
      </c>
      <c r="O272" s="490" t="n">
        <v>12267.2</v>
      </c>
    </row>
    <row r="273" customFormat="false" ht="12.75" hidden="true" customHeight="true" outlineLevel="1" collapsed="false">
      <c r="B273" s="487" t="s">
        <v>746</v>
      </c>
      <c r="C273" s="487"/>
      <c r="D273" s="487"/>
      <c r="E273" s="487"/>
      <c r="F273" s="487"/>
      <c r="G273" s="487"/>
      <c r="H273" s="487"/>
      <c r="I273" s="487"/>
      <c r="J273" s="487"/>
      <c r="K273" s="492"/>
      <c r="L273" s="492"/>
      <c r="M273" s="492"/>
      <c r="N273" s="490" t="n">
        <v>13120</v>
      </c>
      <c r="O273" s="490" t="n">
        <v>12267.2</v>
      </c>
    </row>
    <row r="274" customFormat="false" ht="36.75" hidden="false" customHeight="true" outlineLevel="0" collapsed="false">
      <c r="B274" s="487" t="s">
        <v>2826</v>
      </c>
      <c r="C274" s="488" t="n">
        <v>560</v>
      </c>
      <c r="D274" s="489" t="n">
        <v>54940</v>
      </c>
      <c r="E274" s="487" t="s">
        <v>908</v>
      </c>
      <c r="F274" s="487" t="s">
        <v>363</v>
      </c>
      <c r="G274" s="487" t="s">
        <v>364</v>
      </c>
      <c r="H274" s="489" t="n">
        <v>16</v>
      </c>
      <c r="I274" s="487" t="s">
        <v>904</v>
      </c>
      <c r="J274" s="487" t="s">
        <v>1435</v>
      </c>
      <c r="K274" s="490" t="n">
        <v>27710</v>
      </c>
      <c r="L274" s="490" t="n">
        <v>14530</v>
      </c>
      <c r="M274" s="491" t="n">
        <v>5.5</v>
      </c>
      <c r="N274" s="490" t="n">
        <v>13180</v>
      </c>
      <c r="O274" s="490" t="n">
        <v>12455.1</v>
      </c>
    </row>
    <row r="275" customFormat="false" ht="12.75" hidden="true" customHeight="true" outlineLevel="1" collapsed="false">
      <c r="B275" s="487" t="s">
        <v>746</v>
      </c>
      <c r="C275" s="487"/>
      <c r="D275" s="487"/>
      <c r="E275" s="487"/>
      <c r="F275" s="487"/>
      <c r="G275" s="487"/>
      <c r="H275" s="487"/>
      <c r="I275" s="487"/>
      <c r="J275" s="487"/>
      <c r="K275" s="492"/>
      <c r="L275" s="492"/>
      <c r="M275" s="492"/>
      <c r="N275" s="490" t="n">
        <v>13180</v>
      </c>
      <c r="O275" s="490" t="n">
        <v>12455.1</v>
      </c>
    </row>
    <row r="276" customFormat="false" ht="36.75" hidden="false" customHeight="true" outlineLevel="0" collapsed="false">
      <c r="B276" s="487" t="s">
        <v>2827</v>
      </c>
      <c r="C276" s="488" t="n">
        <v>562</v>
      </c>
      <c r="D276" s="489" t="n">
        <v>54941</v>
      </c>
      <c r="E276" s="487" t="s">
        <v>908</v>
      </c>
      <c r="F276" s="487" t="s">
        <v>359</v>
      </c>
      <c r="G276" s="487" t="s">
        <v>426</v>
      </c>
      <c r="H276" s="489" t="n">
        <v>16</v>
      </c>
      <c r="I276" s="487" t="s">
        <v>904</v>
      </c>
      <c r="J276" s="487" t="s">
        <v>1435</v>
      </c>
      <c r="K276" s="490" t="n">
        <v>27470</v>
      </c>
      <c r="L276" s="490" t="n">
        <v>13870</v>
      </c>
      <c r="M276" s="491" t="n">
        <v>5.5</v>
      </c>
      <c r="N276" s="490" t="n">
        <v>13600</v>
      </c>
      <c r="O276" s="490" t="n">
        <v>12852</v>
      </c>
    </row>
    <row r="277" customFormat="false" ht="12.75" hidden="true" customHeight="true" outlineLevel="1" collapsed="false">
      <c r="B277" s="487" t="s">
        <v>746</v>
      </c>
      <c r="C277" s="487"/>
      <c r="D277" s="487"/>
      <c r="E277" s="487"/>
      <c r="F277" s="487"/>
      <c r="G277" s="487"/>
      <c r="H277" s="487"/>
      <c r="I277" s="487"/>
      <c r="J277" s="487"/>
      <c r="K277" s="492"/>
      <c r="L277" s="492"/>
      <c r="M277" s="492"/>
      <c r="N277" s="490" t="n">
        <v>13600</v>
      </c>
      <c r="O277" s="490" t="n">
        <v>12852</v>
      </c>
    </row>
    <row r="278" customFormat="false" ht="36.75" hidden="false" customHeight="true" outlineLevel="0" collapsed="false">
      <c r="B278" s="487" t="s">
        <v>2828</v>
      </c>
      <c r="C278" s="488" t="n">
        <v>564</v>
      </c>
      <c r="D278" s="489" t="n">
        <v>54942</v>
      </c>
      <c r="E278" s="487" t="s">
        <v>908</v>
      </c>
      <c r="F278" s="487" t="s">
        <v>427</v>
      </c>
      <c r="G278" s="487" t="s">
        <v>431</v>
      </c>
      <c r="H278" s="489" t="n">
        <v>14</v>
      </c>
      <c r="I278" s="487" t="s">
        <v>904</v>
      </c>
      <c r="J278" s="487" t="s">
        <v>1435</v>
      </c>
      <c r="K278" s="490" t="n">
        <v>34090</v>
      </c>
      <c r="L278" s="490" t="n">
        <v>21010</v>
      </c>
      <c r="M278" s="491" t="n">
        <v>5.5</v>
      </c>
      <c r="N278" s="490" t="n">
        <v>13080</v>
      </c>
      <c r="O278" s="490" t="n">
        <v>12360.6</v>
      </c>
    </row>
    <row r="279" customFormat="false" ht="12.75" hidden="true" customHeight="true" outlineLevel="1" collapsed="false">
      <c r="B279" s="487" t="s">
        <v>746</v>
      </c>
      <c r="C279" s="487"/>
      <c r="D279" s="487"/>
      <c r="E279" s="487"/>
      <c r="F279" s="487"/>
      <c r="G279" s="487"/>
      <c r="H279" s="487"/>
      <c r="I279" s="487"/>
      <c r="J279" s="487"/>
      <c r="K279" s="492"/>
      <c r="L279" s="492"/>
      <c r="M279" s="492"/>
      <c r="N279" s="490" t="n">
        <v>13080</v>
      </c>
      <c r="O279" s="490" t="n">
        <v>12360.6</v>
      </c>
    </row>
    <row r="280" customFormat="false" ht="48.75" hidden="false" customHeight="true" outlineLevel="0" collapsed="false">
      <c r="B280" s="487" t="s">
        <v>2829</v>
      </c>
      <c r="C280" s="488" t="n">
        <v>563</v>
      </c>
      <c r="D280" s="489" t="n">
        <v>54941</v>
      </c>
      <c r="E280" s="487" t="s">
        <v>908</v>
      </c>
      <c r="F280" s="487" t="s">
        <v>519</v>
      </c>
      <c r="G280" s="487" t="s">
        <v>523</v>
      </c>
      <c r="H280" s="489" t="n">
        <v>14</v>
      </c>
      <c r="I280" s="487" t="s">
        <v>904</v>
      </c>
      <c r="J280" s="487" t="s">
        <v>1435</v>
      </c>
      <c r="K280" s="490" t="n">
        <v>28800</v>
      </c>
      <c r="L280" s="490" t="n">
        <v>15600</v>
      </c>
      <c r="M280" s="491" t="n">
        <v>5.5</v>
      </c>
      <c r="N280" s="490" t="n">
        <v>13200</v>
      </c>
      <c r="O280" s="490" t="n">
        <v>12474</v>
      </c>
    </row>
    <row r="281" customFormat="false" ht="12.75" hidden="true" customHeight="true" outlineLevel="1" collapsed="false">
      <c r="B281" s="487" t="s">
        <v>886</v>
      </c>
      <c r="C281" s="487"/>
      <c r="D281" s="487"/>
      <c r="E281" s="487"/>
      <c r="F281" s="487"/>
      <c r="G281" s="487"/>
      <c r="H281" s="487"/>
      <c r="I281" s="487"/>
      <c r="J281" s="487"/>
      <c r="K281" s="492"/>
      <c r="L281" s="492"/>
      <c r="M281" s="492"/>
      <c r="N281" s="490" t="n">
        <v>13200</v>
      </c>
      <c r="O281" s="490" t="n">
        <v>12474</v>
      </c>
    </row>
    <row r="282" customFormat="false" ht="36.75" hidden="false" customHeight="true" outlineLevel="0" collapsed="false">
      <c r="B282" s="487" t="s">
        <v>2830</v>
      </c>
      <c r="C282" s="488" t="n">
        <v>566</v>
      </c>
      <c r="D282" s="489" t="n">
        <v>54943</v>
      </c>
      <c r="E282" s="487" t="s">
        <v>908</v>
      </c>
      <c r="F282" s="487" t="s">
        <v>371</v>
      </c>
      <c r="G282" s="487" t="s">
        <v>372</v>
      </c>
      <c r="H282" s="489" t="n">
        <v>14</v>
      </c>
      <c r="I282" s="487" t="s">
        <v>904</v>
      </c>
      <c r="J282" s="487" t="s">
        <v>1435</v>
      </c>
      <c r="K282" s="490" t="n">
        <v>28200</v>
      </c>
      <c r="L282" s="490" t="n">
        <v>14990</v>
      </c>
      <c r="M282" s="491" t="n">
        <v>6.5</v>
      </c>
      <c r="N282" s="490" t="n">
        <v>13210</v>
      </c>
      <c r="O282" s="490" t="n">
        <v>12351.3</v>
      </c>
    </row>
    <row r="283" customFormat="false" ht="12.75" hidden="true" customHeight="true" outlineLevel="1" collapsed="false">
      <c r="B283" s="487" t="s">
        <v>746</v>
      </c>
      <c r="C283" s="487"/>
      <c r="D283" s="487"/>
      <c r="E283" s="487"/>
      <c r="F283" s="487"/>
      <c r="G283" s="487"/>
      <c r="H283" s="487"/>
      <c r="I283" s="487"/>
      <c r="J283" s="487"/>
      <c r="K283" s="492"/>
      <c r="L283" s="492"/>
      <c r="M283" s="492"/>
      <c r="N283" s="490" t="n">
        <v>13210</v>
      </c>
      <c r="O283" s="490" t="n">
        <v>12351.3</v>
      </c>
    </row>
    <row r="284" customFormat="false" ht="36.75" hidden="false" customHeight="true" outlineLevel="0" collapsed="false">
      <c r="B284" s="487" t="s">
        <v>2831</v>
      </c>
      <c r="C284" s="488" t="n">
        <v>565</v>
      </c>
      <c r="D284" s="489" t="n">
        <v>54943</v>
      </c>
      <c r="E284" s="487" t="s">
        <v>908</v>
      </c>
      <c r="F284" s="487" t="s">
        <v>361</v>
      </c>
      <c r="G284" s="487" t="s">
        <v>362</v>
      </c>
      <c r="H284" s="489" t="n">
        <v>14</v>
      </c>
      <c r="I284" s="487" t="s">
        <v>904</v>
      </c>
      <c r="J284" s="487" t="s">
        <v>1435</v>
      </c>
      <c r="K284" s="490" t="n">
        <v>27720</v>
      </c>
      <c r="L284" s="490" t="n">
        <v>14720</v>
      </c>
      <c r="M284" s="491" t="n">
        <v>6.5</v>
      </c>
      <c r="N284" s="490" t="n">
        <v>13000</v>
      </c>
      <c r="O284" s="490" t="n">
        <v>12155</v>
      </c>
    </row>
    <row r="285" customFormat="false" ht="12.75" hidden="true" customHeight="true" outlineLevel="1" collapsed="false">
      <c r="B285" s="487" t="s">
        <v>746</v>
      </c>
      <c r="C285" s="487"/>
      <c r="D285" s="487"/>
      <c r="E285" s="487"/>
      <c r="F285" s="487"/>
      <c r="G285" s="487"/>
      <c r="H285" s="487"/>
      <c r="I285" s="487"/>
      <c r="J285" s="487"/>
      <c r="K285" s="492"/>
      <c r="L285" s="492"/>
      <c r="M285" s="492"/>
      <c r="N285" s="490" t="n">
        <v>13000</v>
      </c>
      <c r="O285" s="490" t="n">
        <v>12155</v>
      </c>
    </row>
    <row r="286" customFormat="false" ht="36.75" hidden="false" customHeight="true" outlineLevel="0" collapsed="false">
      <c r="B286" s="487" t="s">
        <v>2839</v>
      </c>
      <c r="C286" s="488" t="n">
        <v>581</v>
      </c>
      <c r="D286" s="489" t="n">
        <v>54947</v>
      </c>
      <c r="E286" s="487" t="s">
        <v>908</v>
      </c>
      <c r="F286" s="487" t="s">
        <v>427</v>
      </c>
      <c r="G286" s="487" t="s">
        <v>431</v>
      </c>
      <c r="H286" s="489" t="n">
        <v>14</v>
      </c>
      <c r="I286" s="487" t="s">
        <v>904</v>
      </c>
      <c r="J286" s="487" t="s">
        <v>1435</v>
      </c>
      <c r="K286" s="490" t="n">
        <v>33730</v>
      </c>
      <c r="L286" s="490" t="n">
        <v>21060</v>
      </c>
      <c r="M286" s="491" t="n">
        <v>5.5</v>
      </c>
      <c r="N286" s="490" t="n">
        <v>12670</v>
      </c>
      <c r="O286" s="490" t="n">
        <v>11973.1</v>
      </c>
    </row>
    <row r="287" customFormat="false" ht="12.75" hidden="true" customHeight="true" outlineLevel="1" collapsed="false">
      <c r="B287" s="487" t="s">
        <v>746</v>
      </c>
      <c r="C287" s="487"/>
      <c r="D287" s="487"/>
      <c r="E287" s="487"/>
      <c r="F287" s="487"/>
      <c r="G287" s="487"/>
      <c r="H287" s="487"/>
      <c r="I287" s="487"/>
      <c r="J287" s="487"/>
      <c r="K287" s="492"/>
      <c r="L287" s="492"/>
      <c r="M287" s="492"/>
      <c r="N287" s="490" t="n">
        <v>12670</v>
      </c>
      <c r="O287" s="490" t="n">
        <v>11973.1</v>
      </c>
    </row>
    <row r="288" customFormat="false" ht="36.75" hidden="false" customHeight="true" outlineLevel="0" collapsed="false">
      <c r="B288" s="487" t="s">
        <v>2832</v>
      </c>
      <c r="C288" s="488" t="n">
        <v>573</v>
      </c>
      <c r="D288" s="489" t="n">
        <v>54944</v>
      </c>
      <c r="E288" s="487" t="s">
        <v>908</v>
      </c>
      <c r="F288" s="487" t="s">
        <v>433</v>
      </c>
      <c r="G288" s="487" t="s">
        <v>437</v>
      </c>
      <c r="H288" s="489" t="n">
        <v>14</v>
      </c>
      <c r="I288" s="487" t="s">
        <v>904</v>
      </c>
      <c r="J288" s="487" t="s">
        <v>1435</v>
      </c>
      <c r="K288" s="490" t="n">
        <v>27940</v>
      </c>
      <c r="L288" s="490" t="n">
        <v>14850</v>
      </c>
      <c r="M288" s="491" t="n">
        <v>6.5</v>
      </c>
      <c r="N288" s="490" t="n">
        <v>13090</v>
      </c>
      <c r="O288" s="490" t="n">
        <v>12239.1</v>
      </c>
    </row>
    <row r="289" customFormat="false" ht="12.75" hidden="true" customHeight="true" outlineLevel="1" collapsed="false">
      <c r="B289" s="487" t="s">
        <v>746</v>
      </c>
      <c r="C289" s="487"/>
      <c r="D289" s="487"/>
      <c r="E289" s="487"/>
      <c r="F289" s="487"/>
      <c r="G289" s="487"/>
      <c r="H289" s="487"/>
      <c r="I289" s="487"/>
      <c r="J289" s="487"/>
      <c r="K289" s="492"/>
      <c r="L289" s="492"/>
      <c r="M289" s="492"/>
      <c r="N289" s="490" t="n">
        <v>13090</v>
      </c>
      <c r="O289" s="490" t="n">
        <v>12239.1</v>
      </c>
    </row>
    <row r="290" customFormat="false" ht="36.75" hidden="false" customHeight="true" outlineLevel="0" collapsed="false">
      <c r="B290" s="487" t="s">
        <v>2833</v>
      </c>
      <c r="C290" s="488" t="n">
        <v>570</v>
      </c>
      <c r="D290" s="489" t="n">
        <v>54944</v>
      </c>
      <c r="E290" s="487" t="s">
        <v>908</v>
      </c>
      <c r="F290" s="487" t="s">
        <v>439</v>
      </c>
      <c r="G290" s="487" t="s">
        <v>443</v>
      </c>
      <c r="H290" s="489" t="n">
        <v>14</v>
      </c>
      <c r="I290" s="487" t="s">
        <v>904</v>
      </c>
      <c r="J290" s="487" t="s">
        <v>1435</v>
      </c>
      <c r="K290" s="490" t="n">
        <v>37320</v>
      </c>
      <c r="L290" s="490" t="n">
        <v>24060</v>
      </c>
      <c r="M290" s="491" t="n">
        <v>4.5</v>
      </c>
      <c r="N290" s="490" t="n">
        <v>13260</v>
      </c>
      <c r="O290" s="490" t="n">
        <v>12663.3</v>
      </c>
    </row>
    <row r="291" customFormat="false" ht="12.75" hidden="true" customHeight="true" outlineLevel="1" collapsed="false">
      <c r="B291" s="487" t="s">
        <v>886</v>
      </c>
      <c r="C291" s="487"/>
      <c r="D291" s="487"/>
      <c r="E291" s="487"/>
      <c r="F291" s="487"/>
      <c r="G291" s="487"/>
      <c r="H291" s="487"/>
      <c r="I291" s="487"/>
      <c r="J291" s="487"/>
      <c r="K291" s="492"/>
      <c r="L291" s="492"/>
      <c r="M291" s="492"/>
      <c r="N291" s="490" t="n">
        <v>13260</v>
      </c>
      <c r="O291" s="490" t="n">
        <v>12663.3</v>
      </c>
    </row>
    <row r="292" customFormat="false" ht="36.75" hidden="false" customHeight="true" outlineLevel="0" collapsed="false">
      <c r="B292" s="487" t="s">
        <v>2834</v>
      </c>
      <c r="C292" s="488" t="n">
        <v>577</v>
      </c>
      <c r="D292" s="489" t="n">
        <v>54945</v>
      </c>
      <c r="E292" s="487" t="s">
        <v>908</v>
      </c>
      <c r="F292" s="487" t="s">
        <v>365</v>
      </c>
      <c r="G292" s="487" t="s">
        <v>373</v>
      </c>
      <c r="H292" s="489" t="n">
        <v>14</v>
      </c>
      <c r="I292" s="487" t="s">
        <v>904</v>
      </c>
      <c r="J292" s="487" t="s">
        <v>1435</v>
      </c>
      <c r="K292" s="490" t="n">
        <v>31390</v>
      </c>
      <c r="L292" s="490" t="n">
        <v>18620</v>
      </c>
      <c r="M292" s="491" t="n">
        <v>5.5</v>
      </c>
      <c r="N292" s="490" t="n">
        <v>12770</v>
      </c>
      <c r="O292" s="490" t="n">
        <v>12067.6</v>
      </c>
    </row>
    <row r="293" customFormat="false" ht="12.75" hidden="true" customHeight="true" outlineLevel="1" collapsed="false">
      <c r="B293" s="487" t="s">
        <v>746</v>
      </c>
      <c r="C293" s="487"/>
      <c r="D293" s="487"/>
      <c r="E293" s="487"/>
      <c r="F293" s="487"/>
      <c r="G293" s="487"/>
      <c r="H293" s="487"/>
      <c r="I293" s="487"/>
      <c r="J293" s="487"/>
      <c r="K293" s="492"/>
      <c r="L293" s="492"/>
      <c r="M293" s="492"/>
      <c r="N293" s="490" t="n">
        <v>12770</v>
      </c>
      <c r="O293" s="490" t="n">
        <v>12067.6</v>
      </c>
    </row>
    <row r="294" customFormat="false" ht="36.75" hidden="false" customHeight="true" outlineLevel="0" collapsed="false">
      <c r="B294" s="487" t="s">
        <v>2840</v>
      </c>
      <c r="C294" s="488" t="n">
        <v>583</v>
      </c>
      <c r="D294" s="489" t="n">
        <v>54948</v>
      </c>
      <c r="E294" s="487" t="s">
        <v>908</v>
      </c>
      <c r="F294" s="487" t="s">
        <v>371</v>
      </c>
      <c r="G294" s="487" t="s">
        <v>372</v>
      </c>
      <c r="H294" s="489" t="n">
        <v>14</v>
      </c>
      <c r="I294" s="487" t="s">
        <v>904</v>
      </c>
      <c r="J294" s="487" t="s">
        <v>1435</v>
      </c>
      <c r="K294" s="490" t="n">
        <v>28000</v>
      </c>
      <c r="L294" s="490" t="n">
        <v>15180</v>
      </c>
      <c r="M294" s="491" t="n">
        <v>8.5</v>
      </c>
      <c r="N294" s="490" t="n">
        <v>12820</v>
      </c>
      <c r="O294" s="490" t="n">
        <v>11730.3</v>
      </c>
    </row>
    <row r="295" customFormat="false" ht="12.75" hidden="true" customHeight="true" outlineLevel="1" collapsed="false">
      <c r="B295" s="487" t="s">
        <v>746</v>
      </c>
      <c r="C295" s="487"/>
      <c r="D295" s="487"/>
      <c r="E295" s="487"/>
      <c r="F295" s="487"/>
      <c r="G295" s="487"/>
      <c r="H295" s="487"/>
      <c r="I295" s="487"/>
      <c r="J295" s="487"/>
      <c r="K295" s="492"/>
      <c r="L295" s="492"/>
      <c r="M295" s="492"/>
      <c r="N295" s="490" t="n">
        <v>12820</v>
      </c>
      <c r="O295" s="490" t="n">
        <v>11730.3</v>
      </c>
    </row>
    <row r="296" customFormat="false" ht="36.75" hidden="false" customHeight="true" outlineLevel="0" collapsed="false">
      <c r="B296" s="487" t="s">
        <v>2835</v>
      </c>
      <c r="C296" s="488" t="n">
        <v>574</v>
      </c>
      <c r="D296" s="489" t="n">
        <v>54944</v>
      </c>
      <c r="E296" s="487" t="s">
        <v>908</v>
      </c>
      <c r="F296" s="487" t="s">
        <v>55</v>
      </c>
      <c r="G296" s="487" t="s">
        <v>56</v>
      </c>
      <c r="H296" s="489" t="n">
        <v>14</v>
      </c>
      <c r="I296" s="487" t="s">
        <v>904</v>
      </c>
      <c r="J296" s="487" t="s">
        <v>1435</v>
      </c>
      <c r="K296" s="490" t="n">
        <v>27580</v>
      </c>
      <c r="L296" s="490" t="n">
        <v>14620</v>
      </c>
      <c r="M296" s="491" t="n">
        <v>3.5</v>
      </c>
      <c r="N296" s="490" t="n">
        <v>12960</v>
      </c>
      <c r="O296" s="490" t="n">
        <v>12506.4</v>
      </c>
    </row>
    <row r="297" customFormat="false" ht="12.75" hidden="true" customHeight="true" outlineLevel="1" collapsed="false">
      <c r="B297" s="487" t="s">
        <v>746</v>
      </c>
      <c r="C297" s="487"/>
      <c r="D297" s="487"/>
      <c r="E297" s="487"/>
      <c r="F297" s="487"/>
      <c r="G297" s="487"/>
      <c r="H297" s="487"/>
      <c r="I297" s="487"/>
      <c r="J297" s="487"/>
      <c r="K297" s="492"/>
      <c r="L297" s="492"/>
      <c r="M297" s="492"/>
      <c r="N297" s="490" t="n">
        <v>12960</v>
      </c>
      <c r="O297" s="490" t="n">
        <v>12506.4</v>
      </c>
    </row>
    <row r="298" customFormat="false" ht="36.75" hidden="false" customHeight="true" outlineLevel="0" collapsed="false">
      <c r="B298" s="487" t="s">
        <v>2836</v>
      </c>
      <c r="C298" s="488" t="n">
        <v>579</v>
      </c>
      <c r="D298" s="489" t="n">
        <v>54945</v>
      </c>
      <c r="E298" s="487" t="s">
        <v>908</v>
      </c>
      <c r="F298" s="487" t="s">
        <v>359</v>
      </c>
      <c r="G298" s="487" t="s">
        <v>426</v>
      </c>
      <c r="H298" s="489" t="n">
        <v>14</v>
      </c>
      <c r="I298" s="487" t="s">
        <v>904</v>
      </c>
      <c r="J298" s="487" t="s">
        <v>1435</v>
      </c>
      <c r="K298" s="490" t="n">
        <v>26510</v>
      </c>
      <c r="L298" s="490" t="n">
        <v>13850</v>
      </c>
      <c r="M298" s="491" t="n">
        <v>6.5</v>
      </c>
      <c r="N298" s="490" t="n">
        <v>12660</v>
      </c>
      <c r="O298" s="490" t="n">
        <v>11837.1</v>
      </c>
    </row>
    <row r="299" customFormat="false" ht="12.75" hidden="true" customHeight="true" outlineLevel="1" collapsed="false">
      <c r="B299" s="487" t="s">
        <v>746</v>
      </c>
      <c r="C299" s="487"/>
      <c r="D299" s="487"/>
      <c r="E299" s="487"/>
      <c r="F299" s="487"/>
      <c r="G299" s="487"/>
      <c r="H299" s="487"/>
      <c r="I299" s="487"/>
      <c r="J299" s="487"/>
      <c r="K299" s="492"/>
      <c r="L299" s="492"/>
      <c r="M299" s="492"/>
      <c r="N299" s="490" t="n">
        <v>12660</v>
      </c>
      <c r="O299" s="490" t="n">
        <v>11837.1</v>
      </c>
    </row>
    <row r="300" customFormat="false" ht="36.75" hidden="false" customHeight="true" outlineLevel="0" collapsed="false">
      <c r="B300" s="487" t="s">
        <v>2837</v>
      </c>
      <c r="C300" s="488" t="n">
        <v>580</v>
      </c>
      <c r="D300" s="489" t="n">
        <v>54946</v>
      </c>
      <c r="E300" s="487" t="s">
        <v>908</v>
      </c>
      <c r="F300" s="487" t="s">
        <v>363</v>
      </c>
      <c r="G300" s="487" t="s">
        <v>364</v>
      </c>
      <c r="H300" s="489" t="n">
        <v>14</v>
      </c>
      <c r="I300" s="487" t="s">
        <v>904</v>
      </c>
      <c r="J300" s="487" t="s">
        <v>1435</v>
      </c>
      <c r="K300" s="490" t="n">
        <v>27160</v>
      </c>
      <c r="L300" s="490" t="n">
        <v>14540</v>
      </c>
      <c r="M300" s="491" t="n">
        <v>7.5</v>
      </c>
      <c r="N300" s="490" t="n">
        <v>12620</v>
      </c>
      <c r="O300" s="490" t="n">
        <v>11673.5</v>
      </c>
    </row>
    <row r="301" customFormat="false" ht="12.75" hidden="true" customHeight="true" outlineLevel="1" collapsed="false">
      <c r="B301" s="487" t="s">
        <v>746</v>
      </c>
      <c r="C301" s="487"/>
      <c r="D301" s="487"/>
      <c r="E301" s="487"/>
      <c r="F301" s="487"/>
      <c r="G301" s="487"/>
      <c r="H301" s="487"/>
      <c r="I301" s="487"/>
      <c r="J301" s="487"/>
      <c r="K301" s="492"/>
      <c r="L301" s="492"/>
      <c r="M301" s="492"/>
      <c r="N301" s="490" t="n">
        <v>12620</v>
      </c>
      <c r="O301" s="490" t="n">
        <v>11673.5</v>
      </c>
    </row>
    <row r="302" customFormat="false" ht="48.75" hidden="false" customHeight="true" outlineLevel="0" collapsed="false">
      <c r="B302" s="487" t="s">
        <v>2838</v>
      </c>
      <c r="C302" s="488" t="n">
        <v>582</v>
      </c>
      <c r="D302" s="489" t="n">
        <v>54947</v>
      </c>
      <c r="E302" s="487" t="s">
        <v>908</v>
      </c>
      <c r="F302" s="487" t="s">
        <v>519</v>
      </c>
      <c r="G302" s="487" t="s">
        <v>523</v>
      </c>
      <c r="H302" s="489" t="n">
        <v>14</v>
      </c>
      <c r="I302" s="487" t="s">
        <v>904</v>
      </c>
      <c r="J302" s="487" t="s">
        <v>1435</v>
      </c>
      <c r="K302" s="490" t="n">
        <v>28420</v>
      </c>
      <c r="L302" s="490" t="n">
        <v>15670</v>
      </c>
      <c r="M302" s="491" t="n">
        <v>7.5</v>
      </c>
      <c r="N302" s="490" t="n">
        <v>12750</v>
      </c>
      <c r="O302" s="490" t="n">
        <v>11793.7</v>
      </c>
    </row>
    <row r="303" customFormat="false" ht="12.75" hidden="true" customHeight="true" outlineLevel="1" collapsed="false">
      <c r="B303" s="487" t="s">
        <v>746</v>
      </c>
      <c r="C303" s="487"/>
      <c r="D303" s="487"/>
      <c r="E303" s="487"/>
      <c r="F303" s="487"/>
      <c r="G303" s="487"/>
      <c r="H303" s="487"/>
      <c r="I303" s="487"/>
      <c r="J303" s="487"/>
      <c r="K303" s="492"/>
      <c r="L303" s="492"/>
      <c r="M303" s="492"/>
      <c r="N303" s="490" t="n">
        <v>12750</v>
      </c>
      <c r="O303" s="490" t="n">
        <v>11793.7</v>
      </c>
    </row>
    <row r="304" customFormat="false" ht="36.75" hidden="false" customHeight="true" outlineLevel="0" collapsed="false">
      <c r="B304" s="487" t="s">
        <v>2841</v>
      </c>
      <c r="C304" s="488" t="n">
        <v>584</v>
      </c>
      <c r="D304" s="489" t="n">
        <v>54948</v>
      </c>
      <c r="E304" s="487" t="s">
        <v>908</v>
      </c>
      <c r="F304" s="487" t="s">
        <v>457</v>
      </c>
      <c r="G304" s="487" t="s">
        <v>366</v>
      </c>
      <c r="H304" s="489" t="n">
        <v>14</v>
      </c>
      <c r="I304" s="487" t="s">
        <v>904</v>
      </c>
      <c r="J304" s="487" t="s">
        <v>1435</v>
      </c>
      <c r="K304" s="490" t="n">
        <v>28060</v>
      </c>
      <c r="L304" s="490" t="n">
        <v>15250</v>
      </c>
      <c r="M304" s="491" t="n">
        <v>8</v>
      </c>
      <c r="N304" s="490" t="n">
        <v>12810</v>
      </c>
      <c r="O304" s="490" t="n">
        <v>11785.2</v>
      </c>
    </row>
    <row r="305" customFormat="false" ht="12.75" hidden="true" customHeight="true" outlineLevel="1" collapsed="false">
      <c r="B305" s="487" t="s">
        <v>746</v>
      </c>
      <c r="C305" s="487"/>
      <c r="D305" s="487"/>
      <c r="E305" s="487"/>
      <c r="F305" s="487"/>
      <c r="G305" s="487"/>
      <c r="H305" s="487"/>
      <c r="I305" s="487"/>
      <c r="J305" s="487"/>
      <c r="K305" s="492"/>
      <c r="L305" s="492"/>
      <c r="M305" s="492"/>
      <c r="N305" s="490" t="n">
        <v>12810</v>
      </c>
      <c r="O305" s="490" t="n">
        <v>11785.2</v>
      </c>
    </row>
    <row r="306" customFormat="false" ht="36.75" hidden="false" customHeight="true" outlineLevel="0" collapsed="false">
      <c r="B306" s="487" t="s">
        <v>2878</v>
      </c>
      <c r="C306" s="488" t="n">
        <v>496</v>
      </c>
      <c r="D306" s="487" t="s">
        <v>1026</v>
      </c>
      <c r="E306" s="487" t="s">
        <v>908</v>
      </c>
      <c r="F306" s="487" t="s">
        <v>57</v>
      </c>
      <c r="G306" s="487" t="s">
        <v>1025</v>
      </c>
      <c r="H306" s="489" t="n">
        <v>14</v>
      </c>
      <c r="I306" s="487" t="s">
        <v>904</v>
      </c>
      <c r="J306" s="487" t="s">
        <v>1435</v>
      </c>
      <c r="K306" s="490" t="n">
        <v>32320</v>
      </c>
      <c r="L306" s="490" t="n">
        <v>15660</v>
      </c>
      <c r="M306" s="491" t="n">
        <v>17.5</v>
      </c>
      <c r="N306" s="490" t="n">
        <v>16660</v>
      </c>
      <c r="O306" s="490" t="n">
        <v>13744</v>
      </c>
    </row>
    <row r="307" customFormat="false" ht="12.75" hidden="true" customHeight="true" outlineLevel="1" collapsed="false">
      <c r="B307" s="487" t="s">
        <v>886</v>
      </c>
      <c r="C307" s="487"/>
      <c r="D307" s="487"/>
      <c r="E307" s="487"/>
      <c r="F307" s="487"/>
      <c r="G307" s="487"/>
      <c r="H307" s="487"/>
      <c r="I307" s="487"/>
      <c r="J307" s="487"/>
      <c r="K307" s="492"/>
      <c r="L307" s="492"/>
      <c r="M307" s="492"/>
      <c r="N307" s="490" t="n">
        <v>16660</v>
      </c>
      <c r="O307" s="490" t="n">
        <v>13744</v>
      </c>
    </row>
    <row r="308" customFormat="false" ht="36.75" hidden="false" customHeight="true" outlineLevel="0" collapsed="false">
      <c r="B308" s="487" t="s">
        <v>2879</v>
      </c>
      <c r="C308" s="488" t="n">
        <v>496</v>
      </c>
      <c r="D308" s="487" t="s">
        <v>1028</v>
      </c>
      <c r="E308" s="487" t="s">
        <v>908</v>
      </c>
      <c r="F308" s="487" t="s">
        <v>511</v>
      </c>
      <c r="G308" s="487" t="s">
        <v>515</v>
      </c>
      <c r="H308" s="489" t="n">
        <v>14</v>
      </c>
      <c r="I308" s="487" t="s">
        <v>904</v>
      </c>
      <c r="J308" s="487" t="s">
        <v>1435</v>
      </c>
      <c r="K308" s="490" t="n">
        <v>30280</v>
      </c>
      <c r="L308" s="490" t="n">
        <v>15000</v>
      </c>
      <c r="M308" s="491" t="n">
        <v>13.8</v>
      </c>
      <c r="N308" s="490" t="n">
        <v>15280</v>
      </c>
      <c r="O308" s="490" t="n">
        <v>13168</v>
      </c>
    </row>
    <row r="309" customFormat="false" ht="12.75" hidden="true" customHeight="true" outlineLevel="1" collapsed="false">
      <c r="B309" s="487" t="s">
        <v>886</v>
      </c>
      <c r="C309" s="487"/>
      <c r="D309" s="487"/>
      <c r="E309" s="487"/>
      <c r="F309" s="487"/>
      <c r="G309" s="487"/>
      <c r="H309" s="487"/>
      <c r="I309" s="487"/>
      <c r="J309" s="487"/>
      <c r="K309" s="492"/>
      <c r="L309" s="492"/>
      <c r="M309" s="492"/>
      <c r="N309" s="490" t="n">
        <v>15280</v>
      </c>
      <c r="O309" s="490" t="n">
        <v>13168</v>
      </c>
    </row>
    <row r="310" customFormat="false" ht="36.75" hidden="false" customHeight="true" outlineLevel="0" collapsed="false">
      <c r="B310" s="487" t="s">
        <v>2880</v>
      </c>
      <c r="C310" s="488" t="n">
        <v>496</v>
      </c>
      <c r="D310" s="487" t="s">
        <v>1030</v>
      </c>
      <c r="E310" s="487" t="s">
        <v>908</v>
      </c>
      <c r="F310" s="487" t="s">
        <v>472</v>
      </c>
      <c r="G310" s="487" t="s">
        <v>476</v>
      </c>
      <c r="H310" s="489" t="n">
        <v>14</v>
      </c>
      <c r="I310" s="487" t="s">
        <v>904</v>
      </c>
      <c r="J310" s="487" t="s">
        <v>1435</v>
      </c>
      <c r="K310" s="490" t="n">
        <v>31760</v>
      </c>
      <c r="L310" s="490" t="n">
        <v>15600</v>
      </c>
      <c r="M310" s="491" t="n">
        <v>19.9</v>
      </c>
      <c r="N310" s="490" t="n">
        <v>16160</v>
      </c>
      <c r="O310" s="490" t="n">
        <v>12949</v>
      </c>
    </row>
    <row r="311" customFormat="false" ht="12.75" hidden="true" customHeight="true" outlineLevel="1" collapsed="false">
      <c r="B311" s="487" t="s">
        <v>886</v>
      </c>
      <c r="C311" s="487"/>
      <c r="D311" s="487"/>
      <c r="E311" s="487"/>
      <c r="F311" s="487"/>
      <c r="G311" s="487"/>
      <c r="H311" s="487"/>
      <c r="I311" s="487"/>
      <c r="J311" s="487"/>
      <c r="K311" s="492"/>
      <c r="L311" s="492"/>
      <c r="M311" s="492"/>
      <c r="N311" s="490" t="n">
        <v>16160</v>
      </c>
      <c r="O311" s="490" t="n">
        <v>12949</v>
      </c>
    </row>
    <row r="312" customFormat="false" ht="36.75" hidden="false" customHeight="true" outlineLevel="0" collapsed="false">
      <c r="B312" s="487" t="s">
        <v>2842</v>
      </c>
      <c r="C312" s="488" t="n">
        <v>585</v>
      </c>
      <c r="D312" s="489" t="n">
        <v>54951</v>
      </c>
      <c r="E312" s="487" t="s">
        <v>908</v>
      </c>
      <c r="F312" s="487" t="s">
        <v>433</v>
      </c>
      <c r="G312" s="487" t="s">
        <v>437</v>
      </c>
      <c r="H312" s="489" t="n">
        <v>14</v>
      </c>
      <c r="I312" s="487" t="s">
        <v>904</v>
      </c>
      <c r="J312" s="487" t="s">
        <v>1435</v>
      </c>
      <c r="K312" s="490" t="n">
        <v>27900</v>
      </c>
      <c r="L312" s="490" t="n">
        <v>15330</v>
      </c>
      <c r="M312" s="491" t="n">
        <v>6.5</v>
      </c>
      <c r="N312" s="490" t="n">
        <v>12570</v>
      </c>
      <c r="O312" s="490" t="n">
        <v>11752.9</v>
      </c>
    </row>
    <row r="313" customFormat="false" ht="12.75" hidden="true" customHeight="true" outlineLevel="1" collapsed="false">
      <c r="B313" s="487" t="s">
        <v>746</v>
      </c>
      <c r="C313" s="487"/>
      <c r="D313" s="487"/>
      <c r="E313" s="487"/>
      <c r="F313" s="487"/>
      <c r="G313" s="487"/>
      <c r="H313" s="487"/>
      <c r="I313" s="487"/>
      <c r="J313" s="487"/>
      <c r="K313" s="492"/>
      <c r="L313" s="492"/>
      <c r="M313" s="492"/>
      <c r="N313" s="490" t="n">
        <v>12570</v>
      </c>
      <c r="O313" s="490" t="n">
        <v>11752.9</v>
      </c>
    </row>
    <row r="314" customFormat="false" ht="36.75" hidden="false" customHeight="true" outlineLevel="0" collapsed="false">
      <c r="B314" s="487" t="s">
        <v>2843</v>
      </c>
      <c r="C314" s="488" t="n">
        <v>586</v>
      </c>
      <c r="D314" s="489" t="n">
        <v>54952</v>
      </c>
      <c r="E314" s="487" t="s">
        <v>908</v>
      </c>
      <c r="F314" s="487" t="s">
        <v>439</v>
      </c>
      <c r="G314" s="487" t="s">
        <v>443</v>
      </c>
      <c r="H314" s="489" t="n">
        <v>14</v>
      </c>
      <c r="I314" s="487" t="s">
        <v>904</v>
      </c>
      <c r="J314" s="487" t="s">
        <v>1435</v>
      </c>
      <c r="K314" s="490" t="n">
        <v>37180</v>
      </c>
      <c r="L314" s="490" t="n">
        <v>24450</v>
      </c>
      <c r="M314" s="491" t="n">
        <v>11.5</v>
      </c>
      <c r="N314" s="490" t="n">
        <v>12730</v>
      </c>
      <c r="O314" s="490" t="n">
        <v>11266</v>
      </c>
    </row>
    <row r="315" customFormat="false" ht="12.75" hidden="true" customHeight="true" outlineLevel="1" collapsed="false">
      <c r="B315" s="487" t="s">
        <v>746</v>
      </c>
      <c r="C315" s="487"/>
      <c r="D315" s="487"/>
      <c r="E315" s="487"/>
      <c r="F315" s="487"/>
      <c r="G315" s="487"/>
      <c r="H315" s="487"/>
      <c r="I315" s="487"/>
      <c r="J315" s="487"/>
      <c r="K315" s="492"/>
      <c r="L315" s="492"/>
      <c r="M315" s="492"/>
      <c r="N315" s="490" t="n">
        <v>12730</v>
      </c>
      <c r="O315" s="490" t="n">
        <v>11266</v>
      </c>
    </row>
    <row r="316" customFormat="false" ht="36.75" hidden="false" customHeight="true" outlineLevel="0" collapsed="false">
      <c r="B316" s="487" t="s">
        <v>2844</v>
      </c>
      <c r="C316" s="488" t="n">
        <v>587</v>
      </c>
      <c r="D316" s="489" t="n">
        <v>54952</v>
      </c>
      <c r="E316" s="487" t="s">
        <v>908</v>
      </c>
      <c r="F316" s="487" t="s">
        <v>365</v>
      </c>
      <c r="G316" s="487" t="s">
        <v>373</v>
      </c>
      <c r="H316" s="489" t="n">
        <v>14</v>
      </c>
      <c r="I316" s="487" t="s">
        <v>904</v>
      </c>
      <c r="J316" s="487" t="s">
        <v>1435</v>
      </c>
      <c r="K316" s="490" t="n">
        <v>31680</v>
      </c>
      <c r="L316" s="490" t="n">
        <v>18960</v>
      </c>
      <c r="M316" s="491" t="n">
        <v>10</v>
      </c>
      <c r="N316" s="490" t="n">
        <v>12720</v>
      </c>
      <c r="O316" s="490" t="n">
        <v>11448</v>
      </c>
    </row>
    <row r="317" customFormat="false" ht="12.75" hidden="true" customHeight="true" outlineLevel="1" collapsed="false">
      <c r="B317" s="487" t="s">
        <v>417</v>
      </c>
      <c r="C317" s="487"/>
      <c r="D317" s="487"/>
      <c r="E317" s="487"/>
      <c r="F317" s="487"/>
      <c r="G317" s="487"/>
      <c r="H317" s="487"/>
      <c r="I317" s="487"/>
      <c r="J317" s="487"/>
      <c r="K317" s="492"/>
      <c r="L317" s="492"/>
      <c r="M317" s="492"/>
      <c r="N317" s="490" t="n">
        <v>12720</v>
      </c>
      <c r="O317" s="490" t="n">
        <v>11448</v>
      </c>
    </row>
    <row r="318" customFormat="false" ht="36.75" hidden="false" customHeight="true" outlineLevel="0" collapsed="false">
      <c r="B318" s="487" t="s">
        <v>2845</v>
      </c>
      <c r="C318" s="488" t="n">
        <v>588</v>
      </c>
      <c r="D318" s="489" t="n">
        <v>54953</v>
      </c>
      <c r="E318" s="487" t="s">
        <v>908</v>
      </c>
      <c r="F318" s="487" t="s">
        <v>386</v>
      </c>
      <c r="G318" s="487" t="s">
        <v>387</v>
      </c>
      <c r="H318" s="489" t="n">
        <v>14</v>
      </c>
      <c r="I318" s="487" t="s">
        <v>904</v>
      </c>
      <c r="J318" s="487" t="s">
        <v>1435</v>
      </c>
      <c r="K318" s="490" t="n">
        <v>28170</v>
      </c>
      <c r="L318" s="490" t="n">
        <v>15480</v>
      </c>
      <c r="M318" s="491" t="n">
        <v>8.5</v>
      </c>
      <c r="N318" s="490" t="n">
        <v>12690</v>
      </c>
      <c r="O318" s="490" t="n">
        <v>11611.3</v>
      </c>
    </row>
    <row r="319" customFormat="false" ht="12.75" hidden="true" customHeight="true" outlineLevel="1" collapsed="false">
      <c r="B319" s="487" t="s">
        <v>746</v>
      </c>
      <c r="C319" s="487"/>
      <c r="D319" s="487"/>
      <c r="E319" s="487"/>
      <c r="F319" s="487"/>
      <c r="G319" s="487"/>
      <c r="H319" s="487"/>
      <c r="I319" s="487"/>
      <c r="J319" s="487"/>
      <c r="K319" s="492"/>
      <c r="L319" s="492"/>
      <c r="M319" s="492"/>
      <c r="N319" s="490" t="n">
        <v>12690</v>
      </c>
      <c r="O319" s="490" t="n">
        <v>11611.3</v>
      </c>
    </row>
    <row r="320" customFormat="false" ht="36.75" hidden="false" customHeight="true" outlineLevel="0" collapsed="false">
      <c r="B320" s="487" t="s">
        <v>2846</v>
      </c>
      <c r="C320" s="488" t="n">
        <v>589</v>
      </c>
      <c r="D320" s="489" t="n">
        <v>54953</v>
      </c>
      <c r="E320" s="487" t="s">
        <v>908</v>
      </c>
      <c r="F320" s="487" t="s">
        <v>363</v>
      </c>
      <c r="G320" s="487" t="s">
        <v>364</v>
      </c>
      <c r="H320" s="489" t="n">
        <v>14</v>
      </c>
      <c r="I320" s="487" t="s">
        <v>904</v>
      </c>
      <c r="J320" s="487" t="s">
        <v>1435</v>
      </c>
      <c r="K320" s="490" t="n">
        <v>27490</v>
      </c>
      <c r="L320" s="490" t="n">
        <v>14740</v>
      </c>
      <c r="M320" s="491" t="n">
        <v>8.5</v>
      </c>
      <c r="N320" s="490" t="n">
        <v>12750</v>
      </c>
      <c r="O320" s="490" t="n">
        <v>11666.2</v>
      </c>
    </row>
    <row r="321" customFormat="false" ht="12.75" hidden="true" customHeight="true" outlineLevel="1" collapsed="false">
      <c r="B321" s="487" t="s">
        <v>746</v>
      </c>
      <c r="C321" s="487"/>
      <c r="D321" s="487"/>
      <c r="E321" s="487"/>
      <c r="F321" s="487"/>
      <c r="G321" s="487"/>
      <c r="H321" s="487"/>
      <c r="I321" s="487"/>
      <c r="J321" s="487"/>
      <c r="K321" s="492"/>
      <c r="L321" s="492"/>
      <c r="M321" s="492"/>
      <c r="N321" s="490" t="n">
        <v>12750</v>
      </c>
      <c r="O321" s="490" t="n">
        <v>11666.2</v>
      </c>
    </row>
    <row r="322" customFormat="false" ht="48.75" hidden="false" customHeight="true" outlineLevel="0" collapsed="false">
      <c r="B322" s="487" t="s">
        <v>2847</v>
      </c>
      <c r="C322" s="488" t="n">
        <v>590</v>
      </c>
      <c r="D322" s="489" t="n">
        <v>54953</v>
      </c>
      <c r="E322" s="487" t="s">
        <v>908</v>
      </c>
      <c r="F322" s="487" t="s">
        <v>519</v>
      </c>
      <c r="G322" s="487" t="s">
        <v>523</v>
      </c>
      <c r="H322" s="489" t="n">
        <v>14</v>
      </c>
      <c r="I322" s="487" t="s">
        <v>904</v>
      </c>
      <c r="J322" s="487" t="s">
        <v>1435</v>
      </c>
      <c r="K322" s="490" t="n">
        <v>28790</v>
      </c>
      <c r="L322" s="490" t="n">
        <v>15820</v>
      </c>
      <c r="M322" s="491" t="n">
        <v>10.5</v>
      </c>
      <c r="N322" s="490" t="n">
        <v>12970</v>
      </c>
      <c r="O322" s="490" t="n">
        <v>11608.1</v>
      </c>
    </row>
    <row r="323" customFormat="false" ht="12.75" hidden="true" customHeight="true" outlineLevel="1" collapsed="false">
      <c r="B323" s="487" t="s">
        <v>746</v>
      </c>
      <c r="C323" s="487"/>
      <c r="D323" s="487"/>
      <c r="E323" s="487"/>
      <c r="F323" s="487"/>
      <c r="G323" s="487"/>
      <c r="H323" s="487"/>
      <c r="I323" s="487"/>
      <c r="J323" s="487"/>
      <c r="K323" s="492"/>
      <c r="L323" s="492"/>
      <c r="M323" s="492"/>
      <c r="N323" s="490" t="n">
        <v>12970</v>
      </c>
      <c r="O323" s="490" t="n">
        <v>11608.1</v>
      </c>
    </row>
    <row r="324" customFormat="false" ht="36.75" hidden="false" customHeight="true" outlineLevel="0" collapsed="false">
      <c r="B324" s="487" t="s">
        <v>2848</v>
      </c>
      <c r="C324" s="488" t="n">
        <v>596</v>
      </c>
      <c r="D324" s="489" t="n">
        <v>54954</v>
      </c>
      <c r="E324" s="487" t="s">
        <v>908</v>
      </c>
      <c r="F324" s="487" t="s">
        <v>371</v>
      </c>
      <c r="G324" s="487" t="s">
        <v>372</v>
      </c>
      <c r="H324" s="489" t="n">
        <v>14</v>
      </c>
      <c r="I324" s="487" t="s">
        <v>904</v>
      </c>
      <c r="J324" s="487" t="s">
        <v>1435</v>
      </c>
      <c r="K324" s="490" t="n">
        <v>28030</v>
      </c>
      <c r="L324" s="490" t="n">
        <v>15200</v>
      </c>
      <c r="M324" s="491" t="n">
        <v>5.5</v>
      </c>
      <c r="N324" s="490" t="n">
        <v>12830</v>
      </c>
      <c r="O324" s="490" t="n">
        <v>12124.3</v>
      </c>
    </row>
    <row r="325" customFormat="false" ht="12.75" hidden="true" customHeight="true" outlineLevel="1" collapsed="false">
      <c r="B325" s="487" t="s">
        <v>746</v>
      </c>
      <c r="C325" s="487"/>
      <c r="D325" s="487"/>
      <c r="E325" s="487"/>
      <c r="F325" s="487"/>
      <c r="G325" s="487"/>
      <c r="H325" s="487"/>
      <c r="I325" s="487"/>
      <c r="J325" s="487"/>
      <c r="K325" s="492"/>
      <c r="L325" s="492"/>
      <c r="M325" s="492"/>
      <c r="N325" s="490" t="n">
        <v>12830</v>
      </c>
      <c r="O325" s="490" t="n">
        <v>12124.3</v>
      </c>
    </row>
    <row r="326" customFormat="false" ht="36.75" hidden="false" customHeight="true" outlineLevel="0" collapsed="false">
      <c r="B326" s="487" t="s">
        <v>2849</v>
      </c>
      <c r="C326" s="488" t="n">
        <v>599</v>
      </c>
      <c r="D326" s="489" t="n">
        <v>54955</v>
      </c>
      <c r="E326" s="487" t="s">
        <v>908</v>
      </c>
      <c r="F326" s="487" t="s">
        <v>427</v>
      </c>
      <c r="G326" s="487" t="s">
        <v>431</v>
      </c>
      <c r="H326" s="489" t="n">
        <v>14</v>
      </c>
      <c r="I326" s="487" t="s">
        <v>904</v>
      </c>
      <c r="J326" s="487" t="s">
        <v>1435</v>
      </c>
      <c r="K326" s="490" t="n">
        <v>36230</v>
      </c>
      <c r="L326" s="490" t="n">
        <v>21240</v>
      </c>
      <c r="M326" s="491" t="n">
        <v>7</v>
      </c>
      <c r="N326" s="490" t="n">
        <v>14990</v>
      </c>
      <c r="O326" s="490" t="n">
        <v>13940.7</v>
      </c>
    </row>
    <row r="327" customFormat="false" ht="12.75" hidden="true" customHeight="true" outlineLevel="1" collapsed="false">
      <c r="B327" s="487" t="s">
        <v>886</v>
      </c>
      <c r="C327" s="487"/>
      <c r="D327" s="487"/>
      <c r="E327" s="487"/>
      <c r="F327" s="487"/>
      <c r="G327" s="487"/>
      <c r="H327" s="487"/>
      <c r="I327" s="487"/>
      <c r="J327" s="487"/>
      <c r="K327" s="492"/>
      <c r="L327" s="492"/>
      <c r="M327" s="492"/>
      <c r="N327" s="490" t="n">
        <v>14990</v>
      </c>
      <c r="O327" s="490" t="n">
        <v>13940.7</v>
      </c>
    </row>
    <row r="328" customFormat="false" ht="36.75" hidden="false" customHeight="true" outlineLevel="0" collapsed="false">
      <c r="B328" s="487" t="s">
        <v>2850</v>
      </c>
      <c r="C328" s="488" t="n">
        <v>600</v>
      </c>
      <c r="D328" s="489" t="n">
        <v>54955</v>
      </c>
      <c r="E328" s="487" t="s">
        <v>908</v>
      </c>
      <c r="F328" s="487" t="s">
        <v>457</v>
      </c>
      <c r="G328" s="487" t="s">
        <v>366</v>
      </c>
      <c r="H328" s="489" t="n">
        <v>14</v>
      </c>
      <c r="I328" s="487" t="s">
        <v>904</v>
      </c>
      <c r="J328" s="487" t="s">
        <v>1435</v>
      </c>
      <c r="K328" s="490" t="n">
        <v>30090</v>
      </c>
      <c r="L328" s="490" t="n">
        <v>15100</v>
      </c>
      <c r="M328" s="491" t="n">
        <v>7.5</v>
      </c>
      <c r="N328" s="490" t="n">
        <v>14990</v>
      </c>
      <c r="O328" s="490" t="n">
        <v>13865.7</v>
      </c>
    </row>
    <row r="329" customFormat="false" ht="12.75" hidden="true" customHeight="true" outlineLevel="1" collapsed="false">
      <c r="B329" s="487" t="s">
        <v>886</v>
      </c>
      <c r="C329" s="487"/>
      <c r="D329" s="487"/>
      <c r="E329" s="487"/>
      <c r="F329" s="487"/>
      <c r="G329" s="487"/>
      <c r="H329" s="487"/>
      <c r="I329" s="487"/>
      <c r="J329" s="487"/>
      <c r="K329" s="492"/>
      <c r="L329" s="492"/>
      <c r="M329" s="492"/>
      <c r="N329" s="490" t="n">
        <v>14990</v>
      </c>
      <c r="O329" s="490" t="n">
        <v>13865.7</v>
      </c>
    </row>
    <row r="330" customFormat="false" ht="36.75" hidden="false" customHeight="true" outlineLevel="0" collapsed="false">
      <c r="B330" s="487" t="s">
        <v>2851</v>
      </c>
      <c r="C330" s="488" t="n">
        <v>601</v>
      </c>
      <c r="D330" s="489" t="n">
        <v>54956</v>
      </c>
      <c r="E330" s="487" t="s">
        <v>908</v>
      </c>
      <c r="F330" s="487" t="s">
        <v>433</v>
      </c>
      <c r="G330" s="487" t="s">
        <v>437</v>
      </c>
      <c r="H330" s="489" t="n">
        <v>14</v>
      </c>
      <c r="I330" s="487" t="s">
        <v>904</v>
      </c>
      <c r="J330" s="487" t="s">
        <v>1435</v>
      </c>
      <c r="K330" s="490" t="n">
        <v>30360</v>
      </c>
      <c r="L330" s="490" t="n">
        <v>15060</v>
      </c>
      <c r="M330" s="491" t="n">
        <v>8.5</v>
      </c>
      <c r="N330" s="490" t="n">
        <v>15300</v>
      </c>
      <c r="O330" s="490" t="n">
        <v>13999.5</v>
      </c>
    </row>
    <row r="331" customFormat="false" ht="12.75" hidden="true" customHeight="true" outlineLevel="1" collapsed="false">
      <c r="B331" s="487" t="s">
        <v>746</v>
      </c>
      <c r="C331" s="487"/>
      <c r="D331" s="487"/>
      <c r="E331" s="487"/>
      <c r="F331" s="487"/>
      <c r="G331" s="487"/>
      <c r="H331" s="487"/>
      <c r="I331" s="487"/>
      <c r="J331" s="487"/>
      <c r="K331" s="492"/>
      <c r="L331" s="492"/>
      <c r="M331" s="492"/>
      <c r="N331" s="490" t="n">
        <v>15300</v>
      </c>
      <c r="O331" s="490" t="n">
        <v>13999.5</v>
      </c>
    </row>
    <row r="332" customFormat="false" ht="36.75" hidden="false" customHeight="true" outlineLevel="0" collapsed="false">
      <c r="B332" s="487" t="s">
        <v>2852</v>
      </c>
      <c r="C332" s="488" t="n">
        <v>602</v>
      </c>
      <c r="D332" s="489" t="n">
        <v>54955</v>
      </c>
      <c r="E332" s="487" t="s">
        <v>908</v>
      </c>
      <c r="F332" s="487" t="s">
        <v>439</v>
      </c>
      <c r="G332" s="487" t="s">
        <v>443</v>
      </c>
      <c r="H332" s="489" t="n">
        <v>14</v>
      </c>
      <c r="I332" s="487" t="s">
        <v>904</v>
      </c>
      <c r="J332" s="487" t="s">
        <v>1435</v>
      </c>
      <c r="K332" s="490" t="n">
        <v>37830</v>
      </c>
      <c r="L332" s="490" t="n">
        <v>24220</v>
      </c>
      <c r="M332" s="491" t="n">
        <v>8.5</v>
      </c>
      <c r="N332" s="490" t="n">
        <v>13610</v>
      </c>
      <c r="O332" s="490" t="n">
        <v>12453.1</v>
      </c>
    </row>
    <row r="333" customFormat="false" ht="12.75" hidden="true" customHeight="true" outlineLevel="1" collapsed="false">
      <c r="B333" s="487" t="s">
        <v>886</v>
      </c>
      <c r="C333" s="487"/>
      <c r="D333" s="487"/>
      <c r="E333" s="487"/>
      <c r="F333" s="487"/>
      <c r="G333" s="487"/>
      <c r="H333" s="487"/>
      <c r="I333" s="487"/>
      <c r="J333" s="487"/>
      <c r="K333" s="492"/>
      <c r="L333" s="492"/>
      <c r="M333" s="492"/>
      <c r="N333" s="490" t="n">
        <v>13610</v>
      </c>
      <c r="O333" s="490" t="n">
        <v>12453.1</v>
      </c>
    </row>
    <row r="334" customFormat="false" ht="36.75" hidden="false" customHeight="true" outlineLevel="0" collapsed="false">
      <c r="B334" s="487" t="s">
        <v>2853</v>
      </c>
      <c r="C334" s="488" t="n">
        <v>603</v>
      </c>
      <c r="D334" s="489" t="n">
        <v>1</v>
      </c>
      <c r="E334" s="487" t="s">
        <v>994</v>
      </c>
      <c r="F334" s="487" t="s">
        <v>445</v>
      </c>
      <c r="G334" s="487" t="s">
        <v>449</v>
      </c>
      <c r="H334" s="487" t="s">
        <v>995</v>
      </c>
      <c r="I334" s="487" t="s">
        <v>900</v>
      </c>
      <c r="J334" s="487" t="s">
        <v>1435</v>
      </c>
      <c r="K334" s="490" t="n">
        <v>29100</v>
      </c>
      <c r="L334" s="490" t="n">
        <v>15790</v>
      </c>
      <c r="M334" s="491" t="n">
        <v>21.5</v>
      </c>
      <c r="N334" s="490" t="n">
        <v>13310</v>
      </c>
      <c r="O334" s="490" t="n">
        <v>10448.3</v>
      </c>
    </row>
    <row r="335" customFormat="false" ht="12.75" hidden="true" customHeight="true" outlineLevel="1" collapsed="false">
      <c r="B335" s="487" t="s">
        <v>417</v>
      </c>
      <c r="C335" s="487"/>
      <c r="D335" s="487"/>
      <c r="E335" s="487"/>
      <c r="F335" s="487"/>
      <c r="G335" s="487"/>
      <c r="H335" s="487"/>
      <c r="I335" s="487"/>
      <c r="J335" s="487"/>
      <c r="K335" s="492"/>
      <c r="L335" s="492"/>
      <c r="M335" s="492"/>
      <c r="N335" s="490" t="n">
        <v>13310</v>
      </c>
      <c r="O335" s="490" t="n">
        <v>10448.3</v>
      </c>
    </row>
    <row r="336" customFormat="false" ht="36.75" hidden="false" customHeight="true" outlineLevel="0" collapsed="false">
      <c r="B336" s="487" t="s">
        <v>2854</v>
      </c>
      <c r="C336" s="488" t="n">
        <v>604</v>
      </c>
      <c r="D336" s="489" t="n">
        <v>3</v>
      </c>
      <c r="E336" s="487" t="s">
        <v>994</v>
      </c>
      <c r="F336" s="487" t="s">
        <v>553</v>
      </c>
      <c r="G336" s="487" t="s">
        <v>557</v>
      </c>
      <c r="H336" s="487" t="s">
        <v>995</v>
      </c>
      <c r="I336" s="487" t="s">
        <v>900</v>
      </c>
      <c r="J336" s="487" t="s">
        <v>1435</v>
      </c>
      <c r="K336" s="490" t="n">
        <v>27970</v>
      </c>
      <c r="L336" s="490" t="n">
        <v>14950</v>
      </c>
      <c r="M336" s="491" t="n">
        <v>19.5</v>
      </c>
      <c r="N336" s="490" t="n">
        <v>13020</v>
      </c>
      <c r="O336" s="490" t="n">
        <v>10481.1</v>
      </c>
    </row>
    <row r="337" customFormat="false" ht="12.75" hidden="true" customHeight="true" outlineLevel="1" collapsed="false">
      <c r="B337" s="487" t="s">
        <v>417</v>
      </c>
      <c r="C337" s="487"/>
      <c r="D337" s="487"/>
      <c r="E337" s="487"/>
      <c r="F337" s="487"/>
      <c r="G337" s="487"/>
      <c r="H337" s="487"/>
      <c r="I337" s="487"/>
      <c r="J337" s="487"/>
      <c r="K337" s="492"/>
      <c r="L337" s="492"/>
      <c r="M337" s="492"/>
      <c r="N337" s="490" t="n">
        <v>13020</v>
      </c>
      <c r="O337" s="490" t="n">
        <v>10481.1</v>
      </c>
    </row>
    <row r="338" customFormat="false" ht="36.75" hidden="false" customHeight="true" outlineLevel="0" collapsed="false">
      <c r="B338" s="487" t="s">
        <v>2855</v>
      </c>
      <c r="C338" s="488" t="n">
        <v>606</v>
      </c>
      <c r="D338" s="489" t="n">
        <v>2</v>
      </c>
      <c r="E338" s="487" t="s">
        <v>994</v>
      </c>
      <c r="F338" s="487" t="s">
        <v>451</v>
      </c>
      <c r="G338" s="487" t="s">
        <v>455</v>
      </c>
      <c r="H338" s="487" t="s">
        <v>995</v>
      </c>
      <c r="I338" s="487" t="s">
        <v>900</v>
      </c>
      <c r="J338" s="487" t="s">
        <v>1435</v>
      </c>
      <c r="K338" s="490" t="n">
        <v>27740</v>
      </c>
      <c r="L338" s="490" t="n">
        <v>15140</v>
      </c>
      <c r="M338" s="491" t="n">
        <v>24</v>
      </c>
      <c r="N338" s="490" t="n">
        <v>12600</v>
      </c>
      <c r="O338" s="490" t="n">
        <v>9576</v>
      </c>
    </row>
    <row r="339" customFormat="false" ht="12.75" hidden="true" customHeight="true" outlineLevel="1" collapsed="false">
      <c r="B339" s="487" t="s">
        <v>417</v>
      </c>
      <c r="C339" s="487"/>
      <c r="D339" s="487"/>
      <c r="E339" s="487"/>
      <c r="F339" s="487"/>
      <c r="G339" s="487"/>
      <c r="H339" s="487"/>
      <c r="I339" s="487"/>
      <c r="J339" s="487"/>
      <c r="K339" s="492"/>
      <c r="L339" s="492"/>
      <c r="M339" s="492"/>
      <c r="N339" s="490" t="n">
        <v>12600</v>
      </c>
      <c r="O339" s="490" t="n">
        <v>9576</v>
      </c>
    </row>
    <row r="340" customFormat="false" ht="36.75" hidden="false" customHeight="true" outlineLevel="0" collapsed="false">
      <c r="B340" s="487" t="s">
        <v>2856</v>
      </c>
      <c r="C340" s="488" t="n">
        <v>607</v>
      </c>
      <c r="D340" s="489" t="n">
        <v>4</v>
      </c>
      <c r="E340" s="487" t="s">
        <v>994</v>
      </c>
      <c r="F340" s="487" t="s">
        <v>547</v>
      </c>
      <c r="G340" s="487" t="s">
        <v>551</v>
      </c>
      <c r="H340" s="487" t="s">
        <v>995</v>
      </c>
      <c r="I340" s="487" t="s">
        <v>900</v>
      </c>
      <c r="J340" s="487" t="s">
        <v>1435</v>
      </c>
      <c r="K340" s="490" t="n">
        <v>27470</v>
      </c>
      <c r="L340" s="490" t="n">
        <v>14820</v>
      </c>
      <c r="M340" s="491" t="n">
        <v>14.5</v>
      </c>
      <c r="N340" s="490" t="n">
        <v>12650</v>
      </c>
      <c r="O340" s="490" t="n">
        <v>10815.7</v>
      </c>
    </row>
    <row r="341" customFormat="false" ht="12.75" hidden="true" customHeight="true" outlineLevel="1" collapsed="false">
      <c r="B341" s="487" t="s">
        <v>417</v>
      </c>
      <c r="C341" s="487"/>
      <c r="D341" s="487"/>
      <c r="E341" s="487"/>
      <c r="F341" s="487"/>
      <c r="G341" s="487"/>
      <c r="H341" s="487"/>
      <c r="I341" s="487"/>
      <c r="J341" s="487"/>
      <c r="K341" s="492"/>
      <c r="L341" s="492"/>
      <c r="M341" s="492"/>
      <c r="N341" s="490" t="n">
        <v>12650</v>
      </c>
      <c r="O341" s="490" t="n">
        <v>10815.7</v>
      </c>
    </row>
    <row r="342" customFormat="false" ht="36.75" hidden="false" customHeight="true" outlineLevel="0" collapsed="false">
      <c r="B342" s="487" t="s">
        <v>2857</v>
      </c>
      <c r="C342" s="488" t="n">
        <v>608</v>
      </c>
      <c r="D342" s="489" t="n">
        <v>6</v>
      </c>
      <c r="E342" s="487" t="s">
        <v>994</v>
      </c>
      <c r="F342" s="487" t="s">
        <v>382</v>
      </c>
      <c r="G342" s="487" t="s">
        <v>383</v>
      </c>
      <c r="H342" s="487" t="s">
        <v>995</v>
      </c>
      <c r="I342" s="487" t="s">
        <v>900</v>
      </c>
      <c r="J342" s="487" t="s">
        <v>1435</v>
      </c>
      <c r="K342" s="490" t="n">
        <v>27940</v>
      </c>
      <c r="L342" s="490" t="n">
        <v>14900</v>
      </c>
      <c r="M342" s="491" t="n">
        <v>23.5</v>
      </c>
      <c r="N342" s="490" t="n">
        <v>13040</v>
      </c>
      <c r="O342" s="490" t="n">
        <v>9975.6</v>
      </c>
    </row>
    <row r="343" customFormat="false" ht="12.75" hidden="true" customHeight="true" outlineLevel="1" collapsed="false">
      <c r="B343" s="487" t="s">
        <v>417</v>
      </c>
      <c r="C343" s="487"/>
      <c r="D343" s="487"/>
      <c r="E343" s="487"/>
      <c r="F343" s="487"/>
      <c r="G343" s="487"/>
      <c r="H343" s="487"/>
      <c r="I343" s="487"/>
      <c r="J343" s="487"/>
      <c r="K343" s="492"/>
      <c r="L343" s="492"/>
      <c r="M343" s="492"/>
      <c r="N343" s="490" t="n">
        <v>13040</v>
      </c>
      <c r="O343" s="490" t="n">
        <v>9975.6</v>
      </c>
    </row>
    <row r="344" customFormat="false" ht="36.75" hidden="false" customHeight="true" outlineLevel="0" collapsed="false">
      <c r="B344" s="487" t="s">
        <v>2858</v>
      </c>
      <c r="C344" s="488" t="n">
        <v>609</v>
      </c>
      <c r="D344" s="489" t="n">
        <v>5</v>
      </c>
      <c r="E344" s="487" t="s">
        <v>994</v>
      </c>
      <c r="F344" s="487" t="s">
        <v>384</v>
      </c>
      <c r="G344" s="487" t="s">
        <v>385</v>
      </c>
      <c r="H344" s="487" t="s">
        <v>995</v>
      </c>
      <c r="I344" s="487" t="s">
        <v>900</v>
      </c>
      <c r="J344" s="487" t="s">
        <v>1435</v>
      </c>
      <c r="K344" s="490" t="n">
        <v>27840</v>
      </c>
      <c r="L344" s="490" t="n">
        <v>14400</v>
      </c>
      <c r="M344" s="491" t="n">
        <v>20.5</v>
      </c>
      <c r="N344" s="490" t="n">
        <v>13440</v>
      </c>
      <c r="O344" s="490" t="n">
        <v>10684.8</v>
      </c>
    </row>
    <row r="345" customFormat="false" ht="12.75" hidden="true" customHeight="true" outlineLevel="1" collapsed="false">
      <c r="B345" s="487" t="s">
        <v>417</v>
      </c>
      <c r="C345" s="487"/>
      <c r="D345" s="487"/>
      <c r="E345" s="487"/>
      <c r="F345" s="487"/>
      <c r="G345" s="487"/>
      <c r="H345" s="487"/>
      <c r="I345" s="487"/>
      <c r="J345" s="487"/>
      <c r="K345" s="492"/>
      <c r="L345" s="492"/>
      <c r="M345" s="492"/>
      <c r="N345" s="490" t="n">
        <v>13440</v>
      </c>
      <c r="O345" s="490" t="n">
        <v>10684.8</v>
      </c>
    </row>
    <row r="346" customFormat="false" ht="36.75" hidden="false" customHeight="true" outlineLevel="0" collapsed="false">
      <c r="B346" s="487" t="s">
        <v>2859</v>
      </c>
      <c r="C346" s="488" t="n">
        <v>610</v>
      </c>
      <c r="D346" s="489" t="n">
        <v>7</v>
      </c>
      <c r="E346" s="487" t="s">
        <v>994</v>
      </c>
      <c r="F346" s="487" t="s">
        <v>427</v>
      </c>
      <c r="G346" s="487" t="s">
        <v>431</v>
      </c>
      <c r="H346" s="487" t="s">
        <v>995</v>
      </c>
      <c r="I346" s="487" t="s">
        <v>900</v>
      </c>
      <c r="J346" s="487" t="s">
        <v>1435</v>
      </c>
      <c r="K346" s="490" t="n">
        <v>35160</v>
      </c>
      <c r="L346" s="490" t="n">
        <v>21150</v>
      </c>
      <c r="M346" s="491" t="n">
        <v>21.5</v>
      </c>
      <c r="N346" s="490" t="n">
        <v>14010</v>
      </c>
      <c r="O346" s="490" t="n">
        <v>10997.8</v>
      </c>
    </row>
    <row r="347" customFormat="false" ht="12.75" hidden="true" customHeight="true" outlineLevel="1" collapsed="false">
      <c r="B347" s="487" t="s">
        <v>417</v>
      </c>
      <c r="C347" s="487"/>
      <c r="D347" s="487"/>
      <c r="E347" s="487"/>
      <c r="F347" s="487"/>
      <c r="G347" s="487"/>
      <c r="H347" s="487"/>
      <c r="I347" s="487"/>
      <c r="J347" s="487"/>
      <c r="K347" s="492"/>
      <c r="L347" s="492"/>
      <c r="M347" s="492"/>
      <c r="N347" s="490" t="n">
        <v>14010</v>
      </c>
      <c r="O347" s="490" t="n">
        <v>10997.8</v>
      </c>
    </row>
    <row r="348" customFormat="false" ht="36.75" hidden="false" customHeight="true" outlineLevel="0" collapsed="false">
      <c r="B348" s="487" t="s">
        <v>2862</v>
      </c>
      <c r="C348" s="488" t="n">
        <v>613</v>
      </c>
      <c r="D348" s="489" t="n">
        <v>10</v>
      </c>
      <c r="E348" s="487" t="s">
        <v>994</v>
      </c>
      <c r="F348" s="487" t="s">
        <v>363</v>
      </c>
      <c r="G348" s="487" t="s">
        <v>364</v>
      </c>
      <c r="H348" s="487" t="s">
        <v>996</v>
      </c>
      <c r="I348" s="487" t="s">
        <v>997</v>
      </c>
      <c r="J348" s="487" t="s">
        <v>1435</v>
      </c>
      <c r="K348" s="490" t="n">
        <v>28400</v>
      </c>
      <c r="L348" s="490" t="n">
        <v>14600</v>
      </c>
      <c r="M348" s="491" t="n">
        <v>23</v>
      </c>
      <c r="N348" s="490" t="n">
        <v>13800</v>
      </c>
      <c r="O348" s="490" t="n">
        <v>10626</v>
      </c>
    </row>
    <row r="349" customFormat="false" ht="12.75" hidden="true" customHeight="true" outlineLevel="1" collapsed="false">
      <c r="B349" s="487" t="s">
        <v>417</v>
      </c>
      <c r="C349" s="487"/>
      <c r="D349" s="487"/>
      <c r="E349" s="487"/>
      <c r="F349" s="487"/>
      <c r="G349" s="487"/>
      <c r="H349" s="487"/>
      <c r="I349" s="487"/>
      <c r="J349" s="487"/>
      <c r="K349" s="492"/>
      <c r="L349" s="492"/>
      <c r="M349" s="492"/>
      <c r="N349" s="490" t="n">
        <v>13800</v>
      </c>
      <c r="O349" s="490" t="n">
        <v>10626</v>
      </c>
    </row>
    <row r="350" customFormat="false" ht="36.75" hidden="false" customHeight="true" outlineLevel="0" collapsed="false">
      <c r="B350" s="487" t="s">
        <v>2860</v>
      </c>
      <c r="C350" s="488" t="n">
        <v>611</v>
      </c>
      <c r="D350" s="489" t="n">
        <v>8</v>
      </c>
      <c r="E350" s="487" t="s">
        <v>994</v>
      </c>
      <c r="F350" s="487" t="s">
        <v>439</v>
      </c>
      <c r="G350" s="487" t="s">
        <v>443</v>
      </c>
      <c r="H350" s="487" t="s">
        <v>996</v>
      </c>
      <c r="I350" s="487" t="s">
        <v>997</v>
      </c>
      <c r="J350" s="487" t="s">
        <v>1435</v>
      </c>
      <c r="K350" s="490" t="n">
        <v>38170</v>
      </c>
      <c r="L350" s="490" t="n">
        <v>24060</v>
      </c>
      <c r="M350" s="491" t="n">
        <v>15</v>
      </c>
      <c r="N350" s="490" t="n">
        <v>14110</v>
      </c>
      <c r="O350" s="490" t="n">
        <v>11993.5</v>
      </c>
    </row>
    <row r="351" customFormat="false" ht="12.75" hidden="true" customHeight="true" outlineLevel="1" collapsed="false">
      <c r="B351" s="487" t="s">
        <v>417</v>
      </c>
      <c r="C351" s="487"/>
      <c r="D351" s="487"/>
      <c r="E351" s="487"/>
      <c r="F351" s="487"/>
      <c r="G351" s="487"/>
      <c r="H351" s="487"/>
      <c r="I351" s="487"/>
      <c r="J351" s="487"/>
      <c r="K351" s="492"/>
      <c r="L351" s="492"/>
      <c r="M351" s="492"/>
      <c r="N351" s="490" t="n">
        <v>14110</v>
      </c>
      <c r="O351" s="490" t="n">
        <v>11993.5</v>
      </c>
    </row>
    <row r="352" customFormat="false" ht="36.75" hidden="false" customHeight="true" outlineLevel="0" collapsed="false">
      <c r="B352" s="487" t="s">
        <v>2861</v>
      </c>
      <c r="C352" s="488" t="n">
        <v>612</v>
      </c>
      <c r="D352" s="489" t="n">
        <v>9</v>
      </c>
      <c r="E352" s="487" t="s">
        <v>994</v>
      </c>
      <c r="F352" s="487" t="s">
        <v>433</v>
      </c>
      <c r="G352" s="487" t="s">
        <v>437</v>
      </c>
      <c r="H352" s="487" t="s">
        <v>996</v>
      </c>
      <c r="I352" s="487" t="s">
        <v>997</v>
      </c>
      <c r="J352" s="487" t="s">
        <v>1435</v>
      </c>
      <c r="K352" s="490" t="n">
        <v>29040</v>
      </c>
      <c r="L352" s="490" t="n">
        <v>14950</v>
      </c>
      <c r="M352" s="491" t="n">
        <v>15</v>
      </c>
      <c r="N352" s="490" t="n">
        <v>14090</v>
      </c>
      <c r="O352" s="490" t="n">
        <v>11976.5</v>
      </c>
    </row>
    <row r="353" customFormat="false" ht="12.75" hidden="true" customHeight="true" outlineLevel="1" collapsed="false">
      <c r="B353" s="487" t="s">
        <v>417</v>
      </c>
      <c r="C353" s="487"/>
      <c r="D353" s="487"/>
      <c r="E353" s="487"/>
      <c r="F353" s="487"/>
      <c r="G353" s="487"/>
      <c r="H353" s="487"/>
      <c r="I353" s="487"/>
      <c r="J353" s="487"/>
      <c r="K353" s="492"/>
      <c r="L353" s="492"/>
      <c r="M353" s="492"/>
      <c r="N353" s="490" t="n">
        <v>14090</v>
      </c>
      <c r="O353" s="490" t="n">
        <v>11976.5</v>
      </c>
    </row>
    <row r="354" customFormat="false" ht="36.75" hidden="false" customHeight="true" outlineLevel="0" collapsed="false">
      <c r="B354" s="487" t="s">
        <v>2863</v>
      </c>
      <c r="C354" s="488" t="n">
        <v>615</v>
      </c>
      <c r="D354" s="489" t="n">
        <v>11</v>
      </c>
      <c r="E354" s="487" t="s">
        <v>994</v>
      </c>
      <c r="F354" s="487" t="s">
        <v>445</v>
      </c>
      <c r="G354" s="487" t="s">
        <v>449</v>
      </c>
      <c r="H354" s="487" t="s">
        <v>996</v>
      </c>
      <c r="I354" s="487" t="s">
        <v>997</v>
      </c>
      <c r="J354" s="487" t="s">
        <v>1435</v>
      </c>
      <c r="K354" s="490" t="n">
        <v>29840</v>
      </c>
      <c r="L354" s="490" t="n">
        <v>15720</v>
      </c>
      <c r="M354" s="491" t="n">
        <v>19</v>
      </c>
      <c r="N354" s="490" t="n">
        <v>14120</v>
      </c>
      <c r="O354" s="490" t="n">
        <v>11437.2</v>
      </c>
    </row>
    <row r="355" customFormat="false" ht="12.75" hidden="true" customHeight="true" outlineLevel="1" collapsed="false">
      <c r="B355" s="487" t="s">
        <v>417</v>
      </c>
      <c r="C355" s="487"/>
      <c r="D355" s="487"/>
      <c r="E355" s="487"/>
      <c r="F355" s="487"/>
      <c r="G355" s="487"/>
      <c r="H355" s="487"/>
      <c r="I355" s="487"/>
      <c r="J355" s="487"/>
      <c r="K355" s="492"/>
      <c r="L355" s="492"/>
      <c r="M355" s="492"/>
      <c r="N355" s="490" t="n">
        <v>14120</v>
      </c>
      <c r="O355" s="490" t="n">
        <v>11437.2</v>
      </c>
    </row>
    <row r="356" customFormat="false" ht="36.75" hidden="false" customHeight="true" outlineLevel="0" collapsed="false">
      <c r="B356" s="487" t="s">
        <v>2864</v>
      </c>
      <c r="C356" s="488" t="n">
        <v>616</v>
      </c>
      <c r="D356" s="489" t="n">
        <v>12</v>
      </c>
      <c r="E356" s="487" t="s">
        <v>994</v>
      </c>
      <c r="F356" s="487" t="s">
        <v>359</v>
      </c>
      <c r="G356" s="487" t="s">
        <v>426</v>
      </c>
      <c r="H356" s="487" t="s">
        <v>996</v>
      </c>
      <c r="I356" s="487" t="s">
        <v>997</v>
      </c>
      <c r="J356" s="487" t="s">
        <v>1435</v>
      </c>
      <c r="K356" s="490" t="n">
        <v>27720</v>
      </c>
      <c r="L356" s="490" t="n">
        <v>13850</v>
      </c>
      <c r="M356" s="491" t="n">
        <v>16</v>
      </c>
      <c r="N356" s="490" t="n">
        <v>13870</v>
      </c>
      <c r="O356" s="490" t="n">
        <v>11650.8</v>
      </c>
    </row>
    <row r="357" customFormat="false" ht="12.75" hidden="true" customHeight="true" outlineLevel="1" collapsed="false">
      <c r="B357" s="487" t="s">
        <v>417</v>
      </c>
      <c r="C357" s="487"/>
      <c r="D357" s="487"/>
      <c r="E357" s="487"/>
      <c r="F357" s="487"/>
      <c r="G357" s="487"/>
      <c r="H357" s="487"/>
      <c r="I357" s="487"/>
      <c r="J357" s="487"/>
      <c r="K357" s="492"/>
      <c r="L357" s="492"/>
      <c r="M357" s="492"/>
      <c r="N357" s="490" t="n">
        <v>13870</v>
      </c>
      <c r="O357" s="490" t="n">
        <v>11650.8</v>
      </c>
    </row>
    <row r="358" customFormat="false" ht="36.75" hidden="false" customHeight="true" outlineLevel="0" collapsed="false">
      <c r="B358" s="487" t="s">
        <v>2865</v>
      </c>
      <c r="C358" s="488" t="n">
        <v>617</v>
      </c>
      <c r="D358" s="489" t="n">
        <v>13</v>
      </c>
      <c r="E358" s="487" t="s">
        <v>994</v>
      </c>
      <c r="F358" s="487" t="s">
        <v>371</v>
      </c>
      <c r="G358" s="487" t="s">
        <v>372</v>
      </c>
      <c r="H358" s="487" t="s">
        <v>996</v>
      </c>
      <c r="I358" s="487" t="s">
        <v>997</v>
      </c>
      <c r="J358" s="487" t="s">
        <v>1435</v>
      </c>
      <c r="K358" s="490" t="n">
        <v>29210</v>
      </c>
      <c r="L358" s="490" t="n">
        <v>15070</v>
      </c>
      <c r="M358" s="491" t="n">
        <v>16.5</v>
      </c>
      <c r="N358" s="490" t="n">
        <v>14140</v>
      </c>
      <c r="O358" s="490" t="n">
        <v>11806.9</v>
      </c>
    </row>
    <row r="359" customFormat="false" ht="12.75" hidden="true" customHeight="true" outlineLevel="1" collapsed="false">
      <c r="B359" s="487" t="s">
        <v>417</v>
      </c>
      <c r="C359" s="487"/>
      <c r="D359" s="487"/>
      <c r="E359" s="487"/>
      <c r="F359" s="487"/>
      <c r="G359" s="487"/>
      <c r="H359" s="487"/>
      <c r="I359" s="487"/>
      <c r="J359" s="487"/>
      <c r="K359" s="492"/>
      <c r="L359" s="492"/>
      <c r="M359" s="492"/>
      <c r="N359" s="490" t="n">
        <v>14140</v>
      </c>
      <c r="O359" s="490" t="n">
        <v>11806.9</v>
      </c>
    </row>
    <row r="360" customFormat="false" ht="36.75" hidden="false" customHeight="true" outlineLevel="0" collapsed="false">
      <c r="B360" s="487" t="s">
        <v>2867</v>
      </c>
      <c r="C360" s="488" t="n">
        <v>619</v>
      </c>
      <c r="D360" s="489" t="n">
        <v>15</v>
      </c>
      <c r="E360" s="487" t="s">
        <v>994</v>
      </c>
      <c r="F360" s="487" t="s">
        <v>451</v>
      </c>
      <c r="G360" s="487" t="s">
        <v>455</v>
      </c>
      <c r="H360" s="487" t="s">
        <v>996</v>
      </c>
      <c r="I360" s="487" t="s">
        <v>997</v>
      </c>
      <c r="J360" s="487" t="s">
        <v>1435</v>
      </c>
      <c r="K360" s="490" t="n">
        <v>29070</v>
      </c>
      <c r="L360" s="490" t="n">
        <v>15010</v>
      </c>
      <c r="M360" s="491" t="n">
        <v>12.5</v>
      </c>
      <c r="N360" s="490" t="n">
        <v>14060</v>
      </c>
      <c r="O360" s="490" t="n">
        <v>12302.5</v>
      </c>
    </row>
    <row r="361" customFormat="false" ht="12.75" hidden="true" customHeight="true" outlineLevel="1" collapsed="false">
      <c r="B361" s="487" t="s">
        <v>417</v>
      </c>
      <c r="C361" s="487"/>
      <c r="D361" s="487"/>
      <c r="E361" s="487"/>
      <c r="F361" s="487"/>
      <c r="G361" s="487"/>
      <c r="H361" s="487"/>
      <c r="I361" s="487"/>
      <c r="J361" s="487"/>
      <c r="K361" s="492"/>
      <c r="L361" s="492"/>
      <c r="M361" s="492"/>
      <c r="N361" s="490" t="n">
        <v>14060</v>
      </c>
      <c r="O361" s="490" t="n">
        <v>12302.5</v>
      </c>
    </row>
    <row r="362" customFormat="false" ht="36.75" hidden="false" customHeight="true" outlineLevel="0" collapsed="false">
      <c r="B362" s="487" t="s">
        <v>2866</v>
      </c>
      <c r="C362" s="488" t="n">
        <v>618</v>
      </c>
      <c r="D362" s="489" t="n">
        <v>14</v>
      </c>
      <c r="E362" s="487" t="s">
        <v>994</v>
      </c>
      <c r="F362" s="487" t="s">
        <v>553</v>
      </c>
      <c r="G362" s="487" t="s">
        <v>557</v>
      </c>
      <c r="H362" s="487" t="s">
        <v>996</v>
      </c>
      <c r="I362" s="487" t="s">
        <v>997</v>
      </c>
      <c r="J362" s="487" t="s">
        <v>1435</v>
      </c>
      <c r="K362" s="490" t="n">
        <v>29280</v>
      </c>
      <c r="L362" s="490" t="n">
        <v>14830</v>
      </c>
      <c r="M362" s="491" t="n">
        <v>14.5</v>
      </c>
      <c r="N362" s="490" t="n">
        <v>14450</v>
      </c>
      <c r="O362" s="490" t="n">
        <v>12354.7</v>
      </c>
    </row>
    <row r="363" customFormat="false" ht="12.75" hidden="true" customHeight="true" outlineLevel="1" collapsed="false">
      <c r="B363" s="487" t="s">
        <v>417</v>
      </c>
      <c r="C363" s="487"/>
      <c r="D363" s="487"/>
      <c r="E363" s="487"/>
      <c r="F363" s="487"/>
      <c r="G363" s="487"/>
      <c r="H363" s="487"/>
      <c r="I363" s="487"/>
      <c r="J363" s="487"/>
      <c r="K363" s="492"/>
      <c r="L363" s="492"/>
      <c r="M363" s="492"/>
      <c r="N363" s="490" t="n">
        <v>14450</v>
      </c>
      <c r="O363" s="490" t="n">
        <v>12354.7</v>
      </c>
    </row>
    <row r="364" customFormat="false" ht="36.75" hidden="false" customHeight="true" outlineLevel="0" collapsed="false">
      <c r="B364" s="487" t="s">
        <v>2868</v>
      </c>
      <c r="C364" s="488" t="n">
        <v>620</v>
      </c>
      <c r="D364" s="489" t="n">
        <v>16</v>
      </c>
      <c r="E364" s="487" t="s">
        <v>994</v>
      </c>
      <c r="F364" s="487" t="s">
        <v>361</v>
      </c>
      <c r="G364" s="487" t="s">
        <v>362</v>
      </c>
      <c r="H364" s="487" t="s">
        <v>996</v>
      </c>
      <c r="I364" s="487" t="s">
        <v>997</v>
      </c>
      <c r="J364" s="487" t="s">
        <v>1435</v>
      </c>
      <c r="K364" s="490" t="n">
        <v>27990</v>
      </c>
      <c r="L364" s="490" t="n">
        <v>14700</v>
      </c>
      <c r="M364" s="491" t="n">
        <v>15</v>
      </c>
      <c r="N364" s="490" t="n">
        <v>13290</v>
      </c>
      <c r="O364" s="490" t="n">
        <v>11296.5</v>
      </c>
    </row>
    <row r="365" customFormat="false" ht="12.75" hidden="true" customHeight="true" outlineLevel="1" collapsed="false">
      <c r="B365" s="487" t="s">
        <v>417</v>
      </c>
      <c r="C365" s="487"/>
      <c r="D365" s="487"/>
      <c r="E365" s="487"/>
      <c r="F365" s="487"/>
      <c r="G365" s="487"/>
      <c r="H365" s="487"/>
      <c r="I365" s="487"/>
      <c r="J365" s="487"/>
      <c r="K365" s="492"/>
      <c r="L365" s="492"/>
      <c r="M365" s="492"/>
      <c r="N365" s="490" t="n">
        <v>13290</v>
      </c>
      <c r="O365" s="490" t="n">
        <v>11296.5</v>
      </c>
    </row>
    <row r="366" customFormat="false" ht="36.75" hidden="false" customHeight="true" outlineLevel="0" collapsed="false">
      <c r="B366" s="487" t="s">
        <v>2869</v>
      </c>
      <c r="C366" s="488" t="n">
        <v>621</v>
      </c>
      <c r="D366" s="489" t="n">
        <v>17</v>
      </c>
      <c r="E366" s="487" t="s">
        <v>994</v>
      </c>
      <c r="F366" s="487" t="s">
        <v>547</v>
      </c>
      <c r="G366" s="487" t="s">
        <v>551</v>
      </c>
      <c r="H366" s="487" t="s">
        <v>996</v>
      </c>
      <c r="I366" s="487" t="s">
        <v>997</v>
      </c>
      <c r="J366" s="487" t="s">
        <v>1435</v>
      </c>
      <c r="K366" s="490" t="n">
        <v>28110</v>
      </c>
      <c r="L366" s="490" t="n">
        <v>14730</v>
      </c>
      <c r="M366" s="491" t="n">
        <v>20</v>
      </c>
      <c r="N366" s="490" t="n">
        <v>13380</v>
      </c>
      <c r="O366" s="490" t="n">
        <v>10704</v>
      </c>
    </row>
    <row r="367" customFormat="false" ht="12.75" hidden="true" customHeight="true" outlineLevel="1" collapsed="false">
      <c r="B367" s="487" t="s">
        <v>417</v>
      </c>
      <c r="C367" s="487"/>
      <c r="D367" s="487"/>
      <c r="E367" s="487"/>
      <c r="F367" s="487"/>
      <c r="G367" s="487"/>
      <c r="H367" s="487"/>
      <c r="I367" s="487"/>
      <c r="J367" s="487"/>
      <c r="K367" s="492"/>
      <c r="L367" s="492"/>
      <c r="M367" s="492"/>
      <c r="N367" s="490" t="n">
        <v>13380</v>
      </c>
      <c r="O367" s="490" t="n">
        <v>10704</v>
      </c>
    </row>
    <row r="368" customFormat="false" ht="36.75" hidden="false" customHeight="true" outlineLevel="0" collapsed="false">
      <c r="B368" s="487" t="s">
        <v>2870</v>
      </c>
      <c r="C368" s="488" t="n">
        <v>622</v>
      </c>
      <c r="D368" s="489" t="n">
        <v>18</v>
      </c>
      <c r="E368" s="487" t="s">
        <v>994</v>
      </c>
      <c r="F368" s="487" t="s">
        <v>365</v>
      </c>
      <c r="G368" s="487" t="s">
        <v>373</v>
      </c>
      <c r="H368" s="487" t="s">
        <v>996</v>
      </c>
      <c r="I368" s="487" t="s">
        <v>997</v>
      </c>
      <c r="J368" s="487" t="s">
        <v>1435</v>
      </c>
      <c r="K368" s="490" t="n">
        <v>31970</v>
      </c>
      <c r="L368" s="490" t="n">
        <v>18740</v>
      </c>
      <c r="M368" s="491" t="n">
        <v>17</v>
      </c>
      <c r="N368" s="490" t="n">
        <v>13230</v>
      </c>
      <c r="O368" s="490" t="n">
        <v>10980.9</v>
      </c>
    </row>
    <row r="369" customFormat="false" ht="12.75" hidden="true" customHeight="true" outlineLevel="1" collapsed="false">
      <c r="B369" s="487" t="s">
        <v>417</v>
      </c>
      <c r="C369" s="487"/>
      <c r="D369" s="487"/>
      <c r="E369" s="487"/>
      <c r="F369" s="487"/>
      <c r="G369" s="487"/>
      <c r="H369" s="487"/>
      <c r="I369" s="487"/>
      <c r="J369" s="487"/>
      <c r="K369" s="492"/>
      <c r="L369" s="492"/>
      <c r="M369" s="492"/>
      <c r="N369" s="490" t="n">
        <v>13230</v>
      </c>
      <c r="O369" s="490" t="n">
        <v>10980.9</v>
      </c>
    </row>
    <row r="370" customFormat="false" ht="36.75" hidden="false" customHeight="true" outlineLevel="0" collapsed="false">
      <c r="B370" s="487" t="s">
        <v>2871</v>
      </c>
      <c r="C370" s="488" t="n">
        <v>623</v>
      </c>
      <c r="D370" s="489" t="n">
        <v>19</v>
      </c>
      <c r="E370" s="487" t="s">
        <v>994</v>
      </c>
      <c r="F370" s="487" t="s">
        <v>457</v>
      </c>
      <c r="G370" s="487" t="s">
        <v>366</v>
      </c>
      <c r="H370" s="487" t="s">
        <v>996</v>
      </c>
      <c r="I370" s="487" t="s">
        <v>997</v>
      </c>
      <c r="J370" s="487" t="s">
        <v>1435</v>
      </c>
      <c r="K370" s="490" t="n">
        <v>28090</v>
      </c>
      <c r="L370" s="490" t="n">
        <v>14860</v>
      </c>
      <c r="M370" s="491" t="n">
        <v>14</v>
      </c>
      <c r="N370" s="490" t="n">
        <v>13230</v>
      </c>
      <c r="O370" s="490" t="n">
        <v>11377.8</v>
      </c>
    </row>
    <row r="371" customFormat="false" ht="12.75" hidden="true" customHeight="true" outlineLevel="1" collapsed="false">
      <c r="B371" s="487" t="s">
        <v>417</v>
      </c>
      <c r="C371" s="487"/>
      <c r="D371" s="487"/>
      <c r="E371" s="487"/>
      <c r="F371" s="487"/>
      <c r="G371" s="487"/>
      <c r="H371" s="487"/>
      <c r="I371" s="487"/>
      <c r="J371" s="487"/>
      <c r="K371" s="492"/>
      <c r="L371" s="492"/>
      <c r="M371" s="492"/>
      <c r="N371" s="490" t="n">
        <v>13230</v>
      </c>
      <c r="O371" s="490" t="n">
        <v>11377.8</v>
      </c>
    </row>
    <row r="372" customFormat="false" ht="36.75" hidden="false" customHeight="true" outlineLevel="0" collapsed="false">
      <c r="B372" s="487" t="s">
        <v>2872</v>
      </c>
      <c r="C372" s="488" t="n">
        <v>624</v>
      </c>
      <c r="D372" s="489" t="n">
        <v>20</v>
      </c>
      <c r="E372" s="487" t="s">
        <v>994</v>
      </c>
      <c r="F372" s="487" t="s">
        <v>395</v>
      </c>
      <c r="G372" s="487" t="s">
        <v>566</v>
      </c>
      <c r="H372" s="487" t="s">
        <v>996</v>
      </c>
      <c r="I372" s="487" t="s">
        <v>997</v>
      </c>
      <c r="J372" s="487" t="s">
        <v>1435</v>
      </c>
      <c r="K372" s="490" t="n">
        <v>27740</v>
      </c>
      <c r="L372" s="490" t="n">
        <v>14420</v>
      </c>
      <c r="M372" s="491" t="n">
        <v>11.5</v>
      </c>
      <c r="N372" s="490" t="n">
        <v>13320</v>
      </c>
      <c r="O372" s="490" t="n">
        <v>11788.2</v>
      </c>
    </row>
    <row r="373" customFormat="false" ht="12.75" hidden="true" customHeight="true" outlineLevel="1" collapsed="false">
      <c r="B373" s="487" t="s">
        <v>417</v>
      </c>
      <c r="C373" s="487"/>
      <c r="D373" s="487"/>
      <c r="E373" s="487"/>
      <c r="F373" s="487"/>
      <c r="G373" s="487"/>
      <c r="H373" s="487"/>
      <c r="I373" s="487"/>
      <c r="J373" s="487"/>
      <c r="K373" s="492"/>
      <c r="L373" s="492"/>
      <c r="M373" s="492"/>
      <c r="N373" s="490" t="n">
        <v>13320</v>
      </c>
      <c r="O373" s="490" t="n">
        <v>11788.2</v>
      </c>
    </row>
    <row r="374" customFormat="false" ht="36.75" hidden="false" customHeight="true" outlineLevel="0" collapsed="false">
      <c r="B374" s="487" t="s">
        <v>2873</v>
      </c>
      <c r="C374" s="488" t="n">
        <v>625</v>
      </c>
      <c r="D374" s="489" t="n">
        <v>21</v>
      </c>
      <c r="E374" s="487" t="s">
        <v>994</v>
      </c>
      <c r="F374" s="487" t="s">
        <v>48</v>
      </c>
      <c r="G374" s="487" t="s">
        <v>49</v>
      </c>
      <c r="H374" s="487" t="s">
        <v>996</v>
      </c>
      <c r="I374" s="487" t="s">
        <v>997</v>
      </c>
      <c r="J374" s="487" t="s">
        <v>1435</v>
      </c>
      <c r="K374" s="490" t="n">
        <v>28190</v>
      </c>
      <c r="L374" s="490" t="n">
        <v>15100</v>
      </c>
      <c r="M374" s="491" t="n">
        <v>14.5</v>
      </c>
      <c r="N374" s="490" t="n">
        <v>13090</v>
      </c>
      <c r="O374" s="490" t="n">
        <v>11191.9</v>
      </c>
    </row>
    <row r="375" customFormat="false" ht="12.75" hidden="true" customHeight="true" outlineLevel="1" collapsed="false">
      <c r="B375" s="487" t="s">
        <v>417</v>
      </c>
      <c r="C375" s="487"/>
      <c r="D375" s="487"/>
      <c r="E375" s="487"/>
      <c r="F375" s="487"/>
      <c r="G375" s="487"/>
      <c r="H375" s="487"/>
      <c r="I375" s="487"/>
      <c r="J375" s="487"/>
      <c r="K375" s="492"/>
      <c r="L375" s="492"/>
      <c r="M375" s="492"/>
      <c r="N375" s="490" t="n">
        <v>13090</v>
      </c>
      <c r="O375" s="490" t="n">
        <v>11191.9</v>
      </c>
    </row>
    <row r="376" customFormat="false" ht="36.75" hidden="false" customHeight="true" outlineLevel="0" collapsed="false">
      <c r="B376" s="487" t="s">
        <v>2874</v>
      </c>
      <c r="C376" s="488" t="n">
        <v>626</v>
      </c>
      <c r="D376" s="489" t="n">
        <v>22</v>
      </c>
      <c r="E376" s="487" t="s">
        <v>994</v>
      </c>
      <c r="F376" s="487" t="s">
        <v>466</v>
      </c>
      <c r="G376" s="487" t="s">
        <v>470</v>
      </c>
      <c r="H376" s="487" t="s">
        <v>996</v>
      </c>
      <c r="I376" s="487" t="s">
        <v>997</v>
      </c>
      <c r="J376" s="487" t="s">
        <v>1435</v>
      </c>
      <c r="K376" s="490" t="n">
        <v>28370</v>
      </c>
      <c r="L376" s="490" t="n">
        <v>15120</v>
      </c>
      <c r="M376" s="491" t="n">
        <v>18.5</v>
      </c>
      <c r="N376" s="490" t="n">
        <v>13250</v>
      </c>
      <c r="O376" s="490" t="n">
        <v>10798.7</v>
      </c>
    </row>
    <row r="377" customFormat="false" ht="12.75" hidden="true" customHeight="true" outlineLevel="1" collapsed="false">
      <c r="B377" s="487" t="s">
        <v>417</v>
      </c>
      <c r="C377" s="487"/>
      <c r="D377" s="487"/>
      <c r="E377" s="487"/>
      <c r="F377" s="487"/>
      <c r="G377" s="487"/>
      <c r="H377" s="487"/>
      <c r="I377" s="487"/>
      <c r="J377" s="487"/>
      <c r="K377" s="492"/>
      <c r="L377" s="492"/>
      <c r="M377" s="492"/>
      <c r="N377" s="490" t="n">
        <v>13250</v>
      </c>
      <c r="O377" s="490" t="n">
        <v>10798.7</v>
      </c>
    </row>
    <row r="378" customFormat="false" ht="36.75" hidden="false" customHeight="true" outlineLevel="0" collapsed="false">
      <c r="B378" s="487" t="s">
        <v>2875</v>
      </c>
      <c r="C378" s="488" t="n">
        <v>627</v>
      </c>
      <c r="D378" s="489" t="n">
        <v>23</v>
      </c>
      <c r="E378" s="487" t="s">
        <v>994</v>
      </c>
      <c r="F378" s="487" t="s">
        <v>384</v>
      </c>
      <c r="G378" s="487" t="s">
        <v>385</v>
      </c>
      <c r="H378" s="487" t="s">
        <v>996</v>
      </c>
      <c r="I378" s="487" t="s">
        <v>997</v>
      </c>
      <c r="J378" s="487" t="s">
        <v>1435</v>
      </c>
      <c r="K378" s="490" t="n">
        <v>27640</v>
      </c>
      <c r="L378" s="490" t="n">
        <v>14440</v>
      </c>
      <c r="M378" s="491" t="n">
        <v>23.5</v>
      </c>
      <c r="N378" s="490" t="n">
        <v>13200</v>
      </c>
      <c r="O378" s="490" t="n">
        <v>10098</v>
      </c>
    </row>
    <row r="379" customFormat="false" ht="12.75" hidden="true" customHeight="true" outlineLevel="1" collapsed="false">
      <c r="B379" s="487" t="s">
        <v>417</v>
      </c>
      <c r="C379" s="487"/>
      <c r="D379" s="487"/>
      <c r="E379" s="487"/>
      <c r="F379" s="487"/>
      <c r="G379" s="487"/>
      <c r="H379" s="487"/>
      <c r="I379" s="487"/>
      <c r="J379" s="487"/>
      <c r="K379" s="492"/>
      <c r="L379" s="492"/>
      <c r="M379" s="492"/>
      <c r="N379" s="490" t="n">
        <v>13200</v>
      </c>
      <c r="O379" s="490" t="n">
        <v>10098</v>
      </c>
    </row>
    <row r="380" customFormat="false" ht="36.75" hidden="false" customHeight="true" outlineLevel="0" collapsed="false">
      <c r="B380" s="487" t="s">
        <v>2876</v>
      </c>
      <c r="C380" s="488" t="n">
        <v>629</v>
      </c>
      <c r="D380" s="489" t="n">
        <v>24</v>
      </c>
      <c r="E380" s="487" t="s">
        <v>994</v>
      </c>
      <c r="F380" s="487" t="s">
        <v>382</v>
      </c>
      <c r="G380" s="487" t="s">
        <v>383</v>
      </c>
      <c r="H380" s="487" t="s">
        <v>996</v>
      </c>
      <c r="I380" s="487" t="s">
        <v>997</v>
      </c>
      <c r="J380" s="487" t="s">
        <v>1435</v>
      </c>
      <c r="K380" s="490" t="n">
        <v>28240</v>
      </c>
      <c r="L380" s="490" t="n">
        <v>14940</v>
      </c>
      <c r="M380" s="491" t="n">
        <v>16.5</v>
      </c>
      <c r="N380" s="490" t="n">
        <v>13300</v>
      </c>
      <c r="O380" s="490" t="n">
        <v>11105.5</v>
      </c>
    </row>
    <row r="381" customFormat="false" ht="12.75" hidden="true" customHeight="true" outlineLevel="1" collapsed="false">
      <c r="B381" s="487" t="s">
        <v>417</v>
      </c>
      <c r="C381" s="487"/>
      <c r="D381" s="487"/>
      <c r="E381" s="487"/>
      <c r="F381" s="487"/>
      <c r="G381" s="487"/>
      <c r="H381" s="487"/>
      <c r="I381" s="487"/>
      <c r="J381" s="487"/>
      <c r="K381" s="492"/>
      <c r="L381" s="492"/>
      <c r="M381" s="492"/>
      <c r="N381" s="490" t="n">
        <v>13300</v>
      </c>
      <c r="O381" s="490" t="n">
        <v>11105.5</v>
      </c>
    </row>
    <row r="382" customFormat="false" ht="36.75" hidden="false" customHeight="true" outlineLevel="0" collapsed="false">
      <c r="B382" s="487" t="s">
        <v>2877</v>
      </c>
      <c r="C382" s="488" t="n">
        <v>633</v>
      </c>
      <c r="D382" s="489" t="n">
        <v>25</v>
      </c>
      <c r="E382" s="487" t="s">
        <v>994</v>
      </c>
      <c r="F382" s="487" t="s">
        <v>445</v>
      </c>
      <c r="G382" s="487" t="s">
        <v>449</v>
      </c>
      <c r="H382" s="487" t="s">
        <v>996</v>
      </c>
      <c r="I382" s="487" t="s">
        <v>997</v>
      </c>
      <c r="J382" s="487" t="s">
        <v>1435</v>
      </c>
      <c r="K382" s="490" t="n">
        <v>29240</v>
      </c>
      <c r="L382" s="490" t="n">
        <v>15610</v>
      </c>
      <c r="M382" s="491" t="n">
        <v>16.5</v>
      </c>
      <c r="N382" s="490" t="n">
        <v>13630</v>
      </c>
      <c r="O382" s="490" t="n">
        <v>11381</v>
      </c>
    </row>
    <row r="383" customFormat="false" ht="12.75" hidden="true" customHeight="true" outlineLevel="1" collapsed="false">
      <c r="B383" s="487" t="s">
        <v>417</v>
      </c>
      <c r="C383" s="487"/>
      <c r="D383" s="487"/>
      <c r="E383" s="487"/>
      <c r="F383" s="487"/>
      <c r="G383" s="487"/>
      <c r="H383" s="487"/>
      <c r="I383" s="487"/>
      <c r="J383" s="487"/>
      <c r="K383" s="492"/>
      <c r="L383" s="492"/>
      <c r="M383" s="492"/>
      <c r="N383" s="490" t="n">
        <v>13630</v>
      </c>
      <c r="O383" s="490" t="n">
        <v>11381</v>
      </c>
    </row>
    <row r="384" customFormat="false" ht="36.75" hidden="false" customHeight="true" outlineLevel="0" collapsed="false">
      <c r="B384" s="487" t="s">
        <v>2881</v>
      </c>
      <c r="C384" s="488" t="n">
        <v>637</v>
      </c>
      <c r="D384" s="489" t="n">
        <v>26</v>
      </c>
      <c r="E384" s="487" t="s">
        <v>994</v>
      </c>
      <c r="F384" s="487" t="s">
        <v>359</v>
      </c>
      <c r="G384" s="487" t="s">
        <v>426</v>
      </c>
      <c r="H384" s="487" t="s">
        <v>996</v>
      </c>
      <c r="I384" s="487" t="s">
        <v>997</v>
      </c>
      <c r="J384" s="487" t="s">
        <v>1435</v>
      </c>
      <c r="K384" s="490" t="n">
        <v>27950</v>
      </c>
      <c r="L384" s="490" t="n">
        <v>14000</v>
      </c>
      <c r="M384" s="491" t="n">
        <v>19.5</v>
      </c>
      <c r="N384" s="490" t="n">
        <v>13950</v>
      </c>
      <c r="O384" s="490" t="n">
        <v>11229.7</v>
      </c>
    </row>
    <row r="385" customFormat="false" ht="12.75" hidden="true" customHeight="true" outlineLevel="1" collapsed="false">
      <c r="B385" s="487" t="s">
        <v>417</v>
      </c>
      <c r="C385" s="487"/>
      <c r="D385" s="487"/>
      <c r="E385" s="487"/>
      <c r="F385" s="487"/>
      <c r="G385" s="487"/>
      <c r="H385" s="487"/>
      <c r="I385" s="487"/>
      <c r="J385" s="487"/>
      <c r="K385" s="492"/>
      <c r="L385" s="492"/>
      <c r="M385" s="492"/>
      <c r="N385" s="490" t="n">
        <v>13950</v>
      </c>
      <c r="O385" s="490" t="n">
        <v>11229.7</v>
      </c>
    </row>
    <row r="386" customFormat="false" ht="36.75" hidden="false" customHeight="true" outlineLevel="0" collapsed="false">
      <c r="B386" s="487" t="s">
        <v>2882</v>
      </c>
      <c r="C386" s="488" t="n">
        <v>638</v>
      </c>
      <c r="D386" s="489" t="n">
        <v>28</v>
      </c>
      <c r="E386" s="487" t="s">
        <v>994</v>
      </c>
      <c r="F386" s="487" t="s">
        <v>427</v>
      </c>
      <c r="G386" s="487" t="s">
        <v>431</v>
      </c>
      <c r="H386" s="487" t="s">
        <v>995</v>
      </c>
      <c r="I386" s="487" t="s">
        <v>997</v>
      </c>
      <c r="J386" s="487" t="s">
        <v>1435</v>
      </c>
      <c r="K386" s="490" t="n">
        <v>35190</v>
      </c>
      <c r="L386" s="490" t="n">
        <v>21180</v>
      </c>
      <c r="M386" s="491" t="n">
        <v>22.5</v>
      </c>
      <c r="N386" s="490" t="n">
        <v>14010</v>
      </c>
      <c r="O386" s="490" t="n">
        <v>10857.7</v>
      </c>
    </row>
    <row r="387" customFormat="false" ht="12.75" hidden="true" customHeight="true" outlineLevel="1" collapsed="false">
      <c r="B387" s="487" t="s">
        <v>417</v>
      </c>
      <c r="C387" s="487"/>
      <c r="D387" s="487"/>
      <c r="E387" s="487"/>
      <c r="F387" s="487"/>
      <c r="G387" s="487"/>
      <c r="H387" s="487"/>
      <c r="I387" s="487"/>
      <c r="J387" s="487"/>
      <c r="K387" s="492"/>
      <c r="L387" s="492"/>
      <c r="M387" s="492"/>
      <c r="N387" s="490" t="n">
        <v>14010</v>
      </c>
      <c r="O387" s="490" t="n">
        <v>10857.7</v>
      </c>
    </row>
    <row r="388" customFormat="false" ht="36.75" hidden="false" customHeight="true" outlineLevel="0" collapsed="false">
      <c r="B388" s="487" t="s">
        <v>2883</v>
      </c>
      <c r="C388" s="488" t="n">
        <v>639</v>
      </c>
      <c r="D388" s="489" t="n">
        <v>27</v>
      </c>
      <c r="E388" s="487" t="s">
        <v>994</v>
      </c>
      <c r="F388" s="487" t="s">
        <v>433</v>
      </c>
      <c r="G388" s="487" t="s">
        <v>437</v>
      </c>
      <c r="H388" s="487" t="s">
        <v>995</v>
      </c>
      <c r="I388" s="487" t="s">
        <v>997</v>
      </c>
      <c r="J388" s="487" t="s">
        <v>1435</v>
      </c>
      <c r="K388" s="490" t="n">
        <v>28910</v>
      </c>
      <c r="L388" s="490" t="n">
        <v>14960</v>
      </c>
      <c r="M388" s="491" t="n">
        <v>15</v>
      </c>
      <c r="N388" s="490" t="n">
        <v>13950</v>
      </c>
      <c r="O388" s="490" t="n">
        <v>11857.5</v>
      </c>
    </row>
    <row r="389" customFormat="false" ht="12.75" hidden="true" customHeight="true" outlineLevel="1" collapsed="false">
      <c r="B389" s="487" t="s">
        <v>417</v>
      </c>
      <c r="C389" s="487"/>
      <c r="D389" s="487"/>
      <c r="E389" s="487"/>
      <c r="F389" s="487"/>
      <c r="G389" s="487"/>
      <c r="H389" s="487"/>
      <c r="I389" s="487"/>
      <c r="J389" s="487"/>
      <c r="K389" s="492"/>
      <c r="L389" s="492"/>
      <c r="M389" s="492"/>
      <c r="N389" s="490" t="n">
        <v>13950</v>
      </c>
      <c r="O389" s="490" t="n">
        <v>11857.5</v>
      </c>
    </row>
    <row r="390" customFormat="false" ht="36.75" hidden="false" customHeight="true" outlineLevel="0" collapsed="false">
      <c r="B390" s="487" t="s">
        <v>2884</v>
      </c>
      <c r="C390" s="488" t="n">
        <v>640</v>
      </c>
      <c r="D390" s="489" t="n">
        <v>29</v>
      </c>
      <c r="E390" s="487" t="s">
        <v>994</v>
      </c>
      <c r="F390" s="487" t="s">
        <v>439</v>
      </c>
      <c r="G390" s="487" t="s">
        <v>443</v>
      </c>
      <c r="H390" s="487" t="s">
        <v>995</v>
      </c>
      <c r="I390" s="487" t="s">
        <v>997</v>
      </c>
      <c r="J390" s="487" t="s">
        <v>1435</v>
      </c>
      <c r="K390" s="490" t="n">
        <v>37910</v>
      </c>
      <c r="L390" s="490" t="n">
        <v>24140</v>
      </c>
      <c r="M390" s="491" t="n">
        <v>15.5</v>
      </c>
      <c r="N390" s="490" t="n">
        <v>13770</v>
      </c>
      <c r="O390" s="490" t="n">
        <v>11635.6</v>
      </c>
    </row>
    <row r="391" customFormat="false" ht="12.75" hidden="true" customHeight="true" outlineLevel="1" collapsed="false">
      <c r="B391" s="487" t="s">
        <v>417</v>
      </c>
      <c r="C391" s="487"/>
      <c r="D391" s="487"/>
      <c r="E391" s="487"/>
      <c r="F391" s="487"/>
      <c r="G391" s="487"/>
      <c r="H391" s="487"/>
      <c r="I391" s="487"/>
      <c r="J391" s="487"/>
      <c r="K391" s="492"/>
      <c r="L391" s="492"/>
      <c r="M391" s="492"/>
      <c r="N391" s="490" t="n">
        <v>13770</v>
      </c>
      <c r="O391" s="490" t="n">
        <v>11635.6</v>
      </c>
    </row>
    <row r="392" customFormat="false" ht="36.75" hidden="false" customHeight="true" outlineLevel="0" collapsed="false">
      <c r="B392" s="487" t="s">
        <v>2885</v>
      </c>
      <c r="C392" s="488" t="n">
        <v>641</v>
      </c>
      <c r="D392" s="489" t="n">
        <v>30</v>
      </c>
      <c r="E392" s="487" t="s">
        <v>994</v>
      </c>
      <c r="F392" s="487" t="s">
        <v>371</v>
      </c>
      <c r="G392" s="487" t="s">
        <v>372</v>
      </c>
      <c r="H392" s="487" t="s">
        <v>995</v>
      </c>
      <c r="I392" s="487" t="s">
        <v>997</v>
      </c>
      <c r="J392" s="487" t="s">
        <v>1435</v>
      </c>
      <c r="K392" s="490" t="n">
        <v>28840</v>
      </c>
      <c r="L392" s="490" t="n">
        <v>15080</v>
      </c>
      <c r="M392" s="491" t="n">
        <v>18.5</v>
      </c>
      <c r="N392" s="490" t="n">
        <v>13760</v>
      </c>
      <c r="O392" s="490" t="n">
        <v>11214.4</v>
      </c>
    </row>
    <row r="393" customFormat="false" ht="12.75" hidden="true" customHeight="true" outlineLevel="1" collapsed="false">
      <c r="B393" s="487" t="s">
        <v>417</v>
      </c>
      <c r="C393" s="487"/>
      <c r="D393" s="487"/>
      <c r="E393" s="487"/>
      <c r="F393" s="487"/>
      <c r="G393" s="487"/>
      <c r="H393" s="487"/>
      <c r="I393" s="487"/>
      <c r="J393" s="487"/>
      <c r="K393" s="492"/>
      <c r="L393" s="492"/>
      <c r="M393" s="492"/>
      <c r="N393" s="490" t="n">
        <v>13760</v>
      </c>
      <c r="O393" s="490" t="n">
        <v>11214.4</v>
      </c>
    </row>
    <row r="394" customFormat="false" ht="36.75" hidden="false" customHeight="true" outlineLevel="0" collapsed="false">
      <c r="B394" s="487" t="s">
        <v>2887</v>
      </c>
      <c r="C394" s="488" t="n">
        <v>643</v>
      </c>
      <c r="D394" s="489" t="n">
        <v>32</v>
      </c>
      <c r="E394" s="487" t="s">
        <v>994</v>
      </c>
      <c r="F394" s="487" t="s">
        <v>57</v>
      </c>
      <c r="G394" s="487" t="s">
        <v>58</v>
      </c>
      <c r="H394" s="487" t="s">
        <v>995</v>
      </c>
      <c r="I394" s="487" t="s">
        <v>997</v>
      </c>
      <c r="J394" s="487" t="s">
        <v>1435</v>
      </c>
      <c r="K394" s="490" t="n">
        <v>28630</v>
      </c>
      <c r="L394" s="490" t="n">
        <v>15800</v>
      </c>
      <c r="M394" s="491" t="n">
        <v>17.5</v>
      </c>
      <c r="N394" s="490" t="n">
        <v>12830</v>
      </c>
      <c r="O394" s="490" t="n">
        <v>10584.7</v>
      </c>
    </row>
    <row r="395" customFormat="false" ht="12.75" hidden="true" customHeight="true" outlineLevel="1" collapsed="false">
      <c r="B395" s="487" t="s">
        <v>417</v>
      </c>
      <c r="C395" s="487"/>
      <c r="D395" s="487"/>
      <c r="E395" s="487"/>
      <c r="F395" s="487"/>
      <c r="G395" s="487"/>
      <c r="H395" s="487"/>
      <c r="I395" s="487"/>
      <c r="J395" s="487"/>
      <c r="K395" s="492"/>
      <c r="L395" s="492"/>
      <c r="M395" s="492"/>
      <c r="N395" s="490" t="n">
        <v>12830</v>
      </c>
      <c r="O395" s="490" t="n">
        <v>10584.7</v>
      </c>
    </row>
    <row r="396" customFormat="false" ht="36.75" hidden="false" customHeight="true" outlineLevel="0" collapsed="false">
      <c r="B396" s="487" t="s">
        <v>2886</v>
      </c>
      <c r="C396" s="488" t="n">
        <v>642</v>
      </c>
      <c r="D396" s="489" t="n">
        <v>31</v>
      </c>
      <c r="E396" s="487" t="s">
        <v>994</v>
      </c>
      <c r="F396" s="487" t="s">
        <v>553</v>
      </c>
      <c r="G396" s="487" t="s">
        <v>557</v>
      </c>
      <c r="H396" s="487" t="s">
        <v>995</v>
      </c>
      <c r="I396" s="487" t="s">
        <v>997</v>
      </c>
      <c r="J396" s="487" t="s">
        <v>1435</v>
      </c>
      <c r="K396" s="490" t="n">
        <v>28290</v>
      </c>
      <c r="L396" s="490" t="n">
        <v>14910</v>
      </c>
      <c r="M396" s="491" t="n">
        <v>18.5</v>
      </c>
      <c r="N396" s="490" t="n">
        <v>13380</v>
      </c>
      <c r="O396" s="490" t="n">
        <v>10904.7</v>
      </c>
    </row>
    <row r="397" customFormat="false" ht="12.75" hidden="true" customHeight="true" outlineLevel="1" collapsed="false">
      <c r="B397" s="487" t="s">
        <v>417</v>
      </c>
      <c r="C397" s="487"/>
      <c r="D397" s="487"/>
      <c r="E397" s="487"/>
      <c r="F397" s="487"/>
      <c r="G397" s="487"/>
      <c r="H397" s="487"/>
      <c r="I397" s="487"/>
      <c r="J397" s="487"/>
      <c r="K397" s="492"/>
      <c r="L397" s="492"/>
      <c r="M397" s="492"/>
      <c r="N397" s="490" t="n">
        <v>13380</v>
      </c>
      <c r="O397" s="490" t="n">
        <v>10904.7</v>
      </c>
    </row>
    <row r="398" customFormat="false" ht="36.75" hidden="false" customHeight="true" outlineLevel="0" collapsed="false">
      <c r="B398" s="487" t="s">
        <v>2888</v>
      </c>
      <c r="C398" s="488" t="n">
        <v>647</v>
      </c>
      <c r="D398" s="489" t="n">
        <v>33</v>
      </c>
      <c r="E398" s="487" t="s">
        <v>994</v>
      </c>
      <c r="F398" s="487" t="s">
        <v>451</v>
      </c>
      <c r="G398" s="487" t="s">
        <v>455</v>
      </c>
      <c r="H398" s="487" t="s">
        <v>995</v>
      </c>
      <c r="I398" s="487" t="s">
        <v>997</v>
      </c>
      <c r="J398" s="487" t="s">
        <v>1435</v>
      </c>
      <c r="K398" s="490" t="n">
        <v>28570</v>
      </c>
      <c r="L398" s="490" t="n">
        <v>15040</v>
      </c>
      <c r="M398" s="491" t="n">
        <v>16</v>
      </c>
      <c r="N398" s="490" t="n">
        <v>13530</v>
      </c>
      <c r="O398" s="490" t="n">
        <v>11365.2</v>
      </c>
    </row>
    <row r="399" customFormat="false" ht="12.75" hidden="true" customHeight="true" outlineLevel="1" collapsed="false">
      <c r="B399" s="487" t="s">
        <v>417</v>
      </c>
      <c r="C399" s="487"/>
      <c r="D399" s="487"/>
      <c r="E399" s="487"/>
      <c r="F399" s="487"/>
      <c r="G399" s="487"/>
      <c r="H399" s="487"/>
      <c r="I399" s="487"/>
      <c r="J399" s="487"/>
      <c r="K399" s="492"/>
      <c r="L399" s="492"/>
      <c r="M399" s="492"/>
      <c r="N399" s="490" t="n">
        <v>13530</v>
      </c>
      <c r="O399" s="490" t="n">
        <v>11365.2</v>
      </c>
    </row>
    <row r="400" customFormat="false" ht="36.75" hidden="false" customHeight="true" outlineLevel="0" collapsed="false">
      <c r="B400" s="487" t="s">
        <v>2889</v>
      </c>
      <c r="C400" s="488" t="n">
        <v>648</v>
      </c>
      <c r="D400" s="489" t="n">
        <v>34</v>
      </c>
      <c r="E400" s="487" t="s">
        <v>994</v>
      </c>
      <c r="F400" s="487" t="s">
        <v>361</v>
      </c>
      <c r="G400" s="487" t="s">
        <v>362</v>
      </c>
      <c r="H400" s="487" t="s">
        <v>995</v>
      </c>
      <c r="I400" s="487" t="s">
        <v>900</v>
      </c>
      <c r="J400" s="487" t="s">
        <v>1435</v>
      </c>
      <c r="K400" s="490" t="n">
        <v>28260</v>
      </c>
      <c r="L400" s="490" t="n">
        <v>21400</v>
      </c>
      <c r="M400" s="491" t="n">
        <v>14</v>
      </c>
      <c r="N400" s="490" t="n">
        <v>6860</v>
      </c>
      <c r="O400" s="490" t="n">
        <v>5899.6</v>
      </c>
    </row>
    <row r="401" customFormat="false" ht="12.75" hidden="true" customHeight="true" outlineLevel="1" collapsed="false">
      <c r="B401" s="487" t="s">
        <v>417</v>
      </c>
      <c r="C401" s="487"/>
      <c r="D401" s="487"/>
      <c r="E401" s="487"/>
      <c r="F401" s="487"/>
      <c r="G401" s="487"/>
      <c r="H401" s="487"/>
      <c r="I401" s="487"/>
      <c r="J401" s="487"/>
      <c r="K401" s="492"/>
      <c r="L401" s="492"/>
      <c r="M401" s="492"/>
      <c r="N401" s="490" t="n">
        <v>6860</v>
      </c>
      <c r="O401" s="490" t="n">
        <v>5899.6</v>
      </c>
    </row>
    <row r="402" customFormat="false" ht="36.75" hidden="false" customHeight="true" outlineLevel="0" collapsed="false">
      <c r="B402" s="487" t="s">
        <v>2890</v>
      </c>
      <c r="C402" s="488" t="n">
        <v>649</v>
      </c>
      <c r="D402" s="489" t="n">
        <v>34</v>
      </c>
      <c r="E402" s="487" t="s">
        <v>994</v>
      </c>
      <c r="F402" s="487" t="s">
        <v>361</v>
      </c>
      <c r="G402" s="487" t="s">
        <v>362</v>
      </c>
      <c r="H402" s="487" t="s">
        <v>995</v>
      </c>
      <c r="I402" s="487" t="s">
        <v>997</v>
      </c>
      <c r="J402" s="487" t="s">
        <v>1435</v>
      </c>
      <c r="K402" s="490" t="n">
        <v>21400</v>
      </c>
      <c r="L402" s="490" t="n">
        <v>14780</v>
      </c>
      <c r="M402" s="491" t="n">
        <v>12</v>
      </c>
      <c r="N402" s="490" t="n">
        <v>6620</v>
      </c>
      <c r="O402" s="490" t="n">
        <v>5825.6</v>
      </c>
    </row>
    <row r="403" customFormat="false" ht="12.75" hidden="true" customHeight="true" outlineLevel="1" collapsed="false">
      <c r="B403" s="487" t="s">
        <v>417</v>
      </c>
      <c r="C403" s="487"/>
      <c r="D403" s="487"/>
      <c r="E403" s="487"/>
      <c r="F403" s="487"/>
      <c r="G403" s="487"/>
      <c r="H403" s="487"/>
      <c r="I403" s="487"/>
      <c r="J403" s="487"/>
      <c r="K403" s="492"/>
      <c r="L403" s="492"/>
      <c r="M403" s="492"/>
      <c r="N403" s="490" t="n">
        <v>6620</v>
      </c>
      <c r="O403" s="490" t="n">
        <v>5825.6</v>
      </c>
    </row>
    <row r="404" customFormat="false" ht="36.75" hidden="false" customHeight="true" outlineLevel="0" collapsed="false">
      <c r="B404" s="487" t="s">
        <v>2891</v>
      </c>
      <c r="C404" s="488" t="n">
        <v>650</v>
      </c>
      <c r="D404" s="489" t="n">
        <v>35</v>
      </c>
      <c r="E404" s="487" t="s">
        <v>994</v>
      </c>
      <c r="F404" s="487" t="s">
        <v>547</v>
      </c>
      <c r="G404" s="487" t="s">
        <v>551</v>
      </c>
      <c r="H404" s="487" t="s">
        <v>995</v>
      </c>
      <c r="I404" s="487" t="s">
        <v>900</v>
      </c>
      <c r="J404" s="487" t="s">
        <v>1435</v>
      </c>
      <c r="K404" s="490" t="n">
        <v>28550</v>
      </c>
      <c r="L404" s="490" t="n">
        <v>14990</v>
      </c>
      <c r="M404" s="491" t="n">
        <v>16.5</v>
      </c>
      <c r="N404" s="490" t="n">
        <v>13560</v>
      </c>
      <c r="O404" s="490" t="n">
        <v>11322.6</v>
      </c>
    </row>
    <row r="405" customFormat="false" ht="12.75" hidden="true" customHeight="true" outlineLevel="1" collapsed="false">
      <c r="B405" s="487" t="s">
        <v>417</v>
      </c>
      <c r="C405" s="487"/>
      <c r="D405" s="487"/>
      <c r="E405" s="487"/>
      <c r="F405" s="487"/>
      <c r="G405" s="487"/>
      <c r="H405" s="487"/>
      <c r="I405" s="487"/>
      <c r="J405" s="487"/>
      <c r="K405" s="492"/>
      <c r="L405" s="492"/>
      <c r="M405" s="492"/>
      <c r="N405" s="490" t="n">
        <v>13560</v>
      </c>
      <c r="O405" s="490" t="n">
        <v>11322.6</v>
      </c>
    </row>
    <row r="406" customFormat="false" ht="36.75" hidden="false" customHeight="true" outlineLevel="0" collapsed="false">
      <c r="B406" s="487" t="s">
        <v>2892</v>
      </c>
      <c r="C406" s="488" t="n">
        <v>651</v>
      </c>
      <c r="D406" s="489" t="n">
        <v>36</v>
      </c>
      <c r="E406" s="487" t="s">
        <v>994</v>
      </c>
      <c r="F406" s="487" t="s">
        <v>363</v>
      </c>
      <c r="G406" s="487" t="s">
        <v>364</v>
      </c>
      <c r="H406" s="487" t="s">
        <v>995</v>
      </c>
      <c r="I406" s="487" t="s">
        <v>900</v>
      </c>
      <c r="J406" s="487" t="s">
        <v>1435</v>
      </c>
      <c r="K406" s="490" t="n">
        <v>28120</v>
      </c>
      <c r="L406" s="490" t="n">
        <v>14700</v>
      </c>
      <c r="M406" s="491" t="n">
        <v>15.5</v>
      </c>
      <c r="N406" s="490" t="n">
        <v>13420</v>
      </c>
      <c r="O406" s="490" t="n">
        <v>11339.9</v>
      </c>
    </row>
    <row r="407" customFormat="false" ht="12.75" hidden="true" customHeight="true" outlineLevel="1" collapsed="false">
      <c r="B407" s="487" t="s">
        <v>417</v>
      </c>
      <c r="C407" s="487"/>
      <c r="D407" s="487"/>
      <c r="E407" s="487"/>
      <c r="F407" s="487"/>
      <c r="G407" s="487"/>
      <c r="H407" s="487"/>
      <c r="I407" s="487"/>
      <c r="J407" s="487"/>
      <c r="K407" s="492"/>
      <c r="L407" s="492"/>
      <c r="M407" s="492"/>
      <c r="N407" s="490" t="n">
        <v>13420</v>
      </c>
      <c r="O407" s="490" t="n">
        <v>11339.9</v>
      </c>
    </row>
    <row r="408" customFormat="false" ht="36.75" hidden="false" customHeight="true" outlineLevel="0" collapsed="false">
      <c r="B408" s="487" t="s">
        <v>2893</v>
      </c>
      <c r="C408" s="488" t="n">
        <v>652</v>
      </c>
      <c r="D408" s="489" t="n">
        <v>36</v>
      </c>
      <c r="E408" s="487" t="s">
        <v>994</v>
      </c>
      <c r="F408" s="487" t="s">
        <v>365</v>
      </c>
      <c r="G408" s="487" t="s">
        <v>373</v>
      </c>
      <c r="H408" s="487" t="s">
        <v>995</v>
      </c>
      <c r="I408" s="487" t="s">
        <v>900</v>
      </c>
      <c r="J408" s="487" t="s">
        <v>1435</v>
      </c>
      <c r="K408" s="490" t="n">
        <v>32280</v>
      </c>
      <c r="L408" s="490" t="n">
        <v>18780</v>
      </c>
      <c r="M408" s="491" t="n">
        <v>13.5</v>
      </c>
      <c r="N408" s="490" t="n">
        <v>13500</v>
      </c>
      <c r="O408" s="490" t="n">
        <v>11677.5</v>
      </c>
    </row>
    <row r="409" customFormat="false" ht="12.75" hidden="true" customHeight="true" outlineLevel="1" collapsed="false">
      <c r="B409" s="487" t="s">
        <v>417</v>
      </c>
      <c r="C409" s="487"/>
      <c r="D409" s="487"/>
      <c r="E409" s="487"/>
      <c r="F409" s="487"/>
      <c r="G409" s="487"/>
      <c r="H409" s="487"/>
      <c r="I409" s="487"/>
      <c r="J409" s="487"/>
      <c r="K409" s="492"/>
      <c r="L409" s="492"/>
      <c r="M409" s="492"/>
      <c r="N409" s="490" t="n">
        <v>13500</v>
      </c>
      <c r="O409" s="490" t="n">
        <v>11677.5</v>
      </c>
    </row>
    <row r="410" customFormat="false" ht="36.75" hidden="false" customHeight="true" outlineLevel="0" collapsed="false">
      <c r="B410" s="487" t="s">
        <v>2894</v>
      </c>
      <c r="C410" s="488" t="n">
        <v>653</v>
      </c>
      <c r="D410" s="489" t="n">
        <v>37</v>
      </c>
      <c r="E410" s="487" t="s">
        <v>994</v>
      </c>
      <c r="F410" s="487" t="s">
        <v>457</v>
      </c>
      <c r="G410" s="487" t="s">
        <v>366</v>
      </c>
      <c r="H410" s="487" t="s">
        <v>995</v>
      </c>
      <c r="I410" s="487" t="s">
        <v>900</v>
      </c>
      <c r="J410" s="487" t="s">
        <v>1435</v>
      </c>
      <c r="K410" s="490" t="n">
        <v>27870</v>
      </c>
      <c r="L410" s="490" t="n">
        <v>14970</v>
      </c>
      <c r="M410" s="491" t="n">
        <v>15.5</v>
      </c>
      <c r="N410" s="490" t="n">
        <v>12900</v>
      </c>
      <c r="O410" s="490" t="n">
        <v>10900.5</v>
      </c>
    </row>
    <row r="411" customFormat="false" ht="12.75" hidden="true" customHeight="true" outlineLevel="1" collapsed="false">
      <c r="B411" s="487" t="s">
        <v>417</v>
      </c>
      <c r="C411" s="487"/>
      <c r="D411" s="487"/>
      <c r="E411" s="487"/>
      <c r="F411" s="487"/>
      <c r="G411" s="487"/>
      <c r="H411" s="487"/>
      <c r="I411" s="487"/>
      <c r="J411" s="487"/>
      <c r="K411" s="492"/>
      <c r="L411" s="492"/>
      <c r="M411" s="492"/>
      <c r="N411" s="490" t="n">
        <v>12900</v>
      </c>
      <c r="O411" s="490" t="n">
        <v>10900.5</v>
      </c>
    </row>
    <row r="412" customFormat="false" ht="36.75" hidden="false" customHeight="true" outlineLevel="0" collapsed="false">
      <c r="B412" s="487" t="s">
        <v>2895</v>
      </c>
      <c r="C412" s="488" t="n">
        <v>654</v>
      </c>
      <c r="D412" s="489" t="n">
        <v>38</v>
      </c>
      <c r="E412" s="487" t="s">
        <v>994</v>
      </c>
      <c r="F412" s="487" t="s">
        <v>371</v>
      </c>
      <c r="G412" s="487" t="s">
        <v>372</v>
      </c>
      <c r="H412" s="487" t="s">
        <v>995</v>
      </c>
      <c r="I412" s="487" t="s">
        <v>900</v>
      </c>
      <c r="J412" s="487" t="s">
        <v>1435</v>
      </c>
      <c r="K412" s="490" t="n">
        <v>28890</v>
      </c>
      <c r="L412" s="490" t="n">
        <v>15200</v>
      </c>
      <c r="M412" s="491" t="n">
        <v>18</v>
      </c>
      <c r="N412" s="490" t="n">
        <v>13690</v>
      </c>
      <c r="O412" s="490" t="n">
        <v>11225.8</v>
      </c>
    </row>
    <row r="413" customFormat="false" ht="12.75" hidden="true" customHeight="true" outlineLevel="1" collapsed="false">
      <c r="B413" s="487" t="s">
        <v>417</v>
      </c>
      <c r="C413" s="487"/>
      <c r="D413" s="487"/>
      <c r="E413" s="487"/>
      <c r="F413" s="487"/>
      <c r="G413" s="487"/>
      <c r="H413" s="487"/>
      <c r="I413" s="487"/>
      <c r="J413" s="487"/>
      <c r="K413" s="492"/>
      <c r="L413" s="492"/>
      <c r="M413" s="492"/>
      <c r="N413" s="490" t="n">
        <v>13690</v>
      </c>
      <c r="O413" s="490" t="n">
        <v>11225.8</v>
      </c>
    </row>
    <row r="414" customFormat="false" ht="36.75" hidden="false" customHeight="true" outlineLevel="0" collapsed="false">
      <c r="B414" s="487" t="s">
        <v>2896</v>
      </c>
      <c r="C414" s="488" t="n">
        <v>655</v>
      </c>
      <c r="D414" s="489" t="n">
        <v>39</v>
      </c>
      <c r="E414" s="487" t="s">
        <v>994</v>
      </c>
      <c r="F414" s="487" t="s">
        <v>466</v>
      </c>
      <c r="G414" s="487" t="s">
        <v>470</v>
      </c>
      <c r="H414" s="487" t="s">
        <v>995</v>
      </c>
      <c r="I414" s="487" t="s">
        <v>900</v>
      </c>
      <c r="J414" s="487" t="s">
        <v>1435</v>
      </c>
      <c r="K414" s="490" t="n">
        <v>28640</v>
      </c>
      <c r="L414" s="490" t="n">
        <v>15210</v>
      </c>
      <c r="M414" s="491" t="n">
        <v>16.5</v>
      </c>
      <c r="N414" s="490" t="n">
        <v>13430</v>
      </c>
      <c r="O414" s="490" t="n">
        <v>11214</v>
      </c>
    </row>
    <row r="415" customFormat="false" ht="12.75" hidden="true" customHeight="true" outlineLevel="1" collapsed="false">
      <c r="B415" s="487" t="s">
        <v>417</v>
      </c>
      <c r="C415" s="487"/>
      <c r="D415" s="487"/>
      <c r="E415" s="487"/>
      <c r="F415" s="487"/>
      <c r="G415" s="487"/>
      <c r="H415" s="487"/>
      <c r="I415" s="487"/>
      <c r="J415" s="487"/>
      <c r="K415" s="492"/>
      <c r="L415" s="492"/>
      <c r="M415" s="492"/>
      <c r="N415" s="490" t="n">
        <v>13430</v>
      </c>
      <c r="O415" s="490" t="n">
        <v>11214</v>
      </c>
    </row>
    <row r="416" customFormat="false" ht="36.75" hidden="false" customHeight="true" outlineLevel="0" collapsed="false">
      <c r="B416" s="487" t="s">
        <v>2897</v>
      </c>
      <c r="C416" s="488" t="n">
        <v>656</v>
      </c>
      <c r="D416" s="489" t="n">
        <v>40</v>
      </c>
      <c r="E416" s="487" t="s">
        <v>994</v>
      </c>
      <c r="F416" s="487" t="s">
        <v>48</v>
      </c>
      <c r="G416" s="487" t="s">
        <v>49</v>
      </c>
      <c r="H416" s="487" t="s">
        <v>995</v>
      </c>
      <c r="I416" s="487" t="s">
        <v>900</v>
      </c>
      <c r="J416" s="487" t="s">
        <v>1435</v>
      </c>
      <c r="K416" s="490" t="n">
        <v>28540</v>
      </c>
      <c r="L416" s="490" t="n">
        <v>15200</v>
      </c>
      <c r="M416" s="491" t="n">
        <v>17</v>
      </c>
      <c r="N416" s="490" t="n">
        <v>13340</v>
      </c>
      <c r="O416" s="490" t="n">
        <v>11072.2</v>
      </c>
    </row>
    <row r="417" customFormat="false" ht="12.75" hidden="true" customHeight="true" outlineLevel="1" collapsed="false">
      <c r="B417" s="487" t="s">
        <v>417</v>
      </c>
      <c r="C417" s="487"/>
      <c r="D417" s="487"/>
      <c r="E417" s="487"/>
      <c r="F417" s="487"/>
      <c r="G417" s="487"/>
      <c r="H417" s="487"/>
      <c r="I417" s="487"/>
      <c r="J417" s="487"/>
      <c r="K417" s="492"/>
      <c r="L417" s="492"/>
      <c r="M417" s="492"/>
      <c r="N417" s="490" t="n">
        <v>13340</v>
      </c>
      <c r="O417" s="490" t="n">
        <v>11072.2</v>
      </c>
    </row>
    <row r="418" customFormat="false" ht="36.75" hidden="false" customHeight="true" outlineLevel="0" collapsed="false">
      <c r="B418" s="487" t="s">
        <v>2898</v>
      </c>
      <c r="C418" s="488" t="n">
        <v>657</v>
      </c>
      <c r="D418" s="489" t="n">
        <v>41</v>
      </c>
      <c r="E418" s="487" t="s">
        <v>994</v>
      </c>
      <c r="F418" s="487" t="s">
        <v>445</v>
      </c>
      <c r="G418" s="487" t="s">
        <v>449</v>
      </c>
      <c r="H418" s="487" t="s">
        <v>995</v>
      </c>
      <c r="I418" s="487" t="s">
        <v>900</v>
      </c>
      <c r="J418" s="487" t="s">
        <v>1435</v>
      </c>
      <c r="K418" s="490" t="n">
        <v>28910</v>
      </c>
      <c r="L418" s="490" t="n">
        <v>15730</v>
      </c>
      <c r="M418" s="491" t="n">
        <v>14.5</v>
      </c>
      <c r="N418" s="490" t="n">
        <v>13180</v>
      </c>
      <c r="O418" s="490" t="n">
        <v>11268.9</v>
      </c>
    </row>
    <row r="419" customFormat="false" ht="12.75" hidden="true" customHeight="true" outlineLevel="1" collapsed="false">
      <c r="B419" s="487" t="s">
        <v>417</v>
      </c>
      <c r="C419" s="487"/>
      <c r="D419" s="487"/>
      <c r="E419" s="487"/>
      <c r="F419" s="487"/>
      <c r="G419" s="487"/>
      <c r="H419" s="487"/>
      <c r="I419" s="487"/>
      <c r="J419" s="487"/>
      <c r="K419" s="492"/>
      <c r="L419" s="492"/>
      <c r="M419" s="492"/>
      <c r="N419" s="490" t="n">
        <v>13180</v>
      </c>
      <c r="O419" s="490" t="n">
        <v>11268.9</v>
      </c>
    </row>
    <row r="420" customFormat="false" ht="36.75" hidden="false" customHeight="true" outlineLevel="0" collapsed="false">
      <c r="B420" s="487" t="s">
        <v>2899</v>
      </c>
      <c r="C420" s="488" t="n">
        <v>658</v>
      </c>
      <c r="D420" s="489" t="n">
        <v>42</v>
      </c>
      <c r="E420" s="487" t="s">
        <v>994</v>
      </c>
      <c r="F420" s="487" t="s">
        <v>553</v>
      </c>
      <c r="G420" s="487" t="s">
        <v>557</v>
      </c>
      <c r="H420" s="487" t="s">
        <v>995</v>
      </c>
      <c r="I420" s="487" t="s">
        <v>900</v>
      </c>
      <c r="J420" s="487" t="s">
        <v>1435</v>
      </c>
      <c r="K420" s="490" t="n">
        <v>28650</v>
      </c>
      <c r="L420" s="490" t="n">
        <v>15100</v>
      </c>
      <c r="M420" s="491" t="n">
        <v>16.5</v>
      </c>
      <c r="N420" s="490" t="n">
        <v>13550</v>
      </c>
      <c r="O420" s="490" t="n">
        <v>11314.2</v>
      </c>
    </row>
    <row r="421" customFormat="false" ht="12.75" hidden="true" customHeight="true" outlineLevel="1" collapsed="false">
      <c r="B421" s="487" t="s">
        <v>417</v>
      </c>
      <c r="C421" s="487"/>
      <c r="D421" s="487"/>
      <c r="E421" s="487"/>
      <c r="F421" s="487"/>
      <c r="G421" s="487"/>
      <c r="H421" s="487"/>
      <c r="I421" s="487"/>
      <c r="J421" s="487"/>
      <c r="K421" s="492"/>
      <c r="L421" s="492"/>
      <c r="M421" s="492"/>
      <c r="N421" s="490" t="n">
        <v>13550</v>
      </c>
      <c r="O421" s="490" t="n">
        <v>11314.2</v>
      </c>
    </row>
    <row r="422" customFormat="false" ht="36.75" hidden="false" customHeight="true" outlineLevel="0" collapsed="false">
      <c r="B422" s="487" t="s">
        <v>2900</v>
      </c>
      <c r="C422" s="488" t="n">
        <v>659</v>
      </c>
      <c r="D422" s="489" t="n">
        <v>43</v>
      </c>
      <c r="E422" s="487" t="s">
        <v>994</v>
      </c>
      <c r="F422" s="487" t="s">
        <v>433</v>
      </c>
      <c r="G422" s="487" t="s">
        <v>437</v>
      </c>
      <c r="H422" s="487" t="s">
        <v>995</v>
      </c>
      <c r="I422" s="487" t="s">
        <v>900</v>
      </c>
      <c r="J422" s="487" t="s">
        <v>1435</v>
      </c>
      <c r="K422" s="490" t="n">
        <v>28180</v>
      </c>
      <c r="L422" s="490" t="n">
        <v>15020</v>
      </c>
      <c r="M422" s="491" t="n">
        <v>19.5</v>
      </c>
      <c r="N422" s="490" t="n">
        <v>13160</v>
      </c>
      <c r="O422" s="490" t="n">
        <v>10593.8</v>
      </c>
    </row>
    <row r="423" customFormat="false" ht="12.75" hidden="true" customHeight="true" outlineLevel="1" collapsed="false">
      <c r="B423" s="487" t="s">
        <v>417</v>
      </c>
      <c r="C423" s="487"/>
      <c r="D423" s="487"/>
      <c r="E423" s="487"/>
      <c r="F423" s="487"/>
      <c r="G423" s="487"/>
      <c r="H423" s="487"/>
      <c r="I423" s="487"/>
      <c r="J423" s="487"/>
      <c r="K423" s="492"/>
      <c r="L423" s="492"/>
      <c r="M423" s="492"/>
      <c r="N423" s="490" t="n">
        <v>13160</v>
      </c>
      <c r="O423" s="490" t="n">
        <v>10593.8</v>
      </c>
    </row>
    <row r="424" customFormat="false" ht="36.75" hidden="false" customHeight="true" outlineLevel="0" collapsed="false">
      <c r="B424" s="487" t="s">
        <v>2902</v>
      </c>
      <c r="C424" s="488" t="n">
        <v>661</v>
      </c>
      <c r="D424" s="489" t="n">
        <v>45</v>
      </c>
      <c r="E424" s="487" t="s">
        <v>994</v>
      </c>
      <c r="F424" s="487" t="s">
        <v>451</v>
      </c>
      <c r="G424" s="487" t="s">
        <v>455</v>
      </c>
      <c r="H424" s="487" t="s">
        <v>995</v>
      </c>
      <c r="I424" s="487" t="s">
        <v>900</v>
      </c>
      <c r="J424" s="487" t="s">
        <v>1435</v>
      </c>
      <c r="K424" s="490" t="n">
        <v>28450</v>
      </c>
      <c r="L424" s="490" t="n">
        <v>15260</v>
      </c>
      <c r="M424" s="491" t="n">
        <v>16.1</v>
      </c>
      <c r="N424" s="490" t="n">
        <v>13190</v>
      </c>
      <c r="O424" s="490" t="n">
        <v>11073</v>
      </c>
    </row>
    <row r="425" customFormat="false" ht="12.75" hidden="true" customHeight="true" outlineLevel="1" collapsed="false">
      <c r="B425" s="487" t="s">
        <v>417</v>
      </c>
      <c r="C425" s="487"/>
      <c r="D425" s="487"/>
      <c r="E425" s="487"/>
      <c r="F425" s="487"/>
      <c r="G425" s="487"/>
      <c r="H425" s="487"/>
      <c r="I425" s="487"/>
      <c r="J425" s="487"/>
      <c r="K425" s="492"/>
      <c r="L425" s="492"/>
      <c r="M425" s="492"/>
      <c r="N425" s="490" t="n">
        <v>13190</v>
      </c>
      <c r="O425" s="490" t="n">
        <v>11073</v>
      </c>
    </row>
    <row r="426" customFormat="false" ht="36.75" hidden="false" customHeight="true" outlineLevel="0" collapsed="false">
      <c r="B426" s="487" t="s">
        <v>2901</v>
      </c>
      <c r="C426" s="488" t="n">
        <v>660</v>
      </c>
      <c r="D426" s="489" t="n">
        <v>44</v>
      </c>
      <c r="E426" s="487" t="s">
        <v>994</v>
      </c>
      <c r="F426" s="487" t="s">
        <v>439</v>
      </c>
      <c r="G426" s="487" t="s">
        <v>443</v>
      </c>
      <c r="H426" s="487" t="s">
        <v>995</v>
      </c>
      <c r="I426" s="487" t="s">
        <v>900</v>
      </c>
      <c r="J426" s="487" t="s">
        <v>1435</v>
      </c>
      <c r="K426" s="490" t="n">
        <v>37380</v>
      </c>
      <c r="L426" s="490" t="n">
        <v>24270</v>
      </c>
      <c r="M426" s="491" t="n">
        <v>17.5</v>
      </c>
      <c r="N426" s="490" t="n">
        <v>13110</v>
      </c>
      <c r="O426" s="490" t="n">
        <v>10815.7</v>
      </c>
    </row>
    <row r="427" customFormat="false" ht="12.75" hidden="true" customHeight="true" outlineLevel="1" collapsed="false">
      <c r="B427" s="487" t="s">
        <v>417</v>
      </c>
      <c r="C427" s="487"/>
      <c r="D427" s="487"/>
      <c r="E427" s="487"/>
      <c r="F427" s="487"/>
      <c r="G427" s="487"/>
      <c r="H427" s="487"/>
      <c r="I427" s="487"/>
      <c r="J427" s="487"/>
      <c r="K427" s="492"/>
      <c r="L427" s="492"/>
      <c r="M427" s="492"/>
      <c r="N427" s="490" t="n">
        <v>13110</v>
      </c>
      <c r="O427" s="490" t="n">
        <v>10815.7</v>
      </c>
    </row>
    <row r="428" customFormat="false" ht="36.75" hidden="false" customHeight="true" outlineLevel="0" collapsed="false">
      <c r="B428" s="487" t="s">
        <v>2903</v>
      </c>
      <c r="C428" s="488" t="n">
        <v>662</v>
      </c>
      <c r="D428" s="489" t="n">
        <v>46</v>
      </c>
      <c r="E428" s="487" t="s">
        <v>994</v>
      </c>
      <c r="F428" s="487" t="s">
        <v>547</v>
      </c>
      <c r="G428" s="487" t="s">
        <v>551</v>
      </c>
      <c r="H428" s="487" t="s">
        <v>995</v>
      </c>
      <c r="I428" s="487" t="s">
        <v>900</v>
      </c>
      <c r="J428" s="487" t="s">
        <v>1435</v>
      </c>
      <c r="K428" s="490" t="n">
        <v>28180</v>
      </c>
      <c r="L428" s="490" t="n">
        <v>14940</v>
      </c>
      <c r="M428" s="491" t="n">
        <v>14.5</v>
      </c>
      <c r="N428" s="490" t="n">
        <v>13240</v>
      </c>
      <c r="O428" s="490" t="n">
        <v>11320.2</v>
      </c>
    </row>
    <row r="429" customFormat="false" ht="12.75" hidden="true" customHeight="true" outlineLevel="1" collapsed="false">
      <c r="B429" s="487" t="s">
        <v>417</v>
      </c>
      <c r="C429" s="487"/>
      <c r="D429" s="487"/>
      <c r="E429" s="487"/>
      <c r="F429" s="487"/>
      <c r="G429" s="487"/>
      <c r="H429" s="487"/>
      <c r="I429" s="487"/>
      <c r="J429" s="487"/>
      <c r="K429" s="492"/>
      <c r="L429" s="492"/>
      <c r="M429" s="492"/>
      <c r="N429" s="490" t="n">
        <v>13240</v>
      </c>
      <c r="O429" s="490" t="n">
        <v>11320.2</v>
      </c>
    </row>
    <row r="430" customFormat="false" ht="36.75" hidden="false" customHeight="true" outlineLevel="0" collapsed="false">
      <c r="B430" s="487" t="s">
        <v>2904</v>
      </c>
      <c r="C430" s="488" t="n">
        <v>664</v>
      </c>
      <c r="D430" s="489" t="n">
        <v>48</v>
      </c>
      <c r="E430" s="487" t="s">
        <v>994</v>
      </c>
      <c r="F430" s="487" t="s">
        <v>553</v>
      </c>
      <c r="G430" s="487" t="s">
        <v>557</v>
      </c>
      <c r="H430" s="487" t="s">
        <v>995</v>
      </c>
      <c r="I430" s="487" t="s">
        <v>900</v>
      </c>
      <c r="J430" s="487" t="s">
        <v>1435</v>
      </c>
      <c r="K430" s="490" t="n">
        <v>15880</v>
      </c>
      <c r="L430" s="490" t="n">
        <v>9720</v>
      </c>
      <c r="M430" s="491" t="n">
        <v>19.5</v>
      </c>
      <c r="N430" s="490" t="n">
        <v>6160</v>
      </c>
      <c r="O430" s="490" t="n">
        <v>4958.8</v>
      </c>
    </row>
    <row r="431" customFormat="false" ht="12.75" hidden="true" customHeight="true" outlineLevel="1" collapsed="false">
      <c r="B431" s="487" t="s">
        <v>417</v>
      </c>
      <c r="C431" s="487"/>
      <c r="D431" s="487"/>
      <c r="E431" s="487"/>
      <c r="F431" s="487"/>
      <c r="G431" s="487"/>
      <c r="H431" s="487"/>
      <c r="I431" s="487"/>
      <c r="J431" s="487"/>
      <c r="K431" s="492"/>
      <c r="L431" s="492"/>
      <c r="M431" s="492"/>
      <c r="N431" s="490" t="n">
        <v>6160</v>
      </c>
      <c r="O431" s="490" t="n">
        <v>4958.8</v>
      </c>
    </row>
    <row r="432" customFormat="false" ht="36.75" hidden="false" customHeight="true" outlineLevel="0" collapsed="false">
      <c r="B432" s="487" t="s">
        <v>2905</v>
      </c>
      <c r="C432" s="488" t="n">
        <v>665</v>
      </c>
      <c r="D432" s="489" t="n">
        <v>47</v>
      </c>
      <c r="E432" s="487" t="s">
        <v>994</v>
      </c>
      <c r="F432" s="487" t="s">
        <v>445</v>
      </c>
      <c r="G432" s="487" t="s">
        <v>449</v>
      </c>
      <c r="H432" s="487" t="s">
        <v>995</v>
      </c>
      <c r="I432" s="487" t="s">
        <v>900</v>
      </c>
      <c r="J432" s="487" t="s">
        <v>1435</v>
      </c>
      <c r="K432" s="490" t="n">
        <v>28810</v>
      </c>
      <c r="L432" s="490" t="n">
        <v>15740</v>
      </c>
      <c r="M432" s="491" t="n">
        <v>16.5</v>
      </c>
      <c r="N432" s="490" t="n">
        <v>13070</v>
      </c>
      <c r="O432" s="490" t="n">
        <v>10913.4</v>
      </c>
    </row>
    <row r="433" customFormat="false" ht="12.75" hidden="true" customHeight="true" outlineLevel="1" collapsed="false">
      <c r="B433" s="487" t="s">
        <v>417</v>
      </c>
      <c r="C433" s="487"/>
      <c r="D433" s="487"/>
      <c r="E433" s="487"/>
      <c r="F433" s="487"/>
      <c r="G433" s="487"/>
      <c r="H433" s="487"/>
      <c r="I433" s="487"/>
      <c r="J433" s="487"/>
      <c r="K433" s="492"/>
      <c r="L433" s="492"/>
      <c r="M433" s="492"/>
      <c r="N433" s="490" t="n">
        <v>13070</v>
      </c>
      <c r="O433" s="490" t="n">
        <v>10913.4</v>
      </c>
    </row>
    <row r="434" customFormat="false" ht="36.75" hidden="false" customHeight="true" outlineLevel="0" collapsed="false">
      <c r="B434" s="487" t="s">
        <v>2906</v>
      </c>
      <c r="C434" s="488" t="n">
        <v>671</v>
      </c>
      <c r="D434" s="489" t="n">
        <v>54957</v>
      </c>
      <c r="E434" s="487" t="s">
        <v>908</v>
      </c>
      <c r="F434" s="487" t="s">
        <v>376</v>
      </c>
      <c r="G434" s="487" t="s">
        <v>377</v>
      </c>
      <c r="H434" s="489" t="n">
        <v>14</v>
      </c>
      <c r="I434" s="487" t="s">
        <v>1058</v>
      </c>
      <c r="J434" s="487" t="s">
        <v>1435</v>
      </c>
      <c r="K434" s="490" t="n">
        <v>18390</v>
      </c>
      <c r="L434" s="490" t="n">
        <v>14220</v>
      </c>
      <c r="M434" s="491" t="n">
        <v>17</v>
      </c>
      <c r="N434" s="490" t="n">
        <v>4170</v>
      </c>
      <c r="O434" s="490" t="n">
        <v>3461.1</v>
      </c>
    </row>
    <row r="435" customFormat="false" ht="12.75" hidden="true" customHeight="true" outlineLevel="1" collapsed="false">
      <c r="B435" s="487" t="s">
        <v>417</v>
      </c>
      <c r="C435" s="487"/>
      <c r="D435" s="487"/>
      <c r="E435" s="487"/>
      <c r="F435" s="487"/>
      <c r="G435" s="487"/>
      <c r="H435" s="487"/>
      <c r="I435" s="487"/>
      <c r="J435" s="487"/>
      <c r="K435" s="492"/>
      <c r="L435" s="492"/>
      <c r="M435" s="492"/>
      <c r="N435" s="490" t="n">
        <v>4170</v>
      </c>
      <c r="O435" s="490" t="n">
        <v>3461.1</v>
      </c>
    </row>
    <row r="436" customFormat="false" ht="36.75" hidden="false" customHeight="true" outlineLevel="0" collapsed="false">
      <c r="B436" s="487" t="s">
        <v>2908</v>
      </c>
      <c r="C436" s="488" t="n">
        <v>673</v>
      </c>
      <c r="D436" s="489" t="n">
        <v>49</v>
      </c>
      <c r="E436" s="487" t="s">
        <v>994</v>
      </c>
      <c r="F436" s="487" t="s">
        <v>371</v>
      </c>
      <c r="G436" s="487" t="s">
        <v>372</v>
      </c>
      <c r="H436" s="487" t="s">
        <v>995</v>
      </c>
      <c r="I436" s="487" t="s">
        <v>1061</v>
      </c>
      <c r="J436" s="487" t="s">
        <v>1435</v>
      </c>
      <c r="K436" s="490" t="n">
        <v>29130</v>
      </c>
      <c r="L436" s="490" t="n">
        <v>15110</v>
      </c>
      <c r="M436" s="491" t="n">
        <v>14.5</v>
      </c>
      <c r="N436" s="490" t="n">
        <v>14020</v>
      </c>
      <c r="O436" s="490" t="n">
        <v>11987.1</v>
      </c>
    </row>
    <row r="437" customFormat="false" ht="12.75" hidden="true" customHeight="true" outlineLevel="1" collapsed="false">
      <c r="B437" s="487" t="s">
        <v>417</v>
      </c>
      <c r="C437" s="487"/>
      <c r="D437" s="487"/>
      <c r="E437" s="487"/>
      <c r="F437" s="487"/>
      <c r="G437" s="487"/>
      <c r="H437" s="487"/>
      <c r="I437" s="487"/>
      <c r="J437" s="487"/>
      <c r="K437" s="492"/>
      <c r="L437" s="492"/>
      <c r="M437" s="492"/>
      <c r="N437" s="490" t="n">
        <v>14020</v>
      </c>
      <c r="O437" s="490" t="n">
        <v>11987.1</v>
      </c>
    </row>
    <row r="438" customFormat="false" ht="36.75" hidden="false" customHeight="true" outlineLevel="0" collapsed="false">
      <c r="B438" s="487" t="s">
        <v>2907</v>
      </c>
      <c r="C438" s="488" t="n">
        <v>672</v>
      </c>
      <c r="D438" s="489" t="n">
        <v>51</v>
      </c>
      <c r="E438" s="487" t="s">
        <v>994</v>
      </c>
      <c r="F438" s="487" t="s">
        <v>382</v>
      </c>
      <c r="G438" s="487" t="s">
        <v>383</v>
      </c>
      <c r="H438" s="487" t="s">
        <v>995</v>
      </c>
      <c r="I438" s="487" t="s">
        <v>1061</v>
      </c>
      <c r="J438" s="487" t="s">
        <v>1435</v>
      </c>
      <c r="K438" s="490" t="n">
        <v>28270</v>
      </c>
      <c r="L438" s="490" t="n">
        <v>14880</v>
      </c>
      <c r="M438" s="491" t="n">
        <v>14</v>
      </c>
      <c r="N438" s="490" t="n">
        <v>13390</v>
      </c>
      <c r="O438" s="490" t="n">
        <v>11515.4</v>
      </c>
    </row>
    <row r="439" customFormat="false" ht="12.75" hidden="true" customHeight="true" outlineLevel="1" collapsed="false">
      <c r="B439" s="487" t="s">
        <v>417</v>
      </c>
      <c r="C439" s="487"/>
      <c r="D439" s="487"/>
      <c r="E439" s="487"/>
      <c r="F439" s="487"/>
      <c r="G439" s="487"/>
      <c r="H439" s="487"/>
      <c r="I439" s="487"/>
      <c r="J439" s="487"/>
      <c r="K439" s="492"/>
      <c r="L439" s="492"/>
      <c r="M439" s="492"/>
      <c r="N439" s="490" t="n">
        <v>13390</v>
      </c>
      <c r="O439" s="490" t="n">
        <v>11515.4</v>
      </c>
    </row>
    <row r="440" customFormat="false" ht="36.75" hidden="false" customHeight="true" outlineLevel="0" collapsed="false">
      <c r="B440" s="487" t="s">
        <v>2909</v>
      </c>
      <c r="C440" s="488" t="n">
        <v>675</v>
      </c>
      <c r="D440" s="489" t="n">
        <v>52</v>
      </c>
      <c r="E440" s="487" t="s">
        <v>994</v>
      </c>
      <c r="F440" s="487" t="s">
        <v>361</v>
      </c>
      <c r="G440" s="487" t="s">
        <v>362</v>
      </c>
      <c r="H440" s="487" t="s">
        <v>995</v>
      </c>
      <c r="I440" s="487" t="s">
        <v>904</v>
      </c>
      <c r="J440" s="487" t="s">
        <v>1435</v>
      </c>
      <c r="K440" s="490" t="n">
        <v>22010</v>
      </c>
      <c r="L440" s="490" t="n">
        <v>14920</v>
      </c>
      <c r="M440" s="491" t="n">
        <v>19</v>
      </c>
      <c r="N440" s="490" t="n">
        <v>7090</v>
      </c>
      <c r="O440" s="490" t="n">
        <v>5742.9</v>
      </c>
    </row>
    <row r="441" customFormat="false" ht="12.75" hidden="true" customHeight="true" outlineLevel="1" collapsed="false">
      <c r="B441" s="487" t="s">
        <v>417</v>
      </c>
      <c r="C441" s="487"/>
      <c r="D441" s="487"/>
      <c r="E441" s="487"/>
      <c r="F441" s="487"/>
      <c r="G441" s="487"/>
      <c r="H441" s="487"/>
      <c r="I441" s="487"/>
      <c r="J441" s="487"/>
      <c r="K441" s="492"/>
      <c r="L441" s="492"/>
      <c r="M441" s="492"/>
      <c r="N441" s="490" t="n">
        <v>7090</v>
      </c>
      <c r="O441" s="490" t="n">
        <v>5742.9</v>
      </c>
    </row>
    <row r="442" customFormat="false" ht="36.75" hidden="false" customHeight="true" outlineLevel="0" collapsed="false">
      <c r="B442" s="487" t="s">
        <v>2910</v>
      </c>
      <c r="C442" s="488" t="n">
        <v>674</v>
      </c>
      <c r="D442" s="489" t="n">
        <v>52</v>
      </c>
      <c r="E442" s="487" t="s">
        <v>994</v>
      </c>
      <c r="F442" s="487" t="s">
        <v>361</v>
      </c>
      <c r="G442" s="487" t="s">
        <v>362</v>
      </c>
      <c r="H442" s="487" t="s">
        <v>995</v>
      </c>
      <c r="I442" s="487" t="s">
        <v>1061</v>
      </c>
      <c r="J442" s="487" t="s">
        <v>1435</v>
      </c>
      <c r="K442" s="490" t="n">
        <v>29040</v>
      </c>
      <c r="L442" s="490" t="n">
        <v>22010</v>
      </c>
      <c r="M442" s="491" t="n">
        <v>17</v>
      </c>
      <c r="N442" s="490" t="n">
        <v>7030</v>
      </c>
      <c r="O442" s="490" t="n">
        <v>5834.9</v>
      </c>
    </row>
    <row r="443" customFormat="false" ht="12.75" hidden="true" customHeight="true" outlineLevel="1" collapsed="false">
      <c r="B443" s="487" t="s">
        <v>417</v>
      </c>
      <c r="C443" s="487"/>
      <c r="D443" s="487"/>
      <c r="E443" s="487"/>
      <c r="F443" s="487"/>
      <c r="G443" s="487"/>
      <c r="H443" s="487"/>
      <c r="I443" s="487"/>
      <c r="J443" s="487"/>
      <c r="K443" s="492"/>
      <c r="L443" s="492"/>
      <c r="M443" s="492"/>
      <c r="N443" s="490" t="n">
        <v>7030</v>
      </c>
      <c r="O443" s="490" t="n">
        <v>5834.9</v>
      </c>
    </row>
    <row r="444" customFormat="false" ht="36.75" hidden="false" customHeight="true" outlineLevel="0" collapsed="false">
      <c r="B444" s="487" t="s">
        <v>2911</v>
      </c>
      <c r="C444" s="488" t="n">
        <v>676</v>
      </c>
      <c r="D444" s="489" t="n">
        <v>50</v>
      </c>
      <c r="E444" s="487" t="s">
        <v>994</v>
      </c>
      <c r="F444" s="487" t="s">
        <v>384</v>
      </c>
      <c r="G444" s="487" t="s">
        <v>385</v>
      </c>
      <c r="H444" s="487" t="s">
        <v>995</v>
      </c>
      <c r="I444" s="487" t="s">
        <v>904</v>
      </c>
      <c r="J444" s="487" t="s">
        <v>1435</v>
      </c>
      <c r="K444" s="490" t="n">
        <v>29480</v>
      </c>
      <c r="L444" s="490" t="n">
        <v>14430</v>
      </c>
      <c r="M444" s="491" t="n">
        <v>15</v>
      </c>
      <c r="N444" s="490" t="n">
        <v>15050</v>
      </c>
      <c r="O444" s="490" t="n">
        <v>12792.5</v>
      </c>
    </row>
    <row r="445" customFormat="false" ht="12.75" hidden="true" customHeight="true" outlineLevel="1" collapsed="false">
      <c r="B445" s="487" t="s">
        <v>417</v>
      </c>
      <c r="C445" s="487"/>
      <c r="D445" s="487"/>
      <c r="E445" s="487"/>
      <c r="F445" s="487"/>
      <c r="G445" s="487"/>
      <c r="H445" s="487"/>
      <c r="I445" s="487"/>
      <c r="J445" s="487"/>
      <c r="K445" s="492"/>
      <c r="L445" s="492"/>
      <c r="M445" s="492"/>
      <c r="N445" s="490" t="n">
        <v>15050</v>
      </c>
      <c r="O445" s="490" t="n">
        <v>12792.5</v>
      </c>
    </row>
    <row r="446" customFormat="false" ht="36.75" hidden="false" customHeight="true" outlineLevel="0" collapsed="false">
      <c r="B446" s="487" t="s">
        <v>2920</v>
      </c>
      <c r="C446" s="488" t="n">
        <v>685</v>
      </c>
      <c r="D446" s="489" t="n">
        <v>53</v>
      </c>
      <c r="E446" s="487" t="s">
        <v>994</v>
      </c>
      <c r="F446" s="487" t="s">
        <v>365</v>
      </c>
      <c r="G446" s="487" t="s">
        <v>373</v>
      </c>
      <c r="H446" s="487" t="s">
        <v>995</v>
      </c>
      <c r="I446" s="487" t="s">
        <v>904</v>
      </c>
      <c r="J446" s="487" t="s">
        <v>1435</v>
      </c>
      <c r="K446" s="490" t="n">
        <v>22535</v>
      </c>
      <c r="L446" s="490" t="n">
        <v>15640</v>
      </c>
      <c r="M446" s="491" t="n">
        <v>12</v>
      </c>
      <c r="N446" s="490" t="n">
        <v>6895</v>
      </c>
      <c r="O446" s="490" t="n">
        <v>6067.6</v>
      </c>
    </row>
    <row r="447" customFormat="false" ht="12.75" hidden="true" customHeight="true" outlineLevel="1" collapsed="false">
      <c r="B447" s="487" t="s">
        <v>417</v>
      </c>
      <c r="C447" s="487"/>
      <c r="D447" s="487"/>
      <c r="E447" s="487"/>
      <c r="F447" s="487"/>
      <c r="G447" s="487"/>
      <c r="H447" s="487"/>
      <c r="I447" s="487"/>
      <c r="J447" s="487"/>
      <c r="K447" s="492"/>
      <c r="L447" s="492"/>
      <c r="M447" s="492"/>
      <c r="N447" s="490" t="n">
        <v>6895</v>
      </c>
      <c r="O447" s="490" t="n">
        <v>6067.6</v>
      </c>
    </row>
    <row r="448" customFormat="false" ht="36.75" hidden="false" customHeight="true" outlineLevel="0" collapsed="false">
      <c r="B448" s="487" t="s">
        <v>2919</v>
      </c>
      <c r="C448" s="488" t="n">
        <v>677</v>
      </c>
      <c r="D448" s="489" t="n">
        <v>53</v>
      </c>
      <c r="E448" s="487" t="s">
        <v>994</v>
      </c>
      <c r="F448" s="487" t="s">
        <v>365</v>
      </c>
      <c r="G448" s="487" t="s">
        <v>373</v>
      </c>
      <c r="H448" s="487" t="s">
        <v>995</v>
      </c>
      <c r="I448" s="487" t="s">
        <v>1061</v>
      </c>
      <c r="J448" s="487" t="s">
        <v>1435</v>
      </c>
      <c r="K448" s="490" t="n">
        <v>29430</v>
      </c>
      <c r="L448" s="490" t="n">
        <v>22535</v>
      </c>
      <c r="M448" s="491" t="n">
        <v>9.5</v>
      </c>
      <c r="N448" s="490" t="n">
        <v>6895</v>
      </c>
      <c r="O448" s="490" t="n">
        <v>6240</v>
      </c>
    </row>
    <row r="449" customFormat="false" ht="12.75" hidden="true" customHeight="true" outlineLevel="1" collapsed="false">
      <c r="B449" s="487" t="s">
        <v>417</v>
      </c>
      <c r="C449" s="487"/>
      <c r="D449" s="487"/>
      <c r="E449" s="487"/>
      <c r="F449" s="487"/>
      <c r="G449" s="487"/>
      <c r="H449" s="487"/>
      <c r="I449" s="487"/>
      <c r="J449" s="487"/>
      <c r="K449" s="492"/>
      <c r="L449" s="492"/>
      <c r="M449" s="492"/>
      <c r="N449" s="490" t="n">
        <v>6895</v>
      </c>
      <c r="O449" s="490" t="n">
        <v>6240</v>
      </c>
    </row>
    <row r="450" customFormat="false" ht="36.75" hidden="false" customHeight="true" outlineLevel="0" collapsed="false">
      <c r="B450" s="487" t="s">
        <v>2912</v>
      </c>
      <c r="C450" s="488" t="n">
        <v>678</v>
      </c>
      <c r="D450" s="489" t="n">
        <v>55</v>
      </c>
      <c r="E450" s="487" t="s">
        <v>994</v>
      </c>
      <c r="F450" s="487" t="s">
        <v>1068</v>
      </c>
      <c r="G450" s="487" t="s">
        <v>431</v>
      </c>
      <c r="H450" s="487" t="s">
        <v>995</v>
      </c>
      <c r="I450" s="487" t="s">
        <v>904</v>
      </c>
      <c r="J450" s="487" t="s">
        <v>1435</v>
      </c>
      <c r="K450" s="490" t="n">
        <v>35120</v>
      </c>
      <c r="L450" s="490" t="n">
        <v>27970</v>
      </c>
      <c r="M450" s="491" t="n">
        <v>10.5</v>
      </c>
      <c r="N450" s="490" t="n">
        <v>7150</v>
      </c>
      <c r="O450" s="490" t="n">
        <v>6399.2</v>
      </c>
    </row>
    <row r="451" customFormat="false" ht="12.75" hidden="true" customHeight="true" outlineLevel="1" collapsed="false">
      <c r="B451" s="487" t="s">
        <v>417</v>
      </c>
      <c r="C451" s="487"/>
      <c r="D451" s="487"/>
      <c r="E451" s="487"/>
      <c r="F451" s="487"/>
      <c r="G451" s="487"/>
      <c r="H451" s="487"/>
      <c r="I451" s="487"/>
      <c r="J451" s="487"/>
      <c r="K451" s="492"/>
      <c r="L451" s="492"/>
      <c r="M451" s="492"/>
      <c r="N451" s="490" t="n">
        <v>7150</v>
      </c>
      <c r="O451" s="490" t="n">
        <v>6399.2</v>
      </c>
    </row>
    <row r="452" customFormat="false" ht="36.75" hidden="false" customHeight="true" outlineLevel="0" collapsed="false">
      <c r="B452" s="487" t="s">
        <v>2913</v>
      </c>
      <c r="C452" s="488" t="n">
        <v>679</v>
      </c>
      <c r="D452" s="489" t="n">
        <v>55</v>
      </c>
      <c r="E452" s="487" t="s">
        <v>994</v>
      </c>
      <c r="F452" s="487" t="s">
        <v>1068</v>
      </c>
      <c r="G452" s="487" t="s">
        <v>431</v>
      </c>
      <c r="H452" s="487" t="s">
        <v>995</v>
      </c>
      <c r="I452" s="487" t="s">
        <v>1061</v>
      </c>
      <c r="J452" s="487" t="s">
        <v>1435</v>
      </c>
      <c r="K452" s="490" t="n">
        <v>27970</v>
      </c>
      <c r="L452" s="490" t="n">
        <v>20920</v>
      </c>
      <c r="M452" s="491" t="n">
        <v>8.5</v>
      </c>
      <c r="N452" s="490" t="n">
        <v>7050</v>
      </c>
      <c r="O452" s="490" t="n">
        <v>6450.7</v>
      </c>
    </row>
    <row r="453" customFormat="false" ht="12.75" hidden="true" customHeight="true" outlineLevel="1" collapsed="false">
      <c r="B453" s="487" t="s">
        <v>417</v>
      </c>
      <c r="C453" s="487"/>
      <c r="D453" s="487"/>
      <c r="E453" s="487"/>
      <c r="F453" s="487"/>
      <c r="G453" s="487"/>
      <c r="H453" s="487"/>
      <c r="I453" s="487"/>
      <c r="J453" s="487"/>
      <c r="K453" s="492"/>
      <c r="L453" s="492"/>
      <c r="M453" s="492"/>
      <c r="N453" s="490" t="n">
        <v>7050</v>
      </c>
      <c r="O453" s="490" t="n">
        <v>6450.7</v>
      </c>
    </row>
    <row r="454" customFormat="false" ht="36.75" hidden="false" customHeight="true" outlineLevel="0" collapsed="false">
      <c r="B454" s="487" t="s">
        <v>2915</v>
      </c>
      <c r="C454" s="488" t="n">
        <v>681</v>
      </c>
      <c r="D454" s="489" t="n">
        <v>54958</v>
      </c>
      <c r="E454" s="487" t="s">
        <v>908</v>
      </c>
      <c r="F454" s="487" t="s">
        <v>376</v>
      </c>
      <c r="G454" s="487" t="s">
        <v>377</v>
      </c>
      <c r="H454" s="489" t="n">
        <v>14</v>
      </c>
      <c r="I454" s="487" t="s">
        <v>1058</v>
      </c>
      <c r="J454" s="487" t="s">
        <v>1435</v>
      </c>
      <c r="K454" s="490" t="n">
        <v>23440</v>
      </c>
      <c r="L454" s="490" t="n">
        <v>14350</v>
      </c>
      <c r="M454" s="491" t="n">
        <v>13.5</v>
      </c>
      <c r="N454" s="490" t="n">
        <v>9090</v>
      </c>
      <c r="O454" s="490" t="n">
        <v>7862.8</v>
      </c>
    </row>
    <row r="455" customFormat="false" ht="12.75" hidden="true" customHeight="true" outlineLevel="1" collapsed="false">
      <c r="B455" s="487" t="s">
        <v>417</v>
      </c>
      <c r="C455" s="487"/>
      <c r="D455" s="487"/>
      <c r="E455" s="487"/>
      <c r="F455" s="487"/>
      <c r="G455" s="487"/>
      <c r="H455" s="487"/>
      <c r="I455" s="487"/>
      <c r="J455" s="487"/>
      <c r="K455" s="492"/>
      <c r="L455" s="492"/>
      <c r="M455" s="492"/>
      <c r="N455" s="490" t="n">
        <v>9090</v>
      </c>
      <c r="O455" s="490" t="n">
        <v>7862.8</v>
      </c>
    </row>
    <row r="456" customFormat="false" ht="36.75" hidden="false" customHeight="true" outlineLevel="0" collapsed="false">
      <c r="B456" s="487" t="s">
        <v>2916</v>
      </c>
      <c r="C456" s="488" t="n">
        <v>682</v>
      </c>
      <c r="D456" s="489" t="n">
        <v>57</v>
      </c>
      <c r="E456" s="487" t="s">
        <v>994</v>
      </c>
      <c r="F456" s="487" t="s">
        <v>451</v>
      </c>
      <c r="G456" s="487" t="s">
        <v>455</v>
      </c>
      <c r="H456" s="487" t="s">
        <v>995</v>
      </c>
      <c r="I456" s="487" t="s">
        <v>904</v>
      </c>
      <c r="J456" s="487" t="s">
        <v>1435</v>
      </c>
      <c r="K456" s="490" t="n">
        <v>28620</v>
      </c>
      <c r="L456" s="490" t="n">
        <v>14940</v>
      </c>
      <c r="M456" s="491" t="n">
        <v>15</v>
      </c>
      <c r="N456" s="490" t="n">
        <v>13680</v>
      </c>
      <c r="O456" s="490" t="n">
        <v>11628</v>
      </c>
    </row>
    <row r="457" customFormat="false" ht="12.75" hidden="true" customHeight="true" outlineLevel="1" collapsed="false">
      <c r="B457" s="487" t="s">
        <v>417</v>
      </c>
      <c r="C457" s="487"/>
      <c r="D457" s="487"/>
      <c r="E457" s="487"/>
      <c r="F457" s="487"/>
      <c r="G457" s="487"/>
      <c r="H457" s="487"/>
      <c r="I457" s="487"/>
      <c r="J457" s="487"/>
      <c r="K457" s="492"/>
      <c r="L457" s="492"/>
      <c r="M457" s="492"/>
      <c r="N457" s="490" t="n">
        <v>13680</v>
      </c>
      <c r="O457" s="490" t="n">
        <v>11628</v>
      </c>
    </row>
    <row r="458" customFormat="false" ht="36.75" hidden="false" customHeight="true" outlineLevel="0" collapsed="false">
      <c r="B458" s="487" t="s">
        <v>2917</v>
      </c>
      <c r="C458" s="488" t="n">
        <v>683</v>
      </c>
      <c r="D458" s="489" t="n">
        <v>54958</v>
      </c>
      <c r="E458" s="487" t="s">
        <v>908</v>
      </c>
      <c r="F458" s="487" t="s">
        <v>378</v>
      </c>
      <c r="G458" s="487" t="s">
        <v>379</v>
      </c>
      <c r="H458" s="489" t="n">
        <v>14</v>
      </c>
      <c r="I458" s="487" t="s">
        <v>1058</v>
      </c>
      <c r="J458" s="487" t="s">
        <v>1435</v>
      </c>
      <c r="K458" s="490" t="n">
        <v>9150</v>
      </c>
      <c r="L458" s="490" t="n">
        <v>4610</v>
      </c>
      <c r="M458" s="491" t="n">
        <v>12.5</v>
      </c>
      <c r="N458" s="490" t="n">
        <v>4540</v>
      </c>
      <c r="O458" s="490" t="n">
        <v>3972.5</v>
      </c>
    </row>
    <row r="459" customFormat="false" ht="12.75" hidden="true" customHeight="true" outlineLevel="1" collapsed="false">
      <c r="B459" s="487" t="s">
        <v>417</v>
      </c>
      <c r="C459" s="487"/>
      <c r="D459" s="487"/>
      <c r="E459" s="487"/>
      <c r="F459" s="487"/>
      <c r="G459" s="487"/>
      <c r="H459" s="487"/>
      <c r="I459" s="487"/>
      <c r="J459" s="487"/>
      <c r="K459" s="492"/>
      <c r="L459" s="492"/>
      <c r="M459" s="492"/>
      <c r="N459" s="490" t="n">
        <v>4540</v>
      </c>
      <c r="O459" s="490" t="n">
        <v>3972.5</v>
      </c>
    </row>
    <row r="460" customFormat="false" ht="36.75" hidden="false" customHeight="true" outlineLevel="0" collapsed="false">
      <c r="B460" s="487" t="s">
        <v>2914</v>
      </c>
      <c r="C460" s="488" t="n">
        <v>680</v>
      </c>
      <c r="D460" s="489" t="n">
        <v>54</v>
      </c>
      <c r="E460" s="487" t="s">
        <v>994</v>
      </c>
      <c r="F460" s="487" t="s">
        <v>439</v>
      </c>
      <c r="G460" s="487" t="s">
        <v>443</v>
      </c>
      <c r="H460" s="487" t="s">
        <v>995</v>
      </c>
      <c r="I460" s="487" t="s">
        <v>1061</v>
      </c>
      <c r="J460" s="487" t="s">
        <v>1435</v>
      </c>
      <c r="K460" s="490" t="n">
        <v>38080</v>
      </c>
      <c r="L460" s="490" t="n">
        <v>24150</v>
      </c>
      <c r="M460" s="491" t="n">
        <v>14</v>
      </c>
      <c r="N460" s="490" t="n">
        <v>13930</v>
      </c>
      <c r="O460" s="490" t="n">
        <v>11979.8</v>
      </c>
    </row>
    <row r="461" customFormat="false" ht="12.75" hidden="true" customHeight="true" outlineLevel="1" collapsed="false">
      <c r="B461" s="487" t="s">
        <v>417</v>
      </c>
      <c r="C461" s="487"/>
      <c r="D461" s="487"/>
      <c r="E461" s="487"/>
      <c r="F461" s="487"/>
      <c r="G461" s="487"/>
      <c r="H461" s="487"/>
      <c r="I461" s="487"/>
      <c r="J461" s="487"/>
      <c r="K461" s="492"/>
      <c r="L461" s="492"/>
      <c r="M461" s="492"/>
      <c r="N461" s="490" t="n">
        <v>13930</v>
      </c>
      <c r="O461" s="490" t="n">
        <v>11979.8</v>
      </c>
    </row>
    <row r="462" customFormat="false" ht="36.75" hidden="false" customHeight="true" outlineLevel="0" collapsed="false">
      <c r="B462" s="487" t="s">
        <v>2923</v>
      </c>
      <c r="C462" s="488" t="n">
        <v>690</v>
      </c>
      <c r="D462" s="489" t="n">
        <v>54961</v>
      </c>
      <c r="E462" s="487" t="s">
        <v>908</v>
      </c>
      <c r="F462" s="487" t="s">
        <v>411</v>
      </c>
      <c r="G462" s="487" t="s">
        <v>381</v>
      </c>
      <c r="H462" s="489" t="n">
        <v>14</v>
      </c>
      <c r="I462" s="487" t="s">
        <v>1058</v>
      </c>
      <c r="J462" s="487" t="s">
        <v>1435</v>
      </c>
      <c r="K462" s="490" t="n">
        <v>22880</v>
      </c>
      <c r="L462" s="490" t="n">
        <v>14180</v>
      </c>
      <c r="M462" s="491" t="n">
        <v>15</v>
      </c>
      <c r="N462" s="490" t="n">
        <v>8700</v>
      </c>
      <c r="O462" s="490" t="n">
        <v>7395</v>
      </c>
    </row>
    <row r="463" customFormat="false" ht="12.75" hidden="true" customHeight="true" outlineLevel="1" collapsed="false">
      <c r="B463" s="487" t="s">
        <v>417</v>
      </c>
      <c r="C463" s="487"/>
      <c r="D463" s="487"/>
      <c r="E463" s="487"/>
      <c r="F463" s="487"/>
      <c r="G463" s="487"/>
      <c r="H463" s="487"/>
      <c r="I463" s="487"/>
      <c r="J463" s="487"/>
      <c r="K463" s="492"/>
      <c r="L463" s="492"/>
      <c r="M463" s="492"/>
      <c r="N463" s="490" t="n">
        <v>8700</v>
      </c>
      <c r="O463" s="490" t="n">
        <v>7395</v>
      </c>
    </row>
    <row r="464" customFormat="false" ht="48.75" hidden="false" customHeight="true" outlineLevel="0" collapsed="false">
      <c r="B464" s="487" t="s">
        <v>2918</v>
      </c>
      <c r="C464" s="488" t="n">
        <v>684</v>
      </c>
      <c r="D464" s="489" t="n">
        <v>54953</v>
      </c>
      <c r="E464" s="487" t="s">
        <v>908</v>
      </c>
      <c r="F464" s="487" t="s">
        <v>519</v>
      </c>
      <c r="G464" s="487" t="s">
        <v>523</v>
      </c>
      <c r="H464" s="489" t="n">
        <v>14</v>
      </c>
      <c r="I464" s="487" t="s">
        <v>1058</v>
      </c>
      <c r="J464" s="487" t="s">
        <v>1435</v>
      </c>
      <c r="K464" s="490" t="n">
        <v>18400</v>
      </c>
      <c r="L464" s="490" t="n">
        <v>15660</v>
      </c>
      <c r="M464" s="491" t="n">
        <v>11</v>
      </c>
      <c r="N464" s="490" t="n">
        <v>2740</v>
      </c>
      <c r="O464" s="490" t="n">
        <v>2438.6</v>
      </c>
    </row>
    <row r="465" customFormat="false" ht="12.75" hidden="true" customHeight="true" outlineLevel="1" collapsed="false">
      <c r="B465" s="487" t="s">
        <v>417</v>
      </c>
      <c r="C465" s="487"/>
      <c r="D465" s="487"/>
      <c r="E465" s="487"/>
      <c r="F465" s="487"/>
      <c r="G465" s="487"/>
      <c r="H465" s="487"/>
      <c r="I465" s="487"/>
      <c r="J465" s="487"/>
      <c r="K465" s="492"/>
      <c r="L465" s="492"/>
      <c r="M465" s="492"/>
      <c r="N465" s="490" t="n">
        <v>2740</v>
      </c>
      <c r="O465" s="490" t="n">
        <v>2438.6</v>
      </c>
    </row>
    <row r="466" customFormat="false" ht="36.75" hidden="false" customHeight="true" outlineLevel="0" collapsed="false">
      <c r="B466" s="487" t="s">
        <v>2922</v>
      </c>
      <c r="C466" s="488" t="n">
        <v>689</v>
      </c>
      <c r="D466" s="489" t="n">
        <v>54960</v>
      </c>
      <c r="E466" s="487" t="s">
        <v>908</v>
      </c>
      <c r="F466" s="487" t="s">
        <v>472</v>
      </c>
      <c r="G466" s="487" t="s">
        <v>476</v>
      </c>
      <c r="H466" s="489" t="n">
        <v>14</v>
      </c>
      <c r="I466" s="487" t="s">
        <v>1058</v>
      </c>
      <c r="J466" s="487" t="s">
        <v>1435</v>
      </c>
      <c r="K466" s="490" t="n">
        <v>23950</v>
      </c>
      <c r="L466" s="490" t="n">
        <v>15560</v>
      </c>
      <c r="M466" s="491" t="n">
        <v>14</v>
      </c>
      <c r="N466" s="490" t="n">
        <v>8390</v>
      </c>
      <c r="O466" s="490" t="n">
        <v>7215.4</v>
      </c>
    </row>
    <row r="467" customFormat="false" ht="12.75" hidden="true" customHeight="true" outlineLevel="1" collapsed="false">
      <c r="B467" s="487" t="s">
        <v>417</v>
      </c>
      <c r="C467" s="487"/>
      <c r="D467" s="487"/>
      <c r="E467" s="487"/>
      <c r="F467" s="487"/>
      <c r="G467" s="487"/>
      <c r="H467" s="487"/>
      <c r="I467" s="487"/>
      <c r="J467" s="487"/>
      <c r="K467" s="492"/>
      <c r="L467" s="492"/>
      <c r="M467" s="492"/>
      <c r="N467" s="490" t="n">
        <v>8390</v>
      </c>
      <c r="O467" s="490" t="n">
        <v>7215.4</v>
      </c>
    </row>
    <row r="468" customFormat="false" ht="36.75" hidden="false" customHeight="true" outlineLevel="0" collapsed="false">
      <c r="B468" s="487" t="s">
        <v>2921</v>
      </c>
      <c r="C468" s="488" t="n">
        <v>687</v>
      </c>
      <c r="D468" s="489" t="n">
        <v>54959</v>
      </c>
      <c r="E468" s="487" t="s">
        <v>908</v>
      </c>
      <c r="F468" s="487" t="s">
        <v>511</v>
      </c>
      <c r="G468" s="487" t="s">
        <v>515</v>
      </c>
      <c r="H468" s="489" t="n">
        <v>14</v>
      </c>
      <c r="I468" s="487" t="s">
        <v>1058</v>
      </c>
      <c r="J468" s="487" t="s">
        <v>1435</v>
      </c>
      <c r="K468" s="490" t="n">
        <v>23370</v>
      </c>
      <c r="L468" s="490" t="n">
        <v>14830</v>
      </c>
      <c r="M468" s="491" t="n">
        <v>10.5</v>
      </c>
      <c r="N468" s="490" t="n">
        <v>8540</v>
      </c>
      <c r="O468" s="490" t="n">
        <v>7643.3</v>
      </c>
    </row>
    <row r="469" customFormat="false" ht="12.75" hidden="true" customHeight="true" outlineLevel="1" collapsed="false">
      <c r="B469" s="487" t="s">
        <v>417</v>
      </c>
      <c r="C469" s="487"/>
      <c r="D469" s="487"/>
      <c r="E469" s="487"/>
      <c r="F469" s="487"/>
      <c r="G469" s="487"/>
      <c r="H469" s="487"/>
      <c r="I469" s="487"/>
      <c r="J469" s="487"/>
      <c r="K469" s="492"/>
      <c r="L469" s="492"/>
      <c r="M469" s="492"/>
      <c r="N469" s="490" t="n">
        <v>8540</v>
      </c>
      <c r="O469" s="490" t="n">
        <v>7643.3</v>
      </c>
    </row>
    <row r="470" customFormat="false" ht="36.75" hidden="false" customHeight="true" outlineLevel="0" collapsed="false">
      <c r="B470" s="487" t="s">
        <v>2925</v>
      </c>
      <c r="C470" s="488" t="n">
        <v>693</v>
      </c>
      <c r="D470" s="489" t="n">
        <v>58</v>
      </c>
      <c r="E470" s="487" t="s">
        <v>994</v>
      </c>
      <c r="F470" s="487" t="s">
        <v>553</v>
      </c>
      <c r="G470" s="487" t="s">
        <v>557</v>
      </c>
      <c r="H470" s="487" t="s">
        <v>995</v>
      </c>
      <c r="I470" s="487" t="s">
        <v>904</v>
      </c>
      <c r="J470" s="487" t="s">
        <v>1435</v>
      </c>
      <c r="K470" s="490" t="n">
        <v>28870</v>
      </c>
      <c r="L470" s="490" t="n">
        <v>14960</v>
      </c>
      <c r="M470" s="491" t="n">
        <v>9</v>
      </c>
      <c r="N470" s="490" t="n">
        <v>13910</v>
      </c>
      <c r="O470" s="490" t="n">
        <v>12658.1</v>
      </c>
    </row>
    <row r="471" customFormat="false" ht="12.75" hidden="true" customHeight="true" outlineLevel="1" collapsed="false">
      <c r="B471" s="487" t="s">
        <v>417</v>
      </c>
      <c r="C471" s="487"/>
      <c r="D471" s="487"/>
      <c r="E471" s="487"/>
      <c r="F471" s="487"/>
      <c r="G471" s="487"/>
      <c r="H471" s="487"/>
      <c r="I471" s="487"/>
      <c r="J471" s="487"/>
      <c r="K471" s="492"/>
      <c r="L471" s="492"/>
      <c r="M471" s="492"/>
      <c r="N471" s="490" t="n">
        <v>13910</v>
      </c>
      <c r="O471" s="490" t="n">
        <v>12658.1</v>
      </c>
    </row>
    <row r="472" customFormat="false" ht="36.75" hidden="false" customHeight="true" outlineLevel="0" collapsed="false">
      <c r="B472" s="487" t="s">
        <v>2924</v>
      </c>
      <c r="C472" s="488" t="n">
        <v>692</v>
      </c>
      <c r="D472" s="489" t="n">
        <v>59</v>
      </c>
      <c r="E472" s="487" t="s">
        <v>994</v>
      </c>
      <c r="F472" s="487" t="s">
        <v>359</v>
      </c>
      <c r="G472" s="487" t="s">
        <v>426</v>
      </c>
      <c r="H472" s="487" t="s">
        <v>995</v>
      </c>
      <c r="I472" s="487" t="s">
        <v>904</v>
      </c>
      <c r="J472" s="487" t="s">
        <v>1435</v>
      </c>
      <c r="K472" s="490" t="n">
        <v>27500</v>
      </c>
      <c r="L472" s="490" t="n">
        <v>13820</v>
      </c>
      <c r="M472" s="491" t="n">
        <v>13</v>
      </c>
      <c r="N472" s="490" t="n">
        <v>13680</v>
      </c>
      <c r="O472" s="490" t="n">
        <v>11901.6</v>
      </c>
    </row>
    <row r="473" customFormat="false" ht="12.75" hidden="true" customHeight="true" outlineLevel="1" collapsed="false">
      <c r="B473" s="487" t="s">
        <v>417</v>
      </c>
      <c r="C473" s="487"/>
      <c r="D473" s="487"/>
      <c r="E473" s="487"/>
      <c r="F473" s="487"/>
      <c r="G473" s="487"/>
      <c r="H473" s="487"/>
      <c r="I473" s="487"/>
      <c r="J473" s="487"/>
      <c r="K473" s="492"/>
      <c r="L473" s="492"/>
      <c r="M473" s="492"/>
      <c r="N473" s="490" t="n">
        <v>13680</v>
      </c>
      <c r="O473" s="490" t="n">
        <v>11901.6</v>
      </c>
    </row>
    <row r="474" customFormat="false" ht="36.75" hidden="false" customHeight="true" outlineLevel="0" collapsed="false">
      <c r="B474" s="487" t="s">
        <v>2926</v>
      </c>
      <c r="C474" s="488" t="n">
        <v>694</v>
      </c>
      <c r="D474" s="489" t="n">
        <v>56</v>
      </c>
      <c r="E474" s="487" t="s">
        <v>994</v>
      </c>
      <c r="F474" s="487" t="s">
        <v>445</v>
      </c>
      <c r="G474" s="487" t="s">
        <v>449</v>
      </c>
      <c r="H474" s="487" t="s">
        <v>995</v>
      </c>
      <c r="I474" s="487" t="s">
        <v>904</v>
      </c>
      <c r="J474" s="487" t="s">
        <v>1435</v>
      </c>
      <c r="K474" s="490" t="n">
        <v>29640</v>
      </c>
      <c r="L474" s="490" t="n">
        <v>15750</v>
      </c>
      <c r="M474" s="491" t="n">
        <v>16</v>
      </c>
      <c r="N474" s="490" t="n">
        <v>13890</v>
      </c>
      <c r="O474" s="490" t="n">
        <v>11667.6</v>
      </c>
    </row>
    <row r="475" customFormat="false" ht="12.75" hidden="true" customHeight="true" outlineLevel="1" collapsed="false">
      <c r="B475" s="487" t="s">
        <v>417</v>
      </c>
      <c r="C475" s="487"/>
      <c r="D475" s="487"/>
      <c r="E475" s="487"/>
      <c r="F475" s="487"/>
      <c r="G475" s="487"/>
      <c r="H475" s="487"/>
      <c r="I475" s="487"/>
      <c r="J475" s="487"/>
      <c r="K475" s="492"/>
      <c r="L475" s="492"/>
      <c r="M475" s="492"/>
      <c r="N475" s="490" t="n">
        <v>13890</v>
      </c>
      <c r="O475" s="490" t="n">
        <v>11667.6</v>
      </c>
    </row>
    <row r="476" customFormat="false" ht="36.75" hidden="false" customHeight="true" outlineLevel="0" collapsed="false">
      <c r="B476" s="487" t="s">
        <v>2927</v>
      </c>
      <c r="C476" s="488" t="n">
        <v>695</v>
      </c>
      <c r="D476" s="489" t="n">
        <v>60</v>
      </c>
      <c r="E476" s="487" t="s">
        <v>994</v>
      </c>
      <c r="F476" s="487" t="s">
        <v>547</v>
      </c>
      <c r="G476" s="487" t="s">
        <v>551</v>
      </c>
      <c r="H476" s="487" t="s">
        <v>995</v>
      </c>
      <c r="I476" s="487" t="s">
        <v>904</v>
      </c>
      <c r="J476" s="487" t="s">
        <v>1435</v>
      </c>
      <c r="K476" s="490" t="n">
        <v>28640</v>
      </c>
      <c r="L476" s="490" t="n">
        <v>14780</v>
      </c>
      <c r="M476" s="491" t="n">
        <v>11</v>
      </c>
      <c r="N476" s="490" t="n">
        <v>13860</v>
      </c>
      <c r="O476" s="490" t="n">
        <v>12335.4</v>
      </c>
    </row>
    <row r="477" customFormat="false" ht="12.75" hidden="true" customHeight="true" outlineLevel="1" collapsed="false">
      <c r="B477" s="487" t="s">
        <v>417</v>
      </c>
      <c r="C477" s="487"/>
      <c r="D477" s="487"/>
      <c r="E477" s="487"/>
      <c r="F477" s="487"/>
      <c r="G477" s="487"/>
      <c r="H477" s="487"/>
      <c r="I477" s="487"/>
      <c r="J477" s="487"/>
      <c r="K477" s="492"/>
      <c r="L477" s="492"/>
      <c r="M477" s="492"/>
      <c r="N477" s="490" t="n">
        <v>13860</v>
      </c>
      <c r="O477" s="490" t="n">
        <v>12335.4</v>
      </c>
    </row>
    <row r="478" customFormat="false" ht="36.75" hidden="false" customHeight="true" outlineLevel="0" collapsed="false">
      <c r="B478" s="487" t="s">
        <v>2928</v>
      </c>
      <c r="C478" s="488" t="n">
        <v>696</v>
      </c>
      <c r="D478" s="489" t="n">
        <v>61</v>
      </c>
      <c r="E478" s="487" t="s">
        <v>994</v>
      </c>
      <c r="F478" s="487" t="s">
        <v>451</v>
      </c>
      <c r="G478" s="487" t="s">
        <v>455</v>
      </c>
      <c r="H478" s="487" t="s">
        <v>995</v>
      </c>
      <c r="I478" s="487" t="s">
        <v>904</v>
      </c>
      <c r="J478" s="487" t="s">
        <v>1435</v>
      </c>
      <c r="K478" s="490" t="n">
        <v>29000</v>
      </c>
      <c r="L478" s="490" t="n">
        <v>15150</v>
      </c>
      <c r="M478" s="491" t="n">
        <v>15</v>
      </c>
      <c r="N478" s="490" t="n">
        <v>13850</v>
      </c>
      <c r="O478" s="490" t="n">
        <v>11772.5</v>
      </c>
    </row>
    <row r="479" customFormat="false" ht="12.75" hidden="true" customHeight="true" outlineLevel="1" collapsed="false">
      <c r="B479" s="487" t="s">
        <v>417</v>
      </c>
      <c r="C479" s="487"/>
      <c r="D479" s="487"/>
      <c r="E479" s="487"/>
      <c r="F479" s="487"/>
      <c r="G479" s="487"/>
      <c r="H479" s="487"/>
      <c r="I479" s="487"/>
      <c r="J479" s="487"/>
      <c r="K479" s="492"/>
      <c r="L479" s="492"/>
      <c r="M479" s="492"/>
      <c r="N479" s="490" t="n">
        <v>13850</v>
      </c>
      <c r="O479" s="490" t="n">
        <v>11772.5</v>
      </c>
    </row>
    <row r="480" customFormat="false" ht="36.75" hidden="false" customHeight="true" outlineLevel="0" collapsed="false">
      <c r="B480" s="487" t="s">
        <v>2929</v>
      </c>
      <c r="C480" s="488" t="n">
        <v>697</v>
      </c>
      <c r="D480" s="489" t="n">
        <v>62</v>
      </c>
      <c r="E480" s="487" t="s">
        <v>994</v>
      </c>
      <c r="F480" s="487" t="s">
        <v>1086</v>
      </c>
      <c r="G480" s="487" t="s">
        <v>1087</v>
      </c>
      <c r="H480" s="487" t="s">
        <v>995</v>
      </c>
      <c r="I480" s="487" t="s">
        <v>904</v>
      </c>
      <c r="J480" s="487" t="s">
        <v>1435</v>
      </c>
      <c r="K480" s="490" t="n">
        <v>28630</v>
      </c>
      <c r="L480" s="490" t="n">
        <v>14960</v>
      </c>
      <c r="M480" s="491" t="n">
        <v>15.5</v>
      </c>
      <c r="N480" s="490" t="n">
        <v>13670</v>
      </c>
      <c r="O480" s="490" t="n">
        <v>11551.1</v>
      </c>
    </row>
    <row r="481" customFormat="false" ht="12.75" hidden="true" customHeight="true" outlineLevel="1" collapsed="false">
      <c r="B481" s="487" t="s">
        <v>417</v>
      </c>
      <c r="C481" s="487"/>
      <c r="D481" s="487"/>
      <c r="E481" s="487"/>
      <c r="F481" s="487"/>
      <c r="G481" s="487"/>
      <c r="H481" s="487"/>
      <c r="I481" s="487"/>
      <c r="J481" s="487"/>
      <c r="K481" s="492"/>
      <c r="L481" s="492"/>
      <c r="M481" s="492"/>
      <c r="N481" s="490" t="n">
        <v>13670</v>
      </c>
      <c r="O481" s="490" t="n">
        <v>11551.1</v>
      </c>
    </row>
    <row r="482" customFormat="false" ht="36.75" hidden="false" customHeight="true" outlineLevel="0" collapsed="false">
      <c r="B482" s="487" t="s">
        <v>2930</v>
      </c>
      <c r="C482" s="488" t="n">
        <v>698</v>
      </c>
      <c r="D482" s="489" t="n">
        <v>63</v>
      </c>
      <c r="E482" s="487" t="s">
        <v>994</v>
      </c>
      <c r="F482" s="487" t="s">
        <v>384</v>
      </c>
      <c r="G482" s="487" t="s">
        <v>385</v>
      </c>
      <c r="H482" s="487" t="s">
        <v>995</v>
      </c>
      <c r="I482" s="487" t="s">
        <v>904</v>
      </c>
      <c r="J482" s="487" t="s">
        <v>1435</v>
      </c>
      <c r="K482" s="490" t="n">
        <v>28060</v>
      </c>
      <c r="L482" s="490" t="n">
        <v>14450</v>
      </c>
      <c r="M482" s="491" t="n">
        <v>13.5</v>
      </c>
      <c r="N482" s="490" t="n">
        <v>13610</v>
      </c>
      <c r="O482" s="490" t="n">
        <v>11772.6</v>
      </c>
    </row>
    <row r="483" customFormat="false" ht="12.75" hidden="true" customHeight="true" outlineLevel="1" collapsed="false">
      <c r="B483" s="487" t="s">
        <v>417</v>
      </c>
      <c r="C483" s="487"/>
      <c r="D483" s="487"/>
      <c r="E483" s="487"/>
      <c r="F483" s="487"/>
      <c r="G483" s="487"/>
      <c r="H483" s="487"/>
      <c r="I483" s="487"/>
      <c r="J483" s="487"/>
      <c r="K483" s="492"/>
      <c r="L483" s="492"/>
      <c r="M483" s="492"/>
      <c r="N483" s="490" t="n">
        <v>13610</v>
      </c>
      <c r="O483" s="490" t="n">
        <v>11772.6</v>
      </c>
    </row>
    <row r="484" customFormat="false" ht="36.75" hidden="false" customHeight="true" outlineLevel="0" collapsed="false">
      <c r="B484" s="487" t="s">
        <v>2931</v>
      </c>
      <c r="C484" s="488" t="n">
        <v>699</v>
      </c>
      <c r="D484" s="489" t="n">
        <v>64</v>
      </c>
      <c r="E484" s="487" t="s">
        <v>994</v>
      </c>
      <c r="F484" s="487" t="s">
        <v>382</v>
      </c>
      <c r="G484" s="487" t="s">
        <v>383</v>
      </c>
      <c r="H484" s="487" t="s">
        <v>995</v>
      </c>
      <c r="I484" s="487" t="s">
        <v>904</v>
      </c>
      <c r="J484" s="487" t="s">
        <v>1435</v>
      </c>
      <c r="K484" s="490" t="n">
        <v>28320</v>
      </c>
      <c r="L484" s="490" t="n">
        <v>14900</v>
      </c>
      <c r="M484" s="491" t="n">
        <v>10.5</v>
      </c>
      <c r="N484" s="490" t="n">
        <v>13420</v>
      </c>
      <c r="O484" s="490" t="n">
        <v>12010.9</v>
      </c>
    </row>
    <row r="485" customFormat="false" ht="12.75" hidden="false" customHeight="true" outlineLevel="1" collapsed="false">
      <c r="B485" s="487" t="s">
        <v>417</v>
      </c>
      <c r="C485" s="487"/>
      <c r="D485" s="487"/>
      <c r="E485" s="487"/>
      <c r="F485" s="487"/>
      <c r="G485" s="487"/>
      <c r="H485" s="487"/>
      <c r="I485" s="487"/>
      <c r="J485" s="487"/>
      <c r="K485" s="492"/>
      <c r="L485" s="492"/>
      <c r="M485" s="492"/>
      <c r="N485" s="490" t="n">
        <v>13420</v>
      </c>
      <c r="O485" s="490" t="n">
        <v>12010.9</v>
      </c>
    </row>
    <row r="486" customFormat="false" ht="36.75" hidden="false" customHeight="true" outlineLevel="0" collapsed="false">
      <c r="B486" s="487" t="s">
        <v>2932</v>
      </c>
      <c r="C486" s="488" t="n">
        <v>700</v>
      </c>
      <c r="D486" s="489" t="n">
        <v>65</v>
      </c>
      <c r="E486" s="487" t="s">
        <v>994</v>
      </c>
      <c r="F486" s="487" t="s">
        <v>361</v>
      </c>
      <c r="G486" s="487" t="s">
        <v>362</v>
      </c>
      <c r="H486" s="487" t="s">
        <v>995</v>
      </c>
      <c r="I486" s="487" t="s">
        <v>904</v>
      </c>
      <c r="J486" s="487" t="s">
        <v>1435</v>
      </c>
      <c r="K486" s="490" t="n">
        <v>28080</v>
      </c>
      <c r="L486" s="490" t="n">
        <v>14830</v>
      </c>
      <c r="M486" s="491" t="n">
        <v>14.5</v>
      </c>
      <c r="N486" s="490" t="n">
        <v>13250</v>
      </c>
      <c r="O486" s="490" t="n">
        <v>11328.7</v>
      </c>
    </row>
    <row r="487" customFormat="false" ht="12.75" hidden="false" customHeight="true" outlineLevel="1" collapsed="false">
      <c r="B487" s="487" t="s">
        <v>417</v>
      </c>
      <c r="C487" s="487"/>
      <c r="D487" s="487"/>
      <c r="E487" s="487"/>
      <c r="F487" s="487"/>
      <c r="G487" s="487"/>
      <c r="H487" s="487"/>
      <c r="I487" s="487"/>
      <c r="J487" s="487"/>
      <c r="K487" s="492"/>
      <c r="L487" s="492"/>
      <c r="M487" s="492"/>
      <c r="N487" s="490" t="n">
        <v>13250</v>
      </c>
      <c r="O487" s="490" t="n">
        <v>11328.7</v>
      </c>
    </row>
    <row r="488" customFormat="false" ht="36.75" hidden="false" customHeight="true" outlineLevel="0" collapsed="false">
      <c r="B488" s="487" t="s">
        <v>2933</v>
      </c>
      <c r="C488" s="488" t="n">
        <v>701</v>
      </c>
      <c r="D488" s="489" t="n">
        <v>66</v>
      </c>
      <c r="E488" s="487" t="s">
        <v>994</v>
      </c>
      <c r="F488" s="487" t="s">
        <v>1092</v>
      </c>
      <c r="G488" s="487" t="s">
        <v>1093</v>
      </c>
      <c r="H488" s="487" t="s">
        <v>995</v>
      </c>
      <c r="I488" s="487" t="s">
        <v>904</v>
      </c>
      <c r="J488" s="487" t="s">
        <v>1435</v>
      </c>
      <c r="K488" s="490" t="n">
        <v>37610</v>
      </c>
      <c r="L488" s="490" t="n">
        <v>24100</v>
      </c>
      <c r="M488" s="491" t="n">
        <v>14.5</v>
      </c>
      <c r="N488" s="490" t="n">
        <v>13510</v>
      </c>
      <c r="O488" s="490" t="n">
        <v>11551</v>
      </c>
    </row>
    <row r="489" customFormat="false" ht="12.75" hidden="true" customHeight="true" outlineLevel="1" collapsed="false">
      <c r="B489" s="487" t="s">
        <v>417</v>
      </c>
      <c r="C489" s="487"/>
      <c r="D489" s="487"/>
      <c r="E489" s="487"/>
      <c r="F489" s="487"/>
      <c r="G489" s="487"/>
      <c r="H489" s="487"/>
      <c r="I489" s="487"/>
      <c r="J489" s="487"/>
      <c r="K489" s="492"/>
      <c r="L489" s="492"/>
      <c r="M489" s="492"/>
      <c r="N489" s="490" t="n">
        <v>13510</v>
      </c>
      <c r="O489" s="490" t="n">
        <v>11551</v>
      </c>
    </row>
    <row r="490" customFormat="false" ht="36.75" hidden="false" customHeight="true" outlineLevel="0" collapsed="false">
      <c r="B490" s="487" t="s">
        <v>2934</v>
      </c>
      <c r="C490" s="488" t="n">
        <v>702</v>
      </c>
      <c r="D490" s="489" t="n">
        <v>67</v>
      </c>
      <c r="E490" s="487" t="s">
        <v>994</v>
      </c>
      <c r="F490" s="487" t="s">
        <v>1095</v>
      </c>
      <c r="G490" s="487" t="s">
        <v>1096</v>
      </c>
      <c r="H490" s="487" t="s">
        <v>995</v>
      </c>
      <c r="I490" s="487" t="s">
        <v>1061</v>
      </c>
      <c r="J490" s="487" t="s">
        <v>1435</v>
      </c>
      <c r="K490" s="490" t="n">
        <v>29160</v>
      </c>
      <c r="L490" s="490" t="n">
        <v>22420</v>
      </c>
      <c r="M490" s="491" t="n">
        <v>14.5</v>
      </c>
      <c r="N490" s="490" t="n">
        <v>6740</v>
      </c>
      <c r="O490" s="490" t="n">
        <v>5762.7</v>
      </c>
    </row>
    <row r="491" customFormat="false" ht="12.75" hidden="true" customHeight="true" outlineLevel="1" collapsed="false">
      <c r="B491" s="487" t="s">
        <v>417</v>
      </c>
      <c r="C491" s="487"/>
      <c r="D491" s="487"/>
      <c r="E491" s="487"/>
      <c r="F491" s="487"/>
      <c r="G491" s="487"/>
      <c r="H491" s="487"/>
      <c r="I491" s="487"/>
      <c r="J491" s="487"/>
      <c r="K491" s="492"/>
      <c r="L491" s="492"/>
      <c r="M491" s="492"/>
      <c r="N491" s="490" t="n">
        <v>6740</v>
      </c>
      <c r="O491" s="490" t="n">
        <v>5762.7</v>
      </c>
    </row>
    <row r="492" customFormat="false" ht="36.75" hidden="false" customHeight="true" outlineLevel="0" collapsed="false">
      <c r="B492" s="487" t="s">
        <v>2935</v>
      </c>
      <c r="C492" s="488" t="n">
        <v>705</v>
      </c>
      <c r="D492" s="489" t="n">
        <v>67</v>
      </c>
      <c r="E492" s="487" t="s">
        <v>994</v>
      </c>
      <c r="F492" s="487" t="s">
        <v>1095</v>
      </c>
      <c r="G492" s="487" t="s">
        <v>1096</v>
      </c>
      <c r="H492" s="487" t="s">
        <v>995</v>
      </c>
      <c r="I492" s="487" t="s">
        <v>904</v>
      </c>
      <c r="J492" s="487" t="s">
        <v>1435</v>
      </c>
      <c r="K492" s="490" t="n">
        <v>22430</v>
      </c>
      <c r="L492" s="490" t="n">
        <v>15690</v>
      </c>
      <c r="M492" s="491" t="n">
        <v>10.5</v>
      </c>
      <c r="N492" s="490" t="n">
        <v>6740</v>
      </c>
      <c r="O492" s="490" t="n">
        <v>6032.3</v>
      </c>
    </row>
    <row r="493" customFormat="false" ht="12.75" hidden="true" customHeight="true" outlineLevel="1" collapsed="false">
      <c r="B493" s="487" t="s">
        <v>417</v>
      </c>
      <c r="C493" s="487"/>
      <c r="D493" s="487"/>
      <c r="E493" s="487"/>
      <c r="F493" s="487"/>
      <c r="G493" s="487"/>
      <c r="H493" s="487"/>
      <c r="I493" s="487"/>
      <c r="J493" s="487"/>
      <c r="K493" s="492"/>
      <c r="L493" s="492"/>
      <c r="M493" s="492"/>
      <c r="N493" s="490" t="n">
        <v>6740</v>
      </c>
      <c r="O493" s="490" t="n">
        <v>6032.3</v>
      </c>
    </row>
    <row r="494" customFormat="false" ht="36.75" hidden="false" customHeight="true" outlineLevel="0" collapsed="false">
      <c r="B494" s="487" t="s">
        <v>2936</v>
      </c>
      <c r="C494" s="488" t="n">
        <v>703</v>
      </c>
      <c r="D494" s="489" t="n">
        <v>68</v>
      </c>
      <c r="E494" s="487" t="s">
        <v>994</v>
      </c>
      <c r="F494" s="487" t="s">
        <v>365</v>
      </c>
      <c r="G494" s="487" t="s">
        <v>373</v>
      </c>
      <c r="H494" s="487" t="s">
        <v>995</v>
      </c>
      <c r="I494" s="487" t="s">
        <v>1061</v>
      </c>
      <c r="J494" s="487" t="s">
        <v>1435</v>
      </c>
      <c r="K494" s="490" t="n">
        <v>28880</v>
      </c>
      <c r="L494" s="490" t="n">
        <v>15740</v>
      </c>
      <c r="M494" s="491" t="n">
        <v>15.5</v>
      </c>
      <c r="N494" s="490" t="n">
        <v>13140</v>
      </c>
      <c r="O494" s="490" t="n">
        <v>11103.3</v>
      </c>
    </row>
    <row r="495" customFormat="false" ht="12.75" hidden="true" customHeight="true" outlineLevel="1" collapsed="false">
      <c r="B495" s="487" t="s">
        <v>417</v>
      </c>
      <c r="C495" s="487"/>
      <c r="D495" s="487"/>
      <c r="E495" s="487"/>
      <c r="F495" s="487"/>
      <c r="G495" s="487"/>
      <c r="H495" s="487"/>
      <c r="I495" s="487"/>
      <c r="J495" s="487"/>
      <c r="K495" s="492"/>
      <c r="L495" s="492"/>
      <c r="M495" s="492"/>
      <c r="N495" s="490" t="n">
        <v>13140</v>
      </c>
      <c r="O495" s="490" t="n">
        <v>11103.3</v>
      </c>
    </row>
    <row r="496" customFormat="false" ht="36.75" hidden="false" customHeight="true" outlineLevel="0" collapsed="false">
      <c r="B496" s="487" t="s">
        <v>2937</v>
      </c>
      <c r="C496" s="488" t="n">
        <v>704</v>
      </c>
      <c r="D496" s="489" t="n">
        <v>69</v>
      </c>
      <c r="E496" s="487" t="s">
        <v>994</v>
      </c>
      <c r="F496" s="487" t="s">
        <v>359</v>
      </c>
      <c r="G496" s="487" t="s">
        <v>426</v>
      </c>
      <c r="H496" s="487" t="s">
        <v>995</v>
      </c>
      <c r="I496" s="487" t="s">
        <v>1061</v>
      </c>
      <c r="J496" s="487" t="s">
        <v>1435</v>
      </c>
      <c r="K496" s="490" t="n">
        <v>27090</v>
      </c>
      <c r="L496" s="490" t="n">
        <v>13830</v>
      </c>
      <c r="M496" s="491" t="n">
        <v>12.5</v>
      </c>
      <c r="N496" s="490" t="n">
        <v>13260</v>
      </c>
      <c r="O496" s="490" t="n">
        <v>11602.5</v>
      </c>
    </row>
    <row r="497" customFormat="false" ht="12.75" hidden="true" customHeight="true" outlineLevel="1" collapsed="false">
      <c r="B497" s="487" t="s">
        <v>417</v>
      </c>
      <c r="C497" s="487"/>
      <c r="D497" s="487"/>
      <c r="E497" s="487"/>
      <c r="F497" s="487"/>
      <c r="G497" s="487"/>
      <c r="H497" s="487"/>
      <c r="I497" s="487"/>
      <c r="J497" s="487"/>
      <c r="K497" s="492"/>
      <c r="L497" s="492"/>
      <c r="M497" s="492"/>
      <c r="N497" s="490" t="n">
        <v>13260</v>
      </c>
      <c r="O497" s="490" t="n">
        <v>11602.5</v>
      </c>
    </row>
    <row r="498" customFormat="false" ht="36.75" hidden="false" customHeight="true" outlineLevel="0" collapsed="false">
      <c r="B498" s="487" t="s">
        <v>2938</v>
      </c>
      <c r="C498" s="488" t="n">
        <v>707</v>
      </c>
      <c r="D498" s="489" t="n">
        <v>70</v>
      </c>
      <c r="E498" s="487" t="s">
        <v>994</v>
      </c>
      <c r="F498" s="487" t="s">
        <v>439</v>
      </c>
      <c r="G498" s="487" t="s">
        <v>443</v>
      </c>
      <c r="H498" s="487" t="s">
        <v>995</v>
      </c>
      <c r="I498" s="487" t="s">
        <v>1061</v>
      </c>
      <c r="J498" s="487" t="s">
        <v>1435</v>
      </c>
      <c r="K498" s="490" t="n">
        <v>38010</v>
      </c>
      <c r="L498" s="490" t="n">
        <v>24110</v>
      </c>
      <c r="M498" s="491" t="n">
        <v>15</v>
      </c>
      <c r="N498" s="490" t="n">
        <v>13900</v>
      </c>
      <c r="O498" s="490" t="n">
        <v>11815</v>
      </c>
    </row>
    <row r="499" customFormat="false" ht="12.75" hidden="true" customHeight="true" outlineLevel="1" collapsed="false">
      <c r="B499" s="487" t="s">
        <v>417</v>
      </c>
      <c r="C499" s="487"/>
      <c r="D499" s="487"/>
      <c r="E499" s="487"/>
      <c r="F499" s="487"/>
      <c r="G499" s="487"/>
      <c r="H499" s="487"/>
      <c r="I499" s="487"/>
      <c r="J499" s="487"/>
      <c r="K499" s="492"/>
      <c r="L499" s="492"/>
      <c r="M499" s="492"/>
      <c r="N499" s="490" t="n">
        <v>13900</v>
      </c>
      <c r="O499" s="490" t="n">
        <v>11815</v>
      </c>
    </row>
    <row r="500" customFormat="false" ht="36.75" hidden="false" customHeight="true" outlineLevel="0" collapsed="false">
      <c r="B500" s="487" t="s">
        <v>2939</v>
      </c>
      <c r="C500" s="488" t="n">
        <v>709</v>
      </c>
      <c r="D500" s="489" t="n">
        <v>71</v>
      </c>
      <c r="E500" s="487" t="s">
        <v>994</v>
      </c>
      <c r="F500" s="487" t="s">
        <v>553</v>
      </c>
      <c r="G500" s="487" t="s">
        <v>557</v>
      </c>
      <c r="H500" s="487" t="s">
        <v>995</v>
      </c>
      <c r="I500" s="487" t="s">
        <v>1061</v>
      </c>
      <c r="J500" s="487" t="s">
        <v>1435</v>
      </c>
      <c r="K500" s="490" t="n">
        <v>28780</v>
      </c>
      <c r="L500" s="490" t="n">
        <v>14830</v>
      </c>
      <c r="M500" s="491" t="n">
        <v>11.5</v>
      </c>
      <c r="N500" s="490" t="n">
        <v>13950</v>
      </c>
      <c r="O500" s="490" t="n">
        <v>12345.7</v>
      </c>
    </row>
    <row r="501" customFormat="false" ht="12.75" hidden="true" customHeight="true" outlineLevel="1" collapsed="false">
      <c r="B501" s="487" t="s">
        <v>417</v>
      </c>
      <c r="C501" s="487"/>
      <c r="D501" s="487"/>
      <c r="E501" s="487"/>
      <c r="F501" s="487"/>
      <c r="G501" s="487"/>
      <c r="H501" s="487"/>
      <c r="I501" s="487"/>
      <c r="J501" s="487"/>
      <c r="K501" s="492"/>
      <c r="L501" s="492"/>
      <c r="M501" s="492"/>
      <c r="N501" s="490" t="n">
        <v>13950</v>
      </c>
      <c r="O501" s="490" t="n">
        <v>12345.7</v>
      </c>
    </row>
    <row r="502" customFormat="false" ht="36.75" hidden="false" customHeight="true" outlineLevel="0" collapsed="false">
      <c r="B502" s="487" t="s">
        <v>2940</v>
      </c>
      <c r="C502" s="488" t="n">
        <v>710</v>
      </c>
      <c r="D502" s="489" t="n">
        <v>72</v>
      </c>
      <c r="E502" s="487" t="s">
        <v>994</v>
      </c>
      <c r="F502" s="487" t="s">
        <v>445</v>
      </c>
      <c r="G502" s="487" t="s">
        <v>449</v>
      </c>
      <c r="H502" s="487" t="s">
        <v>1103</v>
      </c>
      <c r="I502" s="487" t="s">
        <v>904</v>
      </c>
      <c r="J502" s="487" t="s">
        <v>1435</v>
      </c>
      <c r="K502" s="490" t="n">
        <v>29430</v>
      </c>
      <c r="L502" s="490" t="n">
        <v>15580</v>
      </c>
      <c r="M502" s="491" t="n">
        <v>14</v>
      </c>
      <c r="N502" s="490" t="n">
        <v>13850</v>
      </c>
      <c r="O502" s="490" t="n">
        <v>11911</v>
      </c>
    </row>
    <row r="503" customFormat="false" ht="12.75" hidden="true" customHeight="true" outlineLevel="1" collapsed="false">
      <c r="B503" s="487" t="s">
        <v>417</v>
      </c>
      <c r="C503" s="487"/>
      <c r="D503" s="487"/>
      <c r="E503" s="487"/>
      <c r="F503" s="487"/>
      <c r="G503" s="487"/>
      <c r="H503" s="487"/>
      <c r="I503" s="487"/>
      <c r="J503" s="487"/>
      <c r="K503" s="492"/>
      <c r="L503" s="492"/>
      <c r="M503" s="492"/>
      <c r="N503" s="490" t="n">
        <v>13850</v>
      </c>
      <c r="O503" s="490" t="n">
        <v>11911</v>
      </c>
    </row>
    <row r="504" customFormat="false" ht="36.75" hidden="false" customHeight="true" outlineLevel="0" collapsed="false">
      <c r="B504" s="487" t="s">
        <v>2941</v>
      </c>
      <c r="C504" s="488" t="n">
        <v>711</v>
      </c>
      <c r="D504" s="489" t="n">
        <v>73</v>
      </c>
      <c r="E504" s="487" t="s">
        <v>994</v>
      </c>
      <c r="F504" s="487" t="s">
        <v>547</v>
      </c>
      <c r="G504" s="487" t="s">
        <v>551</v>
      </c>
      <c r="H504" s="487" t="s">
        <v>1103</v>
      </c>
      <c r="I504" s="487" t="s">
        <v>904</v>
      </c>
      <c r="J504" s="487" t="s">
        <v>1435</v>
      </c>
      <c r="K504" s="490" t="n">
        <v>28620</v>
      </c>
      <c r="L504" s="490" t="n">
        <v>14670</v>
      </c>
      <c r="M504" s="491" t="n">
        <v>17.5</v>
      </c>
      <c r="N504" s="490" t="n">
        <v>13950</v>
      </c>
      <c r="O504" s="490" t="n">
        <v>11508.7</v>
      </c>
    </row>
    <row r="505" customFormat="false" ht="12.75" hidden="true" customHeight="true" outlineLevel="1" collapsed="false">
      <c r="B505" s="487" t="s">
        <v>417</v>
      </c>
      <c r="C505" s="487"/>
      <c r="D505" s="487"/>
      <c r="E505" s="487"/>
      <c r="F505" s="487"/>
      <c r="G505" s="487"/>
      <c r="H505" s="487"/>
      <c r="I505" s="487"/>
      <c r="J505" s="487"/>
      <c r="K505" s="492"/>
      <c r="L505" s="492"/>
      <c r="M505" s="492"/>
      <c r="N505" s="490" t="n">
        <v>13950</v>
      </c>
      <c r="O505" s="490" t="n">
        <v>11508.7</v>
      </c>
    </row>
    <row r="506" customFormat="false" ht="36.75" hidden="false" customHeight="true" outlineLevel="0" collapsed="false">
      <c r="B506" s="487" t="s">
        <v>2942</v>
      </c>
      <c r="C506" s="488" t="n">
        <v>713</v>
      </c>
      <c r="D506" s="489" t="n">
        <v>75</v>
      </c>
      <c r="E506" s="487" t="s">
        <v>994</v>
      </c>
      <c r="F506" s="487" t="s">
        <v>1086</v>
      </c>
      <c r="G506" s="487" t="s">
        <v>1087</v>
      </c>
      <c r="H506" s="487" t="s">
        <v>1103</v>
      </c>
      <c r="I506" s="487" t="s">
        <v>904</v>
      </c>
      <c r="J506" s="487" t="s">
        <v>1435</v>
      </c>
      <c r="K506" s="490" t="n">
        <v>28960</v>
      </c>
      <c r="L506" s="490" t="n">
        <v>14850</v>
      </c>
      <c r="M506" s="491" t="n">
        <v>16</v>
      </c>
      <c r="N506" s="490" t="n">
        <v>14110</v>
      </c>
      <c r="O506" s="490" t="n">
        <v>11852.4</v>
      </c>
    </row>
    <row r="507" customFormat="false" ht="12.75" hidden="true" customHeight="true" outlineLevel="1" collapsed="false">
      <c r="B507" s="487" t="s">
        <v>417</v>
      </c>
      <c r="C507" s="487"/>
      <c r="D507" s="487"/>
      <c r="E507" s="487"/>
      <c r="F507" s="487"/>
      <c r="G507" s="487"/>
      <c r="H507" s="487"/>
      <c r="I507" s="487"/>
      <c r="J507" s="487"/>
      <c r="K507" s="492"/>
      <c r="L507" s="492"/>
      <c r="M507" s="492"/>
      <c r="N507" s="490" t="n">
        <v>14110</v>
      </c>
      <c r="O507" s="490" t="n">
        <v>11852.4</v>
      </c>
    </row>
    <row r="508" customFormat="false" ht="36.75" hidden="false" customHeight="true" outlineLevel="0" collapsed="false">
      <c r="B508" s="487" t="s">
        <v>2944</v>
      </c>
      <c r="C508" s="488" t="n">
        <v>714</v>
      </c>
      <c r="D508" s="489" t="n">
        <v>76</v>
      </c>
      <c r="E508" s="487" t="s">
        <v>994</v>
      </c>
      <c r="F508" s="487" t="s">
        <v>361</v>
      </c>
      <c r="G508" s="487" t="s">
        <v>362</v>
      </c>
      <c r="H508" s="487" t="s">
        <v>1103</v>
      </c>
      <c r="I508" s="487" t="s">
        <v>904</v>
      </c>
      <c r="J508" s="487" t="s">
        <v>1435</v>
      </c>
      <c r="K508" s="490" t="n">
        <v>28700</v>
      </c>
      <c r="L508" s="490" t="n">
        <v>14730</v>
      </c>
      <c r="M508" s="491" t="n">
        <v>15.5</v>
      </c>
      <c r="N508" s="490" t="n">
        <v>13970</v>
      </c>
      <c r="O508" s="490" t="n">
        <v>11804.6</v>
      </c>
    </row>
    <row r="509" customFormat="false" ht="12.75" hidden="true" customHeight="true" outlineLevel="1" collapsed="false">
      <c r="B509" s="487" t="s">
        <v>417</v>
      </c>
      <c r="C509" s="487"/>
      <c r="D509" s="487"/>
      <c r="E509" s="487"/>
      <c r="F509" s="487"/>
      <c r="G509" s="487"/>
      <c r="H509" s="487"/>
      <c r="I509" s="487"/>
      <c r="J509" s="487"/>
      <c r="K509" s="492"/>
      <c r="L509" s="492"/>
      <c r="M509" s="492"/>
      <c r="N509" s="490" t="n">
        <v>13970</v>
      </c>
      <c r="O509" s="490" t="n">
        <v>11804.6</v>
      </c>
    </row>
    <row r="510" customFormat="false" ht="36.75" hidden="false" customHeight="true" outlineLevel="0" collapsed="false">
      <c r="B510" s="487" t="s">
        <v>2943</v>
      </c>
      <c r="C510" s="488" t="n">
        <v>712</v>
      </c>
      <c r="D510" s="489" t="n">
        <v>74</v>
      </c>
      <c r="E510" s="487" t="s">
        <v>994</v>
      </c>
      <c r="F510" s="487" t="s">
        <v>451</v>
      </c>
      <c r="G510" s="487" t="s">
        <v>455</v>
      </c>
      <c r="H510" s="487" t="s">
        <v>1103</v>
      </c>
      <c r="I510" s="487" t="s">
        <v>904</v>
      </c>
      <c r="J510" s="487" t="s">
        <v>1435</v>
      </c>
      <c r="K510" s="490" t="n">
        <v>28980</v>
      </c>
      <c r="L510" s="490" t="n">
        <v>14970</v>
      </c>
      <c r="M510" s="491" t="n">
        <v>16.5</v>
      </c>
      <c r="N510" s="490" t="n">
        <v>14010</v>
      </c>
      <c r="O510" s="490" t="n">
        <v>11698.3</v>
      </c>
    </row>
    <row r="511" customFormat="false" ht="12.75" hidden="false" customHeight="true" outlineLevel="1" collapsed="false">
      <c r="B511" s="487" t="s">
        <v>417</v>
      </c>
      <c r="C511" s="487"/>
      <c r="D511" s="487"/>
      <c r="E511" s="487"/>
      <c r="F511" s="487"/>
      <c r="G511" s="487"/>
      <c r="H511" s="487"/>
      <c r="I511" s="487"/>
      <c r="J511" s="487"/>
      <c r="K511" s="492"/>
      <c r="L511" s="492"/>
      <c r="M511" s="492"/>
      <c r="N511" s="490" t="n">
        <v>14010</v>
      </c>
      <c r="O511" s="490" t="n">
        <v>11698.3</v>
      </c>
    </row>
    <row r="512" customFormat="false" ht="36.75" hidden="false" customHeight="true" outlineLevel="0" collapsed="false">
      <c r="B512" s="487" t="s">
        <v>2945</v>
      </c>
      <c r="C512" s="488" t="n">
        <v>715</v>
      </c>
      <c r="D512" s="489" t="n">
        <v>77</v>
      </c>
      <c r="E512" s="487" t="s">
        <v>994</v>
      </c>
      <c r="F512" s="487" t="s">
        <v>1092</v>
      </c>
      <c r="G512" s="487" t="s">
        <v>1093</v>
      </c>
      <c r="H512" s="487" t="s">
        <v>1103</v>
      </c>
      <c r="I512" s="487" t="s">
        <v>904</v>
      </c>
      <c r="J512" s="487" t="s">
        <v>1435</v>
      </c>
      <c r="K512" s="490" t="n">
        <v>38160</v>
      </c>
      <c r="L512" s="490" t="n">
        <v>24320</v>
      </c>
      <c r="M512" s="491" t="n">
        <v>15</v>
      </c>
      <c r="N512" s="490" t="n">
        <v>13840</v>
      </c>
      <c r="O512" s="490" t="n">
        <v>11764</v>
      </c>
    </row>
    <row r="513" customFormat="false" ht="12.75" hidden="true" customHeight="true" outlineLevel="1" collapsed="false">
      <c r="B513" s="487" t="s">
        <v>417</v>
      </c>
      <c r="C513" s="487"/>
      <c r="D513" s="487"/>
      <c r="E513" s="487"/>
      <c r="F513" s="487"/>
      <c r="G513" s="487"/>
      <c r="H513" s="487"/>
      <c r="I513" s="487"/>
      <c r="J513" s="487"/>
      <c r="K513" s="492"/>
      <c r="L513" s="492"/>
      <c r="M513" s="492"/>
      <c r="N513" s="490" t="n">
        <v>13840</v>
      </c>
      <c r="O513" s="490" t="n">
        <v>11764</v>
      </c>
    </row>
    <row r="514" customFormat="false" ht="36.75" hidden="false" customHeight="true" outlineLevel="0" collapsed="false">
      <c r="B514" s="487" t="s">
        <v>2946</v>
      </c>
      <c r="C514" s="488" t="n">
        <v>716</v>
      </c>
      <c r="D514" s="489" t="n">
        <v>78</v>
      </c>
      <c r="E514" s="487" t="s">
        <v>994</v>
      </c>
      <c r="F514" s="487" t="s">
        <v>1095</v>
      </c>
      <c r="G514" s="487" t="s">
        <v>1096</v>
      </c>
      <c r="H514" s="487" t="s">
        <v>1103</v>
      </c>
      <c r="I514" s="487" t="s">
        <v>904</v>
      </c>
      <c r="J514" s="487" t="s">
        <v>1435</v>
      </c>
      <c r="K514" s="490" t="n">
        <v>29310</v>
      </c>
      <c r="L514" s="490" t="n">
        <v>15590</v>
      </c>
      <c r="M514" s="491" t="n">
        <v>15.5</v>
      </c>
      <c r="N514" s="490" t="n">
        <v>13720</v>
      </c>
      <c r="O514" s="490" t="n">
        <v>11593.4</v>
      </c>
    </row>
    <row r="515" customFormat="false" ht="12.75" hidden="true" customHeight="true" outlineLevel="1" collapsed="false">
      <c r="B515" s="487" t="s">
        <v>417</v>
      </c>
      <c r="C515" s="487"/>
      <c r="D515" s="487"/>
      <c r="E515" s="487"/>
      <c r="F515" s="487"/>
      <c r="G515" s="487"/>
      <c r="H515" s="487"/>
      <c r="I515" s="487"/>
      <c r="J515" s="487"/>
      <c r="K515" s="492"/>
      <c r="L515" s="492"/>
      <c r="M515" s="492"/>
      <c r="N515" s="490" t="n">
        <v>13720</v>
      </c>
      <c r="O515" s="490" t="n">
        <v>11593.4</v>
      </c>
    </row>
    <row r="516" customFormat="false" ht="36.75" hidden="false" customHeight="true" outlineLevel="0" collapsed="false">
      <c r="B516" s="487" t="s">
        <v>2947</v>
      </c>
      <c r="C516" s="488" t="n">
        <v>717</v>
      </c>
      <c r="D516" s="489" t="n">
        <v>79</v>
      </c>
      <c r="E516" s="487" t="s">
        <v>994</v>
      </c>
      <c r="F516" s="487" t="s">
        <v>365</v>
      </c>
      <c r="G516" s="487" t="s">
        <v>373</v>
      </c>
      <c r="H516" s="487" t="s">
        <v>1103</v>
      </c>
      <c r="I516" s="487" t="s">
        <v>904</v>
      </c>
      <c r="J516" s="487" t="s">
        <v>1435</v>
      </c>
      <c r="K516" s="490" t="n">
        <v>29240</v>
      </c>
      <c r="L516" s="490" t="n">
        <v>15810</v>
      </c>
      <c r="M516" s="491" t="n">
        <v>10.5</v>
      </c>
      <c r="N516" s="490" t="n">
        <v>13430</v>
      </c>
      <c r="O516" s="490" t="n">
        <v>12019.8</v>
      </c>
    </row>
    <row r="517" customFormat="false" ht="12.75" hidden="true" customHeight="true" outlineLevel="1" collapsed="false">
      <c r="B517" s="487" t="s">
        <v>417</v>
      </c>
      <c r="C517" s="487"/>
      <c r="D517" s="487"/>
      <c r="E517" s="487"/>
      <c r="F517" s="487"/>
      <c r="G517" s="487"/>
      <c r="H517" s="487"/>
      <c r="I517" s="487"/>
      <c r="J517" s="487"/>
      <c r="K517" s="492"/>
      <c r="L517" s="492"/>
      <c r="M517" s="492"/>
      <c r="N517" s="490" t="n">
        <v>13430</v>
      </c>
      <c r="O517" s="490" t="n">
        <v>12019.8</v>
      </c>
    </row>
    <row r="518" customFormat="false" ht="36.75" hidden="false" customHeight="true" outlineLevel="0" collapsed="false">
      <c r="B518" s="487" t="s">
        <v>2948</v>
      </c>
      <c r="C518" s="488" t="n">
        <v>718</v>
      </c>
      <c r="D518" s="489" t="n">
        <v>81</v>
      </c>
      <c r="E518" s="487" t="s">
        <v>994</v>
      </c>
      <c r="F518" s="487" t="s">
        <v>384</v>
      </c>
      <c r="G518" s="487" t="s">
        <v>385</v>
      </c>
      <c r="H518" s="487" t="s">
        <v>1103</v>
      </c>
      <c r="I518" s="487" t="s">
        <v>904</v>
      </c>
      <c r="J518" s="487" t="s">
        <v>1435</v>
      </c>
      <c r="K518" s="490" t="n">
        <v>28100</v>
      </c>
      <c r="L518" s="490" t="n">
        <v>14460</v>
      </c>
      <c r="M518" s="491" t="n">
        <v>15</v>
      </c>
      <c r="N518" s="490" t="n">
        <v>13640</v>
      </c>
      <c r="O518" s="490" t="n">
        <v>11594</v>
      </c>
    </row>
    <row r="519" customFormat="false" ht="12.75" hidden="true" customHeight="true" outlineLevel="1" collapsed="false">
      <c r="B519" s="487" t="s">
        <v>417</v>
      </c>
      <c r="C519" s="487"/>
      <c r="D519" s="487"/>
      <c r="E519" s="487"/>
      <c r="F519" s="487"/>
      <c r="G519" s="487"/>
      <c r="H519" s="487"/>
      <c r="I519" s="487"/>
      <c r="J519" s="487"/>
      <c r="K519" s="492"/>
      <c r="L519" s="492"/>
      <c r="M519" s="492"/>
      <c r="N519" s="490" t="n">
        <v>13640</v>
      </c>
      <c r="O519" s="490" t="n">
        <v>11594</v>
      </c>
    </row>
    <row r="520" customFormat="false" ht="36.75" hidden="false" customHeight="true" outlineLevel="0" collapsed="false">
      <c r="B520" s="487" t="s">
        <v>2949</v>
      </c>
      <c r="C520" s="488" t="n">
        <v>719</v>
      </c>
      <c r="D520" s="489" t="n">
        <v>80</v>
      </c>
      <c r="E520" s="487" t="s">
        <v>994</v>
      </c>
      <c r="F520" s="487" t="s">
        <v>1113</v>
      </c>
      <c r="G520" s="487" t="s">
        <v>1114</v>
      </c>
      <c r="H520" s="487" t="s">
        <v>1103</v>
      </c>
      <c r="I520" s="487" t="s">
        <v>904</v>
      </c>
      <c r="J520" s="487" t="s">
        <v>1435</v>
      </c>
      <c r="K520" s="490" t="n">
        <v>29070</v>
      </c>
      <c r="L520" s="490" t="n">
        <v>15760</v>
      </c>
      <c r="M520" s="491" t="n">
        <v>15</v>
      </c>
      <c r="N520" s="490" t="n">
        <v>13310</v>
      </c>
      <c r="O520" s="490" t="n">
        <v>11313.5</v>
      </c>
    </row>
    <row r="521" customFormat="false" ht="12.75" hidden="true" customHeight="true" outlineLevel="1" collapsed="false">
      <c r="B521" s="487" t="s">
        <v>417</v>
      </c>
      <c r="C521" s="487"/>
      <c r="D521" s="487"/>
      <c r="E521" s="487"/>
      <c r="F521" s="487"/>
      <c r="G521" s="487"/>
      <c r="H521" s="487"/>
      <c r="I521" s="487"/>
      <c r="J521" s="487"/>
      <c r="K521" s="492"/>
      <c r="L521" s="492"/>
      <c r="M521" s="492"/>
      <c r="N521" s="490" t="n">
        <v>13310</v>
      </c>
      <c r="O521" s="490" t="n">
        <v>11313.5</v>
      </c>
    </row>
    <row r="522" customFormat="false" ht="36.75" hidden="false" customHeight="true" outlineLevel="0" collapsed="false">
      <c r="B522" s="487" t="s">
        <v>2950</v>
      </c>
      <c r="C522" s="488" t="n">
        <v>720</v>
      </c>
      <c r="D522" s="489" t="n">
        <v>82</v>
      </c>
      <c r="E522" s="487" t="s">
        <v>994</v>
      </c>
      <c r="F522" s="487" t="s">
        <v>382</v>
      </c>
      <c r="G522" s="487" t="s">
        <v>383</v>
      </c>
      <c r="H522" s="487" t="s">
        <v>1103</v>
      </c>
      <c r="I522" s="487" t="s">
        <v>904</v>
      </c>
      <c r="J522" s="487" t="s">
        <v>1435</v>
      </c>
      <c r="K522" s="490" t="n">
        <v>28500</v>
      </c>
      <c r="L522" s="490" t="n">
        <v>14870</v>
      </c>
      <c r="M522" s="491" t="n">
        <v>22</v>
      </c>
      <c r="N522" s="490" t="n">
        <v>13630</v>
      </c>
      <c r="O522" s="490" t="n">
        <v>10631.4</v>
      </c>
    </row>
    <row r="523" customFormat="false" ht="12.75" hidden="true" customHeight="true" outlineLevel="1" collapsed="false">
      <c r="B523" s="487" t="s">
        <v>417</v>
      </c>
      <c r="C523" s="487"/>
      <c r="D523" s="487"/>
      <c r="E523" s="487"/>
      <c r="F523" s="487"/>
      <c r="G523" s="487"/>
      <c r="H523" s="487"/>
      <c r="I523" s="487"/>
      <c r="J523" s="487"/>
      <c r="K523" s="492"/>
      <c r="L523" s="492"/>
      <c r="M523" s="492"/>
      <c r="N523" s="490" t="n">
        <v>13630</v>
      </c>
      <c r="O523" s="490" t="n">
        <v>10631.4</v>
      </c>
    </row>
    <row r="524" customFormat="false" ht="36.75" hidden="false" customHeight="true" outlineLevel="0" collapsed="false">
      <c r="B524" s="487" t="s">
        <v>2951</v>
      </c>
      <c r="C524" s="488" t="n">
        <v>721</v>
      </c>
      <c r="D524" s="489" t="n">
        <v>83</v>
      </c>
      <c r="E524" s="487" t="s">
        <v>994</v>
      </c>
      <c r="F524" s="487" t="s">
        <v>359</v>
      </c>
      <c r="G524" s="487" t="s">
        <v>426</v>
      </c>
      <c r="H524" s="487" t="s">
        <v>1103</v>
      </c>
      <c r="I524" s="487" t="s">
        <v>904</v>
      </c>
      <c r="J524" s="487" t="s">
        <v>1435</v>
      </c>
      <c r="K524" s="490" t="n">
        <v>27310</v>
      </c>
      <c r="L524" s="490" t="n">
        <v>13840</v>
      </c>
      <c r="M524" s="491" t="n">
        <v>22</v>
      </c>
      <c r="N524" s="490" t="n">
        <v>13470</v>
      </c>
      <c r="O524" s="490" t="n">
        <v>10506.6</v>
      </c>
    </row>
    <row r="525" customFormat="false" ht="12.75" hidden="true" customHeight="true" outlineLevel="1" collapsed="false">
      <c r="B525" s="487" t="s">
        <v>417</v>
      </c>
      <c r="C525" s="487"/>
      <c r="D525" s="487"/>
      <c r="E525" s="487"/>
      <c r="F525" s="487"/>
      <c r="G525" s="487"/>
      <c r="H525" s="487"/>
      <c r="I525" s="487"/>
      <c r="J525" s="487"/>
      <c r="K525" s="492"/>
      <c r="L525" s="492"/>
      <c r="M525" s="492"/>
      <c r="N525" s="490" t="n">
        <v>13470</v>
      </c>
      <c r="O525" s="490" t="n">
        <v>10506.6</v>
      </c>
    </row>
    <row r="526" customFormat="false" ht="36.75" hidden="false" customHeight="true" outlineLevel="0" collapsed="false">
      <c r="B526" s="487" t="s">
        <v>2952</v>
      </c>
      <c r="C526" s="488" t="n">
        <v>724</v>
      </c>
      <c r="D526" s="489" t="n">
        <v>84</v>
      </c>
      <c r="E526" s="487" t="s">
        <v>994</v>
      </c>
      <c r="F526" s="487" t="s">
        <v>553</v>
      </c>
      <c r="G526" s="487" t="s">
        <v>557</v>
      </c>
      <c r="H526" s="487" t="s">
        <v>1103</v>
      </c>
      <c r="I526" s="487" t="s">
        <v>904</v>
      </c>
      <c r="J526" s="487" t="s">
        <v>1435</v>
      </c>
      <c r="K526" s="490" t="n">
        <v>28560</v>
      </c>
      <c r="L526" s="490" t="n">
        <v>14790</v>
      </c>
      <c r="M526" s="491" t="n">
        <v>17</v>
      </c>
      <c r="N526" s="490" t="n">
        <v>13770</v>
      </c>
      <c r="O526" s="490" t="n">
        <v>11429.1</v>
      </c>
    </row>
    <row r="527" customFormat="false" ht="12.75" hidden="true" customHeight="true" outlineLevel="1" collapsed="false">
      <c r="B527" s="487" t="s">
        <v>417</v>
      </c>
      <c r="C527" s="487"/>
      <c r="D527" s="487"/>
      <c r="E527" s="487"/>
      <c r="F527" s="487"/>
      <c r="G527" s="487"/>
      <c r="H527" s="487"/>
      <c r="I527" s="487"/>
      <c r="J527" s="487"/>
      <c r="K527" s="492"/>
      <c r="L527" s="492"/>
      <c r="M527" s="492"/>
      <c r="N527" s="490" t="n">
        <v>13770</v>
      </c>
      <c r="O527" s="490" t="n">
        <v>11429.1</v>
      </c>
    </row>
    <row r="528" customFormat="false" ht="36.75" hidden="false" customHeight="true" outlineLevel="0" collapsed="false">
      <c r="B528" s="487" t="s">
        <v>2953</v>
      </c>
      <c r="C528" s="488" t="n">
        <v>725</v>
      </c>
      <c r="D528" s="489" t="n">
        <v>85</v>
      </c>
      <c r="E528" s="487" t="s">
        <v>994</v>
      </c>
      <c r="F528" s="487" t="s">
        <v>445</v>
      </c>
      <c r="G528" s="487" t="s">
        <v>449</v>
      </c>
      <c r="H528" s="487" t="s">
        <v>1103</v>
      </c>
      <c r="I528" s="487" t="s">
        <v>904</v>
      </c>
      <c r="J528" s="487" t="s">
        <v>1435</v>
      </c>
      <c r="K528" s="490" t="n">
        <v>29560</v>
      </c>
      <c r="L528" s="490" t="n">
        <v>15730</v>
      </c>
      <c r="M528" s="491" t="n">
        <v>19</v>
      </c>
      <c r="N528" s="490" t="n">
        <v>13830</v>
      </c>
      <c r="O528" s="490" t="n">
        <v>11202.3</v>
      </c>
    </row>
    <row r="529" customFormat="false" ht="12.75" hidden="true" customHeight="true" outlineLevel="1" collapsed="false">
      <c r="B529" s="487" t="s">
        <v>417</v>
      </c>
      <c r="C529" s="487"/>
      <c r="D529" s="487"/>
      <c r="E529" s="487"/>
      <c r="F529" s="487"/>
      <c r="G529" s="487"/>
      <c r="H529" s="487"/>
      <c r="I529" s="487"/>
      <c r="J529" s="487"/>
      <c r="K529" s="492"/>
      <c r="L529" s="492"/>
      <c r="M529" s="492"/>
      <c r="N529" s="490" t="n">
        <v>13830</v>
      </c>
      <c r="O529" s="490" t="n">
        <v>11202.3</v>
      </c>
    </row>
    <row r="530" customFormat="false" ht="36.75" hidden="false" customHeight="true" outlineLevel="0" collapsed="false">
      <c r="B530" s="487" t="s">
        <v>2954</v>
      </c>
      <c r="C530" s="488" t="n">
        <v>726</v>
      </c>
      <c r="D530" s="489" t="n">
        <v>86</v>
      </c>
      <c r="E530" s="487" t="s">
        <v>994</v>
      </c>
      <c r="F530" s="487" t="s">
        <v>547</v>
      </c>
      <c r="G530" s="487" t="s">
        <v>551</v>
      </c>
      <c r="H530" s="487" t="s">
        <v>1103</v>
      </c>
      <c r="I530" s="487" t="s">
        <v>904</v>
      </c>
      <c r="J530" s="487" t="s">
        <v>1435</v>
      </c>
      <c r="K530" s="490" t="n">
        <v>28510</v>
      </c>
      <c r="L530" s="490" t="n">
        <v>14780</v>
      </c>
      <c r="M530" s="491" t="n">
        <v>12</v>
      </c>
      <c r="N530" s="490" t="n">
        <v>13730</v>
      </c>
      <c r="O530" s="490" t="n">
        <v>12082.4</v>
      </c>
    </row>
    <row r="531" customFormat="false" ht="12.75" hidden="true" customHeight="true" outlineLevel="1" collapsed="false">
      <c r="B531" s="487" t="s">
        <v>417</v>
      </c>
      <c r="C531" s="487"/>
      <c r="D531" s="487"/>
      <c r="E531" s="487"/>
      <c r="F531" s="487"/>
      <c r="G531" s="487"/>
      <c r="H531" s="487"/>
      <c r="I531" s="487"/>
      <c r="J531" s="487"/>
      <c r="K531" s="492"/>
      <c r="L531" s="492"/>
      <c r="M531" s="492"/>
      <c r="N531" s="490" t="n">
        <v>13730</v>
      </c>
      <c r="O531" s="490" t="n">
        <v>12082.4</v>
      </c>
    </row>
    <row r="532" customFormat="false" ht="36.75" hidden="false" customHeight="true" outlineLevel="0" collapsed="false">
      <c r="B532" s="487" t="s">
        <v>2955</v>
      </c>
      <c r="C532" s="488" t="n">
        <v>727</v>
      </c>
      <c r="D532" s="489" t="n">
        <v>87</v>
      </c>
      <c r="E532" s="487" t="s">
        <v>994</v>
      </c>
      <c r="F532" s="487" t="s">
        <v>1086</v>
      </c>
      <c r="G532" s="487" t="s">
        <v>1087</v>
      </c>
      <c r="H532" s="487" t="s">
        <v>1103</v>
      </c>
      <c r="I532" s="487" t="s">
        <v>904</v>
      </c>
      <c r="J532" s="487" t="s">
        <v>1435</v>
      </c>
      <c r="K532" s="490" t="n">
        <v>28700</v>
      </c>
      <c r="L532" s="490" t="n">
        <v>14780</v>
      </c>
      <c r="M532" s="491" t="n">
        <v>17</v>
      </c>
      <c r="N532" s="490" t="n">
        <v>13920</v>
      </c>
      <c r="O532" s="490" t="n">
        <v>11553.6</v>
      </c>
    </row>
    <row r="533" customFormat="false" ht="12.75" hidden="true" customHeight="true" outlineLevel="1" collapsed="false">
      <c r="B533" s="487" t="s">
        <v>417</v>
      </c>
      <c r="C533" s="487"/>
      <c r="D533" s="487"/>
      <c r="E533" s="487"/>
      <c r="F533" s="487"/>
      <c r="G533" s="487"/>
      <c r="H533" s="487"/>
      <c r="I533" s="487"/>
      <c r="J533" s="487"/>
      <c r="K533" s="492"/>
      <c r="L533" s="492"/>
      <c r="M533" s="492"/>
      <c r="N533" s="490" t="n">
        <v>13920</v>
      </c>
      <c r="O533" s="490" t="n">
        <v>11553.6</v>
      </c>
    </row>
    <row r="534" customFormat="false" ht="36.75" hidden="false" customHeight="true" outlineLevel="0" collapsed="false">
      <c r="B534" s="487" t="s">
        <v>2956</v>
      </c>
      <c r="C534" s="488" t="n">
        <v>728</v>
      </c>
      <c r="D534" s="489" t="n">
        <v>88</v>
      </c>
      <c r="E534" s="487" t="s">
        <v>994</v>
      </c>
      <c r="F534" s="487" t="s">
        <v>439</v>
      </c>
      <c r="G534" s="487" t="s">
        <v>443</v>
      </c>
      <c r="H534" s="487" t="s">
        <v>1103</v>
      </c>
      <c r="I534" s="487" t="s">
        <v>904</v>
      </c>
      <c r="J534" s="487" t="s">
        <v>1435</v>
      </c>
      <c r="K534" s="490" t="n">
        <v>37980</v>
      </c>
      <c r="L534" s="490" t="n">
        <v>24020</v>
      </c>
      <c r="M534" s="491" t="n">
        <v>14</v>
      </c>
      <c r="N534" s="490" t="n">
        <v>13960</v>
      </c>
      <c r="O534" s="490" t="n">
        <v>12005.6</v>
      </c>
    </row>
    <row r="535" customFormat="false" ht="12.75" hidden="true" customHeight="true" outlineLevel="1" collapsed="false">
      <c r="B535" s="487" t="s">
        <v>417</v>
      </c>
      <c r="C535" s="487"/>
      <c r="D535" s="487"/>
      <c r="E535" s="487"/>
      <c r="F535" s="487"/>
      <c r="G535" s="487"/>
      <c r="H535" s="487"/>
      <c r="I535" s="487"/>
      <c r="J535" s="487"/>
      <c r="K535" s="492"/>
      <c r="L535" s="492"/>
      <c r="M535" s="492"/>
      <c r="N535" s="490" t="n">
        <v>13960</v>
      </c>
      <c r="O535" s="490" t="n">
        <v>12005.6</v>
      </c>
    </row>
    <row r="536" customFormat="false" ht="36.75" hidden="false" customHeight="true" outlineLevel="0" collapsed="false">
      <c r="B536" s="487" t="s">
        <v>2957</v>
      </c>
      <c r="C536" s="488" t="n">
        <v>729</v>
      </c>
      <c r="D536" s="489" t="n">
        <v>89</v>
      </c>
      <c r="E536" s="487" t="s">
        <v>994</v>
      </c>
      <c r="F536" s="487" t="s">
        <v>451</v>
      </c>
      <c r="G536" s="487" t="s">
        <v>455</v>
      </c>
      <c r="H536" s="487" t="s">
        <v>1103</v>
      </c>
      <c r="I536" s="487" t="s">
        <v>904</v>
      </c>
      <c r="J536" s="487" t="s">
        <v>1435</v>
      </c>
      <c r="K536" s="490" t="n">
        <v>28940</v>
      </c>
      <c r="L536" s="490" t="n">
        <v>14870</v>
      </c>
      <c r="M536" s="491" t="n">
        <v>12.5</v>
      </c>
      <c r="N536" s="490" t="n">
        <v>14070</v>
      </c>
      <c r="O536" s="490" t="n">
        <v>12311.2</v>
      </c>
    </row>
    <row r="537" customFormat="false" ht="12.75" hidden="true" customHeight="true" outlineLevel="1" collapsed="false">
      <c r="B537" s="487" t="s">
        <v>417</v>
      </c>
      <c r="C537" s="487"/>
      <c r="D537" s="487"/>
      <c r="E537" s="487"/>
      <c r="F537" s="487"/>
      <c r="G537" s="487"/>
      <c r="H537" s="487"/>
      <c r="I537" s="487"/>
      <c r="J537" s="487"/>
      <c r="K537" s="492"/>
      <c r="L537" s="492"/>
      <c r="M537" s="492"/>
      <c r="N537" s="490" t="n">
        <v>14070</v>
      </c>
      <c r="O537" s="490" t="n">
        <v>12311.2</v>
      </c>
    </row>
    <row r="538" customFormat="false" ht="36.75" hidden="false" customHeight="true" outlineLevel="0" collapsed="false">
      <c r="B538" s="487" t="s">
        <v>2958</v>
      </c>
      <c r="C538" s="488" t="n">
        <v>730</v>
      </c>
      <c r="D538" s="489" t="n">
        <v>90</v>
      </c>
      <c r="E538" s="487" t="s">
        <v>994</v>
      </c>
      <c r="F538" s="487" t="s">
        <v>361</v>
      </c>
      <c r="G538" s="487" t="s">
        <v>362</v>
      </c>
      <c r="H538" s="487" t="s">
        <v>1103</v>
      </c>
      <c r="I538" s="487" t="s">
        <v>904</v>
      </c>
      <c r="J538" s="487" t="s">
        <v>1435</v>
      </c>
      <c r="K538" s="490" t="n">
        <v>28690</v>
      </c>
      <c r="L538" s="490" t="n">
        <v>14690</v>
      </c>
      <c r="M538" s="491" t="n">
        <v>15.5</v>
      </c>
      <c r="N538" s="490" t="n">
        <v>14000</v>
      </c>
      <c r="O538" s="490" t="n">
        <v>11830</v>
      </c>
    </row>
    <row r="539" customFormat="false" ht="12.75" hidden="true" customHeight="true" outlineLevel="1" collapsed="false">
      <c r="B539" s="487" t="s">
        <v>417</v>
      </c>
      <c r="C539" s="487"/>
      <c r="D539" s="487"/>
      <c r="E539" s="487"/>
      <c r="F539" s="487"/>
      <c r="G539" s="487"/>
      <c r="H539" s="487"/>
      <c r="I539" s="487"/>
      <c r="J539" s="487"/>
      <c r="K539" s="492"/>
      <c r="L539" s="492"/>
      <c r="M539" s="492"/>
      <c r="N539" s="490" t="n">
        <v>14000</v>
      </c>
      <c r="O539" s="490" t="n">
        <v>11830</v>
      </c>
    </row>
    <row r="540" customFormat="false" ht="36.75" hidden="false" customHeight="true" outlineLevel="0" collapsed="false">
      <c r="B540" s="487" t="s">
        <v>2959</v>
      </c>
      <c r="C540" s="488" t="n">
        <v>731</v>
      </c>
      <c r="D540" s="489" t="n">
        <v>91</v>
      </c>
      <c r="E540" s="487" t="s">
        <v>994</v>
      </c>
      <c r="F540" s="487" t="s">
        <v>1092</v>
      </c>
      <c r="G540" s="487" t="s">
        <v>1093</v>
      </c>
      <c r="H540" s="487" t="s">
        <v>1103</v>
      </c>
      <c r="I540" s="487" t="s">
        <v>904</v>
      </c>
      <c r="J540" s="487" t="s">
        <v>1435</v>
      </c>
      <c r="K540" s="490" t="n">
        <v>38090</v>
      </c>
      <c r="L540" s="490" t="n">
        <v>24200</v>
      </c>
      <c r="M540" s="491" t="n">
        <v>16</v>
      </c>
      <c r="N540" s="490" t="n">
        <v>13890</v>
      </c>
      <c r="O540" s="490" t="n">
        <v>11667.6</v>
      </c>
    </row>
    <row r="541" customFormat="false" ht="12.75" hidden="true" customHeight="true" outlineLevel="1" collapsed="false">
      <c r="B541" s="487" t="s">
        <v>417</v>
      </c>
      <c r="C541" s="487"/>
      <c r="D541" s="487"/>
      <c r="E541" s="487"/>
      <c r="F541" s="487"/>
      <c r="G541" s="487"/>
      <c r="H541" s="487"/>
      <c r="I541" s="487"/>
      <c r="J541" s="487"/>
      <c r="K541" s="492"/>
      <c r="L541" s="492"/>
      <c r="M541" s="492"/>
      <c r="N541" s="490" t="n">
        <v>13890</v>
      </c>
      <c r="O541" s="490" t="n">
        <v>11667.6</v>
      </c>
    </row>
    <row r="542" customFormat="false" ht="36.75" hidden="false" customHeight="true" outlineLevel="0" collapsed="false">
      <c r="B542" s="487" t="s">
        <v>2960</v>
      </c>
      <c r="C542" s="488" t="n">
        <v>732</v>
      </c>
      <c r="D542" s="489" t="n">
        <v>95</v>
      </c>
      <c r="E542" s="487" t="s">
        <v>994</v>
      </c>
      <c r="F542" s="487" t="s">
        <v>1095</v>
      </c>
      <c r="G542" s="487" t="s">
        <v>1096</v>
      </c>
      <c r="H542" s="487" t="s">
        <v>995</v>
      </c>
      <c r="I542" s="487" t="s">
        <v>1061</v>
      </c>
      <c r="J542" s="487" t="s">
        <v>1435</v>
      </c>
      <c r="K542" s="490" t="n">
        <v>29440</v>
      </c>
      <c r="L542" s="490" t="n">
        <v>21370</v>
      </c>
      <c r="M542" s="491" t="n">
        <v>11.5</v>
      </c>
      <c r="N542" s="490" t="n">
        <v>8070</v>
      </c>
      <c r="O542" s="490" t="n">
        <v>7141.9</v>
      </c>
    </row>
    <row r="543" customFormat="false" ht="12.75" hidden="true" customHeight="true" outlineLevel="1" collapsed="false">
      <c r="B543" s="487" t="s">
        <v>417</v>
      </c>
      <c r="C543" s="487"/>
      <c r="D543" s="487"/>
      <c r="E543" s="487"/>
      <c r="F543" s="487"/>
      <c r="G543" s="487"/>
      <c r="H543" s="487"/>
      <c r="I543" s="487"/>
      <c r="J543" s="487"/>
      <c r="K543" s="492"/>
      <c r="L543" s="492"/>
      <c r="M543" s="492"/>
      <c r="N543" s="490" t="n">
        <v>8070</v>
      </c>
      <c r="O543" s="490" t="n">
        <v>7141.9</v>
      </c>
    </row>
    <row r="544" customFormat="false" ht="36.75" hidden="false" customHeight="true" outlineLevel="0" collapsed="false">
      <c r="B544" s="487" t="s">
        <v>2961</v>
      </c>
      <c r="C544" s="488" t="n">
        <v>734</v>
      </c>
      <c r="D544" s="489" t="n">
        <v>95</v>
      </c>
      <c r="E544" s="487" t="s">
        <v>994</v>
      </c>
      <c r="F544" s="487" t="s">
        <v>1095</v>
      </c>
      <c r="G544" s="487" t="s">
        <v>1096</v>
      </c>
      <c r="H544" s="487" t="s">
        <v>1103</v>
      </c>
      <c r="I544" s="487" t="s">
        <v>904</v>
      </c>
      <c r="J544" s="487" t="s">
        <v>1435</v>
      </c>
      <c r="K544" s="490" t="n">
        <v>21370</v>
      </c>
      <c r="L544" s="490" t="n">
        <v>15690</v>
      </c>
      <c r="M544" s="491" t="n">
        <v>15.5</v>
      </c>
      <c r="N544" s="490" t="n">
        <v>5680</v>
      </c>
      <c r="O544" s="490" t="n">
        <v>4799.6</v>
      </c>
    </row>
    <row r="545" customFormat="false" ht="12.75" hidden="true" customHeight="true" outlineLevel="1" collapsed="false">
      <c r="B545" s="487" t="s">
        <v>417</v>
      </c>
      <c r="C545" s="487"/>
      <c r="D545" s="487"/>
      <c r="E545" s="487"/>
      <c r="F545" s="487"/>
      <c r="G545" s="487"/>
      <c r="H545" s="487"/>
      <c r="I545" s="487"/>
      <c r="J545" s="487"/>
      <c r="K545" s="492"/>
      <c r="L545" s="492"/>
      <c r="M545" s="492"/>
      <c r="N545" s="490" t="n">
        <v>5680</v>
      </c>
      <c r="O545" s="490" t="n">
        <v>4799.6</v>
      </c>
    </row>
    <row r="546" customFormat="false" ht="36.75" hidden="false" customHeight="true" outlineLevel="0" collapsed="false">
      <c r="B546" s="487" t="s">
        <v>2962</v>
      </c>
      <c r="C546" s="488" t="n">
        <v>733</v>
      </c>
      <c r="D546" s="489" t="n">
        <v>92</v>
      </c>
      <c r="E546" s="487" t="s">
        <v>994</v>
      </c>
      <c r="F546" s="487" t="s">
        <v>1113</v>
      </c>
      <c r="G546" s="487" t="s">
        <v>1114</v>
      </c>
      <c r="H546" s="487" t="s">
        <v>995</v>
      </c>
      <c r="I546" s="487" t="s">
        <v>1061</v>
      </c>
      <c r="J546" s="487" t="s">
        <v>1435</v>
      </c>
      <c r="K546" s="490" t="n">
        <v>28830</v>
      </c>
      <c r="L546" s="490" t="n">
        <v>15620</v>
      </c>
      <c r="M546" s="491" t="n">
        <v>9.5</v>
      </c>
      <c r="N546" s="490" t="n">
        <v>13210</v>
      </c>
      <c r="O546" s="490" t="n">
        <v>11955</v>
      </c>
    </row>
    <row r="547" customFormat="false" ht="12.75" hidden="true" customHeight="true" outlineLevel="1" collapsed="false">
      <c r="B547" s="487" t="s">
        <v>417</v>
      </c>
      <c r="C547" s="487"/>
      <c r="D547" s="487"/>
      <c r="E547" s="487"/>
      <c r="F547" s="487"/>
      <c r="G547" s="487"/>
      <c r="H547" s="487"/>
      <c r="I547" s="487"/>
      <c r="J547" s="487"/>
      <c r="K547" s="492"/>
      <c r="L547" s="492"/>
      <c r="M547" s="492"/>
      <c r="N547" s="490" t="n">
        <v>13210</v>
      </c>
      <c r="O547" s="490" t="n">
        <v>11955</v>
      </c>
    </row>
    <row r="548" customFormat="false" ht="36.75" hidden="false" customHeight="true" outlineLevel="0" collapsed="false">
      <c r="B548" s="487" t="s">
        <v>2963</v>
      </c>
      <c r="C548" s="488" t="n">
        <v>735</v>
      </c>
      <c r="D548" s="489" t="n">
        <v>93</v>
      </c>
      <c r="E548" s="487" t="s">
        <v>994</v>
      </c>
      <c r="F548" s="487" t="s">
        <v>359</v>
      </c>
      <c r="G548" s="487" t="s">
        <v>426</v>
      </c>
      <c r="H548" s="487" t="s">
        <v>995</v>
      </c>
      <c r="I548" s="487" t="s">
        <v>1061</v>
      </c>
      <c r="J548" s="487" t="s">
        <v>1435</v>
      </c>
      <c r="K548" s="490" t="n">
        <v>27020</v>
      </c>
      <c r="L548" s="490" t="n">
        <v>13850</v>
      </c>
      <c r="M548" s="491" t="n">
        <v>8.5</v>
      </c>
      <c r="N548" s="490" t="n">
        <v>13170</v>
      </c>
      <c r="O548" s="490" t="n">
        <v>12050.5</v>
      </c>
    </row>
    <row r="549" customFormat="false" ht="12.75" hidden="true" customHeight="true" outlineLevel="1" collapsed="false">
      <c r="B549" s="487" t="s">
        <v>417</v>
      </c>
      <c r="C549" s="487"/>
      <c r="D549" s="487"/>
      <c r="E549" s="487"/>
      <c r="F549" s="487"/>
      <c r="G549" s="487"/>
      <c r="H549" s="487"/>
      <c r="I549" s="487"/>
      <c r="J549" s="487"/>
      <c r="K549" s="492"/>
      <c r="L549" s="492"/>
      <c r="M549" s="492"/>
      <c r="N549" s="490" t="n">
        <v>13170</v>
      </c>
      <c r="O549" s="490" t="n">
        <v>12050.5</v>
      </c>
    </row>
    <row r="550" customFormat="false" ht="36.75" hidden="false" customHeight="true" outlineLevel="0" collapsed="false">
      <c r="B550" s="487" t="s">
        <v>2964</v>
      </c>
      <c r="C550" s="488" t="n">
        <v>736</v>
      </c>
      <c r="D550" s="489" t="n">
        <v>94</v>
      </c>
      <c r="E550" s="487" t="s">
        <v>994</v>
      </c>
      <c r="F550" s="487" t="s">
        <v>472</v>
      </c>
      <c r="G550" s="487" t="s">
        <v>476</v>
      </c>
      <c r="H550" s="487" t="s">
        <v>995</v>
      </c>
      <c r="I550" s="487" t="s">
        <v>1061</v>
      </c>
      <c r="J550" s="487" t="s">
        <v>1435</v>
      </c>
      <c r="K550" s="490" t="n">
        <v>28770</v>
      </c>
      <c r="L550" s="490" t="n">
        <v>15540</v>
      </c>
      <c r="M550" s="491" t="n">
        <v>11.5</v>
      </c>
      <c r="N550" s="490" t="n">
        <v>13230</v>
      </c>
      <c r="O550" s="490" t="n">
        <v>11708.5</v>
      </c>
    </row>
    <row r="551" customFormat="false" ht="12.75" hidden="true" customHeight="true" outlineLevel="1" collapsed="false">
      <c r="B551" s="487" t="s">
        <v>417</v>
      </c>
      <c r="C551" s="487"/>
      <c r="D551" s="487"/>
      <c r="E551" s="487"/>
      <c r="F551" s="487"/>
      <c r="G551" s="487"/>
      <c r="H551" s="487"/>
      <c r="I551" s="487"/>
      <c r="J551" s="487"/>
      <c r="K551" s="492"/>
      <c r="L551" s="492"/>
      <c r="M551" s="492"/>
      <c r="N551" s="490" t="n">
        <v>13230</v>
      </c>
      <c r="O551" s="490" t="n">
        <v>11708.5</v>
      </c>
    </row>
    <row r="552" customFormat="false" ht="36.75" hidden="false" customHeight="true" outlineLevel="0" collapsed="false">
      <c r="B552" s="487" t="s">
        <v>2965</v>
      </c>
      <c r="C552" s="488" t="n">
        <v>738</v>
      </c>
      <c r="D552" s="489" t="n">
        <v>97</v>
      </c>
      <c r="E552" s="487" t="s">
        <v>994</v>
      </c>
      <c r="F552" s="487" t="s">
        <v>445</v>
      </c>
      <c r="G552" s="487" t="s">
        <v>449</v>
      </c>
      <c r="H552" s="487" t="s">
        <v>995</v>
      </c>
      <c r="I552" s="487" t="s">
        <v>1061</v>
      </c>
      <c r="J552" s="487" t="s">
        <v>1435</v>
      </c>
      <c r="K552" s="490" t="n">
        <v>28900</v>
      </c>
      <c r="L552" s="490" t="n">
        <v>15600</v>
      </c>
      <c r="M552" s="491" t="n">
        <v>10</v>
      </c>
      <c r="N552" s="490" t="n">
        <v>13300</v>
      </c>
      <c r="O552" s="490" t="n">
        <v>11970</v>
      </c>
    </row>
    <row r="553" customFormat="false" ht="12.75" hidden="true" customHeight="true" outlineLevel="1" collapsed="false">
      <c r="B553" s="487" t="s">
        <v>417</v>
      </c>
      <c r="C553" s="487"/>
      <c r="D553" s="487"/>
      <c r="E553" s="487"/>
      <c r="F553" s="487"/>
      <c r="G553" s="487"/>
      <c r="H553" s="487"/>
      <c r="I553" s="487"/>
      <c r="J553" s="487"/>
      <c r="K553" s="492"/>
      <c r="L553" s="492"/>
      <c r="M553" s="492"/>
      <c r="N553" s="490" t="n">
        <v>13300</v>
      </c>
      <c r="O553" s="490" t="n">
        <v>11970</v>
      </c>
    </row>
    <row r="554" customFormat="false" ht="36.75" hidden="false" customHeight="true" outlineLevel="0" collapsed="false">
      <c r="B554" s="487" t="s">
        <v>2966</v>
      </c>
      <c r="C554" s="488" t="n">
        <v>737</v>
      </c>
      <c r="D554" s="489" t="n">
        <v>96</v>
      </c>
      <c r="E554" s="487" t="s">
        <v>994</v>
      </c>
      <c r="F554" s="487" t="s">
        <v>553</v>
      </c>
      <c r="G554" s="487" t="s">
        <v>557</v>
      </c>
      <c r="H554" s="487" t="s">
        <v>995</v>
      </c>
      <c r="I554" s="487" t="s">
        <v>1061</v>
      </c>
      <c r="J554" s="487" t="s">
        <v>1435</v>
      </c>
      <c r="K554" s="490" t="n">
        <v>28050</v>
      </c>
      <c r="L554" s="490" t="n">
        <v>14900</v>
      </c>
      <c r="M554" s="491" t="n">
        <v>11.5</v>
      </c>
      <c r="N554" s="490" t="n">
        <v>13150</v>
      </c>
      <c r="O554" s="490" t="n">
        <v>11637.7</v>
      </c>
    </row>
    <row r="555" customFormat="false" ht="12.75" hidden="true" customHeight="true" outlineLevel="1" collapsed="false">
      <c r="B555" s="487" t="s">
        <v>417</v>
      </c>
      <c r="C555" s="487"/>
      <c r="D555" s="487"/>
      <c r="E555" s="487"/>
      <c r="F555" s="487"/>
      <c r="G555" s="487"/>
      <c r="H555" s="487"/>
      <c r="I555" s="487"/>
      <c r="J555" s="487"/>
      <c r="K555" s="492"/>
      <c r="L555" s="492"/>
      <c r="M555" s="492"/>
      <c r="N555" s="490" t="n">
        <v>13150</v>
      </c>
      <c r="O555" s="490" t="n">
        <v>11637.7</v>
      </c>
    </row>
    <row r="556" customFormat="false" ht="36.75" hidden="false" customHeight="true" outlineLevel="0" collapsed="false">
      <c r="B556" s="487" t="s">
        <v>2967</v>
      </c>
      <c r="C556" s="488" t="n">
        <v>741</v>
      </c>
      <c r="D556" s="489" t="n">
        <v>99</v>
      </c>
      <c r="E556" s="487" t="s">
        <v>994</v>
      </c>
      <c r="F556" s="487" t="s">
        <v>1086</v>
      </c>
      <c r="G556" s="487" t="s">
        <v>1087</v>
      </c>
      <c r="H556" s="487" t="s">
        <v>995</v>
      </c>
      <c r="I556" s="487" t="s">
        <v>1061</v>
      </c>
      <c r="J556" s="487" t="s">
        <v>1435</v>
      </c>
      <c r="K556" s="490" t="n">
        <v>28060</v>
      </c>
      <c r="L556" s="490" t="n">
        <v>14960</v>
      </c>
      <c r="M556" s="491" t="n">
        <v>7.5</v>
      </c>
      <c r="N556" s="490" t="n">
        <v>13100</v>
      </c>
      <c r="O556" s="490" t="n">
        <v>12117.5</v>
      </c>
    </row>
    <row r="557" customFormat="false" ht="12.75" hidden="true" customHeight="true" outlineLevel="1" collapsed="false">
      <c r="B557" s="487" t="s">
        <v>417</v>
      </c>
      <c r="C557" s="487"/>
      <c r="D557" s="487"/>
      <c r="E557" s="487"/>
      <c r="F557" s="487"/>
      <c r="G557" s="487"/>
      <c r="H557" s="487"/>
      <c r="I557" s="487"/>
      <c r="J557" s="487"/>
      <c r="K557" s="492"/>
      <c r="L557" s="492"/>
      <c r="M557" s="492"/>
      <c r="N557" s="490" t="n">
        <v>13100</v>
      </c>
      <c r="O557" s="490" t="n">
        <v>12117.5</v>
      </c>
    </row>
    <row r="558" customFormat="false" ht="36.75" hidden="false" customHeight="true" outlineLevel="0" collapsed="false">
      <c r="B558" s="487" t="s">
        <v>2968</v>
      </c>
      <c r="C558" s="488" t="n">
        <v>744</v>
      </c>
      <c r="D558" s="489" t="n">
        <v>98</v>
      </c>
      <c r="E558" s="487" t="s">
        <v>994</v>
      </c>
      <c r="F558" s="487" t="s">
        <v>547</v>
      </c>
      <c r="G558" s="487" t="s">
        <v>551</v>
      </c>
      <c r="H558" s="487" t="s">
        <v>995</v>
      </c>
      <c r="I558" s="487" t="s">
        <v>1061</v>
      </c>
      <c r="J558" s="487" t="s">
        <v>1435</v>
      </c>
      <c r="K558" s="490" t="n">
        <v>28210</v>
      </c>
      <c r="L558" s="490" t="n">
        <v>14660</v>
      </c>
      <c r="M558" s="491" t="n">
        <v>9</v>
      </c>
      <c r="N558" s="490" t="n">
        <v>13550</v>
      </c>
      <c r="O558" s="490" t="n">
        <v>12330.5</v>
      </c>
    </row>
    <row r="559" customFormat="false" ht="12.75" hidden="true" customHeight="true" outlineLevel="1" collapsed="false">
      <c r="B559" s="487" t="s">
        <v>417</v>
      </c>
      <c r="C559" s="487"/>
      <c r="D559" s="487"/>
      <c r="E559" s="487"/>
      <c r="F559" s="487"/>
      <c r="G559" s="487"/>
      <c r="H559" s="487"/>
      <c r="I559" s="487"/>
      <c r="J559" s="487"/>
      <c r="K559" s="492"/>
      <c r="L559" s="492"/>
      <c r="M559" s="492"/>
      <c r="N559" s="490" t="n">
        <v>13550</v>
      </c>
      <c r="O559" s="490" t="n">
        <v>12330.5</v>
      </c>
    </row>
    <row r="560" customFormat="false" ht="36.75" hidden="false" customHeight="true" outlineLevel="0" collapsed="false">
      <c r="B560" s="487" t="s">
        <v>2969</v>
      </c>
      <c r="C560" s="488" t="n">
        <v>745</v>
      </c>
      <c r="D560" s="489" t="n">
        <v>100</v>
      </c>
      <c r="E560" s="487" t="s">
        <v>994</v>
      </c>
      <c r="F560" s="487" t="s">
        <v>451</v>
      </c>
      <c r="G560" s="487" t="s">
        <v>455</v>
      </c>
      <c r="H560" s="487" t="s">
        <v>1103</v>
      </c>
      <c r="I560" s="487" t="s">
        <v>904</v>
      </c>
      <c r="J560" s="487" t="s">
        <v>1435</v>
      </c>
      <c r="K560" s="490" t="n">
        <v>28990</v>
      </c>
      <c r="L560" s="490" t="n">
        <v>15080</v>
      </c>
      <c r="M560" s="491" t="n">
        <v>17.5</v>
      </c>
      <c r="N560" s="490" t="n">
        <v>13910</v>
      </c>
      <c r="O560" s="490" t="n">
        <v>11475.7</v>
      </c>
    </row>
    <row r="561" customFormat="false" ht="12.75" hidden="true" customHeight="true" outlineLevel="1" collapsed="false">
      <c r="B561" s="487" t="s">
        <v>417</v>
      </c>
      <c r="C561" s="487"/>
      <c r="D561" s="487"/>
      <c r="E561" s="487"/>
      <c r="F561" s="487"/>
      <c r="G561" s="487"/>
      <c r="H561" s="487"/>
      <c r="I561" s="487"/>
      <c r="J561" s="487"/>
      <c r="K561" s="492"/>
      <c r="L561" s="492"/>
      <c r="M561" s="492"/>
      <c r="N561" s="490" t="n">
        <v>13910</v>
      </c>
      <c r="O561" s="490" t="n">
        <v>11475.7</v>
      </c>
    </row>
    <row r="562" customFormat="false" ht="36.75" hidden="false" customHeight="true" outlineLevel="0" collapsed="false">
      <c r="B562" s="487" t="s">
        <v>2970</v>
      </c>
      <c r="C562" s="488" t="n">
        <v>746</v>
      </c>
      <c r="D562" s="489" t="n">
        <v>101</v>
      </c>
      <c r="E562" s="487" t="s">
        <v>994</v>
      </c>
      <c r="F562" s="487" t="s">
        <v>1092</v>
      </c>
      <c r="G562" s="487" t="s">
        <v>1093</v>
      </c>
      <c r="H562" s="487" t="s">
        <v>1103</v>
      </c>
      <c r="I562" s="487" t="s">
        <v>904</v>
      </c>
      <c r="J562" s="487" t="s">
        <v>1435</v>
      </c>
      <c r="K562" s="490" t="n">
        <v>37840</v>
      </c>
      <c r="L562" s="490" t="n">
        <v>24070</v>
      </c>
      <c r="M562" s="491" t="n">
        <v>12.5</v>
      </c>
      <c r="N562" s="490" t="n">
        <v>13770</v>
      </c>
      <c r="O562" s="490" t="n">
        <v>12048.7</v>
      </c>
    </row>
    <row r="563" customFormat="false" ht="12.75" hidden="true" customHeight="true" outlineLevel="1" collapsed="false">
      <c r="B563" s="487" t="s">
        <v>417</v>
      </c>
      <c r="C563" s="487"/>
      <c r="D563" s="487"/>
      <c r="E563" s="487"/>
      <c r="F563" s="487"/>
      <c r="G563" s="487"/>
      <c r="H563" s="487"/>
      <c r="I563" s="487"/>
      <c r="J563" s="487"/>
      <c r="K563" s="492"/>
      <c r="L563" s="492"/>
      <c r="M563" s="492"/>
      <c r="N563" s="490" t="n">
        <v>13770</v>
      </c>
      <c r="O563" s="490" t="n">
        <v>12048.7</v>
      </c>
    </row>
    <row r="564" customFormat="false" ht="36.75" hidden="false" customHeight="true" outlineLevel="0" collapsed="false">
      <c r="B564" s="487" t="s">
        <v>2971</v>
      </c>
      <c r="C564" s="488" t="n">
        <v>747</v>
      </c>
      <c r="D564" s="489" t="n">
        <v>102</v>
      </c>
      <c r="E564" s="487" t="s">
        <v>994</v>
      </c>
      <c r="F564" s="487" t="s">
        <v>1095</v>
      </c>
      <c r="G564" s="487" t="s">
        <v>1096</v>
      </c>
      <c r="H564" s="487" t="s">
        <v>1103</v>
      </c>
      <c r="I564" s="487" t="s">
        <v>904</v>
      </c>
      <c r="J564" s="487" t="s">
        <v>1435</v>
      </c>
      <c r="K564" s="490" t="n">
        <v>29440</v>
      </c>
      <c r="L564" s="490" t="n">
        <v>15570</v>
      </c>
      <c r="M564" s="491" t="n">
        <v>11.5</v>
      </c>
      <c r="N564" s="490" t="n">
        <v>13870</v>
      </c>
      <c r="O564" s="490" t="n">
        <v>12274.9</v>
      </c>
    </row>
    <row r="565" customFormat="false" ht="12.75" hidden="true" customHeight="true" outlineLevel="1" collapsed="false">
      <c r="B565" s="487" t="s">
        <v>417</v>
      </c>
      <c r="C565" s="487"/>
      <c r="D565" s="487"/>
      <c r="E565" s="487"/>
      <c r="F565" s="487"/>
      <c r="G565" s="487"/>
      <c r="H565" s="487"/>
      <c r="I565" s="487"/>
      <c r="J565" s="487"/>
      <c r="K565" s="492"/>
      <c r="L565" s="492"/>
      <c r="M565" s="492"/>
      <c r="N565" s="490" t="n">
        <v>13870</v>
      </c>
      <c r="O565" s="490" t="n">
        <v>12274.9</v>
      </c>
    </row>
    <row r="566" customFormat="false" ht="36.75" hidden="false" customHeight="true" outlineLevel="0" collapsed="false">
      <c r="B566" s="487" t="s">
        <v>2972</v>
      </c>
      <c r="C566" s="488" t="n">
        <v>748</v>
      </c>
      <c r="D566" s="489" t="n">
        <v>103</v>
      </c>
      <c r="E566" s="487" t="s">
        <v>994</v>
      </c>
      <c r="F566" s="487" t="s">
        <v>1113</v>
      </c>
      <c r="G566" s="487" t="s">
        <v>1114</v>
      </c>
      <c r="H566" s="487" t="s">
        <v>1103</v>
      </c>
      <c r="I566" s="487" t="s">
        <v>904</v>
      </c>
      <c r="J566" s="487" t="s">
        <v>1435</v>
      </c>
      <c r="K566" s="490" t="n">
        <v>29280</v>
      </c>
      <c r="L566" s="490" t="n">
        <v>15500</v>
      </c>
      <c r="M566" s="491" t="n">
        <v>12</v>
      </c>
      <c r="N566" s="490" t="n">
        <v>13780</v>
      </c>
      <c r="O566" s="490" t="n">
        <v>12126.4</v>
      </c>
    </row>
    <row r="567" customFormat="false" ht="12.75" hidden="true" customHeight="true" outlineLevel="1" collapsed="false">
      <c r="B567" s="487" t="s">
        <v>417</v>
      </c>
      <c r="C567" s="487"/>
      <c r="D567" s="487"/>
      <c r="E567" s="487"/>
      <c r="F567" s="487"/>
      <c r="G567" s="487"/>
      <c r="H567" s="487"/>
      <c r="I567" s="487"/>
      <c r="J567" s="487"/>
      <c r="K567" s="492"/>
      <c r="L567" s="492"/>
      <c r="M567" s="492"/>
      <c r="N567" s="490" t="n">
        <v>13780</v>
      </c>
      <c r="O567" s="490" t="n">
        <v>12126.4</v>
      </c>
    </row>
    <row r="568" customFormat="false" ht="36.75" hidden="false" customHeight="true" outlineLevel="0" collapsed="false">
      <c r="B568" s="487" t="s">
        <v>2975</v>
      </c>
      <c r="C568" s="488" t="n">
        <v>751</v>
      </c>
      <c r="D568" s="489" t="n">
        <v>106</v>
      </c>
      <c r="E568" s="487" t="s">
        <v>994</v>
      </c>
      <c r="F568" s="487" t="s">
        <v>382</v>
      </c>
      <c r="G568" s="487" t="s">
        <v>383</v>
      </c>
      <c r="H568" s="487" t="s">
        <v>1103</v>
      </c>
      <c r="I568" s="487" t="s">
        <v>904</v>
      </c>
      <c r="J568" s="487" t="s">
        <v>1435</v>
      </c>
      <c r="K568" s="490" t="n">
        <v>28430</v>
      </c>
      <c r="L568" s="490" t="n">
        <v>14870</v>
      </c>
      <c r="M568" s="491" t="n">
        <v>6.5</v>
      </c>
      <c r="N568" s="490" t="n">
        <v>13560</v>
      </c>
      <c r="O568" s="490" t="n">
        <v>12678.6</v>
      </c>
    </row>
    <row r="569" customFormat="false" ht="12.75" hidden="true" customHeight="true" outlineLevel="1" collapsed="false">
      <c r="B569" s="487" t="s">
        <v>886</v>
      </c>
      <c r="C569" s="487"/>
      <c r="D569" s="487"/>
      <c r="E569" s="487"/>
      <c r="F569" s="487"/>
      <c r="G569" s="487"/>
      <c r="H569" s="487"/>
      <c r="I569" s="487"/>
      <c r="J569" s="487"/>
      <c r="K569" s="492"/>
      <c r="L569" s="492"/>
      <c r="M569" s="492"/>
      <c r="N569" s="490" t="n">
        <v>13560</v>
      </c>
      <c r="O569" s="490" t="n">
        <v>12678.6</v>
      </c>
    </row>
    <row r="570" customFormat="false" ht="36.75" hidden="false" customHeight="true" outlineLevel="0" collapsed="false">
      <c r="B570" s="487" t="s">
        <v>2976</v>
      </c>
      <c r="C570" s="488" t="n">
        <v>752</v>
      </c>
      <c r="D570" s="489" t="n">
        <v>107</v>
      </c>
      <c r="E570" s="487" t="s">
        <v>994</v>
      </c>
      <c r="F570" s="487" t="s">
        <v>365</v>
      </c>
      <c r="G570" s="487" t="s">
        <v>373</v>
      </c>
      <c r="H570" s="487" t="s">
        <v>1103</v>
      </c>
      <c r="I570" s="487" t="s">
        <v>904</v>
      </c>
      <c r="J570" s="487" t="s">
        <v>1435</v>
      </c>
      <c r="K570" s="490" t="n">
        <v>26200</v>
      </c>
      <c r="L570" s="490" t="n">
        <v>15790</v>
      </c>
      <c r="M570" s="491" t="n">
        <v>10</v>
      </c>
      <c r="N570" s="490" t="n">
        <v>10410</v>
      </c>
      <c r="O570" s="490" t="n">
        <v>9369</v>
      </c>
    </row>
    <row r="571" customFormat="false" ht="12.75" hidden="true" customHeight="true" outlineLevel="1" collapsed="false">
      <c r="B571" s="487" t="s">
        <v>886</v>
      </c>
      <c r="C571" s="487"/>
      <c r="D571" s="487"/>
      <c r="E571" s="487"/>
      <c r="F571" s="487"/>
      <c r="G571" s="487"/>
      <c r="H571" s="487"/>
      <c r="I571" s="487"/>
      <c r="J571" s="487"/>
      <c r="K571" s="492"/>
      <c r="L571" s="492"/>
      <c r="M571" s="492"/>
      <c r="N571" s="490" t="n">
        <v>10410</v>
      </c>
      <c r="O571" s="490" t="n">
        <v>9369</v>
      </c>
    </row>
    <row r="572" customFormat="false" ht="36.75" hidden="false" customHeight="true" outlineLevel="0" collapsed="false">
      <c r="B572" s="487" t="s">
        <v>2973</v>
      </c>
      <c r="C572" s="488" t="n">
        <v>749</v>
      </c>
      <c r="D572" s="489" t="n">
        <v>104</v>
      </c>
      <c r="E572" s="487" t="s">
        <v>994</v>
      </c>
      <c r="F572" s="487" t="s">
        <v>363</v>
      </c>
      <c r="G572" s="487" t="s">
        <v>364</v>
      </c>
      <c r="H572" s="487" t="s">
        <v>1103</v>
      </c>
      <c r="I572" s="487" t="s">
        <v>904</v>
      </c>
      <c r="J572" s="487" t="s">
        <v>1435</v>
      </c>
      <c r="K572" s="490" t="n">
        <v>28410</v>
      </c>
      <c r="L572" s="490" t="n">
        <v>14620</v>
      </c>
      <c r="M572" s="491" t="n">
        <v>10</v>
      </c>
      <c r="N572" s="490" t="n">
        <v>13790</v>
      </c>
      <c r="O572" s="490" t="n">
        <v>12411</v>
      </c>
    </row>
    <row r="573" customFormat="false" ht="12.75" hidden="true" customHeight="true" outlineLevel="1" collapsed="false">
      <c r="B573" s="487" t="s">
        <v>417</v>
      </c>
      <c r="C573" s="487"/>
      <c r="D573" s="487"/>
      <c r="E573" s="487"/>
      <c r="F573" s="487"/>
      <c r="G573" s="487"/>
      <c r="H573" s="487"/>
      <c r="I573" s="487"/>
      <c r="J573" s="487"/>
      <c r="K573" s="492"/>
      <c r="L573" s="492"/>
      <c r="M573" s="492"/>
      <c r="N573" s="490" t="n">
        <v>13790</v>
      </c>
      <c r="O573" s="490" t="n">
        <v>12411</v>
      </c>
    </row>
    <row r="574" customFormat="false" ht="36.75" hidden="false" customHeight="true" outlineLevel="0" collapsed="false">
      <c r="B574" s="487" t="s">
        <v>2974</v>
      </c>
      <c r="C574" s="488" t="n">
        <v>750</v>
      </c>
      <c r="D574" s="489" t="n">
        <v>105</v>
      </c>
      <c r="E574" s="487" t="s">
        <v>994</v>
      </c>
      <c r="F574" s="487" t="s">
        <v>361</v>
      </c>
      <c r="G574" s="487" t="s">
        <v>362</v>
      </c>
      <c r="H574" s="487" t="s">
        <v>1103</v>
      </c>
      <c r="I574" s="487" t="s">
        <v>904</v>
      </c>
      <c r="J574" s="487" t="s">
        <v>1435</v>
      </c>
      <c r="K574" s="490" t="n">
        <v>29090</v>
      </c>
      <c r="L574" s="490" t="n">
        <v>14910</v>
      </c>
      <c r="M574" s="491" t="n">
        <v>15</v>
      </c>
      <c r="N574" s="490" t="n">
        <v>14180</v>
      </c>
      <c r="O574" s="490" t="n">
        <v>12053</v>
      </c>
    </row>
    <row r="575" customFormat="false" ht="12.75" hidden="true" customHeight="true" outlineLevel="1" collapsed="false">
      <c r="B575" s="487" t="s">
        <v>417</v>
      </c>
      <c r="C575" s="487"/>
      <c r="D575" s="487"/>
      <c r="E575" s="487"/>
      <c r="F575" s="487"/>
      <c r="G575" s="487"/>
      <c r="H575" s="487"/>
      <c r="I575" s="487"/>
      <c r="J575" s="487"/>
      <c r="K575" s="492"/>
      <c r="L575" s="492"/>
      <c r="M575" s="492"/>
      <c r="N575" s="490" t="n">
        <v>14180</v>
      </c>
      <c r="O575" s="490" t="n">
        <v>12053</v>
      </c>
    </row>
    <row r="576" customFormat="false" ht="36.75" hidden="false" customHeight="true" outlineLevel="0" collapsed="false">
      <c r="B576" s="487" t="s">
        <v>2977</v>
      </c>
      <c r="C576" s="488" t="n">
        <v>753</v>
      </c>
      <c r="D576" s="489" t="n">
        <v>108</v>
      </c>
      <c r="E576" s="487" t="s">
        <v>994</v>
      </c>
      <c r="F576" s="487" t="s">
        <v>472</v>
      </c>
      <c r="G576" s="487" t="s">
        <v>476</v>
      </c>
      <c r="H576" s="487" t="s">
        <v>1144</v>
      </c>
      <c r="I576" s="487" t="s">
        <v>904</v>
      </c>
      <c r="J576" s="487" t="s">
        <v>1435</v>
      </c>
      <c r="K576" s="490" t="n">
        <v>28780</v>
      </c>
      <c r="L576" s="490" t="n">
        <v>15520</v>
      </c>
      <c r="M576" s="491" t="n">
        <v>18</v>
      </c>
      <c r="N576" s="490" t="n">
        <v>13260</v>
      </c>
      <c r="O576" s="490" t="n">
        <v>10873.2</v>
      </c>
    </row>
    <row r="577" customFormat="false" ht="12.75" hidden="true" customHeight="true" outlineLevel="1" collapsed="false">
      <c r="B577" s="487" t="s">
        <v>746</v>
      </c>
      <c r="C577" s="487"/>
      <c r="D577" s="487"/>
      <c r="E577" s="487"/>
      <c r="F577" s="487"/>
      <c r="G577" s="487"/>
      <c r="H577" s="487"/>
      <c r="I577" s="487"/>
      <c r="J577" s="487"/>
      <c r="K577" s="492"/>
      <c r="L577" s="492"/>
      <c r="M577" s="492"/>
      <c r="N577" s="490" t="n">
        <v>13260</v>
      </c>
      <c r="O577" s="490" t="n">
        <v>10873.2</v>
      </c>
    </row>
    <row r="578" customFormat="false" ht="36.75" hidden="false" customHeight="true" outlineLevel="0" collapsed="false">
      <c r="B578" s="487" t="s">
        <v>2978</v>
      </c>
      <c r="C578" s="488" t="n">
        <v>754</v>
      </c>
      <c r="D578" s="489" t="n">
        <v>109</v>
      </c>
      <c r="E578" s="487" t="s">
        <v>994</v>
      </c>
      <c r="F578" s="487" t="s">
        <v>553</v>
      </c>
      <c r="G578" s="487" t="s">
        <v>557</v>
      </c>
      <c r="H578" s="487" t="s">
        <v>1144</v>
      </c>
      <c r="I578" s="487" t="s">
        <v>904</v>
      </c>
      <c r="J578" s="487" t="s">
        <v>1435</v>
      </c>
      <c r="K578" s="490" t="n">
        <v>28230</v>
      </c>
      <c r="L578" s="490" t="n">
        <v>14800</v>
      </c>
      <c r="M578" s="491" t="n">
        <v>14</v>
      </c>
      <c r="N578" s="490" t="n">
        <v>13430</v>
      </c>
      <c r="O578" s="490" t="n">
        <v>11549.8</v>
      </c>
    </row>
    <row r="579" customFormat="false" ht="12.75" hidden="true" customHeight="true" outlineLevel="1" collapsed="false">
      <c r="B579" s="487" t="s">
        <v>417</v>
      </c>
      <c r="C579" s="487"/>
      <c r="D579" s="487"/>
      <c r="E579" s="487"/>
      <c r="F579" s="487"/>
      <c r="G579" s="487"/>
      <c r="H579" s="487"/>
      <c r="I579" s="487"/>
      <c r="J579" s="487"/>
      <c r="K579" s="492"/>
      <c r="L579" s="492"/>
      <c r="M579" s="492"/>
      <c r="N579" s="490" t="n">
        <v>13430</v>
      </c>
      <c r="O579" s="490" t="n">
        <v>11549.8</v>
      </c>
    </row>
    <row r="580" customFormat="false" ht="36.75" hidden="false" customHeight="true" outlineLevel="0" collapsed="false">
      <c r="B580" s="487" t="s">
        <v>2979</v>
      </c>
      <c r="C580" s="488" t="n">
        <v>756</v>
      </c>
      <c r="D580" s="489" t="n">
        <v>110</v>
      </c>
      <c r="E580" s="487" t="s">
        <v>994</v>
      </c>
      <c r="F580" s="487" t="s">
        <v>445</v>
      </c>
      <c r="G580" s="487" t="s">
        <v>449</v>
      </c>
      <c r="H580" s="487" t="s">
        <v>1144</v>
      </c>
      <c r="I580" s="487" t="s">
        <v>904</v>
      </c>
      <c r="J580" s="487" t="s">
        <v>1435</v>
      </c>
      <c r="K580" s="490" t="n">
        <v>29290</v>
      </c>
      <c r="L580" s="490" t="n">
        <v>15490</v>
      </c>
      <c r="M580" s="491" t="n">
        <v>12</v>
      </c>
      <c r="N580" s="490" t="n">
        <v>13800</v>
      </c>
      <c r="O580" s="490" t="n">
        <v>12144</v>
      </c>
    </row>
    <row r="581" customFormat="false" ht="12.75" hidden="true" customHeight="true" outlineLevel="1" collapsed="false">
      <c r="B581" s="487" t="s">
        <v>417</v>
      </c>
      <c r="C581" s="487"/>
      <c r="D581" s="487"/>
      <c r="E581" s="487"/>
      <c r="F581" s="487"/>
      <c r="G581" s="487"/>
      <c r="H581" s="487"/>
      <c r="I581" s="487"/>
      <c r="J581" s="487"/>
      <c r="K581" s="492"/>
      <c r="L581" s="492"/>
      <c r="M581" s="492"/>
      <c r="N581" s="490" t="n">
        <v>13800</v>
      </c>
      <c r="O581" s="490" t="n">
        <v>12144</v>
      </c>
    </row>
    <row r="582" customFormat="false" ht="36.75" hidden="false" customHeight="true" outlineLevel="0" collapsed="false">
      <c r="B582" s="487" t="s">
        <v>2980</v>
      </c>
      <c r="C582" s="488" t="n">
        <v>757</v>
      </c>
      <c r="D582" s="489" t="n">
        <v>111</v>
      </c>
      <c r="E582" s="487" t="s">
        <v>994</v>
      </c>
      <c r="F582" s="487" t="s">
        <v>1086</v>
      </c>
      <c r="G582" s="487" t="s">
        <v>1087</v>
      </c>
      <c r="H582" s="487" t="s">
        <v>1144</v>
      </c>
      <c r="I582" s="487" t="s">
        <v>904</v>
      </c>
      <c r="J582" s="487" t="s">
        <v>1435</v>
      </c>
      <c r="K582" s="490" t="n">
        <v>28420</v>
      </c>
      <c r="L582" s="490" t="n">
        <v>14850</v>
      </c>
      <c r="M582" s="491" t="n">
        <v>17</v>
      </c>
      <c r="N582" s="490" t="n">
        <v>13570</v>
      </c>
      <c r="O582" s="490" t="n">
        <v>11263.1</v>
      </c>
    </row>
    <row r="583" customFormat="false" ht="12.75" hidden="true" customHeight="true" outlineLevel="1" collapsed="false">
      <c r="B583" s="487" t="s">
        <v>417</v>
      </c>
      <c r="C583" s="487"/>
      <c r="D583" s="487"/>
      <c r="E583" s="487"/>
      <c r="F583" s="487"/>
      <c r="G583" s="487"/>
      <c r="H583" s="487"/>
      <c r="I583" s="487"/>
      <c r="J583" s="487"/>
      <c r="K583" s="492"/>
      <c r="L583" s="492"/>
      <c r="M583" s="492"/>
      <c r="N583" s="490" t="n">
        <v>13570</v>
      </c>
      <c r="O583" s="490" t="n">
        <v>11263.1</v>
      </c>
    </row>
    <row r="584" customFormat="false" ht="36.75" hidden="false" customHeight="true" outlineLevel="0" collapsed="false">
      <c r="B584" s="487" t="s">
        <v>2981</v>
      </c>
      <c r="C584" s="488" t="n">
        <v>758</v>
      </c>
      <c r="D584" s="489" t="n">
        <v>112</v>
      </c>
      <c r="E584" s="487" t="s">
        <v>994</v>
      </c>
      <c r="F584" s="487" t="s">
        <v>547</v>
      </c>
      <c r="G584" s="487" t="s">
        <v>551</v>
      </c>
      <c r="H584" s="487" t="s">
        <v>1144</v>
      </c>
      <c r="I584" s="487" t="s">
        <v>904</v>
      </c>
      <c r="J584" s="487" t="s">
        <v>1435</v>
      </c>
      <c r="K584" s="490" t="n">
        <v>32110</v>
      </c>
      <c r="L584" s="490" t="n">
        <v>14780</v>
      </c>
      <c r="M584" s="491" t="n">
        <v>11.5</v>
      </c>
      <c r="N584" s="490" t="n">
        <v>17330</v>
      </c>
      <c r="O584" s="490" t="n">
        <v>15337</v>
      </c>
    </row>
    <row r="585" customFormat="false" ht="12.75" hidden="true" customHeight="true" outlineLevel="1" collapsed="false">
      <c r="B585" s="487" t="s">
        <v>417</v>
      </c>
      <c r="C585" s="487"/>
      <c r="D585" s="487"/>
      <c r="E585" s="487"/>
      <c r="F585" s="487"/>
      <c r="G585" s="487"/>
      <c r="H585" s="487"/>
      <c r="I585" s="487"/>
      <c r="J585" s="487"/>
      <c r="K585" s="492"/>
      <c r="L585" s="492"/>
      <c r="M585" s="492"/>
      <c r="N585" s="490" t="n">
        <v>17330</v>
      </c>
      <c r="O585" s="490" t="n">
        <v>15337</v>
      </c>
    </row>
    <row r="586" customFormat="false" ht="36.75" hidden="false" customHeight="true" outlineLevel="0" collapsed="false">
      <c r="B586" s="487" t="s">
        <v>2982</v>
      </c>
      <c r="C586" s="488" t="n">
        <v>759</v>
      </c>
      <c r="D586" s="489" t="n">
        <v>113</v>
      </c>
      <c r="E586" s="487" t="s">
        <v>994</v>
      </c>
      <c r="F586" s="487" t="s">
        <v>451</v>
      </c>
      <c r="G586" s="487" t="s">
        <v>455</v>
      </c>
      <c r="H586" s="487" t="s">
        <v>995</v>
      </c>
      <c r="I586" s="487" t="s">
        <v>1058</v>
      </c>
      <c r="J586" s="487" t="s">
        <v>1435</v>
      </c>
      <c r="K586" s="490" t="n">
        <v>28250</v>
      </c>
      <c r="L586" s="490" t="n">
        <v>14960</v>
      </c>
      <c r="M586" s="491" t="n">
        <v>7.5</v>
      </c>
      <c r="N586" s="490" t="n">
        <v>13290</v>
      </c>
      <c r="O586" s="490" t="n">
        <v>12293.2</v>
      </c>
    </row>
    <row r="587" customFormat="false" ht="12.75" hidden="true" customHeight="true" outlineLevel="1" collapsed="false">
      <c r="B587" s="487" t="s">
        <v>746</v>
      </c>
      <c r="C587" s="487"/>
      <c r="D587" s="487"/>
      <c r="E587" s="487"/>
      <c r="F587" s="487"/>
      <c r="G587" s="487"/>
      <c r="H587" s="487"/>
      <c r="I587" s="487"/>
      <c r="J587" s="487"/>
      <c r="K587" s="492"/>
      <c r="L587" s="492"/>
      <c r="M587" s="492"/>
      <c r="N587" s="490" t="n">
        <v>13290</v>
      </c>
      <c r="O587" s="490" t="n">
        <v>12293.2</v>
      </c>
    </row>
    <row r="588" customFormat="false" ht="36.75" hidden="false" customHeight="true" outlineLevel="0" collapsed="false">
      <c r="B588" s="487" t="s">
        <v>2983</v>
      </c>
      <c r="C588" s="488" t="n">
        <v>760</v>
      </c>
      <c r="D588" s="489" t="n">
        <v>114</v>
      </c>
      <c r="E588" s="487" t="s">
        <v>994</v>
      </c>
      <c r="F588" s="487" t="s">
        <v>1092</v>
      </c>
      <c r="G588" s="487" t="s">
        <v>1093</v>
      </c>
      <c r="H588" s="487" t="s">
        <v>995</v>
      </c>
      <c r="I588" s="487" t="s">
        <v>1058</v>
      </c>
      <c r="J588" s="487" t="s">
        <v>1435</v>
      </c>
      <c r="K588" s="490" t="n">
        <v>37540</v>
      </c>
      <c r="L588" s="490" t="n">
        <v>24370</v>
      </c>
      <c r="M588" s="491" t="n">
        <v>5.5</v>
      </c>
      <c r="N588" s="490" t="n">
        <v>13170</v>
      </c>
      <c r="O588" s="490" t="n">
        <v>12445.6</v>
      </c>
    </row>
    <row r="589" customFormat="false" ht="12.75" hidden="true" customHeight="true" outlineLevel="1" collapsed="false">
      <c r="B589" s="487" t="s">
        <v>886</v>
      </c>
      <c r="C589" s="487"/>
      <c r="D589" s="487"/>
      <c r="E589" s="487"/>
      <c r="F589" s="487"/>
      <c r="G589" s="487"/>
      <c r="H589" s="487"/>
      <c r="I589" s="487"/>
      <c r="J589" s="487"/>
      <c r="K589" s="492"/>
      <c r="L589" s="492"/>
      <c r="M589" s="492"/>
      <c r="N589" s="490" t="n">
        <v>13170</v>
      </c>
      <c r="O589" s="490" t="n">
        <v>12445.6</v>
      </c>
    </row>
    <row r="590" customFormat="false" ht="36.75" hidden="false" customHeight="true" outlineLevel="0" collapsed="false">
      <c r="B590" s="487" t="s">
        <v>2984</v>
      </c>
      <c r="C590" s="488" t="n">
        <v>761</v>
      </c>
      <c r="D590" s="489" t="n">
        <v>115</v>
      </c>
      <c r="E590" s="487" t="s">
        <v>994</v>
      </c>
      <c r="F590" s="487" t="s">
        <v>384</v>
      </c>
      <c r="G590" s="487" t="s">
        <v>385</v>
      </c>
      <c r="H590" s="487" t="s">
        <v>995</v>
      </c>
      <c r="I590" s="487" t="s">
        <v>1058</v>
      </c>
      <c r="J590" s="487" t="s">
        <v>1435</v>
      </c>
      <c r="K590" s="490" t="n">
        <v>27570</v>
      </c>
      <c r="L590" s="490" t="n">
        <v>14450</v>
      </c>
      <c r="M590" s="491" t="n">
        <v>7.5</v>
      </c>
      <c r="N590" s="490" t="n">
        <v>13120</v>
      </c>
      <c r="O590" s="490" t="n">
        <v>12136</v>
      </c>
    </row>
    <row r="591" customFormat="false" ht="12.75" hidden="true" customHeight="true" outlineLevel="1" collapsed="false">
      <c r="B591" s="487" t="s">
        <v>886</v>
      </c>
      <c r="C591" s="487"/>
      <c r="D591" s="487"/>
      <c r="E591" s="487"/>
      <c r="F591" s="487"/>
      <c r="G591" s="487"/>
      <c r="H591" s="487"/>
      <c r="I591" s="487"/>
      <c r="J591" s="487"/>
      <c r="K591" s="492"/>
      <c r="L591" s="492"/>
      <c r="M591" s="492"/>
      <c r="N591" s="490" t="n">
        <v>13120</v>
      </c>
      <c r="O591" s="490" t="n">
        <v>12136</v>
      </c>
    </row>
    <row r="592" customFormat="false" ht="36.75" hidden="false" customHeight="true" outlineLevel="0" collapsed="false">
      <c r="B592" s="487" t="s">
        <v>2985</v>
      </c>
      <c r="C592" s="488" t="n">
        <v>762</v>
      </c>
      <c r="D592" s="489" t="n">
        <v>116</v>
      </c>
      <c r="E592" s="487" t="s">
        <v>994</v>
      </c>
      <c r="F592" s="487" t="s">
        <v>359</v>
      </c>
      <c r="G592" s="487" t="s">
        <v>426</v>
      </c>
      <c r="H592" s="487" t="s">
        <v>995</v>
      </c>
      <c r="I592" s="487" t="s">
        <v>1058</v>
      </c>
      <c r="J592" s="487" t="s">
        <v>1435</v>
      </c>
      <c r="K592" s="490" t="n">
        <v>27020</v>
      </c>
      <c r="L592" s="490" t="n">
        <v>13810</v>
      </c>
      <c r="M592" s="491" t="n">
        <v>8.5</v>
      </c>
      <c r="N592" s="490" t="n">
        <v>13210</v>
      </c>
      <c r="O592" s="490" t="n">
        <v>12087.1</v>
      </c>
    </row>
    <row r="593" customFormat="false" ht="12.75" hidden="true" customHeight="true" outlineLevel="1" collapsed="false">
      <c r="B593" s="487" t="s">
        <v>746</v>
      </c>
      <c r="C593" s="487"/>
      <c r="D593" s="487"/>
      <c r="E593" s="487"/>
      <c r="F593" s="487"/>
      <c r="G593" s="487"/>
      <c r="H593" s="487"/>
      <c r="I593" s="487"/>
      <c r="J593" s="487"/>
      <c r="K593" s="492"/>
      <c r="L593" s="492"/>
      <c r="M593" s="492"/>
      <c r="N593" s="490" t="n">
        <v>13210</v>
      </c>
      <c r="O593" s="490" t="n">
        <v>12087.1</v>
      </c>
    </row>
    <row r="594" customFormat="false" ht="36.75" hidden="false" customHeight="true" outlineLevel="0" collapsed="false">
      <c r="B594" s="487" t="s">
        <v>2986</v>
      </c>
      <c r="C594" s="488" t="n">
        <v>763</v>
      </c>
      <c r="D594" s="489" t="n">
        <v>117</v>
      </c>
      <c r="E594" s="487" t="s">
        <v>994</v>
      </c>
      <c r="F594" s="487" t="s">
        <v>1095</v>
      </c>
      <c r="G594" s="487" t="s">
        <v>1096</v>
      </c>
      <c r="H594" s="487" t="s">
        <v>995</v>
      </c>
      <c r="I594" s="487" t="s">
        <v>1058</v>
      </c>
      <c r="J594" s="487" t="s">
        <v>1435</v>
      </c>
      <c r="K594" s="490" t="n">
        <v>28630</v>
      </c>
      <c r="L594" s="490" t="n">
        <v>15470</v>
      </c>
      <c r="M594" s="491" t="n">
        <v>7.5</v>
      </c>
      <c r="N594" s="490" t="n">
        <v>13160</v>
      </c>
      <c r="O594" s="490" t="n">
        <v>12173</v>
      </c>
    </row>
    <row r="595" customFormat="false" ht="12.75" hidden="true" customHeight="true" outlineLevel="1" collapsed="false">
      <c r="B595" s="487" t="s">
        <v>746</v>
      </c>
      <c r="C595" s="487"/>
      <c r="D595" s="487"/>
      <c r="E595" s="487"/>
      <c r="F595" s="487"/>
      <c r="G595" s="487"/>
      <c r="H595" s="487"/>
      <c r="I595" s="487"/>
      <c r="J595" s="487"/>
      <c r="K595" s="492"/>
      <c r="L595" s="492"/>
      <c r="M595" s="492"/>
      <c r="N595" s="490" t="n">
        <v>13160</v>
      </c>
      <c r="O595" s="490" t="n">
        <v>12173</v>
      </c>
    </row>
    <row r="596" customFormat="false" ht="36.75" hidden="false" customHeight="true" outlineLevel="0" collapsed="false">
      <c r="B596" s="487" t="s">
        <v>2987</v>
      </c>
      <c r="C596" s="488" t="n">
        <v>764</v>
      </c>
      <c r="D596" s="489" t="n">
        <v>118</v>
      </c>
      <c r="E596" s="487" t="s">
        <v>994</v>
      </c>
      <c r="F596" s="487" t="s">
        <v>1113</v>
      </c>
      <c r="G596" s="487" t="s">
        <v>1114</v>
      </c>
      <c r="H596" s="487" t="s">
        <v>995</v>
      </c>
      <c r="I596" s="487" t="s">
        <v>1058</v>
      </c>
      <c r="J596" s="487" t="s">
        <v>1435</v>
      </c>
      <c r="K596" s="490" t="n">
        <v>28720</v>
      </c>
      <c r="L596" s="490" t="n">
        <v>15760</v>
      </c>
      <c r="M596" s="491" t="n">
        <v>8.5</v>
      </c>
      <c r="N596" s="490" t="n">
        <v>12960</v>
      </c>
      <c r="O596" s="490" t="n">
        <v>11858.4</v>
      </c>
    </row>
    <row r="597" customFormat="false" ht="12.75" hidden="true" customHeight="true" outlineLevel="1" collapsed="false">
      <c r="B597" s="487" t="s">
        <v>417</v>
      </c>
      <c r="C597" s="487"/>
      <c r="D597" s="487"/>
      <c r="E597" s="487"/>
      <c r="F597" s="487"/>
      <c r="G597" s="487"/>
      <c r="H597" s="487"/>
      <c r="I597" s="487"/>
      <c r="J597" s="487"/>
      <c r="K597" s="492"/>
      <c r="L597" s="492"/>
      <c r="M597" s="492"/>
      <c r="N597" s="490" t="n">
        <v>12960</v>
      </c>
      <c r="O597" s="490" t="n">
        <v>11858.4</v>
      </c>
    </row>
    <row r="598" customFormat="false" ht="36.75" hidden="false" customHeight="true" outlineLevel="0" collapsed="false">
      <c r="B598" s="487" t="s">
        <v>2988</v>
      </c>
      <c r="C598" s="488" t="n">
        <v>765</v>
      </c>
      <c r="D598" s="489" t="n">
        <v>119</v>
      </c>
      <c r="E598" s="487" t="s">
        <v>994</v>
      </c>
      <c r="F598" s="487" t="s">
        <v>363</v>
      </c>
      <c r="G598" s="487" t="s">
        <v>364</v>
      </c>
      <c r="H598" s="487" t="s">
        <v>995</v>
      </c>
      <c r="I598" s="487" t="s">
        <v>1058</v>
      </c>
      <c r="J598" s="487" t="s">
        <v>1435</v>
      </c>
      <c r="K598" s="490" t="n">
        <v>27710</v>
      </c>
      <c r="L598" s="490" t="n">
        <v>14520</v>
      </c>
      <c r="M598" s="491" t="n">
        <v>12.5</v>
      </c>
      <c r="N598" s="490" t="n">
        <v>13190</v>
      </c>
      <c r="O598" s="490" t="n">
        <v>11541.2</v>
      </c>
    </row>
    <row r="599" customFormat="false" ht="12.75" hidden="true" customHeight="true" outlineLevel="1" collapsed="false">
      <c r="B599" s="487" t="s">
        <v>417</v>
      </c>
      <c r="C599" s="487"/>
      <c r="D599" s="487"/>
      <c r="E599" s="487"/>
      <c r="F599" s="487"/>
      <c r="G599" s="487"/>
      <c r="H599" s="487"/>
      <c r="I599" s="487"/>
      <c r="J599" s="487"/>
      <c r="K599" s="492"/>
      <c r="L599" s="492"/>
      <c r="M599" s="492"/>
      <c r="N599" s="490" t="n">
        <v>13190</v>
      </c>
      <c r="O599" s="490" t="n">
        <v>11541.2</v>
      </c>
    </row>
    <row r="600" customFormat="false" ht="36.75" hidden="false" customHeight="true" outlineLevel="0" collapsed="false">
      <c r="B600" s="487" t="s">
        <v>2989</v>
      </c>
      <c r="C600" s="488" t="n">
        <v>766</v>
      </c>
      <c r="D600" s="489" t="n">
        <v>120</v>
      </c>
      <c r="E600" s="487" t="s">
        <v>994</v>
      </c>
      <c r="F600" s="487" t="s">
        <v>553</v>
      </c>
      <c r="G600" s="487" t="s">
        <v>557</v>
      </c>
      <c r="H600" s="487" t="s">
        <v>995</v>
      </c>
      <c r="I600" s="487" t="s">
        <v>1058</v>
      </c>
      <c r="J600" s="487" t="s">
        <v>1435</v>
      </c>
      <c r="K600" s="490" t="n">
        <v>28080</v>
      </c>
      <c r="L600" s="490" t="n">
        <v>14980</v>
      </c>
      <c r="M600" s="491" t="n">
        <v>8.5</v>
      </c>
      <c r="N600" s="490" t="n">
        <v>13100</v>
      </c>
      <c r="O600" s="490" t="n">
        <v>11986.5</v>
      </c>
    </row>
    <row r="601" customFormat="false" ht="12.75" hidden="true" customHeight="true" outlineLevel="1" collapsed="false">
      <c r="B601" s="487" t="s">
        <v>417</v>
      </c>
      <c r="C601" s="487"/>
      <c r="D601" s="487"/>
      <c r="E601" s="487"/>
      <c r="F601" s="487"/>
      <c r="G601" s="487"/>
      <c r="H601" s="487"/>
      <c r="I601" s="487"/>
      <c r="J601" s="487"/>
      <c r="K601" s="492"/>
      <c r="L601" s="492"/>
      <c r="M601" s="492"/>
      <c r="N601" s="490" t="n">
        <v>13100</v>
      </c>
      <c r="O601" s="490" t="n">
        <v>11986.5</v>
      </c>
    </row>
    <row r="602" customFormat="false" ht="36.75" hidden="false" customHeight="true" outlineLevel="0" collapsed="false">
      <c r="B602" s="487" t="s">
        <v>2990</v>
      </c>
      <c r="C602" s="488" t="n">
        <v>767</v>
      </c>
      <c r="D602" s="489" t="n">
        <v>121</v>
      </c>
      <c r="E602" s="487" t="s">
        <v>994</v>
      </c>
      <c r="F602" s="487" t="s">
        <v>445</v>
      </c>
      <c r="G602" s="487" t="s">
        <v>449</v>
      </c>
      <c r="H602" s="487" t="s">
        <v>995</v>
      </c>
      <c r="I602" s="487" t="s">
        <v>1058</v>
      </c>
      <c r="J602" s="487" t="s">
        <v>1435</v>
      </c>
      <c r="K602" s="490" t="n">
        <v>29000</v>
      </c>
      <c r="L602" s="490" t="n">
        <v>15730</v>
      </c>
      <c r="M602" s="491" t="n">
        <v>12.5</v>
      </c>
      <c r="N602" s="490" t="n">
        <v>13270</v>
      </c>
      <c r="O602" s="490" t="n">
        <v>11611.2</v>
      </c>
    </row>
    <row r="603" customFormat="false" ht="12.75" hidden="true" customHeight="true" outlineLevel="1" collapsed="false">
      <c r="B603" s="487" t="s">
        <v>417</v>
      </c>
      <c r="C603" s="487"/>
      <c r="D603" s="487"/>
      <c r="E603" s="487"/>
      <c r="F603" s="487"/>
      <c r="G603" s="487"/>
      <c r="H603" s="487"/>
      <c r="I603" s="487"/>
      <c r="J603" s="487"/>
      <c r="K603" s="492"/>
      <c r="L603" s="492"/>
      <c r="M603" s="492"/>
      <c r="N603" s="490" t="n">
        <v>13270</v>
      </c>
      <c r="O603" s="490" t="n">
        <v>11611.2</v>
      </c>
    </row>
    <row r="604" customFormat="false" ht="36.75" hidden="false" customHeight="true" outlineLevel="0" collapsed="false">
      <c r="B604" s="487" t="s">
        <v>2991</v>
      </c>
      <c r="C604" s="488" t="n">
        <v>769</v>
      </c>
      <c r="D604" s="489" t="n">
        <v>122</v>
      </c>
      <c r="E604" s="487" t="s">
        <v>994</v>
      </c>
      <c r="F604" s="487" t="s">
        <v>1086</v>
      </c>
      <c r="G604" s="487" t="s">
        <v>1087</v>
      </c>
      <c r="H604" s="487" t="s">
        <v>995</v>
      </c>
      <c r="I604" s="487" t="s">
        <v>1058</v>
      </c>
      <c r="J604" s="487" t="s">
        <v>1435</v>
      </c>
      <c r="K604" s="490" t="n">
        <v>28530</v>
      </c>
      <c r="L604" s="490" t="n">
        <v>15020</v>
      </c>
      <c r="M604" s="491" t="n">
        <v>9.5</v>
      </c>
      <c r="N604" s="490" t="n">
        <v>13510</v>
      </c>
      <c r="O604" s="490" t="n">
        <v>12226.5</v>
      </c>
    </row>
    <row r="605" customFormat="false" ht="12.75" hidden="true" customHeight="true" outlineLevel="1" collapsed="false">
      <c r="B605" s="487" t="s">
        <v>417</v>
      </c>
      <c r="C605" s="487"/>
      <c r="D605" s="487"/>
      <c r="E605" s="487"/>
      <c r="F605" s="487"/>
      <c r="G605" s="487"/>
      <c r="H605" s="487"/>
      <c r="I605" s="487"/>
      <c r="J605" s="487"/>
      <c r="K605" s="492"/>
      <c r="L605" s="492"/>
      <c r="M605" s="492"/>
      <c r="N605" s="490" t="n">
        <v>13510</v>
      </c>
      <c r="O605" s="490" t="n">
        <v>12226.5</v>
      </c>
    </row>
    <row r="606" customFormat="false" ht="36.75" hidden="false" customHeight="true" outlineLevel="0" collapsed="false">
      <c r="B606" s="487" t="s">
        <v>2995</v>
      </c>
      <c r="C606" s="488" t="n">
        <v>773</v>
      </c>
      <c r="D606" s="489" t="n">
        <v>126</v>
      </c>
      <c r="E606" s="487" t="s">
        <v>994</v>
      </c>
      <c r="F606" s="487" t="s">
        <v>1095</v>
      </c>
      <c r="G606" s="487" t="s">
        <v>1096</v>
      </c>
      <c r="H606" s="487" t="s">
        <v>995</v>
      </c>
      <c r="I606" s="487" t="s">
        <v>1058</v>
      </c>
      <c r="J606" s="487" t="s">
        <v>1435</v>
      </c>
      <c r="K606" s="490" t="n">
        <v>29180</v>
      </c>
      <c r="L606" s="490" t="n">
        <v>15720</v>
      </c>
      <c r="M606" s="491" t="n">
        <v>11.5</v>
      </c>
      <c r="N606" s="490" t="n">
        <v>13460</v>
      </c>
      <c r="O606" s="490" t="n">
        <v>11912.1</v>
      </c>
    </row>
    <row r="607" customFormat="false" ht="12.75" hidden="true" customHeight="true" outlineLevel="1" collapsed="false">
      <c r="B607" s="487" t="s">
        <v>417</v>
      </c>
      <c r="C607" s="487"/>
      <c r="D607" s="487"/>
      <c r="E607" s="487"/>
      <c r="F607" s="487"/>
      <c r="G607" s="487"/>
      <c r="H607" s="487"/>
      <c r="I607" s="487"/>
      <c r="J607" s="487"/>
      <c r="K607" s="492"/>
      <c r="L607" s="492"/>
      <c r="M607" s="492"/>
      <c r="N607" s="490" t="n">
        <v>13460</v>
      </c>
      <c r="O607" s="490" t="n">
        <v>11912.1</v>
      </c>
    </row>
    <row r="608" customFormat="false" ht="36.75" hidden="false" customHeight="true" outlineLevel="0" collapsed="false">
      <c r="B608" s="487" t="s">
        <v>2996</v>
      </c>
      <c r="C608" s="488" t="n">
        <v>774</v>
      </c>
      <c r="D608" s="489" t="n">
        <v>127</v>
      </c>
      <c r="E608" s="487" t="s">
        <v>994</v>
      </c>
      <c r="F608" s="487" t="s">
        <v>365</v>
      </c>
      <c r="G608" s="487" t="s">
        <v>373</v>
      </c>
      <c r="H608" s="487" t="s">
        <v>995</v>
      </c>
      <c r="I608" s="487" t="s">
        <v>1058</v>
      </c>
      <c r="J608" s="487" t="s">
        <v>1435</v>
      </c>
      <c r="K608" s="490" t="n">
        <v>29370</v>
      </c>
      <c r="L608" s="490" t="n">
        <v>15700</v>
      </c>
      <c r="M608" s="491" t="n">
        <v>12.5</v>
      </c>
      <c r="N608" s="490" t="n">
        <v>13670</v>
      </c>
      <c r="O608" s="490" t="n">
        <v>11961.2</v>
      </c>
    </row>
    <row r="609" customFormat="false" ht="12.75" hidden="true" customHeight="true" outlineLevel="1" collapsed="false">
      <c r="B609" s="487" t="s">
        <v>417</v>
      </c>
      <c r="C609" s="487"/>
      <c r="D609" s="487"/>
      <c r="E609" s="487"/>
      <c r="F609" s="487"/>
      <c r="G609" s="487"/>
      <c r="H609" s="487"/>
      <c r="I609" s="487"/>
      <c r="J609" s="487"/>
      <c r="K609" s="492"/>
      <c r="L609" s="492"/>
      <c r="M609" s="492"/>
      <c r="N609" s="490" t="n">
        <v>13670</v>
      </c>
      <c r="O609" s="490" t="n">
        <v>11961.2</v>
      </c>
    </row>
    <row r="610" customFormat="false" ht="36.75" hidden="false" customHeight="true" outlineLevel="0" collapsed="false">
      <c r="B610" s="487" t="s">
        <v>2992</v>
      </c>
      <c r="C610" s="488" t="n">
        <v>770</v>
      </c>
      <c r="D610" s="489" t="n">
        <v>123</v>
      </c>
      <c r="E610" s="487" t="s">
        <v>994</v>
      </c>
      <c r="F610" s="487" t="s">
        <v>547</v>
      </c>
      <c r="G610" s="487" t="s">
        <v>551</v>
      </c>
      <c r="H610" s="487" t="s">
        <v>995</v>
      </c>
      <c r="I610" s="487" t="s">
        <v>1058</v>
      </c>
      <c r="J610" s="487" t="s">
        <v>1435</v>
      </c>
      <c r="K610" s="490" t="n">
        <v>28120</v>
      </c>
      <c r="L610" s="490" t="n">
        <v>14680</v>
      </c>
      <c r="M610" s="491" t="n">
        <v>9.5</v>
      </c>
      <c r="N610" s="490" t="n">
        <v>13440</v>
      </c>
      <c r="O610" s="490" t="n">
        <v>12163.2</v>
      </c>
    </row>
    <row r="611" customFormat="false" ht="12.75" hidden="true" customHeight="true" outlineLevel="1" collapsed="false">
      <c r="B611" s="487" t="s">
        <v>417</v>
      </c>
      <c r="C611" s="487"/>
      <c r="D611" s="487"/>
      <c r="E611" s="487"/>
      <c r="F611" s="487"/>
      <c r="G611" s="487"/>
      <c r="H611" s="487"/>
      <c r="I611" s="487"/>
      <c r="J611" s="487"/>
      <c r="K611" s="492"/>
      <c r="L611" s="492"/>
      <c r="M611" s="492"/>
      <c r="N611" s="490" t="n">
        <v>13440</v>
      </c>
      <c r="O611" s="490" t="n">
        <v>12163.2</v>
      </c>
    </row>
    <row r="612" customFormat="false" ht="36.75" hidden="false" customHeight="true" outlineLevel="0" collapsed="false">
      <c r="B612" s="487" t="s">
        <v>2997</v>
      </c>
      <c r="C612" s="488" t="n">
        <v>775</v>
      </c>
      <c r="D612" s="489" t="n">
        <v>128</v>
      </c>
      <c r="E612" s="487" t="s">
        <v>994</v>
      </c>
      <c r="F612" s="487" t="s">
        <v>1113</v>
      </c>
      <c r="G612" s="487" t="s">
        <v>1114</v>
      </c>
      <c r="H612" s="487" t="s">
        <v>995</v>
      </c>
      <c r="I612" s="487" t="s">
        <v>1058</v>
      </c>
      <c r="J612" s="487" t="s">
        <v>1435</v>
      </c>
      <c r="K612" s="490" t="n">
        <v>29300</v>
      </c>
      <c r="L612" s="490" t="n">
        <v>15640</v>
      </c>
      <c r="M612" s="491" t="n">
        <v>15</v>
      </c>
      <c r="N612" s="490" t="n">
        <v>13660</v>
      </c>
      <c r="O612" s="490" t="n">
        <v>11611</v>
      </c>
    </row>
    <row r="613" customFormat="false" ht="12.75" hidden="true" customHeight="true" outlineLevel="1" collapsed="false">
      <c r="B613" s="487" t="s">
        <v>417</v>
      </c>
      <c r="C613" s="487"/>
      <c r="D613" s="487"/>
      <c r="E613" s="487"/>
      <c r="F613" s="487"/>
      <c r="G613" s="487"/>
      <c r="H613" s="487"/>
      <c r="I613" s="487"/>
      <c r="J613" s="487"/>
      <c r="K613" s="492"/>
      <c r="L613" s="492"/>
      <c r="M613" s="492"/>
      <c r="N613" s="490" t="n">
        <v>13660</v>
      </c>
      <c r="O613" s="490" t="n">
        <v>11611</v>
      </c>
    </row>
    <row r="614" customFormat="false" ht="36.75" hidden="false" customHeight="true" outlineLevel="0" collapsed="false">
      <c r="B614" s="487" t="s">
        <v>2993</v>
      </c>
      <c r="C614" s="488" t="n">
        <v>771</v>
      </c>
      <c r="D614" s="489" t="n">
        <v>124</v>
      </c>
      <c r="E614" s="487" t="s">
        <v>994</v>
      </c>
      <c r="F614" s="487" t="s">
        <v>451</v>
      </c>
      <c r="G614" s="487" t="s">
        <v>455</v>
      </c>
      <c r="H614" s="487" t="s">
        <v>995</v>
      </c>
      <c r="I614" s="487" t="s">
        <v>1058</v>
      </c>
      <c r="J614" s="487" t="s">
        <v>1435</v>
      </c>
      <c r="K614" s="490" t="n">
        <v>28360</v>
      </c>
      <c r="L614" s="490" t="n">
        <v>14860</v>
      </c>
      <c r="M614" s="491" t="n">
        <v>10.5</v>
      </c>
      <c r="N614" s="490" t="n">
        <v>13500</v>
      </c>
      <c r="O614" s="490" t="n">
        <v>12082.5</v>
      </c>
    </row>
    <row r="615" customFormat="false" ht="12.75" hidden="true" customHeight="true" outlineLevel="1" collapsed="false">
      <c r="B615" s="487" t="s">
        <v>417</v>
      </c>
      <c r="C615" s="487"/>
      <c r="D615" s="487"/>
      <c r="E615" s="487"/>
      <c r="F615" s="487"/>
      <c r="G615" s="487"/>
      <c r="H615" s="487"/>
      <c r="I615" s="487"/>
      <c r="J615" s="487"/>
      <c r="K615" s="492"/>
      <c r="L615" s="492"/>
      <c r="M615" s="492"/>
      <c r="N615" s="490" t="n">
        <v>13500</v>
      </c>
      <c r="O615" s="490" t="n">
        <v>12082.5</v>
      </c>
    </row>
    <row r="616" customFormat="false" ht="36.75" hidden="false" customHeight="true" outlineLevel="0" collapsed="false">
      <c r="B616" s="487" t="s">
        <v>2998</v>
      </c>
      <c r="C616" s="488" t="n">
        <v>776</v>
      </c>
      <c r="D616" s="489" t="n">
        <v>129</v>
      </c>
      <c r="E616" s="487" t="s">
        <v>994</v>
      </c>
      <c r="F616" s="487" t="s">
        <v>439</v>
      </c>
      <c r="G616" s="487" t="s">
        <v>443</v>
      </c>
      <c r="H616" s="487" t="s">
        <v>995</v>
      </c>
      <c r="I616" s="487" t="s">
        <v>1058</v>
      </c>
      <c r="J616" s="487" t="s">
        <v>1435</v>
      </c>
      <c r="K616" s="490" t="n">
        <v>39780</v>
      </c>
      <c r="L616" s="490" t="n">
        <v>24080</v>
      </c>
      <c r="M616" s="491" t="n">
        <v>10.5</v>
      </c>
      <c r="N616" s="490" t="n">
        <v>15700</v>
      </c>
      <c r="O616" s="490" t="n">
        <v>14051.5</v>
      </c>
    </row>
    <row r="617" customFormat="false" ht="12.75" hidden="true" customHeight="true" outlineLevel="1" collapsed="false">
      <c r="B617" s="487" t="s">
        <v>417</v>
      </c>
      <c r="C617" s="487"/>
      <c r="D617" s="487"/>
      <c r="E617" s="487"/>
      <c r="F617" s="487"/>
      <c r="G617" s="487"/>
      <c r="H617" s="487"/>
      <c r="I617" s="487"/>
      <c r="J617" s="487"/>
      <c r="K617" s="492"/>
      <c r="L617" s="492"/>
      <c r="M617" s="492"/>
      <c r="N617" s="490" t="n">
        <v>15700</v>
      </c>
      <c r="O617" s="490" t="n">
        <v>14051.5</v>
      </c>
    </row>
    <row r="618" customFormat="false" ht="36.75" hidden="false" customHeight="true" outlineLevel="0" collapsed="false">
      <c r="B618" s="487" t="s">
        <v>2994</v>
      </c>
      <c r="C618" s="488" t="n">
        <v>772</v>
      </c>
      <c r="D618" s="489" t="n">
        <v>125</v>
      </c>
      <c r="E618" s="487" t="s">
        <v>994</v>
      </c>
      <c r="F618" s="487" t="s">
        <v>1092</v>
      </c>
      <c r="G618" s="487" t="s">
        <v>1093</v>
      </c>
      <c r="H618" s="487" t="s">
        <v>995</v>
      </c>
      <c r="I618" s="487" t="s">
        <v>1058</v>
      </c>
      <c r="J618" s="487" t="s">
        <v>1435</v>
      </c>
      <c r="K618" s="490" t="n">
        <v>37730</v>
      </c>
      <c r="L618" s="490" t="n">
        <v>24240</v>
      </c>
      <c r="M618" s="491" t="n">
        <v>8.5</v>
      </c>
      <c r="N618" s="490" t="n">
        <v>13490</v>
      </c>
      <c r="O618" s="490" t="n">
        <v>12343.3</v>
      </c>
    </row>
    <row r="619" customFormat="false" ht="12.75" hidden="true" customHeight="true" outlineLevel="1" collapsed="false">
      <c r="B619" s="487" t="s">
        <v>417</v>
      </c>
      <c r="C619" s="487"/>
      <c r="D619" s="487"/>
      <c r="E619" s="487"/>
      <c r="F619" s="487"/>
      <c r="G619" s="487"/>
      <c r="H619" s="487"/>
      <c r="I619" s="487"/>
      <c r="J619" s="487"/>
      <c r="K619" s="492"/>
      <c r="L619" s="492"/>
      <c r="M619" s="492"/>
      <c r="N619" s="490" t="n">
        <v>13490</v>
      </c>
      <c r="O619" s="490" t="n">
        <v>12343.3</v>
      </c>
    </row>
    <row r="620" customFormat="false" ht="36.75" hidden="false" customHeight="true" outlineLevel="0" collapsed="false">
      <c r="B620" s="487" t="s">
        <v>2999</v>
      </c>
      <c r="C620" s="488" t="n">
        <v>777</v>
      </c>
      <c r="D620" s="489" t="n">
        <v>130</v>
      </c>
      <c r="E620" s="487" t="s">
        <v>994</v>
      </c>
      <c r="F620" s="487" t="s">
        <v>553</v>
      </c>
      <c r="G620" s="487" t="s">
        <v>557</v>
      </c>
      <c r="H620" s="487" t="s">
        <v>995</v>
      </c>
      <c r="I620" s="487" t="s">
        <v>1058</v>
      </c>
      <c r="J620" s="487" t="s">
        <v>1435</v>
      </c>
      <c r="K620" s="490" t="n">
        <v>25390</v>
      </c>
      <c r="L620" s="490" t="n">
        <v>14880</v>
      </c>
      <c r="M620" s="491" t="n">
        <v>12</v>
      </c>
      <c r="N620" s="490" t="n">
        <v>10510</v>
      </c>
      <c r="O620" s="490" t="n">
        <v>9248.8</v>
      </c>
    </row>
    <row r="621" customFormat="false" ht="12.75" hidden="true" customHeight="true" outlineLevel="1" collapsed="false">
      <c r="B621" s="487" t="s">
        <v>417</v>
      </c>
      <c r="C621" s="487"/>
      <c r="D621" s="487"/>
      <c r="E621" s="487"/>
      <c r="F621" s="487"/>
      <c r="G621" s="487"/>
      <c r="H621" s="487"/>
      <c r="I621" s="487"/>
      <c r="J621" s="487"/>
      <c r="K621" s="492"/>
      <c r="L621" s="492"/>
      <c r="M621" s="492"/>
      <c r="N621" s="490" t="n">
        <v>10510</v>
      </c>
      <c r="O621" s="490" t="n">
        <v>9248.8</v>
      </c>
    </row>
    <row r="622" customFormat="false" ht="36.75" hidden="false" customHeight="true" outlineLevel="0" collapsed="false">
      <c r="B622" s="487" t="s">
        <v>3000</v>
      </c>
      <c r="C622" s="488" t="n">
        <v>785</v>
      </c>
      <c r="D622" s="489" t="n">
        <v>131</v>
      </c>
      <c r="E622" s="487" t="s">
        <v>994</v>
      </c>
      <c r="F622" s="487" t="s">
        <v>445</v>
      </c>
      <c r="G622" s="487" t="s">
        <v>449</v>
      </c>
      <c r="H622" s="487" t="s">
        <v>1144</v>
      </c>
      <c r="I622" s="487" t="s">
        <v>904</v>
      </c>
      <c r="J622" s="487" t="s">
        <v>1435</v>
      </c>
      <c r="K622" s="490" t="n">
        <v>29340</v>
      </c>
      <c r="L622" s="490" t="n">
        <v>15610</v>
      </c>
      <c r="M622" s="491" t="n">
        <v>7</v>
      </c>
      <c r="N622" s="490" t="n">
        <v>13730</v>
      </c>
      <c r="O622" s="490" t="n">
        <v>12768.9</v>
      </c>
    </row>
    <row r="623" customFormat="false" ht="12.75" hidden="true" customHeight="true" outlineLevel="1" collapsed="false">
      <c r="B623" s="487" t="s">
        <v>746</v>
      </c>
      <c r="C623" s="487"/>
      <c r="D623" s="487"/>
      <c r="E623" s="487"/>
      <c r="F623" s="487"/>
      <c r="G623" s="487"/>
      <c r="H623" s="487"/>
      <c r="I623" s="487"/>
      <c r="J623" s="487"/>
      <c r="K623" s="492"/>
      <c r="L623" s="492"/>
      <c r="M623" s="492"/>
      <c r="N623" s="490" t="n">
        <v>13730</v>
      </c>
      <c r="O623" s="490" t="n">
        <v>12768.9</v>
      </c>
    </row>
    <row r="624" customFormat="false" ht="36.75" hidden="false" customHeight="true" outlineLevel="0" collapsed="false">
      <c r="B624" s="487" t="s">
        <v>3001</v>
      </c>
      <c r="C624" s="488" t="n">
        <v>786</v>
      </c>
      <c r="D624" s="489" t="n">
        <v>132</v>
      </c>
      <c r="E624" s="487" t="s">
        <v>994</v>
      </c>
      <c r="F624" s="487" t="s">
        <v>1086</v>
      </c>
      <c r="G624" s="487" t="s">
        <v>1087</v>
      </c>
      <c r="H624" s="487" t="s">
        <v>1144</v>
      </c>
      <c r="I624" s="487" t="s">
        <v>904</v>
      </c>
      <c r="J624" s="487" t="s">
        <v>1435</v>
      </c>
      <c r="K624" s="490" t="n">
        <v>28240</v>
      </c>
      <c r="L624" s="490" t="n">
        <v>14910</v>
      </c>
      <c r="M624" s="491" t="n">
        <v>12.5</v>
      </c>
      <c r="N624" s="490" t="n">
        <v>13330</v>
      </c>
      <c r="O624" s="490" t="n">
        <v>11663.7</v>
      </c>
    </row>
    <row r="625" customFormat="false" ht="12.75" hidden="true" customHeight="true" outlineLevel="1" collapsed="false">
      <c r="B625" s="487" t="s">
        <v>417</v>
      </c>
      <c r="C625" s="487"/>
      <c r="D625" s="487"/>
      <c r="E625" s="487"/>
      <c r="F625" s="487"/>
      <c r="G625" s="487"/>
      <c r="H625" s="487"/>
      <c r="I625" s="487"/>
      <c r="J625" s="487"/>
      <c r="K625" s="492"/>
      <c r="L625" s="492"/>
      <c r="M625" s="492"/>
      <c r="N625" s="490" t="n">
        <v>13330</v>
      </c>
      <c r="O625" s="490" t="n">
        <v>11663.7</v>
      </c>
    </row>
    <row r="626" customFormat="false" ht="36.75" hidden="false" customHeight="true" outlineLevel="0" collapsed="false">
      <c r="B626" s="487" t="s">
        <v>3002</v>
      </c>
      <c r="C626" s="488" t="n">
        <v>787</v>
      </c>
      <c r="D626" s="489" t="n">
        <v>133</v>
      </c>
      <c r="E626" s="487" t="s">
        <v>994</v>
      </c>
      <c r="F626" s="487" t="s">
        <v>547</v>
      </c>
      <c r="G626" s="487" t="s">
        <v>551</v>
      </c>
      <c r="H626" s="487" t="s">
        <v>1144</v>
      </c>
      <c r="I626" s="487" t="s">
        <v>904</v>
      </c>
      <c r="J626" s="487" t="s">
        <v>1435</v>
      </c>
      <c r="K626" s="490" t="n">
        <v>28220</v>
      </c>
      <c r="L626" s="490" t="n">
        <v>14770</v>
      </c>
      <c r="M626" s="491" t="n">
        <v>9.5</v>
      </c>
      <c r="N626" s="490" t="n">
        <v>13450</v>
      </c>
      <c r="O626" s="490" t="n">
        <v>12172.2</v>
      </c>
    </row>
    <row r="627" customFormat="false" ht="12.75" hidden="true" customHeight="true" outlineLevel="1" collapsed="false">
      <c r="B627" s="487" t="s">
        <v>417</v>
      </c>
      <c r="C627" s="487"/>
      <c r="D627" s="487"/>
      <c r="E627" s="487"/>
      <c r="F627" s="487"/>
      <c r="G627" s="487"/>
      <c r="H627" s="487"/>
      <c r="I627" s="487"/>
      <c r="J627" s="487"/>
      <c r="K627" s="492"/>
      <c r="L627" s="492"/>
      <c r="M627" s="492"/>
      <c r="N627" s="490" t="n">
        <v>13450</v>
      </c>
      <c r="O627" s="490" t="n">
        <v>12172.2</v>
      </c>
    </row>
    <row r="628" customFormat="false" ht="36.75" hidden="false" customHeight="true" outlineLevel="0" collapsed="false">
      <c r="B628" s="487" t="s">
        <v>3003</v>
      </c>
      <c r="C628" s="488" t="n">
        <v>788</v>
      </c>
      <c r="D628" s="489" t="n">
        <v>134</v>
      </c>
      <c r="E628" s="487" t="s">
        <v>994</v>
      </c>
      <c r="F628" s="487" t="s">
        <v>451</v>
      </c>
      <c r="G628" s="487" t="s">
        <v>455</v>
      </c>
      <c r="H628" s="487" t="s">
        <v>1144</v>
      </c>
      <c r="I628" s="487" t="s">
        <v>904</v>
      </c>
      <c r="J628" s="487" t="s">
        <v>1435</v>
      </c>
      <c r="K628" s="490" t="n">
        <v>27930</v>
      </c>
      <c r="L628" s="490" t="n">
        <v>15000</v>
      </c>
      <c r="M628" s="491" t="n">
        <v>15.5</v>
      </c>
      <c r="N628" s="490" t="n">
        <v>12930</v>
      </c>
      <c r="O628" s="490" t="n">
        <v>10925.8</v>
      </c>
    </row>
    <row r="629" customFormat="false" ht="12.75" hidden="true" customHeight="true" outlineLevel="1" collapsed="false">
      <c r="B629" s="487" t="s">
        <v>417</v>
      </c>
      <c r="C629" s="487"/>
      <c r="D629" s="487"/>
      <c r="E629" s="487"/>
      <c r="F629" s="487"/>
      <c r="G629" s="487"/>
      <c r="H629" s="487"/>
      <c r="I629" s="487"/>
      <c r="J629" s="487"/>
      <c r="K629" s="492"/>
      <c r="L629" s="492"/>
      <c r="M629" s="492"/>
      <c r="N629" s="490" t="n">
        <v>12930</v>
      </c>
      <c r="O629" s="490" t="n">
        <v>10925.8</v>
      </c>
    </row>
    <row r="630" customFormat="false" ht="36.75" hidden="false" customHeight="true" outlineLevel="0" collapsed="false">
      <c r="B630" s="487" t="s">
        <v>3004</v>
      </c>
      <c r="C630" s="488" t="n">
        <v>789</v>
      </c>
      <c r="D630" s="489" t="n">
        <v>135</v>
      </c>
      <c r="E630" s="487" t="s">
        <v>994</v>
      </c>
      <c r="F630" s="487" t="s">
        <v>1092</v>
      </c>
      <c r="G630" s="487" t="s">
        <v>1093</v>
      </c>
      <c r="H630" s="487" t="s">
        <v>1144</v>
      </c>
      <c r="I630" s="487" t="s">
        <v>904</v>
      </c>
      <c r="J630" s="487" t="s">
        <v>1435</v>
      </c>
      <c r="K630" s="490" t="n">
        <v>37350</v>
      </c>
      <c r="L630" s="490" t="n">
        <v>24190</v>
      </c>
      <c r="M630" s="491" t="n">
        <v>14.5</v>
      </c>
      <c r="N630" s="490" t="n">
        <v>13160</v>
      </c>
      <c r="O630" s="490" t="n">
        <v>11251.8</v>
      </c>
    </row>
    <row r="631" customFormat="false" ht="12.75" hidden="true" customHeight="true" outlineLevel="1" collapsed="false">
      <c r="B631" s="487" t="s">
        <v>746</v>
      </c>
      <c r="C631" s="487"/>
      <c r="D631" s="487"/>
      <c r="E631" s="487"/>
      <c r="F631" s="487"/>
      <c r="G631" s="487"/>
      <c r="H631" s="487"/>
      <c r="I631" s="487"/>
      <c r="J631" s="487"/>
      <c r="K631" s="492"/>
      <c r="L631" s="492"/>
      <c r="M631" s="492"/>
      <c r="N631" s="490" t="n">
        <v>13160</v>
      </c>
      <c r="O631" s="490" t="n">
        <v>11251.8</v>
      </c>
    </row>
    <row r="632" customFormat="false" ht="36.75" hidden="false" customHeight="true" outlineLevel="0" collapsed="false">
      <c r="B632" s="487" t="s">
        <v>3005</v>
      </c>
      <c r="C632" s="488" t="n">
        <v>790</v>
      </c>
      <c r="D632" s="489" t="n">
        <v>137</v>
      </c>
      <c r="E632" s="487" t="s">
        <v>994</v>
      </c>
      <c r="F632" s="487" t="s">
        <v>359</v>
      </c>
      <c r="G632" s="487" t="s">
        <v>426</v>
      </c>
      <c r="H632" s="487" t="s">
        <v>1144</v>
      </c>
      <c r="I632" s="487" t="s">
        <v>904</v>
      </c>
      <c r="J632" s="487" t="s">
        <v>1435</v>
      </c>
      <c r="K632" s="490" t="n">
        <v>26940</v>
      </c>
      <c r="L632" s="490" t="n">
        <v>13810</v>
      </c>
      <c r="M632" s="491" t="n">
        <v>15.5</v>
      </c>
      <c r="N632" s="490" t="n">
        <v>13130</v>
      </c>
      <c r="O632" s="490" t="n">
        <v>11094.8</v>
      </c>
    </row>
    <row r="633" customFormat="false" ht="12.75" hidden="true" customHeight="true" outlineLevel="1" collapsed="false">
      <c r="B633" s="487" t="s">
        <v>746</v>
      </c>
      <c r="C633" s="487"/>
      <c r="D633" s="487"/>
      <c r="E633" s="487"/>
      <c r="F633" s="487"/>
      <c r="G633" s="487"/>
      <c r="H633" s="487"/>
      <c r="I633" s="487"/>
      <c r="J633" s="487"/>
      <c r="K633" s="492"/>
      <c r="L633" s="492"/>
      <c r="M633" s="492"/>
      <c r="N633" s="490" t="n">
        <v>13130</v>
      </c>
      <c r="O633" s="490" t="n">
        <v>11094.8</v>
      </c>
    </row>
    <row r="634" customFormat="false" ht="36.75" hidden="false" customHeight="true" outlineLevel="0" collapsed="false">
      <c r="B634" s="487" t="s">
        <v>3006</v>
      </c>
      <c r="C634" s="488" t="n">
        <v>791</v>
      </c>
      <c r="D634" s="489" t="n">
        <v>136</v>
      </c>
      <c r="E634" s="487" t="s">
        <v>994</v>
      </c>
      <c r="F634" s="487" t="s">
        <v>363</v>
      </c>
      <c r="G634" s="487" t="s">
        <v>364</v>
      </c>
      <c r="H634" s="487" t="s">
        <v>1144</v>
      </c>
      <c r="I634" s="487" t="s">
        <v>1175</v>
      </c>
      <c r="J634" s="487" t="s">
        <v>1435</v>
      </c>
      <c r="K634" s="490" t="n">
        <v>27500</v>
      </c>
      <c r="L634" s="490" t="n">
        <v>14560</v>
      </c>
      <c r="M634" s="491" t="n">
        <v>10.5</v>
      </c>
      <c r="N634" s="490" t="n">
        <v>12940</v>
      </c>
      <c r="O634" s="490" t="n">
        <v>11581.3</v>
      </c>
    </row>
    <row r="635" customFormat="false" ht="12.75" hidden="true" customHeight="true" outlineLevel="1" collapsed="false">
      <c r="B635" s="487" t="s">
        <v>746</v>
      </c>
      <c r="C635" s="487"/>
      <c r="D635" s="487"/>
      <c r="E635" s="487"/>
      <c r="F635" s="487"/>
      <c r="G635" s="487"/>
      <c r="H635" s="487"/>
      <c r="I635" s="487"/>
      <c r="J635" s="487"/>
      <c r="K635" s="492"/>
      <c r="L635" s="492"/>
      <c r="M635" s="492"/>
      <c r="N635" s="490" t="n">
        <v>12940</v>
      </c>
      <c r="O635" s="490" t="n">
        <v>11581.3</v>
      </c>
    </row>
    <row r="636" customFormat="false" ht="36.75" hidden="false" customHeight="true" outlineLevel="0" collapsed="false">
      <c r="B636" s="487" t="s">
        <v>3007</v>
      </c>
      <c r="C636" s="488" t="n">
        <v>792</v>
      </c>
      <c r="D636" s="489" t="n">
        <v>138</v>
      </c>
      <c r="E636" s="487" t="s">
        <v>994</v>
      </c>
      <c r="F636" s="487" t="s">
        <v>365</v>
      </c>
      <c r="G636" s="487" t="s">
        <v>373</v>
      </c>
      <c r="H636" s="487" t="s">
        <v>1144</v>
      </c>
      <c r="I636" s="487" t="s">
        <v>1175</v>
      </c>
      <c r="J636" s="487" t="s">
        <v>1435</v>
      </c>
      <c r="K636" s="490" t="n">
        <v>28780</v>
      </c>
      <c r="L636" s="490" t="n">
        <v>15730</v>
      </c>
      <c r="M636" s="491" t="n">
        <v>7.5</v>
      </c>
      <c r="N636" s="490" t="n">
        <v>13050</v>
      </c>
      <c r="O636" s="490" t="n">
        <v>12071.2</v>
      </c>
    </row>
    <row r="637" customFormat="false" ht="12.75" hidden="true" customHeight="true" outlineLevel="1" collapsed="false">
      <c r="B637" s="487" t="s">
        <v>746</v>
      </c>
      <c r="C637" s="487"/>
      <c r="D637" s="487"/>
      <c r="E637" s="487"/>
      <c r="F637" s="487"/>
      <c r="G637" s="487"/>
      <c r="H637" s="487"/>
      <c r="I637" s="487"/>
      <c r="J637" s="487"/>
      <c r="K637" s="492"/>
      <c r="L637" s="492"/>
      <c r="M637" s="492"/>
      <c r="N637" s="490" t="n">
        <v>13050</v>
      </c>
      <c r="O637" s="490" t="n">
        <v>12071.2</v>
      </c>
    </row>
    <row r="638" customFormat="false" ht="36.75" hidden="false" customHeight="true" outlineLevel="0" collapsed="false">
      <c r="B638" s="487" t="s">
        <v>3008</v>
      </c>
      <c r="C638" s="488" t="n">
        <v>793</v>
      </c>
      <c r="D638" s="489" t="n">
        <v>139</v>
      </c>
      <c r="E638" s="487" t="s">
        <v>994</v>
      </c>
      <c r="F638" s="487" t="s">
        <v>384</v>
      </c>
      <c r="G638" s="487" t="s">
        <v>385</v>
      </c>
      <c r="H638" s="487" t="s">
        <v>1144</v>
      </c>
      <c r="I638" s="487" t="s">
        <v>1175</v>
      </c>
      <c r="J638" s="487" t="s">
        <v>1435</v>
      </c>
      <c r="K638" s="490" t="n">
        <v>27400</v>
      </c>
      <c r="L638" s="490" t="n">
        <v>14420</v>
      </c>
      <c r="M638" s="491" t="n">
        <v>12.5</v>
      </c>
      <c r="N638" s="490" t="n">
        <v>12980</v>
      </c>
      <c r="O638" s="490" t="n">
        <v>11357.5</v>
      </c>
    </row>
    <row r="639" customFormat="false" ht="12.75" hidden="true" customHeight="true" outlineLevel="1" collapsed="false">
      <c r="B639" s="487" t="s">
        <v>886</v>
      </c>
      <c r="C639" s="487"/>
      <c r="D639" s="487"/>
      <c r="E639" s="487"/>
      <c r="F639" s="487"/>
      <c r="G639" s="487"/>
      <c r="H639" s="487"/>
      <c r="I639" s="487"/>
      <c r="J639" s="487"/>
      <c r="K639" s="492"/>
      <c r="L639" s="492"/>
      <c r="M639" s="492"/>
      <c r="N639" s="490" t="n">
        <v>12980</v>
      </c>
      <c r="O639" s="490" t="n">
        <v>11357.5</v>
      </c>
    </row>
    <row r="640" customFormat="false" ht="36.75" hidden="false" customHeight="true" outlineLevel="0" collapsed="false">
      <c r="B640" s="487" t="s">
        <v>3009</v>
      </c>
      <c r="C640" s="488" t="n">
        <v>795</v>
      </c>
      <c r="D640" s="489" t="n">
        <v>140</v>
      </c>
      <c r="E640" s="487" t="s">
        <v>994</v>
      </c>
      <c r="F640" s="487" t="s">
        <v>382</v>
      </c>
      <c r="G640" s="487" t="s">
        <v>383</v>
      </c>
      <c r="H640" s="487" t="s">
        <v>1144</v>
      </c>
      <c r="I640" s="487" t="s">
        <v>1175</v>
      </c>
      <c r="J640" s="487" t="s">
        <v>1435</v>
      </c>
      <c r="K640" s="490" t="n">
        <v>28010</v>
      </c>
      <c r="L640" s="490" t="n">
        <v>14870</v>
      </c>
      <c r="M640" s="491" t="n">
        <v>8.5</v>
      </c>
      <c r="N640" s="490" t="n">
        <v>13140</v>
      </c>
      <c r="O640" s="490" t="n">
        <v>12023.1</v>
      </c>
    </row>
    <row r="641" customFormat="false" ht="12.75" hidden="true" customHeight="true" outlineLevel="1" collapsed="false">
      <c r="B641" s="487" t="s">
        <v>746</v>
      </c>
      <c r="C641" s="487"/>
      <c r="D641" s="487"/>
      <c r="E641" s="487"/>
      <c r="F641" s="487"/>
      <c r="G641" s="487"/>
      <c r="H641" s="487"/>
      <c r="I641" s="487"/>
      <c r="J641" s="487"/>
      <c r="K641" s="492"/>
      <c r="L641" s="492"/>
      <c r="M641" s="492"/>
      <c r="N641" s="490" t="n">
        <v>13140</v>
      </c>
      <c r="O641" s="490" t="n">
        <v>12023.1</v>
      </c>
    </row>
    <row r="642" customFormat="false" ht="36.75" hidden="false" customHeight="true" outlineLevel="0" collapsed="false">
      <c r="B642" s="487" t="s">
        <v>3010</v>
      </c>
      <c r="C642" s="488" t="n">
        <v>796</v>
      </c>
      <c r="D642" s="489" t="n">
        <v>140</v>
      </c>
      <c r="E642" s="487" t="s">
        <v>994</v>
      </c>
      <c r="F642" s="487" t="s">
        <v>445</v>
      </c>
      <c r="G642" s="487" t="s">
        <v>449</v>
      </c>
      <c r="H642" s="487" t="s">
        <v>1144</v>
      </c>
      <c r="I642" s="487" t="s">
        <v>1175</v>
      </c>
      <c r="J642" s="487" t="s">
        <v>1435</v>
      </c>
      <c r="K642" s="490" t="n">
        <v>29040</v>
      </c>
      <c r="L642" s="490" t="n">
        <v>15510</v>
      </c>
      <c r="M642" s="491" t="n">
        <v>7.5</v>
      </c>
      <c r="N642" s="490" t="n">
        <v>13530</v>
      </c>
      <c r="O642" s="490" t="n">
        <v>12515.2</v>
      </c>
    </row>
    <row r="643" customFormat="false" ht="12.75" hidden="true" customHeight="true" outlineLevel="1" collapsed="false">
      <c r="B643" s="487" t="s">
        <v>886</v>
      </c>
      <c r="C643" s="487"/>
      <c r="D643" s="487"/>
      <c r="E643" s="487"/>
      <c r="F643" s="487"/>
      <c r="G643" s="487"/>
      <c r="H643" s="487"/>
      <c r="I643" s="487"/>
      <c r="J643" s="487"/>
      <c r="K643" s="492"/>
      <c r="L643" s="492"/>
      <c r="M643" s="492"/>
      <c r="N643" s="490" t="n">
        <v>13530</v>
      </c>
      <c r="O643" s="490" t="n">
        <v>12515.2</v>
      </c>
    </row>
    <row r="644" customFormat="false" ht="36.75" hidden="false" customHeight="true" outlineLevel="0" collapsed="false">
      <c r="B644" s="487" t="s">
        <v>3011</v>
      </c>
      <c r="C644" s="488" t="n">
        <v>799</v>
      </c>
      <c r="D644" s="489" t="n">
        <v>143</v>
      </c>
      <c r="E644" s="487" t="s">
        <v>994</v>
      </c>
      <c r="F644" s="487" t="s">
        <v>439</v>
      </c>
      <c r="G644" s="487" t="s">
        <v>443</v>
      </c>
      <c r="H644" s="487" t="s">
        <v>1144</v>
      </c>
      <c r="I644" s="487" t="s">
        <v>1175</v>
      </c>
      <c r="J644" s="487" t="s">
        <v>1435</v>
      </c>
      <c r="K644" s="490" t="n">
        <v>37250</v>
      </c>
      <c r="L644" s="490" t="n">
        <v>24060</v>
      </c>
      <c r="M644" s="491" t="n">
        <v>7.5</v>
      </c>
      <c r="N644" s="490" t="n">
        <v>13190</v>
      </c>
      <c r="O644" s="490" t="n">
        <v>12200.7</v>
      </c>
    </row>
    <row r="645" customFormat="false" ht="12.75" hidden="true" customHeight="true" outlineLevel="1" collapsed="false">
      <c r="B645" s="487" t="s">
        <v>886</v>
      </c>
      <c r="C645" s="487"/>
      <c r="D645" s="487"/>
      <c r="E645" s="487"/>
      <c r="F645" s="487"/>
      <c r="G645" s="487"/>
      <c r="H645" s="487"/>
      <c r="I645" s="487"/>
      <c r="J645" s="487"/>
      <c r="K645" s="492"/>
      <c r="L645" s="492"/>
      <c r="M645" s="492"/>
      <c r="N645" s="490" t="n">
        <v>13190</v>
      </c>
      <c r="O645" s="490" t="n">
        <v>12200.7</v>
      </c>
    </row>
    <row r="646" customFormat="false" ht="36.75" hidden="false" customHeight="true" outlineLevel="0" collapsed="false">
      <c r="B646" s="487" t="s">
        <v>3012</v>
      </c>
      <c r="C646" s="488" t="n">
        <v>800</v>
      </c>
      <c r="D646" s="489" t="n">
        <v>144</v>
      </c>
      <c r="E646" s="487" t="s">
        <v>994</v>
      </c>
      <c r="F646" s="487" t="s">
        <v>361</v>
      </c>
      <c r="G646" s="487" t="s">
        <v>362</v>
      </c>
      <c r="H646" s="487" t="s">
        <v>1144</v>
      </c>
      <c r="I646" s="487" t="s">
        <v>1175</v>
      </c>
      <c r="J646" s="487" t="s">
        <v>1435</v>
      </c>
      <c r="K646" s="490" t="n">
        <v>27910</v>
      </c>
      <c r="L646" s="490" t="n">
        <v>15020</v>
      </c>
      <c r="M646" s="491" t="n">
        <v>9.5</v>
      </c>
      <c r="N646" s="490" t="n">
        <v>12890</v>
      </c>
      <c r="O646" s="490" t="n">
        <v>11665.4</v>
      </c>
    </row>
    <row r="647" customFormat="false" ht="12.75" hidden="true" customHeight="true" outlineLevel="1" collapsed="false">
      <c r="B647" s="487" t="s">
        <v>886</v>
      </c>
      <c r="C647" s="487"/>
      <c r="D647" s="487"/>
      <c r="E647" s="487"/>
      <c r="F647" s="487"/>
      <c r="G647" s="487"/>
      <c r="H647" s="487"/>
      <c r="I647" s="487"/>
      <c r="J647" s="487"/>
      <c r="K647" s="492"/>
      <c r="L647" s="492"/>
      <c r="M647" s="492"/>
      <c r="N647" s="490" t="n">
        <v>12890</v>
      </c>
      <c r="O647" s="490" t="n">
        <v>11665.4</v>
      </c>
    </row>
    <row r="648" customFormat="false" ht="36.75" hidden="false" customHeight="true" outlineLevel="0" collapsed="false">
      <c r="B648" s="487" t="s">
        <v>3013</v>
      </c>
      <c r="C648" s="488" t="n">
        <v>801</v>
      </c>
      <c r="D648" s="489" t="n">
        <v>141</v>
      </c>
      <c r="E648" s="487" t="s">
        <v>994</v>
      </c>
      <c r="F648" s="487" t="s">
        <v>1086</v>
      </c>
      <c r="G648" s="487" t="s">
        <v>1087</v>
      </c>
      <c r="H648" s="487" t="s">
        <v>1144</v>
      </c>
      <c r="I648" s="487" t="s">
        <v>1175</v>
      </c>
      <c r="J648" s="487" t="s">
        <v>1435</v>
      </c>
      <c r="K648" s="490" t="n">
        <v>27130</v>
      </c>
      <c r="L648" s="490" t="n">
        <v>14830</v>
      </c>
      <c r="M648" s="491" t="n">
        <v>25.5</v>
      </c>
      <c r="N648" s="490" t="n">
        <v>12300</v>
      </c>
      <c r="O648" s="490" t="n">
        <v>9163.5</v>
      </c>
    </row>
    <row r="649" customFormat="false" ht="12.75" hidden="true" customHeight="true" outlineLevel="1" collapsed="false">
      <c r="B649" s="487" t="s">
        <v>746</v>
      </c>
      <c r="C649" s="487"/>
      <c r="D649" s="487"/>
      <c r="E649" s="487"/>
      <c r="F649" s="487"/>
      <c r="G649" s="487"/>
      <c r="H649" s="487"/>
      <c r="I649" s="487"/>
      <c r="J649" s="487"/>
      <c r="K649" s="492"/>
      <c r="L649" s="492"/>
      <c r="M649" s="492"/>
      <c r="N649" s="490" t="n">
        <v>12300</v>
      </c>
      <c r="O649" s="490" t="n">
        <v>9163.5</v>
      </c>
    </row>
    <row r="650" customFormat="false" ht="36.75" hidden="false" customHeight="true" outlineLevel="0" collapsed="false">
      <c r="B650" s="487" t="s">
        <v>3014</v>
      </c>
      <c r="C650" s="488" t="n">
        <v>802</v>
      </c>
      <c r="D650" s="489" t="n">
        <v>147</v>
      </c>
      <c r="E650" s="487" t="s">
        <v>994</v>
      </c>
      <c r="F650" s="487" t="s">
        <v>547</v>
      </c>
      <c r="G650" s="487" t="s">
        <v>551</v>
      </c>
      <c r="H650" s="487" t="s">
        <v>1144</v>
      </c>
      <c r="I650" s="487" t="s">
        <v>1175</v>
      </c>
      <c r="J650" s="487" t="s">
        <v>1435</v>
      </c>
      <c r="K650" s="490" t="n">
        <v>26390</v>
      </c>
      <c r="L650" s="490" t="n">
        <v>14500</v>
      </c>
      <c r="M650" s="491" t="n">
        <v>11.5</v>
      </c>
      <c r="N650" s="490" t="n">
        <v>11890</v>
      </c>
      <c r="O650" s="490" t="n">
        <v>10522.6</v>
      </c>
    </row>
    <row r="651" customFormat="false" ht="12.75" hidden="true" customHeight="true" outlineLevel="1" collapsed="false">
      <c r="B651" s="487" t="s">
        <v>746</v>
      </c>
      <c r="C651" s="487"/>
      <c r="D651" s="487"/>
      <c r="E651" s="487"/>
      <c r="F651" s="487"/>
      <c r="G651" s="487"/>
      <c r="H651" s="487"/>
      <c r="I651" s="487"/>
      <c r="J651" s="487"/>
      <c r="K651" s="492"/>
      <c r="L651" s="492"/>
      <c r="M651" s="492"/>
      <c r="N651" s="490" t="n">
        <v>11890</v>
      </c>
      <c r="O651" s="490" t="n">
        <v>10522.6</v>
      </c>
    </row>
    <row r="652" customFormat="false" ht="36.75" hidden="false" customHeight="true" outlineLevel="0" collapsed="false">
      <c r="B652" s="487" t="s">
        <v>3015</v>
      </c>
      <c r="C652" s="488" t="n">
        <v>803</v>
      </c>
      <c r="D652" s="489" t="n">
        <v>145</v>
      </c>
      <c r="E652" s="487" t="s">
        <v>994</v>
      </c>
      <c r="F652" s="487" t="s">
        <v>451</v>
      </c>
      <c r="G652" s="487" t="s">
        <v>455</v>
      </c>
      <c r="H652" s="487" t="s">
        <v>1144</v>
      </c>
      <c r="I652" s="487" t="s">
        <v>1175</v>
      </c>
      <c r="J652" s="487" t="s">
        <v>1435</v>
      </c>
      <c r="K652" s="490" t="n">
        <v>26950</v>
      </c>
      <c r="L652" s="490" t="n">
        <v>14890</v>
      </c>
      <c r="M652" s="491" t="n">
        <v>16.5</v>
      </c>
      <c r="N652" s="490" t="n">
        <v>12060</v>
      </c>
      <c r="O652" s="490" t="n">
        <v>10070.1</v>
      </c>
    </row>
    <row r="653" customFormat="false" ht="12.75" hidden="true" customHeight="true" outlineLevel="1" collapsed="false">
      <c r="B653" s="487" t="s">
        <v>886</v>
      </c>
      <c r="C653" s="487"/>
      <c r="D653" s="487"/>
      <c r="E653" s="487"/>
      <c r="F653" s="487"/>
      <c r="G653" s="487"/>
      <c r="H653" s="487"/>
      <c r="I653" s="487"/>
      <c r="J653" s="487"/>
      <c r="K653" s="492"/>
      <c r="L653" s="492"/>
      <c r="M653" s="492"/>
      <c r="N653" s="490" t="n">
        <v>12060</v>
      </c>
      <c r="O653" s="490" t="n">
        <v>10070.1</v>
      </c>
    </row>
    <row r="654" customFormat="false" ht="36.75" hidden="false" customHeight="true" outlineLevel="0" collapsed="false">
      <c r="B654" s="487" t="s">
        <v>3016</v>
      </c>
      <c r="C654" s="488" t="n">
        <v>804</v>
      </c>
      <c r="D654" s="489" t="n">
        <v>146</v>
      </c>
      <c r="E654" s="487" t="s">
        <v>994</v>
      </c>
      <c r="F654" s="487" t="s">
        <v>1092</v>
      </c>
      <c r="G654" s="487" t="s">
        <v>1093</v>
      </c>
      <c r="H654" s="487" t="s">
        <v>1144</v>
      </c>
      <c r="I654" s="487" t="s">
        <v>1175</v>
      </c>
      <c r="J654" s="487" t="s">
        <v>1435</v>
      </c>
      <c r="K654" s="490" t="n">
        <v>38830</v>
      </c>
      <c r="L654" s="490" t="n">
        <v>24310</v>
      </c>
      <c r="M654" s="491" t="n">
        <v>26</v>
      </c>
      <c r="N654" s="490" t="n">
        <v>14520</v>
      </c>
      <c r="O654" s="490" t="n">
        <v>10744.8</v>
      </c>
    </row>
    <row r="655" customFormat="false" ht="12.75" hidden="true" customHeight="true" outlineLevel="1" collapsed="false">
      <c r="B655" s="487" t="s">
        <v>746</v>
      </c>
      <c r="C655" s="487"/>
      <c r="D655" s="487"/>
      <c r="E655" s="487"/>
      <c r="F655" s="487"/>
      <c r="G655" s="487"/>
      <c r="H655" s="487"/>
      <c r="I655" s="487"/>
      <c r="J655" s="487"/>
      <c r="K655" s="492"/>
      <c r="L655" s="492"/>
      <c r="M655" s="492"/>
      <c r="N655" s="490" t="n">
        <v>14520</v>
      </c>
      <c r="O655" s="490" t="n">
        <v>10744.8</v>
      </c>
    </row>
    <row r="656" customFormat="false" ht="36.75" hidden="false" customHeight="true" outlineLevel="0" collapsed="false">
      <c r="B656" s="487" t="s">
        <v>2426</v>
      </c>
      <c r="C656" s="488" t="n">
        <v>104</v>
      </c>
      <c r="D656" s="489" t="n">
        <v>1</v>
      </c>
      <c r="E656" s="487" t="s">
        <v>422</v>
      </c>
      <c r="F656" s="487" t="s">
        <v>411</v>
      </c>
      <c r="G656" s="487" t="s">
        <v>381</v>
      </c>
      <c r="H656" s="487" t="s">
        <v>133</v>
      </c>
      <c r="I656" s="487" t="s">
        <v>423</v>
      </c>
      <c r="J656" s="487" t="s">
        <v>1435</v>
      </c>
      <c r="K656" s="490" t="n">
        <v>11320</v>
      </c>
      <c r="L656" s="490" t="n">
        <v>9270</v>
      </c>
      <c r="M656" s="491" t="n">
        <v>22</v>
      </c>
      <c r="N656" s="490" t="n">
        <v>2050</v>
      </c>
      <c r="O656" s="490" t="n">
        <v>1599</v>
      </c>
    </row>
    <row r="657" customFormat="false" ht="12.75" hidden="true" customHeight="true" outlineLevel="1" collapsed="false">
      <c r="B657" s="487" t="s">
        <v>417</v>
      </c>
      <c r="C657" s="487"/>
      <c r="D657" s="487"/>
      <c r="E657" s="487"/>
      <c r="F657" s="487"/>
      <c r="G657" s="487"/>
      <c r="H657" s="487"/>
      <c r="I657" s="487"/>
      <c r="J657" s="487"/>
      <c r="K657" s="492"/>
      <c r="L657" s="492"/>
      <c r="M657" s="492"/>
      <c r="N657" s="490" t="n">
        <v>2050</v>
      </c>
      <c r="O657" s="490" t="n">
        <v>1599</v>
      </c>
    </row>
    <row r="658" customFormat="false" ht="36.75" hidden="false" customHeight="true" outlineLevel="0" collapsed="false">
      <c r="B658" s="487" t="s">
        <v>2424</v>
      </c>
      <c r="C658" s="488" t="n">
        <v>102</v>
      </c>
      <c r="D658" s="489" t="n">
        <v>65889</v>
      </c>
      <c r="E658" s="487" t="s">
        <v>409</v>
      </c>
      <c r="F658" s="487" t="s">
        <v>411</v>
      </c>
      <c r="G658" s="487" t="s">
        <v>381</v>
      </c>
      <c r="H658" s="487" t="s">
        <v>410</v>
      </c>
      <c r="I658" s="487" t="s">
        <v>252</v>
      </c>
      <c r="J658" s="487" t="s">
        <v>1435</v>
      </c>
      <c r="K658" s="490" t="n">
        <v>27380</v>
      </c>
      <c r="L658" s="490" t="n">
        <v>13950</v>
      </c>
      <c r="M658" s="491" t="n">
        <v>27</v>
      </c>
      <c r="N658" s="490" t="n">
        <v>13430</v>
      </c>
      <c r="O658" s="490" t="n">
        <v>9803.9</v>
      </c>
    </row>
    <row r="659" customFormat="false" ht="12.75" hidden="true" customHeight="true" outlineLevel="1" collapsed="false">
      <c r="B659" s="487" t="s">
        <v>417</v>
      </c>
      <c r="C659" s="487"/>
      <c r="D659" s="487"/>
      <c r="E659" s="487"/>
      <c r="F659" s="487"/>
      <c r="G659" s="487"/>
      <c r="H659" s="487"/>
      <c r="I659" s="487"/>
      <c r="J659" s="487"/>
      <c r="K659" s="492"/>
      <c r="L659" s="492"/>
      <c r="M659" s="492"/>
      <c r="N659" s="490" t="n">
        <v>13430</v>
      </c>
      <c r="O659" s="490" t="n">
        <v>9803.9</v>
      </c>
    </row>
    <row r="660" customFormat="false" ht="36.75" hidden="false" customHeight="true" outlineLevel="0" collapsed="false">
      <c r="B660" s="487" t="s">
        <v>2425</v>
      </c>
      <c r="C660" s="488" t="n">
        <v>103</v>
      </c>
      <c r="D660" s="493" t="n">
        <v>65901</v>
      </c>
      <c r="E660" s="487" t="s">
        <v>409</v>
      </c>
      <c r="F660" s="487" t="s">
        <v>376</v>
      </c>
      <c r="G660" s="487" t="s">
        <v>377</v>
      </c>
      <c r="H660" s="487" t="s">
        <v>410</v>
      </c>
      <c r="I660" s="487" t="s">
        <v>252</v>
      </c>
      <c r="J660" s="487" t="s">
        <v>1435</v>
      </c>
      <c r="K660" s="490" t="n">
        <v>28260</v>
      </c>
      <c r="L660" s="490" t="n">
        <v>14290</v>
      </c>
      <c r="M660" s="491" t="n">
        <v>26</v>
      </c>
      <c r="N660" s="490" t="n">
        <v>13970</v>
      </c>
      <c r="O660" s="490" t="n">
        <v>10337.8</v>
      </c>
    </row>
    <row r="661" customFormat="false" ht="12.75" hidden="true" customHeight="true" outlineLevel="1" collapsed="false">
      <c r="B661" s="487" t="s">
        <v>417</v>
      </c>
      <c r="C661" s="487"/>
      <c r="D661" s="487"/>
      <c r="E661" s="487"/>
      <c r="F661" s="487"/>
      <c r="G661" s="487"/>
      <c r="H661" s="487"/>
      <c r="I661" s="487"/>
      <c r="J661" s="487"/>
      <c r="K661" s="492"/>
      <c r="L661" s="492"/>
      <c r="M661" s="492"/>
      <c r="N661" s="490" t="n">
        <v>13970</v>
      </c>
      <c r="O661" s="490" t="n">
        <v>10337.8</v>
      </c>
    </row>
    <row r="662" customFormat="false" ht="36.75" hidden="false" customHeight="true" outlineLevel="0" collapsed="false">
      <c r="B662" s="487" t="s">
        <v>2427</v>
      </c>
      <c r="C662" s="488" t="n">
        <v>105</v>
      </c>
      <c r="D662" s="489" t="n">
        <v>65902</v>
      </c>
      <c r="E662" s="487" t="s">
        <v>409</v>
      </c>
      <c r="F662" s="487" t="s">
        <v>359</v>
      </c>
      <c r="G662" s="487" t="s">
        <v>426</v>
      </c>
      <c r="H662" s="487" t="s">
        <v>410</v>
      </c>
      <c r="I662" s="487" t="s">
        <v>252</v>
      </c>
      <c r="J662" s="487" t="s">
        <v>1435</v>
      </c>
      <c r="K662" s="490" t="n">
        <v>27680</v>
      </c>
      <c r="L662" s="490" t="n">
        <v>13880</v>
      </c>
      <c r="M662" s="491" t="n">
        <v>20</v>
      </c>
      <c r="N662" s="490" t="n">
        <v>13800</v>
      </c>
      <c r="O662" s="490" t="n">
        <v>11040</v>
      </c>
    </row>
    <row r="663" customFormat="false" ht="12.75" hidden="true" customHeight="true" outlineLevel="1" collapsed="false">
      <c r="B663" s="487" t="s">
        <v>417</v>
      </c>
      <c r="C663" s="487"/>
      <c r="D663" s="487"/>
      <c r="E663" s="487"/>
      <c r="F663" s="487"/>
      <c r="G663" s="487"/>
      <c r="H663" s="487"/>
      <c r="I663" s="487"/>
      <c r="J663" s="487"/>
      <c r="K663" s="492"/>
      <c r="L663" s="492"/>
      <c r="M663" s="492"/>
      <c r="N663" s="490" t="n">
        <v>13800</v>
      </c>
      <c r="O663" s="490" t="n">
        <v>11040</v>
      </c>
    </row>
    <row r="664" customFormat="false" ht="36.75" hidden="false" customHeight="true" outlineLevel="0" collapsed="false">
      <c r="B664" s="487" t="s">
        <v>2428</v>
      </c>
      <c r="C664" s="488" t="n">
        <v>108</v>
      </c>
      <c r="D664" s="489" t="n">
        <v>65903</v>
      </c>
      <c r="E664" s="487" t="s">
        <v>409</v>
      </c>
      <c r="F664" s="487" t="s">
        <v>427</v>
      </c>
      <c r="G664" s="487" t="s">
        <v>431</v>
      </c>
      <c r="H664" s="487" t="s">
        <v>410</v>
      </c>
      <c r="I664" s="487" t="s">
        <v>252</v>
      </c>
      <c r="J664" s="487" t="s">
        <v>1435</v>
      </c>
      <c r="K664" s="490" t="n">
        <v>34970</v>
      </c>
      <c r="L664" s="490" t="n">
        <v>20920</v>
      </c>
      <c r="M664" s="491" t="n">
        <v>21</v>
      </c>
      <c r="N664" s="490" t="n">
        <v>14050</v>
      </c>
      <c r="O664" s="490" t="n">
        <v>11099.5</v>
      </c>
    </row>
    <row r="665" customFormat="false" ht="12.75" hidden="true" customHeight="true" outlineLevel="1" collapsed="false">
      <c r="B665" s="487" t="s">
        <v>417</v>
      </c>
      <c r="C665" s="487"/>
      <c r="D665" s="487"/>
      <c r="E665" s="487"/>
      <c r="F665" s="487"/>
      <c r="G665" s="487"/>
      <c r="H665" s="487"/>
      <c r="I665" s="487"/>
      <c r="J665" s="487"/>
      <c r="K665" s="492"/>
      <c r="L665" s="492"/>
      <c r="M665" s="492"/>
      <c r="N665" s="490" t="n">
        <v>14050</v>
      </c>
      <c r="O665" s="490" t="n">
        <v>11099.5</v>
      </c>
    </row>
    <row r="666" customFormat="false" ht="36.75" hidden="false" customHeight="true" outlineLevel="0" collapsed="false">
      <c r="B666" s="487" t="s">
        <v>2429</v>
      </c>
      <c r="C666" s="488" t="n">
        <v>110</v>
      </c>
      <c r="D666" s="489" t="n">
        <v>65904</v>
      </c>
      <c r="E666" s="487" t="s">
        <v>409</v>
      </c>
      <c r="F666" s="487" t="s">
        <v>433</v>
      </c>
      <c r="G666" s="487" t="s">
        <v>437</v>
      </c>
      <c r="H666" s="487" t="s">
        <v>410</v>
      </c>
      <c r="I666" s="487" t="s">
        <v>252</v>
      </c>
      <c r="J666" s="487" t="s">
        <v>1435</v>
      </c>
      <c r="K666" s="490" t="n">
        <v>28940</v>
      </c>
      <c r="L666" s="490" t="n">
        <v>14890</v>
      </c>
      <c r="M666" s="491" t="n">
        <v>31.5</v>
      </c>
      <c r="N666" s="490" t="n">
        <v>14050</v>
      </c>
      <c r="O666" s="490" t="n">
        <v>9624.2</v>
      </c>
    </row>
    <row r="667" customFormat="false" ht="12.75" hidden="true" customHeight="true" outlineLevel="1" collapsed="false">
      <c r="B667" s="487" t="s">
        <v>417</v>
      </c>
      <c r="C667" s="487"/>
      <c r="D667" s="487"/>
      <c r="E667" s="487"/>
      <c r="F667" s="487"/>
      <c r="G667" s="487"/>
      <c r="H667" s="487"/>
      <c r="I667" s="487"/>
      <c r="J667" s="487"/>
      <c r="K667" s="492"/>
      <c r="L667" s="492"/>
      <c r="M667" s="492"/>
      <c r="N667" s="490" t="n">
        <v>14050</v>
      </c>
      <c r="O667" s="490" t="n">
        <v>9624.2</v>
      </c>
    </row>
    <row r="668" customFormat="false" ht="36.75" hidden="false" customHeight="true" outlineLevel="0" collapsed="false">
      <c r="B668" s="487" t="s">
        <v>2430</v>
      </c>
      <c r="C668" s="488" t="n">
        <v>111</v>
      </c>
      <c r="D668" s="489" t="n">
        <v>65905</v>
      </c>
      <c r="E668" s="487" t="s">
        <v>409</v>
      </c>
      <c r="F668" s="487" t="s">
        <v>439</v>
      </c>
      <c r="G668" s="487" t="s">
        <v>443</v>
      </c>
      <c r="H668" s="487" t="s">
        <v>410</v>
      </c>
      <c r="I668" s="487" t="s">
        <v>252</v>
      </c>
      <c r="J668" s="487" t="s">
        <v>1435</v>
      </c>
      <c r="K668" s="490" t="n">
        <v>38160</v>
      </c>
      <c r="L668" s="490" t="n">
        <v>24140</v>
      </c>
      <c r="M668" s="491" t="n">
        <v>31.5</v>
      </c>
      <c r="N668" s="490" t="n">
        <v>14180</v>
      </c>
      <c r="O668" s="490" t="n">
        <v>9713.3</v>
      </c>
    </row>
    <row r="669" customFormat="false" ht="12.75" hidden="true" customHeight="true" outlineLevel="1" collapsed="false">
      <c r="B669" s="487" t="s">
        <v>417</v>
      </c>
      <c r="C669" s="487"/>
      <c r="D669" s="487"/>
      <c r="E669" s="487"/>
      <c r="F669" s="487"/>
      <c r="G669" s="487"/>
      <c r="H669" s="487"/>
      <c r="I669" s="487"/>
      <c r="J669" s="487"/>
      <c r="K669" s="492"/>
      <c r="L669" s="492"/>
      <c r="M669" s="492"/>
      <c r="N669" s="490" t="n">
        <v>14180</v>
      </c>
      <c r="O669" s="490" t="n">
        <v>9713.3</v>
      </c>
    </row>
    <row r="670" customFormat="false" ht="36.75" hidden="false" customHeight="true" outlineLevel="0" collapsed="false">
      <c r="B670" s="487" t="s">
        <v>2431</v>
      </c>
      <c r="C670" s="488" t="n">
        <v>112</v>
      </c>
      <c r="D670" s="489" t="n">
        <v>65907</v>
      </c>
      <c r="E670" s="487" t="s">
        <v>409</v>
      </c>
      <c r="F670" s="487" t="s">
        <v>445</v>
      </c>
      <c r="G670" s="487" t="s">
        <v>449</v>
      </c>
      <c r="H670" s="487" t="s">
        <v>410</v>
      </c>
      <c r="I670" s="487" t="s">
        <v>252</v>
      </c>
      <c r="J670" s="487" t="s">
        <v>1435</v>
      </c>
      <c r="K670" s="490" t="n">
        <v>29800</v>
      </c>
      <c r="L670" s="490" t="n">
        <v>15690</v>
      </c>
      <c r="M670" s="491" t="n">
        <v>30.5</v>
      </c>
      <c r="N670" s="490" t="n">
        <v>14110</v>
      </c>
      <c r="O670" s="490" t="n">
        <v>9806.4</v>
      </c>
    </row>
    <row r="671" customFormat="false" ht="12.75" hidden="true" customHeight="true" outlineLevel="1" collapsed="false">
      <c r="B671" s="487" t="s">
        <v>417</v>
      </c>
      <c r="C671" s="487"/>
      <c r="D671" s="487"/>
      <c r="E671" s="487"/>
      <c r="F671" s="487"/>
      <c r="G671" s="487"/>
      <c r="H671" s="487"/>
      <c r="I671" s="487"/>
      <c r="J671" s="487"/>
      <c r="K671" s="492"/>
      <c r="L671" s="492"/>
      <c r="M671" s="492"/>
      <c r="N671" s="490" t="n">
        <v>14110</v>
      </c>
      <c r="O671" s="490" t="n">
        <v>9806.4</v>
      </c>
    </row>
    <row r="672" customFormat="false" ht="36.75" hidden="false" customHeight="true" outlineLevel="0" collapsed="false">
      <c r="B672" s="487" t="s">
        <v>2432</v>
      </c>
      <c r="C672" s="488" t="n">
        <v>113</v>
      </c>
      <c r="D672" s="489" t="n">
        <v>65906</v>
      </c>
      <c r="E672" s="487" t="s">
        <v>409</v>
      </c>
      <c r="F672" s="487" t="s">
        <v>451</v>
      </c>
      <c r="G672" s="487" t="s">
        <v>455</v>
      </c>
      <c r="H672" s="487" t="s">
        <v>410</v>
      </c>
      <c r="I672" s="487" t="s">
        <v>252</v>
      </c>
      <c r="J672" s="487" t="s">
        <v>1435</v>
      </c>
      <c r="K672" s="490" t="n">
        <v>29560</v>
      </c>
      <c r="L672" s="490" t="n">
        <v>15050</v>
      </c>
      <c r="M672" s="491" t="n">
        <v>27.5</v>
      </c>
      <c r="N672" s="490" t="n">
        <v>14510</v>
      </c>
      <c r="O672" s="490" t="n">
        <v>10519.7</v>
      </c>
    </row>
    <row r="673" customFormat="false" ht="12.75" hidden="true" customHeight="true" outlineLevel="1" collapsed="false">
      <c r="B673" s="487" t="s">
        <v>417</v>
      </c>
      <c r="C673" s="487"/>
      <c r="D673" s="487"/>
      <c r="E673" s="487"/>
      <c r="F673" s="487"/>
      <c r="G673" s="487"/>
      <c r="H673" s="487"/>
      <c r="I673" s="487"/>
      <c r="J673" s="487"/>
      <c r="K673" s="492"/>
      <c r="L673" s="492"/>
      <c r="M673" s="492"/>
      <c r="N673" s="490" t="n">
        <v>14510</v>
      </c>
      <c r="O673" s="490" t="n">
        <v>10519.7</v>
      </c>
    </row>
    <row r="674" customFormat="false" ht="36.75" hidden="false" customHeight="true" outlineLevel="0" collapsed="false">
      <c r="B674" s="487" t="s">
        <v>2433</v>
      </c>
      <c r="C674" s="488" t="n">
        <v>114</v>
      </c>
      <c r="D674" s="489" t="n">
        <v>65908</v>
      </c>
      <c r="E674" s="487" t="s">
        <v>409</v>
      </c>
      <c r="F674" s="487" t="s">
        <v>457</v>
      </c>
      <c r="G674" s="487" t="s">
        <v>366</v>
      </c>
      <c r="H674" s="487" t="s">
        <v>410</v>
      </c>
      <c r="I674" s="487" t="s">
        <v>252</v>
      </c>
      <c r="J674" s="487" t="s">
        <v>1435</v>
      </c>
      <c r="K674" s="490" t="n">
        <v>28960</v>
      </c>
      <c r="L674" s="490" t="n">
        <v>14870</v>
      </c>
      <c r="M674" s="491" t="n">
        <v>30.5</v>
      </c>
      <c r="N674" s="490" t="n">
        <v>14090</v>
      </c>
      <c r="O674" s="490" t="n">
        <v>9792.5</v>
      </c>
    </row>
    <row r="675" customFormat="false" ht="12.75" hidden="true" customHeight="true" outlineLevel="1" collapsed="false">
      <c r="B675" s="487" t="s">
        <v>417</v>
      </c>
      <c r="C675" s="487"/>
      <c r="D675" s="487"/>
      <c r="E675" s="487"/>
      <c r="F675" s="487"/>
      <c r="G675" s="487"/>
      <c r="H675" s="487"/>
      <c r="I675" s="487"/>
      <c r="J675" s="487"/>
      <c r="K675" s="492"/>
      <c r="L675" s="492"/>
      <c r="M675" s="492"/>
      <c r="N675" s="490" t="n">
        <v>14090</v>
      </c>
      <c r="O675" s="490" t="n">
        <v>9792.5</v>
      </c>
    </row>
    <row r="676" customFormat="false" ht="36.75" hidden="false" customHeight="true" outlineLevel="0" collapsed="false">
      <c r="B676" s="487" t="s">
        <v>2435</v>
      </c>
      <c r="C676" s="488" t="n">
        <v>117</v>
      </c>
      <c r="D676" s="489" t="n">
        <v>65910</v>
      </c>
      <c r="E676" s="487" t="s">
        <v>409</v>
      </c>
      <c r="F676" s="487" t="s">
        <v>466</v>
      </c>
      <c r="G676" s="487" t="s">
        <v>470</v>
      </c>
      <c r="H676" s="487" t="s">
        <v>410</v>
      </c>
      <c r="I676" s="487" t="s">
        <v>252</v>
      </c>
      <c r="J676" s="487" t="s">
        <v>1435</v>
      </c>
      <c r="K676" s="490" t="n">
        <v>28830</v>
      </c>
      <c r="L676" s="490" t="n">
        <v>14830</v>
      </c>
      <c r="M676" s="491" t="n">
        <v>27.5</v>
      </c>
      <c r="N676" s="490" t="n">
        <v>14000</v>
      </c>
      <c r="O676" s="490" t="n">
        <v>10150</v>
      </c>
    </row>
    <row r="677" customFormat="false" ht="12.75" hidden="true" customHeight="true" outlineLevel="1" collapsed="false">
      <c r="B677" s="487" t="s">
        <v>417</v>
      </c>
      <c r="C677" s="487"/>
      <c r="D677" s="487"/>
      <c r="E677" s="487"/>
      <c r="F677" s="487"/>
      <c r="G677" s="487"/>
      <c r="H677" s="487"/>
      <c r="I677" s="487"/>
      <c r="J677" s="487"/>
      <c r="K677" s="492"/>
      <c r="L677" s="492"/>
      <c r="M677" s="492"/>
      <c r="N677" s="490" t="n">
        <v>14000</v>
      </c>
      <c r="O677" s="490" t="n">
        <v>10150</v>
      </c>
    </row>
    <row r="678" customFormat="false" ht="36.75" hidden="false" customHeight="true" outlineLevel="0" collapsed="false">
      <c r="B678" s="487" t="s">
        <v>2436</v>
      </c>
      <c r="C678" s="488" t="n">
        <v>118</v>
      </c>
      <c r="D678" s="489" t="n">
        <v>65911</v>
      </c>
      <c r="E678" s="487" t="s">
        <v>409</v>
      </c>
      <c r="F678" s="487" t="s">
        <v>472</v>
      </c>
      <c r="G678" s="487" t="s">
        <v>476</v>
      </c>
      <c r="H678" s="487" t="s">
        <v>410</v>
      </c>
      <c r="I678" s="487" t="s">
        <v>252</v>
      </c>
      <c r="J678" s="487" t="s">
        <v>1435</v>
      </c>
      <c r="K678" s="490" t="n">
        <v>29110</v>
      </c>
      <c r="L678" s="490" t="n">
        <v>15320</v>
      </c>
      <c r="M678" s="491" t="n">
        <v>30</v>
      </c>
      <c r="N678" s="490" t="n">
        <v>13790</v>
      </c>
      <c r="O678" s="490" t="n">
        <v>9653</v>
      </c>
    </row>
    <row r="679" customFormat="false" ht="12.75" hidden="true" customHeight="true" outlineLevel="1" collapsed="false">
      <c r="B679" s="487" t="s">
        <v>417</v>
      </c>
      <c r="C679" s="487"/>
      <c r="D679" s="487"/>
      <c r="E679" s="487"/>
      <c r="F679" s="487"/>
      <c r="G679" s="487"/>
      <c r="H679" s="487"/>
      <c r="I679" s="487"/>
      <c r="J679" s="487"/>
      <c r="K679" s="492"/>
      <c r="L679" s="492"/>
      <c r="M679" s="492"/>
      <c r="N679" s="490" t="n">
        <v>13790</v>
      </c>
      <c r="O679" s="490" t="n">
        <v>9653</v>
      </c>
    </row>
    <row r="680" customFormat="false" ht="36.75" hidden="false" customHeight="true" outlineLevel="0" collapsed="false">
      <c r="B680" s="487" t="s">
        <v>2434</v>
      </c>
      <c r="C680" s="488" t="n">
        <v>115</v>
      </c>
      <c r="D680" s="489" t="n">
        <v>65909</v>
      </c>
      <c r="E680" s="487" t="s">
        <v>409</v>
      </c>
      <c r="F680" s="487" t="s">
        <v>55</v>
      </c>
      <c r="G680" s="487" t="s">
        <v>56</v>
      </c>
      <c r="H680" s="487" t="s">
        <v>410</v>
      </c>
      <c r="I680" s="487" t="s">
        <v>252</v>
      </c>
      <c r="J680" s="487" t="s">
        <v>1435</v>
      </c>
      <c r="K680" s="490" t="n">
        <v>28680</v>
      </c>
      <c r="L680" s="490" t="n">
        <v>14580</v>
      </c>
      <c r="M680" s="491" t="n">
        <v>32</v>
      </c>
      <c r="N680" s="490" t="n">
        <v>14100</v>
      </c>
      <c r="O680" s="490" t="n">
        <v>9588</v>
      </c>
    </row>
    <row r="681" customFormat="false" ht="12.75" hidden="true" customHeight="true" outlineLevel="1" collapsed="false">
      <c r="B681" s="487" t="s">
        <v>417</v>
      </c>
      <c r="C681" s="487"/>
      <c r="D681" s="487"/>
      <c r="E681" s="487"/>
      <c r="F681" s="487"/>
      <c r="G681" s="487"/>
      <c r="H681" s="487"/>
      <c r="I681" s="487"/>
      <c r="J681" s="487"/>
      <c r="K681" s="492"/>
      <c r="L681" s="492"/>
      <c r="M681" s="492"/>
      <c r="N681" s="490" t="n">
        <v>14100</v>
      </c>
      <c r="O681" s="490" t="n">
        <v>9588</v>
      </c>
    </row>
    <row r="682" customFormat="false" ht="36.75" hidden="false" customHeight="true" outlineLevel="0" collapsed="false">
      <c r="B682" s="487" t="s">
        <v>2437</v>
      </c>
      <c r="C682" s="488" t="n">
        <v>122</v>
      </c>
      <c r="D682" s="489" t="n">
        <v>2</v>
      </c>
      <c r="E682" s="487" t="s">
        <v>422</v>
      </c>
      <c r="F682" s="487" t="s">
        <v>472</v>
      </c>
      <c r="G682" s="487" t="s">
        <v>476</v>
      </c>
      <c r="H682" s="487" t="s">
        <v>133</v>
      </c>
      <c r="I682" s="487" t="s">
        <v>423</v>
      </c>
      <c r="J682" s="487" t="s">
        <v>1435</v>
      </c>
      <c r="K682" s="490" t="n">
        <v>13930</v>
      </c>
      <c r="L682" s="490" t="n">
        <v>9710</v>
      </c>
      <c r="M682" s="491" t="n">
        <v>27</v>
      </c>
      <c r="N682" s="490" t="n">
        <v>4220</v>
      </c>
      <c r="O682" s="490" t="n">
        <v>3080.6</v>
      </c>
    </row>
    <row r="683" customFormat="false" ht="12.75" hidden="true" customHeight="true" outlineLevel="1" collapsed="false">
      <c r="B683" s="487" t="s">
        <v>417</v>
      </c>
      <c r="C683" s="487"/>
      <c r="D683" s="487"/>
      <c r="E683" s="487"/>
      <c r="F683" s="487"/>
      <c r="G683" s="487"/>
      <c r="H683" s="487"/>
      <c r="I683" s="487"/>
      <c r="J683" s="487"/>
      <c r="K683" s="492"/>
      <c r="L683" s="492"/>
      <c r="M683" s="492"/>
      <c r="N683" s="490" t="n">
        <v>4220</v>
      </c>
      <c r="O683" s="490" t="n">
        <v>3080.6</v>
      </c>
    </row>
    <row r="684" customFormat="false" ht="36.75" hidden="false" customHeight="true" outlineLevel="0" collapsed="false">
      <c r="B684" s="487" t="s">
        <v>2438</v>
      </c>
      <c r="C684" s="488" t="n">
        <v>123</v>
      </c>
      <c r="D684" s="489" t="n">
        <v>3</v>
      </c>
      <c r="E684" s="487" t="s">
        <v>422</v>
      </c>
      <c r="F684" s="487" t="s">
        <v>472</v>
      </c>
      <c r="G684" s="487" t="s">
        <v>476</v>
      </c>
      <c r="H684" s="487" t="s">
        <v>133</v>
      </c>
      <c r="I684" s="487" t="s">
        <v>423</v>
      </c>
      <c r="J684" s="487" t="s">
        <v>1435</v>
      </c>
      <c r="K684" s="490" t="n">
        <v>21910</v>
      </c>
      <c r="L684" s="490" t="n">
        <v>15390</v>
      </c>
      <c r="M684" s="491" t="n">
        <v>23</v>
      </c>
      <c r="N684" s="490" t="n">
        <v>6520</v>
      </c>
      <c r="O684" s="490" t="n">
        <v>5020.4</v>
      </c>
    </row>
    <row r="685" customFormat="false" ht="12.75" hidden="true" customHeight="true" outlineLevel="1" collapsed="false">
      <c r="B685" s="487" t="s">
        <v>417</v>
      </c>
      <c r="C685" s="487"/>
      <c r="D685" s="487"/>
      <c r="E685" s="487"/>
      <c r="F685" s="487"/>
      <c r="G685" s="487"/>
      <c r="H685" s="487"/>
      <c r="I685" s="487"/>
      <c r="J685" s="487"/>
      <c r="K685" s="492"/>
      <c r="L685" s="492"/>
      <c r="M685" s="492"/>
      <c r="N685" s="490" t="n">
        <v>6520</v>
      </c>
      <c r="O685" s="490" t="n">
        <v>5020.4</v>
      </c>
    </row>
    <row r="686" customFormat="false" ht="36.75" hidden="false" customHeight="true" outlineLevel="0" collapsed="false">
      <c r="B686" s="487" t="s">
        <v>2439</v>
      </c>
      <c r="C686" s="488" t="n">
        <v>126</v>
      </c>
      <c r="D686" s="489" t="n">
        <v>4</v>
      </c>
      <c r="E686" s="487" t="s">
        <v>422</v>
      </c>
      <c r="F686" s="487" t="s">
        <v>376</v>
      </c>
      <c r="G686" s="487" t="s">
        <v>377</v>
      </c>
      <c r="H686" s="487" t="s">
        <v>133</v>
      </c>
      <c r="I686" s="487" t="s">
        <v>423</v>
      </c>
      <c r="J686" s="487" t="s">
        <v>1435</v>
      </c>
      <c r="K686" s="490" t="n">
        <v>14120</v>
      </c>
      <c r="L686" s="490" t="n">
        <v>9740</v>
      </c>
      <c r="M686" s="491" t="n">
        <v>24.5</v>
      </c>
      <c r="N686" s="490" t="n">
        <v>4380</v>
      </c>
      <c r="O686" s="490" t="n">
        <v>3306.9</v>
      </c>
    </row>
    <row r="687" customFormat="false" ht="12.75" hidden="true" customHeight="true" outlineLevel="1" collapsed="false">
      <c r="B687" s="487" t="s">
        <v>417</v>
      </c>
      <c r="C687" s="487"/>
      <c r="D687" s="487"/>
      <c r="E687" s="487"/>
      <c r="F687" s="487"/>
      <c r="G687" s="487"/>
      <c r="H687" s="487"/>
      <c r="I687" s="487"/>
      <c r="J687" s="487"/>
      <c r="K687" s="492"/>
      <c r="L687" s="492"/>
      <c r="M687" s="492"/>
      <c r="N687" s="490" t="n">
        <v>4380</v>
      </c>
      <c r="O687" s="490" t="n">
        <v>3306.9</v>
      </c>
    </row>
    <row r="688" customFormat="false" ht="36.75" hidden="false" customHeight="true" outlineLevel="0" collapsed="false">
      <c r="B688" s="487" t="s">
        <v>2440</v>
      </c>
      <c r="C688" s="488" t="n">
        <v>127</v>
      </c>
      <c r="D688" s="489" t="n">
        <v>5</v>
      </c>
      <c r="E688" s="487" t="s">
        <v>422</v>
      </c>
      <c r="F688" s="487" t="s">
        <v>376</v>
      </c>
      <c r="G688" s="487" t="s">
        <v>377</v>
      </c>
      <c r="H688" s="487" t="s">
        <v>133</v>
      </c>
      <c r="I688" s="487" t="s">
        <v>423</v>
      </c>
      <c r="J688" s="487" t="s">
        <v>1435</v>
      </c>
      <c r="K688" s="490" t="n">
        <v>14320</v>
      </c>
      <c r="L688" s="490" t="n">
        <v>9730</v>
      </c>
      <c r="M688" s="491" t="n">
        <v>22.5</v>
      </c>
      <c r="N688" s="490" t="n">
        <v>4590</v>
      </c>
      <c r="O688" s="490" t="n">
        <v>3557.2</v>
      </c>
    </row>
    <row r="689" customFormat="false" ht="12.75" hidden="true" customHeight="true" outlineLevel="1" collapsed="false">
      <c r="B689" s="487" t="s">
        <v>417</v>
      </c>
      <c r="C689" s="487"/>
      <c r="D689" s="487"/>
      <c r="E689" s="487"/>
      <c r="F689" s="487"/>
      <c r="G689" s="487"/>
      <c r="H689" s="487"/>
      <c r="I689" s="487"/>
      <c r="J689" s="487"/>
      <c r="K689" s="492"/>
      <c r="L689" s="492"/>
      <c r="M689" s="492"/>
      <c r="N689" s="490" t="n">
        <v>4590</v>
      </c>
      <c r="O689" s="490" t="n">
        <v>3557.2</v>
      </c>
    </row>
    <row r="690" customFormat="false" ht="36.75" hidden="false" customHeight="true" outlineLevel="0" collapsed="false">
      <c r="B690" s="487" t="s">
        <v>2441</v>
      </c>
      <c r="C690" s="488" t="n">
        <v>128</v>
      </c>
      <c r="D690" s="489" t="n">
        <v>6</v>
      </c>
      <c r="E690" s="487" t="s">
        <v>422</v>
      </c>
      <c r="F690" s="487" t="s">
        <v>376</v>
      </c>
      <c r="G690" s="487" t="s">
        <v>377</v>
      </c>
      <c r="H690" s="487" t="s">
        <v>133</v>
      </c>
      <c r="I690" s="487" t="s">
        <v>423</v>
      </c>
      <c r="J690" s="487" t="s">
        <v>1435</v>
      </c>
      <c r="K690" s="490" t="n">
        <v>23120</v>
      </c>
      <c r="L690" s="490" t="n">
        <v>14360</v>
      </c>
      <c r="M690" s="491" t="n">
        <v>28.5</v>
      </c>
      <c r="N690" s="490" t="n">
        <v>8760</v>
      </c>
      <c r="O690" s="490" t="n">
        <v>6263.4</v>
      </c>
    </row>
    <row r="691" customFormat="false" ht="12.75" hidden="true" customHeight="true" outlineLevel="1" collapsed="false">
      <c r="B691" s="487" t="s">
        <v>417</v>
      </c>
      <c r="C691" s="487"/>
      <c r="D691" s="487"/>
      <c r="E691" s="487"/>
      <c r="F691" s="487"/>
      <c r="G691" s="487"/>
      <c r="H691" s="487"/>
      <c r="I691" s="487"/>
      <c r="J691" s="487"/>
      <c r="K691" s="492"/>
      <c r="L691" s="492"/>
      <c r="M691" s="492"/>
      <c r="N691" s="490" t="n">
        <v>8760</v>
      </c>
      <c r="O691" s="490" t="n">
        <v>6263.4</v>
      </c>
    </row>
    <row r="692" customFormat="false" ht="36.75" hidden="false" customHeight="true" outlineLevel="0" collapsed="false">
      <c r="B692" s="487" t="s">
        <v>2442</v>
      </c>
      <c r="C692" s="488" t="n">
        <v>129</v>
      </c>
      <c r="D692" s="489" t="n">
        <v>7</v>
      </c>
      <c r="E692" s="487" t="s">
        <v>422</v>
      </c>
      <c r="F692" s="487" t="s">
        <v>376</v>
      </c>
      <c r="G692" s="487" t="s">
        <v>377</v>
      </c>
      <c r="H692" s="487" t="s">
        <v>133</v>
      </c>
      <c r="I692" s="487" t="s">
        <v>423</v>
      </c>
      <c r="J692" s="487" t="s">
        <v>1435</v>
      </c>
      <c r="K692" s="490" t="n">
        <v>14470</v>
      </c>
      <c r="L692" s="490" t="n">
        <v>9700</v>
      </c>
      <c r="M692" s="491" t="n">
        <v>31</v>
      </c>
      <c r="N692" s="490" t="n">
        <v>4770</v>
      </c>
      <c r="O692" s="490" t="n">
        <v>3291.3</v>
      </c>
    </row>
    <row r="693" customFormat="false" ht="12.75" hidden="true" customHeight="true" outlineLevel="1" collapsed="false">
      <c r="B693" s="487" t="s">
        <v>417</v>
      </c>
      <c r="C693" s="487"/>
      <c r="D693" s="487"/>
      <c r="E693" s="487"/>
      <c r="F693" s="487"/>
      <c r="G693" s="487"/>
      <c r="H693" s="487"/>
      <c r="I693" s="487"/>
      <c r="J693" s="487"/>
      <c r="K693" s="492"/>
      <c r="L693" s="492"/>
      <c r="M693" s="492"/>
      <c r="N693" s="490" t="n">
        <v>4770</v>
      </c>
      <c r="O693" s="490" t="n">
        <v>3291.3</v>
      </c>
    </row>
    <row r="694" customFormat="false" ht="36.75" hidden="false" customHeight="true" outlineLevel="0" collapsed="false">
      <c r="B694" s="487" t="s">
        <v>2443</v>
      </c>
      <c r="C694" s="488" t="n">
        <v>130</v>
      </c>
      <c r="D694" s="489" t="n">
        <v>8</v>
      </c>
      <c r="E694" s="487" t="s">
        <v>422</v>
      </c>
      <c r="F694" s="487" t="s">
        <v>376</v>
      </c>
      <c r="G694" s="487" t="s">
        <v>377</v>
      </c>
      <c r="H694" s="487" t="s">
        <v>133</v>
      </c>
      <c r="I694" s="487" t="s">
        <v>423</v>
      </c>
      <c r="J694" s="487" t="s">
        <v>1435</v>
      </c>
      <c r="K694" s="490" t="n">
        <v>14140</v>
      </c>
      <c r="L694" s="490" t="n">
        <v>9690</v>
      </c>
      <c r="M694" s="491" t="n">
        <v>33</v>
      </c>
      <c r="N694" s="490" t="n">
        <v>4450</v>
      </c>
      <c r="O694" s="490" t="n">
        <v>2981.5</v>
      </c>
    </row>
    <row r="695" customFormat="false" ht="12.75" hidden="true" customHeight="true" outlineLevel="1" collapsed="false">
      <c r="B695" s="487" t="s">
        <v>417</v>
      </c>
      <c r="C695" s="487"/>
      <c r="D695" s="487"/>
      <c r="E695" s="487"/>
      <c r="F695" s="487"/>
      <c r="G695" s="487"/>
      <c r="H695" s="487"/>
      <c r="I695" s="487"/>
      <c r="J695" s="487"/>
      <c r="K695" s="492"/>
      <c r="L695" s="492"/>
      <c r="M695" s="492"/>
      <c r="N695" s="490" t="n">
        <v>4450</v>
      </c>
      <c r="O695" s="490" t="n">
        <v>2981.5</v>
      </c>
    </row>
    <row r="696" customFormat="false" ht="36.75" hidden="false" customHeight="true" outlineLevel="0" collapsed="false">
      <c r="B696" s="487" t="s">
        <v>2444</v>
      </c>
      <c r="C696" s="488" t="n">
        <v>131</v>
      </c>
      <c r="D696" s="489" t="n">
        <v>9</v>
      </c>
      <c r="E696" s="487" t="s">
        <v>422</v>
      </c>
      <c r="F696" s="487" t="s">
        <v>376</v>
      </c>
      <c r="G696" s="487" t="s">
        <v>377</v>
      </c>
      <c r="H696" s="487" t="s">
        <v>133</v>
      </c>
      <c r="I696" s="487" t="s">
        <v>423</v>
      </c>
      <c r="J696" s="487" t="s">
        <v>1435</v>
      </c>
      <c r="K696" s="490" t="n">
        <v>24430</v>
      </c>
      <c r="L696" s="490" t="n">
        <v>14330</v>
      </c>
      <c r="M696" s="491" t="n">
        <v>29</v>
      </c>
      <c r="N696" s="490" t="n">
        <v>10100</v>
      </c>
      <c r="O696" s="490" t="n">
        <v>7171</v>
      </c>
    </row>
    <row r="697" customFormat="false" ht="12.75" hidden="true" customHeight="true" outlineLevel="1" collapsed="false">
      <c r="B697" s="487" t="s">
        <v>417</v>
      </c>
      <c r="C697" s="487"/>
      <c r="D697" s="487"/>
      <c r="E697" s="487"/>
      <c r="F697" s="487"/>
      <c r="G697" s="487"/>
      <c r="H697" s="487"/>
      <c r="I697" s="487"/>
      <c r="J697" s="487"/>
      <c r="K697" s="492"/>
      <c r="L697" s="492"/>
      <c r="M697" s="492"/>
      <c r="N697" s="490" t="n">
        <v>10100</v>
      </c>
      <c r="O697" s="490" t="n">
        <v>7171</v>
      </c>
    </row>
    <row r="698" customFormat="false" ht="36.75" hidden="false" customHeight="true" outlineLevel="0" collapsed="false">
      <c r="B698" s="487" t="s">
        <v>2445</v>
      </c>
      <c r="C698" s="488" t="n">
        <v>132</v>
      </c>
      <c r="D698" s="489" t="n">
        <v>10</v>
      </c>
      <c r="E698" s="487" t="s">
        <v>422</v>
      </c>
      <c r="F698" s="487" t="s">
        <v>376</v>
      </c>
      <c r="G698" s="487" t="s">
        <v>377</v>
      </c>
      <c r="H698" s="487" t="s">
        <v>133</v>
      </c>
      <c r="I698" s="487" t="s">
        <v>423</v>
      </c>
      <c r="J698" s="487" t="s">
        <v>1435</v>
      </c>
      <c r="K698" s="490" t="n">
        <v>23580</v>
      </c>
      <c r="L698" s="490" t="n">
        <v>14320</v>
      </c>
      <c r="M698" s="491" t="n">
        <v>23</v>
      </c>
      <c r="N698" s="490" t="n">
        <v>9260</v>
      </c>
      <c r="O698" s="490" t="n">
        <v>7130.2</v>
      </c>
    </row>
    <row r="699" customFormat="false" ht="12.75" hidden="true" customHeight="true" outlineLevel="1" collapsed="false">
      <c r="B699" s="487" t="s">
        <v>417</v>
      </c>
      <c r="C699" s="487"/>
      <c r="D699" s="487"/>
      <c r="E699" s="487"/>
      <c r="F699" s="487"/>
      <c r="G699" s="487"/>
      <c r="H699" s="487"/>
      <c r="I699" s="487"/>
      <c r="J699" s="487"/>
      <c r="K699" s="492"/>
      <c r="L699" s="492"/>
      <c r="M699" s="492"/>
      <c r="N699" s="490" t="n">
        <v>9260</v>
      </c>
      <c r="O699" s="490" t="n">
        <v>7130.2</v>
      </c>
    </row>
    <row r="700" customFormat="false" ht="36.75" hidden="false" customHeight="true" outlineLevel="0" collapsed="false">
      <c r="B700" s="487" t="s">
        <v>2446</v>
      </c>
      <c r="C700" s="488" t="n">
        <v>133</v>
      </c>
      <c r="D700" s="489" t="n">
        <v>11</v>
      </c>
      <c r="E700" s="487" t="s">
        <v>422</v>
      </c>
      <c r="F700" s="487" t="s">
        <v>376</v>
      </c>
      <c r="G700" s="487" t="s">
        <v>377</v>
      </c>
      <c r="H700" s="487" t="s">
        <v>133</v>
      </c>
      <c r="I700" s="487" t="s">
        <v>423</v>
      </c>
      <c r="J700" s="487" t="s">
        <v>1435</v>
      </c>
      <c r="K700" s="490" t="n">
        <v>23620</v>
      </c>
      <c r="L700" s="490" t="n">
        <v>14320</v>
      </c>
      <c r="M700" s="491" t="n">
        <v>27</v>
      </c>
      <c r="N700" s="490" t="n">
        <v>9300</v>
      </c>
      <c r="O700" s="490" t="n">
        <v>6789</v>
      </c>
    </row>
    <row r="701" customFormat="false" ht="12.75" hidden="true" customHeight="true" outlineLevel="1" collapsed="false">
      <c r="B701" s="487" t="s">
        <v>417</v>
      </c>
      <c r="C701" s="487"/>
      <c r="D701" s="487"/>
      <c r="E701" s="487"/>
      <c r="F701" s="487"/>
      <c r="G701" s="487"/>
      <c r="H701" s="487"/>
      <c r="I701" s="487"/>
      <c r="J701" s="487"/>
      <c r="K701" s="492"/>
      <c r="L701" s="492"/>
      <c r="M701" s="492"/>
      <c r="N701" s="490" t="n">
        <v>9300</v>
      </c>
      <c r="O701" s="490" t="n">
        <v>6789</v>
      </c>
    </row>
    <row r="702" customFormat="false" ht="36.75" hidden="false" customHeight="true" outlineLevel="0" collapsed="false">
      <c r="B702" s="487" t="s">
        <v>2448</v>
      </c>
      <c r="C702" s="488" t="n">
        <v>135</v>
      </c>
      <c r="D702" s="489" t="n">
        <v>13</v>
      </c>
      <c r="E702" s="487" t="s">
        <v>422</v>
      </c>
      <c r="F702" s="487" t="s">
        <v>376</v>
      </c>
      <c r="G702" s="487" t="s">
        <v>377</v>
      </c>
      <c r="H702" s="487" t="s">
        <v>133</v>
      </c>
      <c r="I702" s="487" t="s">
        <v>423</v>
      </c>
      <c r="J702" s="487" t="s">
        <v>1435</v>
      </c>
      <c r="K702" s="490" t="n">
        <v>23430</v>
      </c>
      <c r="L702" s="490" t="n">
        <v>14300</v>
      </c>
      <c r="M702" s="491" t="n">
        <v>21</v>
      </c>
      <c r="N702" s="490" t="n">
        <v>9130</v>
      </c>
      <c r="O702" s="490" t="n">
        <v>7212.7</v>
      </c>
    </row>
    <row r="703" customFormat="false" ht="12.75" hidden="true" customHeight="true" outlineLevel="1" collapsed="false">
      <c r="B703" s="487" t="s">
        <v>417</v>
      </c>
      <c r="C703" s="487"/>
      <c r="D703" s="487"/>
      <c r="E703" s="487"/>
      <c r="F703" s="487"/>
      <c r="G703" s="487"/>
      <c r="H703" s="487"/>
      <c r="I703" s="487"/>
      <c r="J703" s="487"/>
      <c r="K703" s="492"/>
      <c r="L703" s="492"/>
      <c r="M703" s="492"/>
      <c r="N703" s="490" t="n">
        <v>9130</v>
      </c>
      <c r="O703" s="490" t="n">
        <v>7212.7</v>
      </c>
    </row>
    <row r="704" customFormat="false" ht="36.75" hidden="false" customHeight="true" outlineLevel="0" collapsed="false">
      <c r="B704" s="487" t="s">
        <v>2447</v>
      </c>
      <c r="C704" s="488" t="n">
        <v>134</v>
      </c>
      <c r="D704" s="489" t="n">
        <v>12</v>
      </c>
      <c r="E704" s="487" t="s">
        <v>422</v>
      </c>
      <c r="F704" s="487" t="s">
        <v>376</v>
      </c>
      <c r="G704" s="487" t="s">
        <v>377</v>
      </c>
      <c r="H704" s="487" t="s">
        <v>133</v>
      </c>
      <c r="I704" s="487" t="s">
        <v>423</v>
      </c>
      <c r="J704" s="487" t="s">
        <v>1435</v>
      </c>
      <c r="K704" s="490" t="n">
        <v>23600</v>
      </c>
      <c r="L704" s="490" t="n">
        <v>14310</v>
      </c>
      <c r="M704" s="491" t="n">
        <v>28</v>
      </c>
      <c r="N704" s="490" t="n">
        <v>9290</v>
      </c>
      <c r="O704" s="490" t="n">
        <v>6688.8</v>
      </c>
    </row>
    <row r="705" customFormat="false" ht="12.75" hidden="true" customHeight="true" outlineLevel="1" collapsed="false">
      <c r="B705" s="487" t="s">
        <v>417</v>
      </c>
      <c r="C705" s="487"/>
      <c r="D705" s="487"/>
      <c r="E705" s="487"/>
      <c r="F705" s="487"/>
      <c r="G705" s="487"/>
      <c r="H705" s="487"/>
      <c r="I705" s="487"/>
      <c r="J705" s="487"/>
      <c r="K705" s="492"/>
      <c r="L705" s="492"/>
      <c r="M705" s="492"/>
      <c r="N705" s="490" t="n">
        <v>9290</v>
      </c>
      <c r="O705" s="490" t="n">
        <v>6688.8</v>
      </c>
    </row>
    <row r="706" customFormat="false" ht="36.75" hidden="false" customHeight="true" outlineLevel="0" collapsed="false">
      <c r="B706" s="487" t="s">
        <v>2449</v>
      </c>
      <c r="C706" s="488" t="n">
        <v>137</v>
      </c>
      <c r="D706" s="489" t="n">
        <v>14</v>
      </c>
      <c r="E706" s="487" t="s">
        <v>422</v>
      </c>
      <c r="F706" s="487" t="s">
        <v>359</v>
      </c>
      <c r="G706" s="487" t="s">
        <v>426</v>
      </c>
      <c r="H706" s="487" t="s">
        <v>133</v>
      </c>
      <c r="I706" s="487" t="s">
        <v>423</v>
      </c>
      <c r="J706" s="487" t="s">
        <v>1435</v>
      </c>
      <c r="K706" s="490" t="n">
        <v>18150</v>
      </c>
      <c r="L706" s="490" t="n">
        <v>13850</v>
      </c>
      <c r="M706" s="491" t="n">
        <v>26</v>
      </c>
      <c r="N706" s="490" t="n">
        <v>4300</v>
      </c>
      <c r="O706" s="490" t="n">
        <v>3182</v>
      </c>
    </row>
    <row r="707" customFormat="false" ht="12.75" hidden="true" customHeight="true" outlineLevel="1" collapsed="false">
      <c r="B707" s="487" t="s">
        <v>417</v>
      </c>
      <c r="C707" s="487"/>
      <c r="D707" s="487"/>
      <c r="E707" s="487"/>
      <c r="F707" s="487"/>
      <c r="G707" s="487"/>
      <c r="H707" s="487"/>
      <c r="I707" s="487"/>
      <c r="J707" s="487"/>
      <c r="K707" s="492"/>
      <c r="L707" s="492"/>
      <c r="M707" s="492"/>
      <c r="N707" s="490" t="n">
        <v>4300</v>
      </c>
      <c r="O707" s="490" t="n">
        <v>3182</v>
      </c>
    </row>
    <row r="708" customFormat="false" ht="36.75" hidden="false" customHeight="true" outlineLevel="0" collapsed="false">
      <c r="B708" s="487" t="s">
        <v>2450</v>
      </c>
      <c r="C708" s="488" t="n">
        <v>138</v>
      </c>
      <c r="D708" s="489" t="n">
        <v>15</v>
      </c>
      <c r="E708" s="487" t="s">
        <v>422</v>
      </c>
      <c r="F708" s="487" t="s">
        <v>359</v>
      </c>
      <c r="G708" s="487" t="s">
        <v>426</v>
      </c>
      <c r="H708" s="487" t="s">
        <v>133</v>
      </c>
      <c r="I708" s="487" t="s">
        <v>423</v>
      </c>
      <c r="J708" s="487" t="s">
        <v>1435</v>
      </c>
      <c r="K708" s="490" t="n">
        <v>23060</v>
      </c>
      <c r="L708" s="490" t="n">
        <v>13840</v>
      </c>
      <c r="M708" s="491" t="n">
        <v>31</v>
      </c>
      <c r="N708" s="490" t="n">
        <v>9220</v>
      </c>
      <c r="O708" s="490" t="n">
        <v>6361.8</v>
      </c>
    </row>
    <row r="709" customFormat="false" ht="12.75" hidden="true" customHeight="true" outlineLevel="1" collapsed="false">
      <c r="B709" s="487" t="s">
        <v>417</v>
      </c>
      <c r="C709" s="487"/>
      <c r="D709" s="487"/>
      <c r="E709" s="487"/>
      <c r="F709" s="487"/>
      <c r="G709" s="487"/>
      <c r="H709" s="487"/>
      <c r="I709" s="487"/>
      <c r="J709" s="487"/>
      <c r="K709" s="492"/>
      <c r="L709" s="492"/>
      <c r="M709" s="492"/>
      <c r="N709" s="490" t="n">
        <v>9220</v>
      </c>
      <c r="O709" s="490" t="n">
        <v>6361.8</v>
      </c>
    </row>
    <row r="710" customFormat="false" ht="36.75" hidden="false" customHeight="true" outlineLevel="0" collapsed="false">
      <c r="B710" s="487" t="s">
        <v>2451</v>
      </c>
      <c r="C710" s="488" t="n">
        <v>139</v>
      </c>
      <c r="D710" s="489" t="n">
        <v>65912</v>
      </c>
      <c r="E710" s="487" t="s">
        <v>409</v>
      </c>
      <c r="F710" s="487" t="s">
        <v>511</v>
      </c>
      <c r="G710" s="487" t="s">
        <v>515</v>
      </c>
      <c r="H710" s="487" t="s">
        <v>410</v>
      </c>
      <c r="I710" s="487" t="s">
        <v>252</v>
      </c>
      <c r="J710" s="487" t="s">
        <v>1435</v>
      </c>
      <c r="K710" s="490" t="n">
        <v>28520</v>
      </c>
      <c r="L710" s="490" t="n">
        <v>14800</v>
      </c>
      <c r="M710" s="491" t="n">
        <v>17.5</v>
      </c>
      <c r="N710" s="490" t="n">
        <v>13720</v>
      </c>
      <c r="O710" s="490" t="n">
        <v>11319</v>
      </c>
    </row>
    <row r="711" customFormat="false" ht="12.75" hidden="true" customHeight="true" outlineLevel="1" collapsed="false">
      <c r="B711" s="487" t="s">
        <v>417</v>
      </c>
      <c r="C711" s="487"/>
      <c r="D711" s="487"/>
      <c r="E711" s="487"/>
      <c r="F711" s="487"/>
      <c r="G711" s="487"/>
      <c r="H711" s="487"/>
      <c r="I711" s="487"/>
      <c r="J711" s="487"/>
      <c r="K711" s="492"/>
      <c r="L711" s="492"/>
      <c r="M711" s="492"/>
      <c r="N711" s="490" t="n">
        <v>13720</v>
      </c>
      <c r="O711" s="490" t="n">
        <v>11319</v>
      </c>
    </row>
    <row r="712" customFormat="false" ht="36.75" hidden="false" customHeight="true" outlineLevel="0" collapsed="false">
      <c r="B712" s="487" t="s">
        <v>2452</v>
      </c>
      <c r="C712" s="488" t="n">
        <v>140</v>
      </c>
      <c r="D712" s="489" t="n">
        <v>16</v>
      </c>
      <c r="E712" s="487" t="s">
        <v>422</v>
      </c>
      <c r="F712" s="487" t="s">
        <v>359</v>
      </c>
      <c r="G712" s="487" t="s">
        <v>426</v>
      </c>
      <c r="H712" s="487" t="s">
        <v>133</v>
      </c>
      <c r="I712" s="487" t="s">
        <v>423</v>
      </c>
      <c r="J712" s="487" t="s">
        <v>1435</v>
      </c>
      <c r="K712" s="490" t="n">
        <v>27950</v>
      </c>
      <c r="L712" s="490" t="n">
        <v>13830</v>
      </c>
      <c r="M712" s="491" t="n">
        <v>28</v>
      </c>
      <c r="N712" s="490" t="n">
        <v>14120</v>
      </c>
      <c r="O712" s="490" t="n">
        <v>10166.4</v>
      </c>
    </row>
    <row r="713" customFormat="false" ht="12.75" hidden="true" customHeight="true" outlineLevel="1" collapsed="false">
      <c r="B713" s="487" t="s">
        <v>417</v>
      </c>
      <c r="C713" s="487"/>
      <c r="D713" s="487"/>
      <c r="E713" s="487"/>
      <c r="F713" s="487"/>
      <c r="G713" s="487"/>
      <c r="H713" s="487"/>
      <c r="I713" s="487"/>
      <c r="J713" s="487"/>
      <c r="K713" s="492"/>
      <c r="L713" s="492"/>
      <c r="M713" s="492"/>
      <c r="N713" s="490" t="n">
        <v>14120</v>
      </c>
      <c r="O713" s="490" t="n">
        <v>10166.4</v>
      </c>
    </row>
    <row r="714" customFormat="false" ht="36.75" hidden="false" customHeight="true" outlineLevel="0" collapsed="false">
      <c r="B714" s="487" t="s">
        <v>2453</v>
      </c>
      <c r="C714" s="488" t="n">
        <v>141</v>
      </c>
      <c r="D714" s="489" t="n">
        <v>65914</v>
      </c>
      <c r="E714" s="487" t="s">
        <v>409</v>
      </c>
      <c r="F714" s="487" t="s">
        <v>411</v>
      </c>
      <c r="G714" s="487" t="s">
        <v>381</v>
      </c>
      <c r="H714" s="487" t="s">
        <v>410</v>
      </c>
      <c r="I714" s="487" t="s">
        <v>252</v>
      </c>
      <c r="J714" s="487" t="s">
        <v>1435</v>
      </c>
      <c r="K714" s="490" t="n">
        <v>27720</v>
      </c>
      <c r="L714" s="490" t="n">
        <v>14090</v>
      </c>
      <c r="M714" s="491" t="n">
        <v>22</v>
      </c>
      <c r="N714" s="490" t="n">
        <v>13630</v>
      </c>
      <c r="O714" s="490" t="n">
        <v>10631.4</v>
      </c>
    </row>
    <row r="715" customFormat="false" ht="12.75" hidden="true" customHeight="true" outlineLevel="1" collapsed="false">
      <c r="B715" s="487" t="s">
        <v>417</v>
      </c>
      <c r="C715" s="487"/>
      <c r="D715" s="487"/>
      <c r="E715" s="487"/>
      <c r="F715" s="487"/>
      <c r="G715" s="487"/>
      <c r="H715" s="487"/>
      <c r="I715" s="487"/>
      <c r="J715" s="487"/>
      <c r="K715" s="492"/>
      <c r="L715" s="492"/>
      <c r="M715" s="492"/>
      <c r="N715" s="490" t="n">
        <v>13630</v>
      </c>
      <c r="O715" s="490" t="n">
        <v>10631.4</v>
      </c>
    </row>
    <row r="716" customFormat="false" ht="48.75" hidden="false" customHeight="true" outlineLevel="0" collapsed="false">
      <c r="B716" s="487" t="s">
        <v>2454</v>
      </c>
      <c r="C716" s="488" t="n">
        <v>142</v>
      </c>
      <c r="D716" s="489" t="n">
        <v>65915</v>
      </c>
      <c r="E716" s="487" t="s">
        <v>409</v>
      </c>
      <c r="F716" s="487" t="s">
        <v>519</v>
      </c>
      <c r="G716" s="487" t="s">
        <v>523</v>
      </c>
      <c r="H716" s="487" t="s">
        <v>410</v>
      </c>
      <c r="I716" s="487" t="s">
        <v>252</v>
      </c>
      <c r="J716" s="487" t="s">
        <v>1435</v>
      </c>
      <c r="K716" s="490" t="n">
        <v>29140</v>
      </c>
      <c r="L716" s="490" t="n">
        <v>15640</v>
      </c>
      <c r="M716" s="491" t="n">
        <v>21</v>
      </c>
      <c r="N716" s="490" t="n">
        <v>13500</v>
      </c>
      <c r="O716" s="490" t="n">
        <v>10665</v>
      </c>
    </row>
    <row r="717" customFormat="false" ht="12.75" hidden="true" customHeight="true" outlineLevel="1" collapsed="false">
      <c r="B717" s="487" t="s">
        <v>417</v>
      </c>
      <c r="C717" s="487"/>
      <c r="D717" s="487"/>
      <c r="E717" s="487"/>
      <c r="F717" s="487"/>
      <c r="G717" s="487"/>
      <c r="H717" s="487"/>
      <c r="I717" s="487"/>
      <c r="J717" s="487"/>
      <c r="K717" s="492"/>
      <c r="L717" s="492"/>
      <c r="M717" s="492"/>
      <c r="N717" s="490" t="n">
        <v>13500</v>
      </c>
      <c r="O717" s="490" t="n">
        <v>10665</v>
      </c>
    </row>
    <row r="718" customFormat="false" ht="36.75" hidden="false" customHeight="true" outlineLevel="0" collapsed="false">
      <c r="B718" s="487" t="s">
        <v>2456</v>
      </c>
      <c r="C718" s="488" t="n">
        <v>144</v>
      </c>
      <c r="D718" s="489" t="n">
        <v>65917</v>
      </c>
      <c r="E718" s="487" t="s">
        <v>409</v>
      </c>
      <c r="F718" s="487" t="s">
        <v>386</v>
      </c>
      <c r="G718" s="487" t="s">
        <v>387</v>
      </c>
      <c r="H718" s="487" t="s">
        <v>410</v>
      </c>
      <c r="I718" s="487" t="s">
        <v>252</v>
      </c>
      <c r="J718" s="487" t="s">
        <v>1435</v>
      </c>
      <c r="K718" s="490" t="n">
        <v>29030</v>
      </c>
      <c r="L718" s="490" t="n">
        <v>15150</v>
      </c>
      <c r="M718" s="491" t="n">
        <v>22</v>
      </c>
      <c r="N718" s="490" t="n">
        <v>13880</v>
      </c>
      <c r="O718" s="490" t="n">
        <v>10826.4</v>
      </c>
    </row>
    <row r="719" customFormat="false" ht="12.75" hidden="true" customHeight="true" outlineLevel="1" collapsed="false">
      <c r="B719" s="487" t="s">
        <v>417</v>
      </c>
      <c r="C719" s="487"/>
      <c r="D719" s="487"/>
      <c r="E719" s="487"/>
      <c r="F719" s="487"/>
      <c r="G719" s="487"/>
      <c r="H719" s="487"/>
      <c r="I719" s="487"/>
      <c r="J719" s="487"/>
      <c r="K719" s="492"/>
      <c r="L719" s="492"/>
      <c r="M719" s="492"/>
      <c r="N719" s="490" t="n">
        <v>13880</v>
      </c>
      <c r="O719" s="490" t="n">
        <v>10826.4</v>
      </c>
    </row>
    <row r="720" customFormat="false" ht="36.75" hidden="false" customHeight="true" outlineLevel="0" collapsed="false">
      <c r="B720" s="487" t="s">
        <v>2458</v>
      </c>
      <c r="C720" s="488" t="n">
        <v>145</v>
      </c>
      <c r="D720" s="489" t="n">
        <v>17</v>
      </c>
      <c r="E720" s="487" t="s">
        <v>422</v>
      </c>
      <c r="F720" s="487" t="s">
        <v>411</v>
      </c>
      <c r="G720" s="487" t="s">
        <v>381</v>
      </c>
      <c r="H720" s="487" t="s">
        <v>133</v>
      </c>
      <c r="I720" s="487" t="s">
        <v>423</v>
      </c>
      <c r="J720" s="487" t="s">
        <v>1435</v>
      </c>
      <c r="K720" s="490" t="n">
        <v>26540</v>
      </c>
      <c r="L720" s="490" t="n">
        <v>14200</v>
      </c>
      <c r="M720" s="491" t="n">
        <v>31</v>
      </c>
      <c r="N720" s="490" t="n">
        <v>12340</v>
      </c>
      <c r="O720" s="490" t="n">
        <v>8514.6</v>
      </c>
    </row>
    <row r="721" customFormat="false" ht="12.75" hidden="true" customHeight="true" outlineLevel="1" collapsed="false">
      <c r="B721" s="487" t="s">
        <v>417</v>
      </c>
      <c r="C721" s="487"/>
      <c r="D721" s="487"/>
      <c r="E721" s="487"/>
      <c r="F721" s="487"/>
      <c r="G721" s="487"/>
      <c r="H721" s="487"/>
      <c r="I721" s="487"/>
      <c r="J721" s="487"/>
      <c r="K721" s="492"/>
      <c r="L721" s="492"/>
      <c r="M721" s="492"/>
      <c r="N721" s="490" t="n">
        <v>12340</v>
      </c>
      <c r="O721" s="490" t="n">
        <v>8514.6</v>
      </c>
    </row>
    <row r="722" customFormat="false" ht="36.75" hidden="false" customHeight="true" outlineLevel="0" collapsed="false">
      <c r="B722" s="487" t="s">
        <v>2457</v>
      </c>
      <c r="C722" s="488" t="n">
        <v>146</v>
      </c>
      <c r="D722" s="489" t="n">
        <v>65918</v>
      </c>
      <c r="E722" s="487" t="s">
        <v>409</v>
      </c>
      <c r="F722" s="487" t="s">
        <v>57</v>
      </c>
      <c r="G722" s="487" t="s">
        <v>58</v>
      </c>
      <c r="H722" s="487" t="s">
        <v>410</v>
      </c>
      <c r="I722" s="487" t="s">
        <v>252</v>
      </c>
      <c r="J722" s="487" t="s">
        <v>1435</v>
      </c>
      <c r="K722" s="490" t="n">
        <v>29310</v>
      </c>
      <c r="L722" s="490" t="n">
        <v>15540</v>
      </c>
      <c r="M722" s="491" t="n">
        <v>27</v>
      </c>
      <c r="N722" s="490" t="n">
        <v>13770</v>
      </c>
      <c r="O722" s="490" t="n">
        <v>10052.1</v>
      </c>
    </row>
    <row r="723" customFormat="false" ht="12.75" hidden="true" customHeight="true" outlineLevel="1" collapsed="false">
      <c r="B723" s="487" t="s">
        <v>417</v>
      </c>
      <c r="C723" s="487"/>
      <c r="D723" s="487"/>
      <c r="E723" s="487"/>
      <c r="F723" s="487"/>
      <c r="G723" s="487"/>
      <c r="H723" s="487"/>
      <c r="I723" s="487"/>
      <c r="J723" s="487"/>
      <c r="K723" s="492"/>
      <c r="L723" s="492"/>
      <c r="M723" s="492"/>
      <c r="N723" s="490" t="n">
        <v>13770</v>
      </c>
      <c r="O723" s="490" t="n">
        <v>10052.1</v>
      </c>
    </row>
    <row r="724" customFormat="false" ht="36.75" hidden="false" customHeight="true" outlineLevel="0" collapsed="false">
      <c r="B724" s="487" t="s">
        <v>2459</v>
      </c>
      <c r="C724" s="488" t="n">
        <v>147</v>
      </c>
      <c r="D724" s="489" t="n">
        <v>65919</v>
      </c>
      <c r="E724" s="487" t="s">
        <v>409</v>
      </c>
      <c r="F724" s="487" t="s">
        <v>537</v>
      </c>
      <c r="G724" s="487" t="s">
        <v>541</v>
      </c>
      <c r="H724" s="487" t="s">
        <v>410</v>
      </c>
      <c r="I724" s="487" t="s">
        <v>252</v>
      </c>
      <c r="J724" s="487" t="s">
        <v>1435</v>
      </c>
      <c r="K724" s="490" t="n">
        <v>28810</v>
      </c>
      <c r="L724" s="490" t="n">
        <v>15140</v>
      </c>
      <c r="M724" s="491" t="n">
        <v>25</v>
      </c>
      <c r="N724" s="490" t="n">
        <v>13670</v>
      </c>
      <c r="O724" s="490" t="n">
        <v>10252.5</v>
      </c>
    </row>
    <row r="725" customFormat="false" ht="12.75" hidden="true" customHeight="true" outlineLevel="1" collapsed="false">
      <c r="B725" s="487" t="s">
        <v>417</v>
      </c>
      <c r="C725" s="487"/>
      <c r="D725" s="487"/>
      <c r="E725" s="487"/>
      <c r="F725" s="487"/>
      <c r="G725" s="487"/>
      <c r="H725" s="487"/>
      <c r="I725" s="487"/>
      <c r="J725" s="487"/>
      <c r="K725" s="492"/>
      <c r="L725" s="492"/>
      <c r="M725" s="492"/>
      <c r="N725" s="490" t="n">
        <v>13670</v>
      </c>
      <c r="O725" s="490" t="n">
        <v>10252.5</v>
      </c>
    </row>
    <row r="726" customFormat="false" ht="36.75" hidden="false" customHeight="true" outlineLevel="0" collapsed="false">
      <c r="B726" s="487" t="s">
        <v>2455</v>
      </c>
      <c r="C726" s="488" t="n">
        <v>143</v>
      </c>
      <c r="D726" s="489" t="n">
        <v>65916</v>
      </c>
      <c r="E726" s="487" t="s">
        <v>409</v>
      </c>
      <c r="F726" s="487" t="s">
        <v>363</v>
      </c>
      <c r="G726" s="487" t="s">
        <v>364</v>
      </c>
      <c r="H726" s="487" t="s">
        <v>410</v>
      </c>
      <c r="I726" s="487" t="s">
        <v>252</v>
      </c>
      <c r="J726" s="487" t="s">
        <v>1435</v>
      </c>
      <c r="K726" s="490" t="n">
        <v>28320</v>
      </c>
      <c r="L726" s="490" t="n">
        <v>14490</v>
      </c>
      <c r="M726" s="491" t="n">
        <v>17</v>
      </c>
      <c r="N726" s="490" t="n">
        <v>13830</v>
      </c>
      <c r="O726" s="490" t="n">
        <v>11478.9</v>
      </c>
    </row>
    <row r="727" customFormat="false" ht="12.75" hidden="true" customHeight="true" outlineLevel="1" collapsed="false">
      <c r="B727" s="487" t="s">
        <v>417</v>
      </c>
      <c r="C727" s="487"/>
      <c r="D727" s="487"/>
      <c r="E727" s="487"/>
      <c r="F727" s="487"/>
      <c r="G727" s="487"/>
      <c r="H727" s="487"/>
      <c r="I727" s="487"/>
      <c r="J727" s="487"/>
      <c r="K727" s="492"/>
      <c r="L727" s="492"/>
      <c r="M727" s="492"/>
      <c r="N727" s="490" t="n">
        <v>13830</v>
      </c>
      <c r="O727" s="490" t="n">
        <v>11478.9</v>
      </c>
    </row>
    <row r="728" customFormat="false" ht="36.75" hidden="false" customHeight="true" outlineLevel="0" collapsed="false">
      <c r="B728" s="487" t="s">
        <v>2460</v>
      </c>
      <c r="C728" s="488" t="n">
        <v>150</v>
      </c>
      <c r="D728" s="489" t="n">
        <v>65920</v>
      </c>
      <c r="E728" s="487" t="s">
        <v>409</v>
      </c>
      <c r="F728" s="487" t="s">
        <v>542</v>
      </c>
      <c r="G728" s="487" t="s">
        <v>546</v>
      </c>
      <c r="H728" s="487" t="s">
        <v>410</v>
      </c>
      <c r="I728" s="487" t="s">
        <v>252</v>
      </c>
      <c r="J728" s="487" t="s">
        <v>1435</v>
      </c>
      <c r="K728" s="490" t="n">
        <v>28330</v>
      </c>
      <c r="L728" s="490" t="n">
        <v>14550</v>
      </c>
      <c r="M728" s="491" t="n">
        <v>24</v>
      </c>
      <c r="N728" s="490" t="n">
        <v>13780</v>
      </c>
      <c r="O728" s="490" t="n">
        <v>10472.8</v>
      </c>
    </row>
    <row r="729" customFormat="false" ht="12.75" hidden="true" customHeight="true" outlineLevel="1" collapsed="false">
      <c r="B729" s="487" t="s">
        <v>417</v>
      </c>
      <c r="C729" s="487"/>
      <c r="D729" s="487"/>
      <c r="E729" s="487"/>
      <c r="F729" s="487"/>
      <c r="G729" s="487"/>
      <c r="H729" s="487"/>
      <c r="I729" s="487"/>
      <c r="J729" s="487"/>
      <c r="K729" s="492"/>
      <c r="L729" s="492"/>
      <c r="M729" s="492"/>
      <c r="N729" s="490" t="n">
        <v>13780</v>
      </c>
      <c r="O729" s="490" t="n">
        <v>10472.8</v>
      </c>
    </row>
    <row r="730" customFormat="false" ht="36.75" hidden="false" customHeight="true" outlineLevel="0" collapsed="false">
      <c r="B730" s="487" t="s">
        <v>2461</v>
      </c>
      <c r="C730" s="488" t="n">
        <v>151</v>
      </c>
      <c r="D730" s="489" t="n">
        <v>65921</v>
      </c>
      <c r="E730" s="487" t="s">
        <v>409</v>
      </c>
      <c r="F730" s="487" t="s">
        <v>547</v>
      </c>
      <c r="G730" s="487" t="s">
        <v>551</v>
      </c>
      <c r="H730" s="487" t="s">
        <v>410</v>
      </c>
      <c r="I730" s="487" t="s">
        <v>252</v>
      </c>
      <c r="J730" s="487" t="s">
        <v>1435</v>
      </c>
      <c r="K730" s="490" t="n">
        <v>28370</v>
      </c>
      <c r="L730" s="490" t="n">
        <v>14790</v>
      </c>
      <c r="M730" s="491" t="n">
        <v>21</v>
      </c>
      <c r="N730" s="490" t="n">
        <v>13580</v>
      </c>
      <c r="O730" s="490" t="n">
        <v>10728.2</v>
      </c>
    </row>
    <row r="731" customFormat="false" ht="12.75" hidden="true" customHeight="true" outlineLevel="1" collapsed="false">
      <c r="B731" s="487" t="s">
        <v>417</v>
      </c>
      <c r="C731" s="487"/>
      <c r="D731" s="487"/>
      <c r="E731" s="487"/>
      <c r="F731" s="487"/>
      <c r="G731" s="487"/>
      <c r="H731" s="487"/>
      <c r="I731" s="487"/>
      <c r="J731" s="487"/>
      <c r="K731" s="492"/>
      <c r="L731" s="492"/>
      <c r="M731" s="492"/>
      <c r="N731" s="490" t="n">
        <v>13580</v>
      </c>
      <c r="O731" s="490" t="n">
        <v>10728.2</v>
      </c>
    </row>
    <row r="732" customFormat="false" ht="36.75" hidden="false" customHeight="true" outlineLevel="0" collapsed="false">
      <c r="B732" s="487" t="s">
        <v>2462</v>
      </c>
      <c r="C732" s="488" t="n">
        <v>152</v>
      </c>
      <c r="D732" s="489" t="n">
        <v>65922</v>
      </c>
      <c r="E732" s="487" t="s">
        <v>409</v>
      </c>
      <c r="F732" s="487" t="s">
        <v>553</v>
      </c>
      <c r="G732" s="487" t="s">
        <v>557</v>
      </c>
      <c r="H732" s="487" t="s">
        <v>410</v>
      </c>
      <c r="I732" s="487" t="s">
        <v>252</v>
      </c>
      <c r="J732" s="487" t="s">
        <v>1435</v>
      </c>
      <c r="K732" s="490" t="n">
        <v>28660</v>
      </c>
      <c r="L732" s="490" t="n">
        <v>14970</v>
      </c>
      <c r="M732" s="491" t="n">
        <v>24</v>
      </c>
      <c r="N732" s="490" t="n">
        <v>13690</v>
      </c>
      <c r="O732" s="490" t="n">
        <v>10404.4</v>
      </c>
    </row>
    <row r="733" customFormat="false" ht="12.75" hidden="true" customHeight="true" outlineLevel="1" collapsed="false">
      <c r="B733" s="487" t="s">
        <v>417</v>
      </c>
      <c r="C733" s="487"/>
      <c r="D733" s="487"/>
      <c r="E733" s="487"/>
      <c r="F733" s="487"/>
      <c r="G733" s="487"/>
      <c r="H733" s="487"/>
      <c r="I733" s="487"/>
      <c r="J733" s="487"/>
      <c r="K733" s="492"/>
      <c r="L733" s="492"/>
      <c r="M733" s="492"/>
      <c r="N733" s="490" t="n">
        <v>13690</v>
      </c>
      <c r="O733" s="490" t="n">
        <v>10404.4</v>
      </c>
    </row>
    <row r="734" customFormat="false" ht="36.75" hidden="false" customHeight="true" outlineLevel="0" collapsed="false">
      <c r="B734" s="487" t="s">
        <v>2463</v>
      </c>
      <c r="C734" s="488" t="n">
        <v>149</v>
      </c>
      <c r="D734" s="489" t="n">
        <v>18</v>
      </c>
      <c r="E734" s="487" t="s">
        <v>422</v>
      </c>
      <c r="F734" s="487" t="s">
        <v>359</v>
      </c>
      <c r="G734" s="487" t="s">
        <v>426</v>
      </c>
      <c r="H734" s="487" t="s">
        <v>133</v>
      </c>
      <c r="I734" s="487" t="s">
        <v>423</v>
      </c>
      <c r="J734" s="487" t="s">
        <v>1435</v>
      </c>
      <c r="K734" s="490" t="n">
        <v>24560</v>
      </c>
      <c r="L734" s="490" t="n">
        <v>13820</v>
      </c>
      <c r="M734" s="491" t="n">
        <v>29</v>
      </c>
      <c r="N734" s="490" t="n">
        <v>10740</v>
      </c>
      <c r="O734" s="490" t="n">
        <v>7625.4</v>
      </c>
    </row>
    <row r="735" customFormat="false" ht="12.75" hidden="true" customHeight="true" outlineLevel="1" collapsed="false">
      <c r="B735" s="487" t="s">
        <v>417</v>
      </c>
      <c r="C735" s="487"/>
      <c r="D735" s="487"/>
      <c r="E735" s="487"/>
      <c r="F735" s="487"/>
      <c r="G735" s="487"/>
      <c r="H735" s="487"/>
      <c r="I735" s="487"/>
      <c r="J735" s="487"/>
      <c r="K735" s="492"/>
      <c r="L735" s="492"/>
      <c r="M735" s="492"/>
      <c r="N735" s="490" t="n">
        <v>10740</v>
      </c>
      <c r="O735" s="490" t="n">
        <v>7625.4</v>
      </c>
    </row>
    <row r="736" customFormat="false" ht="36.75" hidden="false" customHeight="true" outlineLevel="0" collapsed="false">
      <c r="B736" s="487" t="s">
        <v>2464</v>
      </c>
      <c r="C736" s="488" t="n">
        <v>153</v>
      </c>
      <c r="D736" s="489" t="n">
        <v>65923</v>
      </c>
      <c r="E736" s="487" t="s">
        <v>409</v>
      </c>
      <c r="F736" s="487" t="s">
        <v>395</v>
      </c>
      <c r="G736" s="487" t="s">
        <v>566</v>
      </c>
      <c r="H736" s="487" t="s">
        <v>410</v>
      </c>
      <c r="I736" s="487" t="s">
        <v>252</v>
      </c>
      <c r="J736" s="487" t="s">
        <v>1435</v>
      </c>
      <c r="K736" s="490" t="n">
        <v>28060</v>
      </c>
      <c r="L736" s="490" t="n">
        <v>14390</v>
      </c>
      <c r="M736" s="491" t="n">
        <v>25</v>
      </c>
      <c r="N736" s="490" t="n">
        <v>13670</v>
      </c>
      <c r="O736" s="490" t="n">
        <v>10252.5</v>
      </c>
    </row>
    <row r="737" customFormat="false" ht="12.75" hidden="true" customHeight="true" outlineLevel="1" collapsed="false">
      <c r="B737" s="487" t="s">
        <v>417</v>
      </c>
      <c r="C737" s="487"/>
      <c r="D737" s="487"/>
      <c r="E737" s="487"/>
      <c r="F737" s="487"/>
      <c r="G737" s="487"/>
      <c r="H737" s="487"/>
      <c r="I737" s="487"/>
      <c r="J737" s="487"/>
      <c r="K737" s="492"/>
      <c r="L737" s="492"/>
      <c r="M737" s="492"/>
      <c r="N737" s="490" t="n">
        <v>13670</v>
      </c>
      <c r="O737" s="490" t="n">
        <v>10252.5</v>
      </c>
    </row>
    <row r="738" customFormat="false" ht="36.75" hidden="false" customHeight="true" outlineLevel="0" collapsed="false">
      <c r="B738" s="487" t="s">
        <v>2476</v>
      </c>
      <c r="C738" s="488" t="n">
        <v>160</v>
      </c>
      <c r="D738" s="487" t="s">
        <v>609</v>
      </c>
      <c r="E738" s="487" t="s">
        <v>422</v>
      </c>
      <c r="F738" s="487" t="s">
        <v>602</v>
      </c>
      <c r="G738" s="487" t="s">
        <v>606</v>
      </c>
      <c r="H738" s="487" t="s">
        <v>133</v>
      </c>
      <c r="I738" s="487" t="s">
        <v>423</v>
      </c>
      <c r="J738" s="487" t="s">
        <v>1435</v>
      </c>
      <c r="K738" s="490" t="n">
        <v>17590</v>
      </c>
      <c r="L738" s="490" t="n">
        <v>10530</v>
      </c>
      <c r="M738" s="491" t="n">
        <v>13.4</v>
      </c>
      <c r="N738" s="490" t="n">
        <v>7060</v>
      </c>
      <c r="O738" s="490" t="n">
        <v>6114.4</v>
      </c>
    </row>
    <row r="739" customFormat="false" ht="12.75" hidden="true" customHeight="true" outlineLevel="1" collapsed="false">
      <c r="B739" s="487" t="s">
        <v>417</v>
      </c>
      <c r="C739" s="487"/>
      <c r="D739" s="487"/>
      <c r="E739" s="487"/>
      <c r="F739" s="487"/>
      <c r="G739" s="487"/>
      <c r="H739" s="487"/>
      <c r="I739" s="487"/>
      <c r="J739" s="487"/>
      <c r="K739" s="492"/>
      <c r="L739" s="492"/>
      <c r="M739" s="492"/>
      <c r="N739" s="490" t="n">
        <v>7060</v>
      </c>
      <c r="O739" s="490" t="n">
        <v>6114.4</v>
      </c>
    </row>
    <row r="740" customFormat="false" ht="36.75" hidden="false" customHeight="true" outlineLevel="0" collapsed="false">
      <c r="B740" s="487" t="s">
        <v>2465</v>
      </c>
      <c r="C740" s="488" t="n">
        <v>154</v>
      </c>
      <c r="D740" s="489" t="n">
        <v>65924</v>
      </c>
      <c r="E740" s="487" t="s">
        <v>409</v>
      </c>
      <c r="F740" s="487" t="s">
        <v>48</v>
      </c>
      <c r="G740" s="487" t="s">
        <v>49</v>
      </c>
      <c r="H740" s="487" t="s">
        <v>410</v>
      </c>
      <c r="I740" s="487" t="s">
        <v>252</v>
      </c>
      <c r="J740" s="487" t="s">
        <v>1435</v>
      </c>
      <c r="K740" s="490" t="n">
        <v>28740</v>
      </c>
      <c r="L740" s="490" t="n">
        <v>14950</v>
      </c>
      <c r="M740" s="491" t="n">
        <v>25.5</v>
      </c>
      <c r="N740" s="490" t="n">
        <v>13790</v>
      </c>
      <c r="O740" s="490" t="n">
        <v>10273.5</v>
      </c>
    </row>
    <row r="741" customFormat="false" ht="12.75" hidden="true" customHeight="true" outlineLevel="1" collapsed="false">
      <c r="B741" s="487" t="s">
        <v>417</v>
      </c>
      <c r="C741" s="487"/>
      <c r="D741" s="487"/>
      <c r="E741" s="487"/>
      <c r="F741" s="487"/>
      <c r="G741" s="487"/>
      <c r="H741" s="487"/>
      <c r="I741" s="487"/>
      <c r="J741" s="487"/>
      <c r="K741" s="492"/>
      <c r="L741" s="492"/>
      <c r="M741" s="492"/>
      <c r="N741" s="490" t="n">
        <v>13790</v>
      </c>
      <c r="O741" s="490" t="n">
        <v>10273.5</v>
      </c>
    </row>
    <row r="742" customFormat="false" ht="36.75" hidden="false" customHeight="true" outlineLevel="0" collapsed="false">
      <c r="B742" s="487" t="s">
        <v>2477</v>
      </c>
      <c r="C742" s="488" t="n">
        <v>162</v>
      </c>
      <c r="D742" s="487" t="s">
        <v>616</v>
      </c>
      <c r="E742" s="487" t="s">
        <v>422</v>
      </c>
      <c r="F742" s="487" t="s">
        <v>610</v>
      </c>
      <c r="G742" s="487" t="s">
        <v>614</v>
      </c>
      <c r="H742" s="487" t="s">
        <v>133</v>
      </c>
      <c r="I742" s="487" t="s">
        <v>423</v>
      </c>
      <c r="J742" s="487" t="s">
        <v>1435</v>
      </c>
      <c r="K742" s="490" t="n">
        <v>27260</v>
      </c>
      <c r="L742" s="490" t="n">
        <v>17080</v>
      </c>
      <c r="M742" s="491" t="n">
        <v>13.7</v>
      </c>
      <c r="N742" s="490" t="n">
        <v>10180</v>
      </c>
      <c r="O742" s="490" t="n">
        <v>8787</v>
      </c>
    </row>
    <row r="743" customFormat="false" ht="12.75" hidden="true" customHeight="true" outlineLevel="1" collapsed="false">
      <c r="B743" s="487" t="s">
        <v>417</v>
      </c>
      <c r="C743" s="487"/>
      <c r="D743" s="487"/>
      <c r="E743" s="487"/>
      <c r="F743" s="487"/>
      <c r="G743" s="487"/>
      <c r="H743" s="487"/>
      <c r="I743" s="487"/>
      <c r="J743" s="487"/>
      <c r="K743" s="492"/>
      <c r="L743" s="492"/>
      <c r="M743" s="492"/>
      <c r="N743" s="490" t="n">
        <v>10180</v>
      </c>
      <c r="O743" s="490" t="n">
        <v>8787</v>
      </c>
    </row>
    <row r="744" customFormat="false" ht="36.75" hidden="false" customHeight="true" outlineLevel="0" collapsed="false">
      <c r="B744" s="487" t="s">
        <v>2466</v>
      </c>
      <c r="C744" s="488" t="n">
        <v>155</v>
      </c>
      <c r="D744" s="489" t="n">
        <v>19</v>
      </c>
      <c r="E744" s="487" t="s">
        <v>422</v>
      </c>
      <c r="F744" s="487" t="s">
        <v>411</v>
      </c>
      <c r="G744" s="487" t="s">
        <v>381</v>
      </c>
      <c r="H744" s="487" t="s">
        <v>133</v>
      </c>
      <c r="I744" s="487" t="s">
        <v>423</v>
      </c>
      <c r="J744" s="487" t="s">
        <v>1435</v>
      </c>
      <c r="K744" s="490" t="n">
        <v>26590</v>
      </c>
      <c r="L744" s="490" t="n">
        <v>14190</v>
      </c>
      <c r="M744" s="491" t="n">
        <v>21</v>
      </c>
      <c r="N744" s="490" t="n">
        <v>12400</v>
      </c>
      <c r="O744" s="490" t="n">
        <v>9796</v>
      </c>
    </row>
    <row r="745" customFormat="false" ht="12.75" hidden="true" customHeight="true" outlineLevel="1" collapsed="false">
      <c r="B745" s="487" t="s">
        <v>417</v>
      </c>
      <c r="C745" s="487"/>
      <c r="D745" s="487"/>
      <c r="E745" s="487"/>
      <c r="F745" s="487"/>
      <c r="G745" s="487"/>
      <c r="H745" s="487"/>
      <c r="I745" s="487"/>
      <c r="J745" s="487"/>
      <c r="K745" s="492"/>
      <c r="L745" s="492"/>
      <c r="M745" s="492"/>
      <c r="N745" s="490" t="n">
        <v>12400</v>
      </c>
      <c r="O745" s="490" t="n">
        <v>9796</v>
      </c>
    </row>
    <row r="746" customFormat="false" ht="36.75" hidden="false" customHeight="true" outlineLevel="0" collapsed="false">
      <c r="B746" s="487" t="s">
        <v>2467</v>
      </c>
      <c r="C746" s="488" t="n">
        <v>156</v>
      </c>
      <c r="D746" s="489" t="n">
        <v>65927</v>
      </c>
      <c r="E746" s="487" t="s">
        <v>409</v>
      </c>
      <c r="F746" s="487" t="s">
        <v>384</v>
      </c>
      <c r="G746" s="487" t="s">
        <v>385</v>
      </c>
      <c r="H746" s="487" t="s">
        <v>410</v>
      </c>
      <c r="I746" s="487" t="s">
        <v>252</v>
      </c>
      <c r="J746" s="487" t="s">
        <v>1435</v>
      </c>
      <c r="K746" s="490" t="n">
        <v>28190</v>
      </c>
      <c r="L746" s="490" t="n">
        <v>14380</v>
      </c>
      <c r="M746" s="491" t="n">
        <v>23.5</v>
      </c>
      <c r="N746" s="490" t="n">
        <v>13810</v>
      </c>
      <c r="O746" s="490" t="n">
        <v>10564.6</v>
      </c>
    </row>
    <row r="747" customFormat="false" ht="12.75" hidden="true" customHeight="true" outlineLevel="1" collapsed="false">
      <c r="B747" s="487" t="s">
        <v>417</v>
      </c>
      <c r="C747" s="487"/>
      <c r="D747" s="487"/>
      <c r="E747" s="487"/>
      <c r="F747" s="487"/>
      <c r="G747" s="487"/>
      <c r="H747" s="487"/>
      <c r="I747" s="487"/>
      <c r="J747" s="487"/>
      <c r="K747" s="492"/>
      <c r="L747" s="492"/>
      <c r="M747" s="492"/>
      <c r="N747" s="490" t="n">
        <v>13810</v>
      </c>
      <c r="O747" s="490" t="n">
        <v>10564.6</v>
      </c>
    </row>
    <row r="748" customFormat="false" ht="48.75" hidden="false" customHeight="true" outlineLevel="0" collapsed="false">
      <c r="B748" s="487" t="s">
        <v>2478</v>
      </c>
      <c r="C748" s="488" t="n">
        <v>163</v>
      </c>
      <c r="D748" s="487" t="s">
        <v>623</v>
      </c>
      <c r="E748" s="487" t="s">
        <v>422</v>
      </c>
      <c r="F748" s="487" t="s">
        <v>617</v>
      </c>
      <c r="G748" s="487" t="s">
        <v>621</v>
      </c>
      <c r="H748" s="487" t="s">
        <v>133</v>
      </c>
      <c r="I748" s="487" t="s">
        <v>423</v>
      </c>
      <c r="J748" s="487" t="s">
        <v>1435</v>
      </c>
      <c r="K748" s="490" t="n">
        <v>32700</v>
      </c>
      <c r="L748" s="490" t="n">
        <v>17790</v>
      </c>
      <c r="M748" s="491" t="n">
        <v>13.4</v>
      </c>
      <c r="N748" s="490" t="n">
        <v>14910</v>
      </c>
      <c r="O748" s="490" t="n">
        <v>12905.6</v>
      </c>
    </row>
    <row r="749" customFormat="false" ht="12.75" hidden="true" customHeight="true" outlineLevel="1" collapsed="false">
      <c r="B749" s="487" t="s">
        <v>417</v>
      </c>
      <c r="C749" s="487"/>
      <c r="D749" s="487"/>
      <c r="E749" s="487"/>
      <c r="F749" s="487"/>
      <c r="G749" s="487"/>
      <c r="H749" s="487"/>
      <c r="I749" s="487"/>
      <c r="J749" s="487"/>
      <c r="K749" s="492"/>
      <c r="L749" s="492"/>
      <c r="M749" s="492"/>
      <c r="N749" s="490" t="n">
        <v>14910</v>
      </c>
      <c r="O749" s="490" t="n">
        <v>12905.6</v>
      </c>
    </row>
    <row r="750" customFormat="false" ht="36.75" hidden="false" customHeight="true" outlineLevel="0" collapsed="false">
      <c r="B750" s="487" t="s">
        <v>2468</v>
      </c>
      <c r="C750" s="488" t="n">
        <v>158</v>
      </c>
      <c r="D750" s="489" t="n">
        <v>65928</v>
      </c>
      <c r="E750" s="487" t="s">
        <v>409</v>
      </c>
      <c r="F750" s="487" t="s">
        <v>361</v>
      </c>
      <c r="G750" s="487" t="s">
        <v>362</v>
      </c>
      <c r="H750" s="487" t="s">
        <v>410</v>
      </c>
      <c r="I750" s="487" t="s">
        <v>252</v>
      </c>
      <c r="J750" s="487" t="s">
        <v>1435</v>
      </c>
      <c r="K750" s="490" t="n">
        <v>28300</v>
      </c>
      <c r="L750" s="490" t="n">
        <v>14800</v>
      </c>
      <c r="M750" s="491" t="n">
        <v>22.5</v>
      </c>
      <c r="N750" s="490" t="n">
        <v>13500</v>
      </c>
      <c r="O750" s="490" t="n">
        <v>10462.5</v>
      </c>
    </row>
    <row r="751" customFormat="false" ht="12.75" hidden="true" customHeight="true" outlineLevel="1" collapsed="false">
      <c r="B751" s="487" t="s">
        <v>417</v>
      </c>
      <c r="C751" s="487"/>
      <c r="D751" s="487"/>
      <c r="E751" s="487"/>
      <c r="F751" s="487"/>
      <c r="G751" s="487"/>
      <c r="H751" s="487"/>
      <c r="I751" s="487"/>
      <c r="J751" s="487"/>
      <c r="K751" s="492"/>
      <c r="L751" s="492"/>
      <c r="M751" s="492"/>
      <c r="N751" s="490" t="n">
        <v>13500</v>
      </c>
      <c r="O751" s="490" t="n">
        <v>10462.5</v>
      </c>
    </row>
    <row r="752" customFormat="false" ht="36.75" hidden="false" customHeight="true" outlineLevel="0" collapsed="false">
      <c r="B752" s="487" t="s">
        <v>2469</v>
      </c>
      <c r="C752" s="488" t="n">
        <v>164</v>
      </c>
      <c r="D752" s="489" t="n">
        <v>65929</v>
      </c>
      <c r="E752" s="487" t="s">
        <v>409</v>
      </c>
      <c r="F752" s="487" t="s">
        <v>371</v>
      </c>
      <c r="G752" s="487" t="s">
        <v>372</v>
      </c>
      <c r="H752" s="487" t="s">
        <v>410</v>
      </c>
      <c r="I752" s="487" t="s">
        <v>584</v>
      </c>
      <c r="J752" s="487" t="s">
        <v>1435</v>
      </c>
      <c r="K752" s="490" t="n">
        <v>28400</v>
      </c>
      <c r="L752" s="490" t="n">
        <v>14970</v>
      </c>
      <c r="M752" s="491" t="n">
        <v>21.5</v>
      </c>
      <c r="N752" s="490" t="n">
        <v>13430</v>
      </c>
      <c r="O752" s="490" t="n">
        <v>10542.5</v>
      </c>
    </row>
    <row r="753" customFormat="false" ht="12.75" hidden="true" customHeight="true" outlineLevel="1" collapsed="false">
      <c r="B753" s="487" t="s">
        <v>417</v>
      </c>
      <c r="C753" s="487"/>
      <c r="D753" s="487"/>
      <c r="E753" s="487"/>
      <c r="F753" s="487"/>
      <c r="G753" s="487"/>
      <c r="H753" s="487"/>
      <c r="I753" s="487"/>
      <c r="J753" s="487"/>
      <c r="K753" s="492"/>
      <c r="L753" s="492"/>
      <c r="M753" s="492"/>
      <c r="N753" s="490" t="n">
        <v>13430</v>
      </c>
      <c r="O753" s="490" t="n">
        <v>10542.5</v>
      </c>
    </row>
    <row r="754" customFormat="false" ht="36.75" hidden="false" customHeight="true" outlineLevel="0" collapsed="false">
      <c r="B754" s="487" t="s">
        <v>2470</v>
      </c>
      <c r="C754" s="488" t="n">
        <v>165</v>
      </c>
      <c r="D754" s="489" t="n">
        <v>65940</v>
      </c>
      <c r="E754" s="487" t="s">
        <v>409</v>
      </c>
      <c r="F754" s="487" t="s">
        <v>365</v>
      </c>
      <c r="G754" s="487" t="s">
        <v>373</v>
      </c>
      <c r="H754" s="487" t="s">
        <v>410</v>
      </c>
      <c r="I754" s="487" t="s">
        <v>584</v>
      </c>
      <c r="J754" s="487" t="s">
        <v>1435</v>
      </c>
      <c r="K754" s="490" t="n">
        <v>32140</v>
      </c>
      <c r="L754" s="490" t="n">
        <v>18690</v>
      </c>
      <c r="M754" s="491" t="n">
        <v>21</v>
      </c>
      <c r="N754" s="490" t="n">
        <v>13450</v>
      </c>
      <c r="O754" s="490" t="n">
        <v>10625.5</v>
      </c>
    </row>
    <row r="755" customFormat="false" ht="12.75" hidden="true" customHeight="true" outlineLevel="1" collapsed="false">
      <c r="B755" s="487" t="s">
        <v>417</v>
      </c>
      <c r="C755" s="487"/>
      <c r="D755" s="487"/>
      <c r="E755" s="487"/>
      <c r="F755" s="487"/>
      <c r="G755" s="487"/>
      <c r="H755" s="487"/>
      <c r="I755" s="487"/>
      <c r="J755" s="487"/>
      <c r="K755" s="492"/>
      <c r="L755" s="492"/>
      <c r="M755" s="492"/>
      <c r="N755" s="490" t="n">
        <v>13450</v>
      </c>
      <c r="O755" s="490" t="n">
        <v>10625.5</v>
      </c>
    </row>
    <row r="756" customFormat="false" ht="36.75" hidden="false" customHeight="true" outlineLevel="0" collapsed="false">
      <c r="B756" s="487" t="s">
        <v>2471</v>
      </c>
      <c r="C756" s="488" t="n">
        <v>166</v>
      </c>
      <c r="D756" s="489" t="n">
        <v>65925</v>
      </c>
      <c r="E756" s="487" t="s">
        <v>409</v>
      </c>
      <c r="F756" s="487" t="s">
        <v>445</v>
      </c>
      <c r="G756" s="487" t="s">
        <v>449</v>
      </c>
      <c r="H756" s="487" t="s">
        <v>410</v>
      </c>
      <c r="I756" s="487" t="s">
        <v>584</v>
      </c>
      <c r="J756" s="487" t="s">
        <v>1435</v>
      </c>
      <c r="K756" s="490" t="n">
        <v>28920</v>
      </c>
      <c r="L756" s="490" t="n">
        <v>15610</v>
      </c>
      <c r="M756" s="491" t="n">
        <v>15.5</v>
      </c>
      <c r="N756" s="490" t="n">
        <v>13310</v>
      </c>
      <c r="O756" s="490" t="n">
        <v>11246.9</v>
      </c>
    </row>
    <row r="757" customFormat="false" ht="12.75" hidden="true" customHeight="true" outlineLevel="1" collapsed="false">
      <c r="B757" s="487" t="s">
        <v>417</v>
      </c>
      <c r="C757" s="487"/>
      <c r="D757" s="487"/>
      <c r="E757" s="487"/>
      <c r="F757" s="487"/>
      <c r="G757" s="487"/>
      <c r="H757" s="487"/>
      <c r="I757" s="487"/>
      <c r="J757" s="487"/>
      <c r="K757" s="492"/>
      <c r="L757" s="492"/>
      <c r="M757" s="492"/>
      <c r="N757" s="490" t="n">
        <v>13310</v>
      </c>
      <c r="O757" s="490" t="n">
        <v>11246.9</v>
      </c>
    </row>
    <row r="758" customFormat="false" ht="36.75" hidden="false" customHeight="true" outlineLevel="0" collapsed="false">
      <c r="B758" s="487" t="s">
        <v>2472</v>
      </c>
      <c r="C758" s="488" t="n">
        <v>167</v>
      </c>
      <c r="D758" s="489" t="n">
        <v>23</v>
      </c>
      <c r="E758" s="487" t="s">
        <v>422</v>
      </c>
      <c r="F758" s="487" t="s">
        <v>376</v>
      </c>
      <c r="G758" s="487" t="s">
        <v>377</v>
      </c>
      <c r="H758" s="487" t="s">
        <v>133</v>
      </c>
      <c r="I758" s="487" t="s">
        <v>423</v>
      </c>
      <c r="J758" s="487" t="s">
        <v>1435</v>
      </c>
      <c r="K758" s="490" t="n">
        <v>23520</v>
      </c>
      <c r="L758" s="490" t="n">
        <v>14390</v>
      </c>
      <c r="M758" s="491" t="n">
        <v>15.5</v>
      </c>
      <c r="N758" s="490" t="n">
        <v>9130</v>
      </c>
      <c r="O758" s="490" t="n">
        <v>7714.8</v>
      </c>
    </row>
    <row r="759" customFormat="false" ht="12.75" hidden="true" customHeight="true" outlineLevel="1" collapsed="false">
      <c r="B759" s="487" t="s">
        <v>417</v>
      </c>
      <c r="C759" s="487"/>
      <c r="D759" s="487"/>
      <c r="E759" s="487"/>
      <c r="F759" s="487"/>
      <c r="G759" s="487"/>
      <c r="H759" s="487"/>
      <c r="I759" s="487"/>
      <c r="J759" s="487"/>
      <c r="K759" s="492"/>
      <c r="L759" s="492"/>
      <c r="M759" s="492"/>
      <c r="N759" s="490" t="n">
        <v>9130</v>
      </c>
      <c r="O759" s="490" t="n">
        <v>7714.8</v>
      </c>
    </row>
    <row r="760" customFormat="false" ht="36.75" hidden="false" customHeight="true" outlineLevel="0" collapsed="false">
      <c r="B760" s="487" t="s">
        <v>2473</v>
      </c>
      <c r="C760" s="488" t="n">
        <v>168</v>
      </c>
      <c r="D760" s="489" t="n">
        <v>65926</v>
      </c>
      <c r="E760" s="487" t="s">
        <v>409</v>
      </c>
      <c r="F760" s="487" t="s">
        <v>451</v>
      </c>
      <c r="G760" s="487" t="s">
        <v>455</v>
      </c>
      <c r="H760" s="487" t="s">
        <v>410</v>
      </c>
      <c r="I760" s="487" t="s">
        <v>584</v>
      </c>
      <c r="J760" s="487" t="s">
        <v>1435</v>
      </c>
      <c r="K760" s="490" t="n">
        <v>28350</v>
      </c>
      <c r="L760" s="490" t="n">
        <v>15010</v>
      </c>
      <c r="M760" s="491" t="n">
        <v>18.5</v>
      </c>
      <c r="N760" s="490" t="n">
        <v>13340</v>
      </c>
      <c r="O760" s="490" t="n">
        <v>10872.1</v>
      </c>
    </row>
    <row r="761" customFormat="false" ht="12.75" hidden="true" customHeight="true" outlineLevel="1" collapsed="false">
      <c r="B761" s="487" t="s">
        <v>417</v>
      </c>
      <c r="C761" s="487"/>
      <c r="D761" s="487"/>
      <c r="E761" s="487"/>
      <c r="F761" s="487"/>
      <c r="G761" s="487"/>
      <c r="H761" s="487"/>
      <c r="I761" s="487"/>
      <c r="J761" s="487"/>
      <c r="K761" s="492"/>
      <c r="L761" s="492"/>
      <c r="M761" s="492"/>
      <c r="N761" s="490" t="n">
        <v>13340</v>
      </c>
      <c r="O761" s="490" t="n">
        <v>10872.1</v>
      </c>
    </row>
    <row r="762" customFormat="false" ht="36.75" hidden="false" customHeight="true" outlineLevel="0" collapsed="false">
      <c r="B762" s="487" t="s">
        <v>2479</v>
      </c>
      <c r="C762" s="488" t="n">
        <v>163</v>
      </c>
      <c r="D762" s="487" t="s">
        <v>627</v>
      </c>
      <c r="E762" s="487" t="s">
        <v>409</v>
      </c>
      <c r="F762" s="487" t="s">
        <v>624</v>
      </c>
      <c r="G762" s="487" t="s">
        <v>625</v>
      </c>
      <c r="H762" s="487" t="s">
        <v>410</v>
      </c>
      <c r="I762" s="487" t="s">
        <v>584</v>
      </c>
      <c r="J762" s="487" t="s">
        <v>1435</v>
      </c>
      <c r="K762" s="490" t="n">
        <v>34160</v>
      </c>
      <c r="L762" s="490" t="n">
        <v>16200</v>
      </c>
      <c r="M762" s="491" t="n">
        <v>7.5</v>
      </c>
      <c r="N762" s="490" t="n">
        <v>17960</v>
      </c>
      <c r="O762" s="490" t="n">
        <v>16610</v>
      </c>
    </row>
    <row r="763" customFormat="false" ht="12.75" hidden="true" customHeight="true" outlineLevel="1" collapsed="false">
      <c r="B763" s="487" t="s">
        <v>417</v>
      </c>
      <c r="C763" s="487"/>
      <c r="D763" s="487"/>
      <c r="E763" s="487"/>
      <c r="F763" s="487"/>
      <c r="G763" s="487"/>
      <c r="H763" s="487"/>
      <c r="I763" s="487"/>
      <c r="J763" s="487"/>
      <c r="K763" s="492"/>
      <c r="L763" s="492"/>
      <c r="M763" s="492"/>
      <c r="N763" s="490" t="n">
        <v>17960</v>
      </c>
      <c r="O763" s="490" t="n">
        <v>16610</v>
      </c>
    </row>
    <row r="764" customFormat="false" ht="36.75" hidden="false" customHeight="true" outlineLevel="0" collapsed="false">
      <c r="B764" s="487" t="s">
        <v>2496</v>
      </c>
      <c r="C764" s="488" t="n">
        <v>171</v>
      </c>
      <c r="D764" s="487" t="s">
        <v>684</v>
      </c>
      <c r="E764" s="487" t="s">
        <v>422</v>
      </c>
      <c r="F764" s="487" t="s">
        <v>677</v>
      </c>
      <c r="G764" s="487" t="s">
        <v>681</v>
      </c>
      <c r="H764" s="487" t="s">
        <v>133</v>
      </c>
      <c r="I764" s="487" t="s">
        <v>423</v>
      </c>
      <c r="J764" s="487" t="s">
        <v>1435</v>
      </c>
      <c r="K764" s="490" t="n">
        <v>28790</v>
      </c>
      <c r="L764" s="490" t="n">
        <v>16660</v>
      </c>
      <c r="M764" s="491" t="n">
        <v>15.5</v>
      </c>
      <c r="N764" s="490" t="n">
        <v>12130</v>
      </c>
      <c r="O764" s="490" t="n">
        <v>10251</v>
      </c>
    </row>
    <row r="765" customFormat="false" ht="12.75" hidden="true" customHeight="true" outlineLevel="1" collapsed="false">
      <c r="B765" s="487" t="s">
        <v>417</v>
      </c>
      <c r="C765" s="487"/>
      <c r="D765" s="487"/>
      <c r="E765" s="487"/>
      <c r="F765" s="487"/>
      <c r="G765" s="487"/>
      <c r="H765" s="487"/>
      <c r="I765" s="487"/>
      <c r="J765" s="487"/>
      <c r="K765" s="492"/>
      <c r="L765" s="492"/>
      <c r="M765" s="492"/>
      <c r="N765" s="490" t="n">
        <v>12130</v>
      </c>
      <c r="O765" s="490" t="n">
        <v>10251</v>
      </c>
    </row>
    <row r="766" customFormat="false" ht="36.75" hidden="false" customHeight="true" outlineLevel="0" collapsed="false">
      <c r="B766" s="487" t="s">
        <v>2474</v>
      </c>
      <c r="C766" s="488" t="n">
        <v>170</v>
      </c>
      <c r="D766" s="489" t="n">
        <v>24</v>
      </c>
      <c r="E766" s="487" t="s">
        <v>422</v>
      </c>
      <c r="F766" s="487" t="s">
        <v>361</v>
      </c>
      <c r="G766" s="487" t="s">
        <v>362</v>
      </c>
      <c r="H766" s="487" t="s">
        <v>133</v>
      </c>
      <c r="I766" s="487" t="s">
        <v>423</v>
      </c>
      <c r="J766" s="487" t="s">
        <v>1435</v>
      </c>
      <c r="K766" s="490" t="n">
        <v>23950</v>
      </c>
      <c r="L766" s="490" t="n">
        <v>14790</v>
      </c>
      <c r="M766" s="491" t="n">
        <v>20.5</v>
      </c>
      <c r="N766" s="490" t="n">
        <v>9160</v>
      </c>
      <c r="O766" s="490" t="n">
        <v>7282.2</v>
      </c>
    </row>
    <row r="767" customFormat="false" ht="12.75" hidden="true" customHeight="true" outlineLevel="1" collapsed="false">
      <c r="B767" s="487" t="s">
        <v>417</v>
      </c>
      <c r="C767" s="487"/>
      <c r="D767" s="487"/>
      <c r="E767" s="487"/>
      <c r="F767" s="487"/>
      <c r="G767" s="487"/>
      <c r="H767" s="487"/>
      <c r="I767" s="487"/>
      <c r="J767" s="487"/>
      <c r="K767" s="492"/>
      <c r="L767" s="492"/>
      <c r="M767" s="492"/>
      <c r="N767" s="490" t="n">
        <v>9160</v>
      </c>
      <c r="O767" s="490" t="n">
        <v>7282.2</v>
      </c>
    </row>
    <row r="768" customFormat="false" ht="36.75" hidden="false" customHeight="true" outlineLevel="0" collapsed="false">
      <c r="B768" s="487" t="s">
        <v>2475</v>
      </c>
      <c r="C768" s="488" t="n">
        <v>172</v>
      </c>
      <c r="D768" s="489" t="n">
        <v>26</v>
      </c>
      <c r="E768" s="487" t="s">
        <v>422</v>
      </c>
      <c r="F768" s="487" t="s">
        <v>376</v>
      </c>
      <c r="G768" s="487" t="s">
        <v>377</v>
      </c>
      <c r="H768" s="487" t="s">
        <v>133</v>
      </c>
      <c r="I768" s="487" t="s">
        <v>423</v>
      </c>
      <c r="J768" s="487" t="s">
        <v>1435</v>
      </c>
      <c r="K768" s="490" t="n">
        <v>23580</v>
      </c>
      <c r="L768" s="490" t="n">
        <v>14380</v>
      </c>
      <c r="M768" s="491" t="n">
        <v>17.5</v>
      </c>
      <c r="N768" s="490" t="n">
        <v>9200</v>
      </c>
      <c r="O768" s="490" t="n">
        <v>7590</v>
      </c>
    </row>
    <row r="769" customFormat="false" ht="12.75" hidden="true" customHeight="true" outlineLevel="1" collapsed="false">
      <c r="B769" s="487" t="s">
        <v>417</v>
      </c>
      <c r="C769" s="487"/>
      <c r="D769" s="487"/>
      <c r="E769" s="487"/>
      <c r="F769" s="487"/>
      <c r="G769" s="487"/>
      <c r="H769" s="487"/>
      <c r="I769" s="487"/>
      <c r="J769" s="487"/>
      <c r="K769" s="492"/>
      <c r="L769" s="492"/>
      <c r="M769" s="492"/>
      <c r="N769" s="490" t="n">
        <v>9200</v>
      </c>
      <c r="O769" s="490" t="n">
        <v>7590</v>
      </c>
    </row>
    <row r="770" customFormat="false" ht="36.75" hidden="false" customHeight="true" outlineLevel="0" collapsed="false">
      <c r="B770" s="487" t="s">
        <v>2498</v>
      </c>
      <c r="C770" s="488" t="n">
        <v>173</v>
      </c>
      <c r="D770" s="487" t="s">
        <v>695</v>
      </c>
      <c r="E770" s="487" t="s">
        <v>422</v>
      </c>
      <c r="F770" s="487" t="s">
        <v>602</v>
      </c>
      <c r="G770" s="487" t="s">
        <v>606</v>
      </c>
      <c r="H770" s="487" t="s">
        <v>628</v>
      </c>
      <c r="I770" s="487" t="s">
        <v>423</v>
      </c>
      <c r="J770" s="487" t="s">
        <v>1435</v>
      </c>
      <c r="K770" s="490" t="n">
        <v>31130</v>
      </c>
      <c r="L770" s="490" t="n">
        <v>17880</v>
      </c>
      <c r="M770" s="491" t="n">
        <v>11.6</v>
      </c>
      <c r="N770" s="490" t="n">
        <v>13250</v>
      </c>
      <c r="O770" s="490" t="n">
        <v>11713</v>
      </c>
    </row>
    <row r="771" customFormat="false" ht="12.75" hidden="true" customHeight="true" outlineLevel="1" collapsed="false">
      <c r="B771" s="487" t="s">
        <v>417</v>
      </c>
      <c r="C771" s="487"/>
      <c r="D771" s="487"/>
      <c r="E771" s="487"/>
      <c r="F771" s="487"/>
      <c r="G771" s="487"/>
      <c r="H771" s="487"/>
      <c r="I771" s="487"/>
      <c r="J771" s="487"/>
      <c r="K771" s="492"/>
      <c r="L771" s="492"/>
      <c r="M771" s="492"/>
      <c r="N771" s="490" t="n">
        <v>13250</v>
      </c>
      <c r="O771" s="490" t="n">
        <v>11713</v>
      </c>
    </row>
    <row r="772" customFormat="false" ht="36.75" hidden="false" customHeight="true" outlineLevel="0" collapsed="false">
      <c r="B772" s="487" t="s">
        <v>2497</v>
      </c>
      <c r="C772" s="488" t="n">
        <v>174</v>
      </c>
      <c r="D772" s="487" t="s">
        <v>691</v>
      </c>
      <c r="E772" s="487" t="s">
        <v>422</v>
      </c>
      <c r="F772" s="487" t="s">
        <v>685</v>
      </c>
      <c r="G772" s="487" t="s">
        <v>689</v>
      </c>
      <c r="H772" s="487" t="s">
        <v>628</v>
      </c>
      <c r="I772" s="487" t="s">
        <v>423</v>
      </c>
      <c r="J772" s="487" t="s">
        <v>1435</v>
      </c>
      <c r="K772" s="490" t="n">
        <v>32620</v>
      </c>
      <c r="L772" s="490" t="n">
        <v>18780</v>
      </c>
      <c r="M772" s="491" t="n">
        <v>15.4</v>
      </c>
      <c r="N772" s="490" t="n">
        <v>13840</v>
      </c>
      <c r="O772" s="490" t="n">
        <v>11709.8</v>
      </c>
    </row>
    <row r="773" customFormat="false" ht="12.75" hidden="true" customHeight="true" outlineLevel="1" collapsed="false">
      <c r="B773" s="487" t="s">
        <v>417</v>
      </c>
      <c r="C773" s="487"/>
      <c r="D773" s="487"/>
      <c r="E773" s="487"/>
      <c r="F773" s="487"/>
      <c r="G773" s="487"/>
      <c r="H773" s="487"/>
      <c r="I773" s="487"/>
      <c r="J773" s="487"/>
      <c r="K773" s="492"/>
      <c r="L773" s="492"/>
      <c r="M773" s="492"/>
      <c r="N773" s="490" t="n">
        <v>13840</v>
      </c>
      <c r="O773" s="490" t="n">
        <v>11709.8</v>
      </c>
    </row>
    <row r="774" customFormat="false" ht="36.75" hidden="false" customHeight="true" outlineLevel="0" collapsed="false">
      <c r="B774" s="487" t="s">
        <v>2499</v>
      </c>
      <c r="C774" s="488" t="n">
        <v>175</v>
      </c>
      <c r="D774" s="487" t="s">
        <v>700</v>
      </c>
      <c r="E774" s="487" t="s">
        <v>422</v>
      </c>
      <c r="F774" s="487" t="s">
        <v>610</v>
      </c>
      <c r="G774" s="487" t="s">
        <v>614</v>
      </c>
      <c r="H774" s="487" t="s">
        <v>628</v>
      </c>
      <c r="I774" s="487" t="s">
        <v>423</v>
      </c>
      <c r="J774" s="487" t="s">
        <v>1435</v>
      </c>
      <c r="K774" s="490" t="n">
        <v>30790</v>
      </c>
      <c r="L774" s="490" t="n">
        <v>16990</v>
      </c>
      <c r="M774" s="491" t="n">
        <v>26.7</v>
      </c>
      <c r="N774" s="490" t="n">
        <v>13800</v>
      </c>
      <c r="O774" s="490" t="n">
        <v>10115.4</v>
      </c>
    </row>
    <row r="775" customFormat="false" ht="12.75" hidden="true" customHeight="true" outlineLevel="1" collapsed="false">
      <c r="B775" s="487" t="s">
        <v>417</v>
      </c>
      <c r="C775" s="487"/>
      <c r="D775" s="487"/>
      <c r="E775" s="487"/>
      <c r="F775" s="487"/>
      <c r="G775" s="487"/>
      <c r="H775" s="487"/>
      <c r="I775" s="487"/>
      <c r="J775" s="487"/>
      <c r="K775" s="492"/>
      <c r="L775" s="492"/>
      <c r="M775" s="492"/>
      <c r="N775" s="490" t="n">
        <v>13800</v>
      </c>
      <c r="O775" s="490" t="n">
        <v>10115.4</v>
      </c>
    </row>
    <row r="776" customFormat="false" ht="36.75" hidden="false" customHeight="true" outlineLevel="0" collapsed="false">
      <c r="B776" s="487" t="s">
        <v>2480</v>
      </c>
      <c r="C776" s="488" t="n">
        <v>179</v>
      </c>
      <c r="D776" s="489" t="n">
        <v>30</v>
      </c>
      <c r="E776" s="487" t="s">
        <v>422</v>
      </c>
      <c r="F776" s="487" t="s">
        <v>411</v>
      </c>
      <c r="G776" s="487" t="s">
        <v>381</v>
      </c>
      <c r="H776" s="487" t="s">
        <v>628</v>
      </c>
      <c r="I776" s="487" t="s">
        <v>423</v>
      </c>
      <c r="J776" s="487" t="s">
        <v>1435</v>
      </c>
      <c r="K776" s="490" t="n">
        <v>29230</v>
      </c>
      <c r="L776" s="490" t="n">
        <v>22520</v>
      </c>
      <c r="M776" s="491" t="n">
        <v>29</v>
      </c>
      <c r="N776" s="490" t="n">
        <v>6710</v>
      </c>
      <c r="O776" s="490" t="n">
        <v>4764.1</v>
      </c>
    </row>
    <row r="777" customFormat="false" ht="12.75" hidden="true" customHeight="true" outlineLevel="1" collapsed="false">
      <c r="B777" s="487" t="s">
        <v>417</v>
      </c>
      <c r="C777" s="487"/>
      <c r="D777" s="487"/>
      <c r="E777" s="487"/>
      <c r="F777" s="487"/>
      <c r="G777" s="487"/>
      <c r="H777" s="487"/>
      <c r="I777" s="487"/>
      <c r="J777" s="487"/>
      <c r="K777" s="492"/>
      <c r="L777" s="492"/>
      <c r="M777" s="492"/>
      <c r="N777" s="490" t="n">
        <v>6710</v>
      </c>
      <c r="O777" s="490" t="n">
        <v>4764.1</v>
      </c>
    </row>
    <row r="778" customFormat="false" ht="36.75" hidden="false" customHeight="true" outlineLevel="0" collapsed="false">
      <c r="B778" s="487" t="s">
        <v>2481</v>
      </c>
      <c r="C778" s="488" t="n">
        <v>180</v>
      </c>
      <c r="D778" s="489" t="n">
        <v>30</v>
      </c>
      <c r="E778" s="487" t="s">
        <v>422</v>
      </c>
      <c r="F778" s="487" t="s">
        <v>411</v>
      </c>
      <c r="G778" s="487" t="s">
        <v>381</v>
      </c>
      <c r="H778" s="487" t="s">
        <v>133</v>
      </c>
      <c r="I778" s="487" t="s">
        <v>423</v>
      </c>
      <c r="J778" s="487" t="s">
        <v>1435</v>
      </c>
      <c r="K778" s="490" t="n">
        <v>22520</v>
      </c>
      <c r="L778" s="490" t="n">
        <v>14140</v>
      </c>
      <c r="M778" s="491" t="n">
        <v>24</v>
      </c>
      <c r="N778" s="490" t="n">
        <v>8380</v>
      </c>
      <c r="O778" s="490" t="n">
        <v>6368.8</v>
      </c>
    </row>
    <row r="779" customFormat="false" ht="12.75" hidden="true" customHeight="true" outlineLevel="1" collapsed="false">
      <c r="B779" s="487" t="s">
        <v>417</v>
      </c>
      <c r="C779" s="487"/>
      <c r="D779" s="487"/>
      <c r="E779" s="487"/>
      <c r="F779" s="487"/>
      <c r="G779" s="487"/>
      <c r="H779" s="487"/>
      <c r="I779" s="487"/>
      <c r="J779" s="487"/>
      <c r="K779" s="492"/>
      <c r="L779" s="492"/>
      <c r="M779" s="492"/>
      <c r="N779" s="490" t="n">
        <v>8380</v>
      </c>
      <c r="O779" s="490" t="n">
        <v>6368.8</v>
      </c>
    </row>
    <row r="780" customFormat="false" ht="36.75" hidden="false" customHeight="true" outlineLevel="0" collapsed="false">
      <c r="B780" s="487" t="s">
        <v>2482</v>
      </c>
      <c r="C780" s="488" t="n">
        <v>182</v>
      </c>
      <c r="D780" s="489" t="n">
        <v>30</v>
      </c>
      <c r="E780" s="487" t="s">
        <v>422</v>
      </c>
      <c r="F780" s="487" t="s">
        <v>411</v>
      </c>
      <c r="G780" s="487" t="s">
        <v>381</v>
      </c>
      <c r="H780" s="487" t="s">
        <v>628</v>
      </c>
      <c r="I780" s="487" t="s">
        <v>423</v>
      </c>
      <c r="J780" s="487" t="s">
        <v>1435</v>
      </c>
      <c r="K780" s="490" t="n">
        <v>14110</v>
      </c>
      <c r="L780" s="490" t="n">
        <v>9450</v>
      </c>
      <c r="M780" s="491" t="n">
        <v>31</v>
      </c>
      <c r="N780" s="490" t="n">
        <v>4660</v>
      </c>
      <c r="O780" s="490" t="n">
        <v>3215.4</v>
      </c>
    </row>
    <row r="781" customFormat="false" ht="12.75" hidden="true" customHeight="true" outlineLevel="1" collapsed="false">
      <c r="B781" s="487" t="s">
        <v>417</v>
      </c>
      <c r="C781" s="487"/>
      <c r="D781" s="487"/>
      <c r="E781" s="487"/>
      <c r="F781" s="487"/>
      <c r="G781" s="487"/>
      <c r="H781" s="487"/>
      <c r="I781" s="487"/>
      <c r="J781" s="487"/>
      <c r="K781" s="492"/>
      <c r="L781" s="492"/>
      <c r="M781" s="492"/>
      <c r="N781" s="490" t="n">
        <v>4660</v>
      </c>
      <c r="O781" s="490" t="n">
        <v>3215.4</v>
      </c>
    </row>
    <row r="782" customFormat="false" ht="36.75" hidden="false" customHeight="true" outlineLevel="0" collapsed="false">
      <c r="B782" s="487" t="s">
        <v>2483</v>
      </c>
      <c r="C782" s="488" t="n">
        <v>181</v>
      </c>
      <c r="D782" s="489" t="n">
        <v>65933</v>
      </c>
      <c r="E782" s="487" t="s">
        <v>409</v>
      </c>
      <c r="F782" s="487" t="s">
        <v>427</v>
      </c>
      <c r="G782" s="487" t="s">
        <v>431</v>
      </c>
      <c r="H782" s="487" t="s">
        <v>410</v>
      </c>
      <c r="I782" s="487" t="s">
        <v>252</v>
      </c>
      <c r="J782" s="487" t="s">
        <v>1435</v>
      </c>
      <c r="K782" s="490" t="n">
        <v>34390</v>
      </c>
      <c r="L782" s="490" t="n">
        <v>20870</v>
      </c>
      <c r="M782" s="491" t="n">
        <v>18.5</v>
      </c>
      <c r="N782" s="490" t="n">
        <v>13520</v>
      </c>
      <c r="O782" s="490" t="n">
        <v>11018.8</v>
      </c>
    </row>
    <row r="783" customFormat="false" ht="12.75" hidden="true" customHeight="true" outlineLevel="1" collapsed="false">
      <c r="B783" s="487" t="s">
        <v>417</v>
      </c>
      <c r="C783" s="487"/>
      <c r="D783" s="487"/>
      <c r="E783" s="487"/>
      <c r="F783" s="487"/>
      <c r="G783" s="487"/>
      <c r="H783" s="487"/>
      <c r="I783" s="487"/>
      <c r="J783" s="487"/>
      <c r="K783" s="492"/>
      <c r="L783" s="492"/>
      <c r="M783" s="492"/>
      <c r="N783" s="490" t="n">
        <v>13520</v>
      </c>
      <c r="O783" s="490" t="n">
        <v>11018.8</v>
      </c>
    </row>
    <row r="784" customFormat="false" ht="36.75" hidden="false" customHeight="true" outlineLevel="0" collapsed="false">
      <c r="B784" s="487" t="s">
        <v>2484</v>
      </c>
      <c r="C784" s="488" t="n">
        <v>186</v>
      </c>
      <c r="D784" s="489" t="n">
        <v>65935</v>
      </c>
      <c r="E784" s="487" t="s">
        <v>409</v>
      </c>
      <c r="F784" s="487" t="s">
        <v>433</v>
      </c>
      <c r="G784" s="487" t="s">
        <v>437</v>
      </c>
      <c r="H784" s="487" t="s">
        <v>410</v>
      </c>
      <c r="I784" s="487" t="s">
        <v>252</v>
      </c>
      <c r="J784" s="487" t="s">
        <v>1435</v>
      </c>
      <c r="K784" s="490" t="n">
        <v>28460</v>
      </c>
      <c r="L784" s="490" t="n">
        <v>14860</v>
      </c>
      <c r="M784" s="491" t="n">
        <v>16.5</v>
      </c>
      <c r="N784" s="490" t="n">
        <v>13600</v>
      </c>
      <c r="O784" s="490" t="n">
        <v>11356</v>
      </c>
    </row>
    <row r="785" customFormat="false" ht="12.75" hidden="true" customHeight="true" outlineLevel="1" collapsed="false">
      <c r="B785" s="487" t="s">
        <v>417</v>
      </c>
      <c r="C785" s="487"/>
      <c r="D785" s="487"/>
      <c r="E785" s="487"/>
      <c r="F785" s="487"/>
      <c r="G785" s="487"/>
      <c r="H785" s="487"/>
      <c r="I785" s="487"/>
      <c r="J785" s="487"/>
      <c r="K785" s="492"/>
      <c r="L785" s="492"/>
      <c r="M785" s="492"/>
      <c r="N785" s="490" t="n">
        <v>13600</v>
      </c>
      <c r="O785" s="490" t="n">
        <v>11356</v>
      </c>
    </row>
    <row r="786" customFormat="false" ht="36.75" hidden="false" customHeight="true" outlineLevel="0" collapsed="false">
      <c r="B786" s="487" t="s">
        <v>2485</v>
      </c>
      <c r="C786" s="488" t="n">
        <v>187</v>
      </c>
      <c r="D786" s="489" t="n">
        <v>65936</v>
      </c>
      <c r="E786" s="487" t="s">
        <v>409</v>
      </c>
      <c r="F786" s="487" t="s">
        <v>439</v>
      </c>
      <c r="G786" s="487" t="s">
        <v>443</v>
      </c>
      <c r="H786" s="487" t="s">
        <v>410</v>
      </c>
      <c r="I786" s="487" t="s">
        <v>252</v>
      </c>
      <c r="J786" s="487" t="s">
        <v>1435</v>
      </c>
      <c r="K786" s="490" t="n">
        <v>37510</v>
      </c>
      <c r="L786" s="490" t="n">
        <v>24030</v>
      </c>
      <c r="M786" s="491" t="n">
        <v>13.5</v>
      </c>
      <c r="N786" s="490" t="n">
        <v>13480</v>
      </c>
      <c r="O786" s="490" t="n">
        <v>11660.2</v>
      </c>
    </row>
    <row r="787" customFormat="false" ht="12.75" hidden="true" customHeight="true" outlineLevel="1" collapsed="false">
      <c r="B787" s="487" t="s">
        <v>417</v>
      </c>
      <c r="C787" s="487"/>
      <c r="D787" s="487"/>
      <c r="E787" s="487"/>
      <c r="F787" s="487"/>
      <c r="G787" s="487"/>
      <c r="H787" s="487"/>
      <c r="I787" s="487"/>
      <c r="J787" s="487"/>
      <c r="K787" s="492"/>
      <c r="L787" s="492"/>
      <c r="M787" s="492"/>
      <c r="N787" s="490" t="n">
        <v>13480</v>
      </c>
      <c r="O787" s="490" t="n">
        <v>11660.2</v>
      </c>
    </row>
    <row r="788" customFormat="false" ht="36.75" hidden="false" customHeight="true" outlineLevel="0" collapsed="false">
      <c r="B788" s="487" t="s">
        <v>2486</v>
      </c>
      <c r="C788" s="488" t="n">
        <v>188</v>
      </c>
      <c r="D788" s="489" t="n">
        <v>31</v>
      </c>
      <c r="E788" s="487" t="s">
        <v>422</v>
      </c>
      <c r="F788" s="487" t="s">
        <v>411</v>
      </c>
      <c r="G788" s="487" t="s">
        <v>381</v>
      </c>
      <c r="H788" s="487" t="s">
        <v>628</v>
      </c>
      <c r="I788" s="487" t="s">
        <v>423</v>
      </c>
      <c r="J788" s="487" t="s">
        <v>1435</v>
      </c>
      <c r="K788" s="490" t="n">
        <v>13910</v>
      </c>
      <c r="L788" s="490" t="n">
        <v>9460</v>
      </c>
      <c r="M788" s="491" t="n">
        <v>19.5</v>
      </c>
      <c r="N788" s="490" t="n">
        <v>4450</v>
      </c>
      <c r="O788" s="490" t="n">
        <v>3582.2</v>
      </c>
    </row>
    <row r="789" customFormat="false" ht="12.75" hidden="true" customHeight="true" outlineLevel="1" collapsed="false">
      <c r="B789" s="487" t="s">
        <v>417</v>
      </c>
      <c r="C789" s="487"/>
      <c r="D789" s="487"/>
      <c r="E789" s="487"/>
      <c r="F789" s="487"/>
      <c r="G789" s="487"/>
      <c r="H789" s="487"/>
      <c r="I789" s="487"/>
      <c r="J789" s="487"/>
      <c r="K789" s="492"/>
      <c r="L789" s="492"/>
      <c r="M789" s="492"/>
      <c r="N789" s="490" t="n">
        <v>4450</v>
      </c>
      <c r="O789" s="490" t="n">
        <v>3582.2</v>
      </c>
    </row>
    <row r="790" customFormat="false" ht="36.75" hidden="false" customHeight="true" outlineLevel="0" collapsed="false">
      <c r="B790" s="487" t="s">
        <v>2488</v>
      </c>
      <c r="C790" s="488" t="n">
        <v>190</v>
      </c>
      <c r="D790" s="489" t="n">
        <v>65938</v>
      </c>
      <c r="E790" s="487" t="s">
        <v>409</v>
      </c>
      <c r="F790" s="487" t="s">
        <v>386</v>
      </c>
      <c r="G790" s="487" t="s">
        <v>387</v>
      </c>
      <c r="H790" s="487" t="s">
        <v>410</v>
      </c>
      <c r="I790" s="487" t="s">
        <v>252</v>
      </c>
      <c r="J790" s="487" t="s">
        <v>1435</v>
      </c>
      <c r="K790" s="490" t="n">
        <v>28750</v>
      </c>
      <c r="L790" s="490" t="n">
        <v>15120</v>
      </c>
      <c r="M790" s="491" t="n">
        <v>20</v>
      </c>
      <c r="N790" s="490" t="n">
        <v>13630</v>
      </c>
      <c r="O790" s="490" t="n">
        <v>10904</v>
      </c>
    </row>
    <row r="791" customFormat="false" ht="12.75" hidden="true" customHeight="true" outlineLevel="1" collapsed="false">
      <c r="B791" s="487" t="s">
        <v>417</v>
      </c>
      <c r="C791" s="487"/>
      <c r="D791" s="487"/>
      <c r="E791" s="487"/>
      <c r="F791" s="487"/>
      <c r="G791" s="487"/>
      <c r="H791" s="487"/>
      <c r="I791" s="487"/>
      <c r="J791" s="487"/>
      <c r="K791" s="492"/>
      <c r="L791" s="492"/>
      <c r="M791" s="492"/>
      <c r="N791" s="490" t="n">
        <v>13630</v>
      </c>
      <c r="O791" s="490" t="n">
        <v>10904</v>
      </c>
    </row>
    <row r="792" customFormat="false" ht="36.75" hidden="false" customHeight="true" outlineLevel="0" collapsed="false">
      <c r="B792" s="487" t="s">
        <v>2487</v>
      </c>
      <c r="C792" s="488" t="n">
        <v>189</v>
      </c>
      <c r="D792" s="489" t="n">
        <v>65937</v>
      </c>
      <c r="E792" s="487" t="s">
        <v>409</v>
      </c>
      <c r="F792" s="487" t="s">
        <v>466</v>
      </c>
      <c r="G792" s="487" t="s">
        <v>470</v>
      </c>
      <c r="H792" s="487" t="s">
        <v>410</v>
      </c>
      <c r="I792" s="487" t="s">
        <v>252</v>
      </c>
      <c r="J792" s="487" t="s">
        <v>1435</v>
      </c>
      <c r="K792" s="490" t="n">
        <v>28520</v>
      </c>
      <c r="L792" s="490" t="n">
        <v>14820</v>
      </c>
      <c r="M792" s="491" t="n">
        <v>16</v>
      </c>
      <c r="N792" s="490" t="n">
        <v>13700</v>
      </c>
      <c r="O792" s="490" t="n">
        <v>11508</v>
      </c>
    </row>
    <row r="793" customFormat="false" ht="12.75" hidden="true" customHeight="true" outlineLevel="1" collapsed="false">
      <c r="B793" s="487" t="s">
        <v>417</v>
      </c>
      <c r="C793" s="487"/>
      <c r="D793" s="487"/>
      <c r="E793" s="487"/>
      <c r="F793" s="487"/>
      <c r="G793" s="487"/>
      <c r="H793" s="487"/>
      <c r="I793" s="487"/>
      <c r="J793" s="487"/>
      <c r="K793" s="492"/>
      <c r="L793" s="492"/>
      <c r="M793" s="492"/>
      <c r="N793" s="490" t="n">
        <v>13700</v>
      </c>
      <c r="O793" s="490" t="n">
        <v>11508</v>
      </c>
    </row>
    <row r="794" customFormat="false" ht="36.75" hidden="false" customHeight="true" outlineLevel="0" collapsed="false">
      <c r="B794" s="487" t="s">
        <v>2489</v>
      </c>
      <c r="C794" s="488" t="n">
        <v>191</v>
      </c>
      <c r="D794" s="489" t="n">
        <v>65939</v>
      </c>
      <c r="E794" s="487" t="s">
        <v>409</v>
      </c>
      <c r="F794" s="487" t="s">
        <v>57</v>
      </c>
      <c r="G794" s="487" t="s">
        <v>58</v>
      </c>
      <c r="H794" s="487" t="s">
        <v>410</v>
      </c>
      <c r="I794" s="487" t="s">
        <v>252</v>
      </c>
      <c r="J794" s="487" t="s">
        <v>1435</v>
      </c>
      <c r="K794" s="490" t="n">
        <v>28870</v>
      </c>
      <c r="L794" s="490" t="n">
        <v>15420</v>
      </c>
      <c r="M794" s="491" t="n">
        <v>18</v>
      </c>
      <c r="N794" s="490" t="n">
        <v>13450</v>
      </c>
      <c r="O794" s="490" t="n">
        <v>11029</v>
      </c>
    </row>
    <row r="795" customFormat="false" ht="12.75" hidden="true" customHeight="true" outlineLevel="1" collapsed="false">
      <c r="B795" s="487" t="s">
        <v>417</v>
      </c>
      <c r="C795" s="487"/>
      <c r="D795" s="487"/>
      <c r="E795" s="487"/>
      <c r="F795" s="487"/>
      <c r="G795" s="487"/>
      <c r="H795" s="487"/>
      <c r="I795" s="487"/>
      <c r="J795" s="487"/>
      <c r="K795" s="492"/>
      <c r="L795" s="492"/>
      <c r="M795" s="492"/>
      <c r="N795" s="490" t="n">
        <v>13450</v>
      </c>
      <c r="O795" s="490" t="n">
        <v>11029</v>
      </c>
    </row>
    <row r="796" customFormat="false" ht="36.75" hidden="false" customHeight="true" outlineLevel="0" collapsed="false">
      <c r="B796" s="487" t="s">
        <v>2490</v>
      </c>
      <c r="C796" s="488" t="n">
        <v>192</v>
      </c>
      <c r="D796" s="489" t="n">
        <v>65941</v>
      </c>
      <c r="E796" s="487" t="s">
        <v>409</v>
      </c>
      <c r="F796" s="487" t="s">
        <v>457</v>
      </c>
      <c r="G796" s="487" t="s">
        <v>366</v>
      </c>
      <c r="H796" s="487" t="s">
        <v>410</v>
      </c>
      <c r="I796" s="487" t="s">
        <v>252</v>
      </c>
      <c r="J796" s="487" t="s">
        <v>1435</v>
      </c>
      <c r="K796" s="490" t="n">
        <v>28210</v>
      </c>
      <c r="L796" s="490" t="n">
        <v>14770</v>
      </c>
      <c r="M796" s="491" t="n">
        <v>18.5</v>
      </c>
      <c r="N796" s="490" t="n">
        <v>13440</v>
      </c>
      <c r="O796" s="490" t="n">
        <v>10953.6</v>
      </c>
    </row>
    <row r="797" customFormat="false" ht="12.75" hidden="true" customHeight="true" outlineLevel="1" collapsed="false">
      <c r="B797" s="487" t="s">
        <v>417</v>
      </c>
      <c r="C797" s="487"/>
      <c r="D797" s="487"/>
      <c r="E797" s="487"/>
      <c r="F797" s="487"/>
      <c r="G797" s="487"/>
      <c r="H797" s="487"/>
      <c r="I797" s="487"/>
      <c r="J797" s="487"/>
      <c r="K797" s="492"/>
      <c r="L797" s="492"/>
      <c r="M797" s="492"/>
      <c r="N797" s="490" t="n">
        <v>13440</v>
      </c>
      <c r="O797" s="490" t="n">
        <v>10953.6</v>
      </c>
    </row>
    <row r="798" customFormat="false" ht="36.75" hidden="false" customHeight="true" outlineLevel="0" collapsed="false">
      <c r="B798" s="487" t="s">
        <v>2523</v>
      </c>
      <c r="C798" s="487"/>
      <c r="D798" s="487" t="s">
        <v>780</v>
      </c>
      <c r="E798" s="487" t="s">
        <v>409</v>
      </c>
      <c r="F798" s="487" t="s">
        <v>777</v>
      </c>
      <c r="G798" s="487" t="s">
        <v>779</v>
      </c>
      <c r="H798" s="487" t="s">
        <v>410</v>
      </c>
      <c r="I798" s="487" t="s">
        <v>252</v>
      </c>
      <c r="J798" s="487" t="s">
        <v>1435</v>
      </c>
      <c r="K798" s="490" t="n">
        <v>32800</v>
      </c>
      <c r="L798" s="490" t="n">
        <v>14500</v>
      </c>
      <c r="M798" s="491" t="n">
        <v>6.5</v>
      </c>
      <c r="N798" s="490" t="n">
        <v>18300</v>
      </c>
      <c r="O798" s="490" t="n">
        <v>17110</v>
      </c>
    </row>
    <row r="799" customFormat="false" ht="12.75" hidden="true" customHeight="true" outlineLevel="1" collapsed="false">
      <c r="B799" s="487" t="s">
        <v>417</v>
      </c>
      <c r="C799" s="487"/>
      <c r="D799" s="487"/>
      <c r="E799" s="487"/>
      <c r="F799" s="487"/>
      <c r="G799" s="487"/>
      <c r="H799" s="487"/>
      <c r="I799" s="487"/>
      <c r="J799" s="487"/>
      <c r="K799" s="492"/>
      <c r="L799" s="492"/>
      <c r="M799" s="492"/>
      <c r="N799" s="490" t="n">
        <v>18300</v>
      </c>
      <c r="O799" s="490" t="n">
        <v>17110</v>
      </c>
    </row>
    <row r="800" customFormat="false" ht="36.75" hidden="false" customHeight="true" outlineLevel="0" collapsed="false">
      <c r="B800" s="487" t="s">
        <v>2520</v>
      </c>
      <c r="C800" s="488" t="n">
        <v>193</v>
      </c>
      <c r="D800" s="487" t="s">
        <v>769</v>
      </c>
      <c r="E800" s="487" t="s">
        <v>422</v>
      </c>
      <c r="F800" s="487" t="s">
        <v>677</v>
      </c>
      <c r="G800" s="487" t="s">
        <v>681</v>
      </c>
      <c r="H800" s="487" t="s">
        <v>628</v>
      </c>
      <c r="I800" s="487" t="s">
        <v>423</v>
      </c>
      <c r="J800" s="487" t="s">
        <v>1435</v>
      </c>
      <c r="K800" s="490" t="n">
        <v>30820</v>
      </c>
      <c r="L800" s="490" t="n">
        <v>16480</v>
      </c>
      <c r="M800" s="491" t="n">
        <v>31.8</v>
      </c>
      <c r="N800" s="490" t="n">
        <v>14340</v>
      </c>
      <c r="O800" s="490" t="n">
        <v>9785</v>
      </c>
    </row>
    <row r="801" customFormat="false" ht="12.75" hidden="true" customHeight="true" outlineLevel="1" collapsed="false">
      <c r="B801" s="487" t="s">
        <v>417</v>
      </c>
      <c r="C801" s="487"/>
      <c r="D801" s="487"/>
      <c r="E801" s="487"/>
      <c r="F801" s="487"/>
      <c r="G801" s="487"/>
      <c r="H801" s="487"/>
      <c r="I801" s="487"/>
      <c r="J801" s="487"/>
      <c r="K801" s="492"/>
      <c r="L801" s="492"/>
      <c r="M801" s="492"/>
      <c r="N801" s="490" t="n">
        <v>14340</v>
      </c>
      <c r="O801" s="490" t="n">
        <v>9785</v>
      </c>
    </row>
    <row r="802" customFormat="false" ht="36.75" hidden="false" customHeight="true" outlineLevel="0" collapsed="false">
      <c r="B802" s="487" t="s">
        <v>2512</v>
      </c>
      <c r="C802" s="488" t="n">
        <v>218</v>
      </c>
      <c r="D802" s="489" t="n">
        <v>39</v>
      </c>
      <c r="E802" s="487" t="s">
        <v>422</v>
      </c>
      <c r="F802" s="487" t="s">
        <v>376</v>
      </c>
      <c r="G802" s="487" t="s">
        <v>377</v>
      </c>
      <c r="H802" s="487" t="s">
        <v>628</v>
      </c>
      <c r="I802" s="487" t="s">
        <v>423</v>
      </c>
      <c r="J802" s="487" t="s">
        <v>1435</v>
      </c>
      <c r="K802" s="490" t="n">
        <v>14600</v>
      </c>
      <c r="L802" s="490" t="n">
        <v>9720</v>
      </c>
      <c r="M802" s="491" t="n">
        <v>18</v>
      </c>
      <c r="N802" s="490" t="n">
        <v>4880</v>
      </c>
      <c r="O802" s="490" t="n">
        <v>4001.6</v>
      </c>
    </row>
    <row r="803" customFormat="false" ht="12.75" hidden="true" customHeight="true" outlineLevel="1" collapsed="false">
      <c r="B803" s="487" t="s">
        <v>417</v>
      </c>
      <c r="C803" s="487"/>
      <c r="D803" s="487"/>
      <c r="E803" s="487"/>
      <c r="F803" s="487"/>
      <c r="G803" s="487"/>
      <c r="H803" s="487"/>
      <c r="I803" s="487"/>
      <c r="J803" s="487"/>
      <c r="K803" s="492"/>
      <c r="L803" s="492"/>
      <c r="M803" s="492"/>
      <c r="N803" s="490" t="n">
        <v>4880</v>
      </c>
      <c r="O803" s="490" t="n">
        <v>4001.6</v>
      </c>
    </row>
    <row r="804" customFormat="false" ht="48.75" hidden="false" customHeight="true" outlineLevel="0" collapsed="false">
      <c r="B804" s="487" t="s">
        <v>2491</v>
      </c>
      <c r="C804" s="488" t="n">
        <v>194</v>
      </c>
      <c r="D804" s="489" t="n">
        <v>65930</v>
      </c>
      <c r="E804" s="487" t="s">
        <v>409</v>
      </c>
      <c r="F804" s="487" t="s">
        <v>519</v>
      </c>
      <c r="G804" s="487" t="s">
        <v>523</v>
      </c>
      <c r="H804" s="487" t="s">
        <v>410</v>
      </c>
      <c r="I804" s="487" t="s">
        <v>252</v>
      </c>
      <c r="J804" s="487" t="s">
        <v>1435</v>
      </c>
      <c r="K804" s="490" t="n">
        <v>29090</v>
      </c>
      <c r="L804" s="490" t="n">
        <v>15650</v>
      </c>
      <c r="M804" s="491" t="n">
        <v>22</v>
      </c>
      <c r="N804" s="490" t="n">
        <v>13440</v>
      </c>
      <c r="O804" s="490" t="n">
        <v>10483.2</v>
      </c>
    </row>
    <row r="805" customFormat="false" ht="12.75" hidden="true" customHeight="true" outlineLevel="1" collapsed="false">
      <c r="B805" s="487" t="s">
        <v>417</v>
      </c>
      <c r="C805" s="487"/>
      <c r="D805" s="487"/>
      <c r="E805" s="487"/>
      <c r="F805" s="487"/>
      <c r="G805" s="487"/>
      <c r="H805" s="487"/>
      <c r="I805" s="487"/>
      <c r="J805" s="487"/>
      <c r="K805" s="492"/>
      <c r="L805" s="492"/>
      <c r="M805" s="492"/>
      <c r="N805" s="490" t="n">
        <v>13440</v>
      </c>
      <c r="O805" s="490" t="n">
        <v>10483.2</v>
      </c>
    </row>
    <row r="806" customFormat="false" ht="36.75" hidden="false" customHeight="true" outlineLevel="0" collapsed="false">
      <c r="B806" s="487" t="s">
        <v>2492</v>
      </c>
      <c r="C806" s="488" t="n">
        <v>195</v>
      </c>
      <c r="D806" s="489" t="n">
        <v>65942</v>
      </c>
      <c r="E806" s="487" t="s">
        <v>409</v>
      </c>
      <c r="F806" s="487" t="s">
        <v>55</v>
      </c>
      <c r="G806" s="487" t="s">
        <v>56</v>
      </c>
      <c r="H806" s="487" t="s">
        <v>410</v>
      </c>
      <c r="I806" s="487" t="s">
        <v>252</v>
      </c>
      <c r="J806" s="487" t="s">
        <v>1435</v>
      </c>
      <c r="K806" s="490" t="n">
        <v>28130</v>
      </c>
      <c r="L806" s="490" t="n">
        <v>14690</v>
      </c>
      <c r="M806" s="491" t="n">
        <v>15.5</v>
      </c>
      <c r="N806" s="490" t="n">
        <v>13440</v>
      </c>
      <c r="O806" s="490" t="n">
        <v>11356.8</v>
      </c>
    </row>
    <row r="807" customFormat="false" ht="12.75" hidden="true" customHeight="true" outlineLevel="1" collapsed="false">
      <c r="B807" s="487" t="s">
        <v>417</v>
      </c>
      <c r="C807" s="487"/>
      <c r="D807" s="487"/>
      <c r="E807" s="487"/>
      <c r="F807" s="487"/>
      <c r="G807" s="487"/>
      <c r="H807" s="487"/>
      <c r="I807" s="487"/>
      <c r="J807" s="487"/>
      <c r="K807" s="492"/>
      <c r="L807" s="492"/>
      <c r="M807" s="492"/>
      <c r="N807" s="490" t="n">
        <v>13440</v>
      </c>
      <c r="O807" s="490" t="n">
        <v>11356.8</v>
      </c>
    </row>
    <row r="808" customFormat="false" ht="36.75" hidden="false" customHeight="true" outlineLevel="0" collapsed="false">
      <c r="B808" s="487" t="s">
        <v>2493</v>
      </c>
      <c r="C808" s="488" t="n">
        <v>196</v>
      </c>
      <c r="D808" s="489" t="n">
        <v>65943</v>
      </c>
      <c r="E808" s="487" t="s">
        <v>409</v>
      </c>
      <c r="F808" s="487" t="s">
        <v>547</v>
      </c>
      <c r="G808" s="487" t="s">
        <v>551</v>
      </c>
      <c r="H808" s="487" t="s">
        <v>410</v>
      </c>
      <c r="I808" s="487" t="s">
        <v>252</v>
      </c>
      <c r="J808" s="487" t="s">
        <v>1435</v>
      </c>
      <c r="K808" s="490" t="n">
        <v>28070</v>
      </c>
      <c r="L808" s="490" t="n">
        <v>14680</v>
      </c>
      <c r="M808" s="491" t="n">
        <v>20.5</v>
      </c>
      <c r="N808" s="490" t="n">
        <v>13390</v>
      </c>
      <c r="O808" s="490" t="n">
        <v>10645</v>
      </c>
    </row>
    <row r="809" customFormat="false" ht="12.75" hidden="true" customHeight="true" outlineLevel="1" collapsed="false">
      <c r="B809" s="487" t="s">
        <v>417</v>
      </c>
      <c r="C809" s="487"/>
      <c r="D809" s="487"/>
      <c r="E809" s="487"/>
      <c r="F809" s="487"/>
      <c r="G809" s="487"/>
      <c r="H809" s="487"/>
      <c r="I809" s="487"/>
      <c r="J809" s="487"/>
      <c r="K809" s="492"/>
      <c r="L809" s="492"/>
      <c r="M809" s="492"/>
      <c r="N809" s="490" t="n">
        <v>13390</v>
      </c>
      <c r="O809" s="490" t="n">
        <v>10645</v>
      </c>
    </row>
    <row r="810" customFormat="false" ht="36.75" hidden="false" customHeight="true" outlineLevel="0" collapsed="false">
      <c r="B810" s="487" t="s">
        <v>2494</v>
      </c>
      <c r="C810" s="488" t="n">
        <v>197</v>
      </c>
      <c r="D810" s="489" t="n">
        <v>34</v>
      </c>
      <c r="E810" s="487" t="s">
        <v>422</v>
      </c>
      <c r="F810" s="487" t="s">
        <v>411</v>
      </c>
      <c r="G810" s="487" t="s">
        <v>381</v>
      </c>
      <c r="H810" s="487" t="s">
        <v>628</v>
      </c>
      <c r="I810" s="487" t="s">
        <v>423</v>
      </c>
      <c r="J810" s="487" t="s">
        <v>1435</v>
      </c>
      <c r="K810" s="490" t="n">
        <v>16470</v>
      </c>
      <c r="L810" s="490" t="n">
        <v>9450</v>
      </c>
      <c r="M810" s="491" t="n">
        <v>21</v>
      </c>
      <c r="N810" s="490" t="n">
        <v>7020</v>
      </c>
      <c r="O810" s="490" t="n">
        <v>5545.8</v>
      </c>
    </row>
    <row r="811" customFormat="false" ht="12.75" hidden="true" customHeight="true" outlineLevel="1" collapsed="false">
      <c r="B811" s="487" t="s">
        <v>417</v>
      </c>
      <c r="C811" s="487"/>
      <c r="D811" s="487"/>
      <c r="E811" s="487"/>
      <c r="F811" s="487"/>
      <c r="G811" s="487"/>
      <c r="H811" s="487"/>
      <c r="I811" s="487"/>
      <c r="J811" s="487"/>
      <c r="K811" s="492"/>
      <c r="L811" s="492"/>
      <c r="M811" s="492"/>
      <c r="N811" s="490" t="n">
        <v>7020</v>
      </c>
      <c r="O811" s="490" t="n">
        <v>5545.8</v>
      </c>
    </row>
    <row r="812" customFormat="false" ht="36.75" hidden="false" customHeight="true" outlineLevel="0" collapsed="false">
      <c r="B812" s="487" t="s">
        <v>2495</v>
      </c>
      <c r="C812" s="488" t="n">
        <v>198</v>
      </c>
      <c r="D812" s="489" t="n">
        <v>65947</v>
      </c>
      <c r="E812" s="487" t="s">
        <v>409</v>
      </c>
      <c r="F812" s="487" t="s">
        <v>553</v>
      </c>
      <c r="G812" s="487" t="s">
        <v>557</v>
      </c>
      <c r="H812" s="487" t="s">
        <v>410</v>
      </c>
      <c r="I812" s="487" t="s">
        <v>252</v>
      </c>
      <c r="J812" s="487" t="s">
        <v>1435</v>
      </c>
      <c r="K812" s="490" t="n">
        <v>28240</v>
      </c>
      <c r="L812" s="490" t="n">
        <v>14870</v>
      </c>
      <c r="M812" s="491" t="n">
        <v>17.5</v>
      </c>
      <c r="N812" s="490" t="n">
        <v>13370</v>
      </c>
      <c r="O812" s="490" t="n">
        <v>11030.2</v>
      </c>
    </row>
    <row r="813" customFormat="false" ht="12.75" hidden="true" customHeight="true" outlineLevel="1" collapsed="false">
      <c r="B813" s="487" t="s">
        <v>417</v>
      </c>
      <c r="C813" s="487"/>
      <c r="D813" s="487"/>
      <c r="E813" s="487"/>
      <c r="F813" s="487"/>
      <c r="G813" s="487"/>
      <c r="H813" s="487"/>
      <c r="I813" s="487"/>
      <c r="J813" s="487"/>
      <c r="K813" s="492"/>
      <c r="L813" s="492"/>
      <c r="M813" s="492"/>
      <c r="N813" s="490" t="n">
        <v>13370</v>
      </c>
      <c r="O813" s="490" t="n">
        <v>11030.2</v>
      </c>
    </row>
    <row r="814" customFormat="false" ht="48.75" hidden="false" customHeight="true" outlineLevel="0" collapsed="false">
      <c r="B814" s="487" t="s">
        <v>2519</v>
      </c>
      <c r="C814" s="488" t="n">
        <v>200</v>
      </c>
      <c r="D814" s="487" t="s">
        <v>765</v>
      </c>
      <c r="E814" s="487" t="s">
        <v>761</v>
      </c>
      <c r="F814" s="487" t="s">
        <v>617</v>
      </c>
      <c r="G814" s="487" t="s">
        <v>621</v>
      </c>
      <c r="H814" s="487" t="s">
        <v>628</v>
      </c>
      <c r="I814" s="487" t="s">
        <v>423</v>
      </c>
      <c r="J814" s="487" t="s">
        <v>1435</v>
      </c>
      <c r="K814" s="490" t="n">
        <v>32100</v>
      </c>
      <c r="L814" s="490" t="n">
        <v>17620</v>
      </c>
      <c r="M814" s="491" t="n">
        <v>23.7</v>
      </c>
      <c r="N814" s="490" t="n">
        <v>14480</v>
      </c>
      <c r="O814" s="490" t="n">
        <v>11044.8</v>
      </c>
    </row>
    <row r="815" customFormat="false" ht="12.75" hidden="true" customHeight="true" outlineLevel="1" collapsed="false">
      <c r="B815" s="487" t="s">
        <v>417</v>
      </c>
      <c r="C815" s="487"/>
      <c r="D815" s="487"/>
      <c r="E815" s="487"/>
      <c r="F815" s="487"/>
      <c r="G815" s="487"/>
      <c r="H815" s="487"/>
      <c r="I815" s="487"/>
      <c r="J815" s="487"/>
      <c r="K815" s="492"/>
      <c r="L815" s="492"/>
      <c r="M815" s="492"/>
      <c r="N815" s="490" t="n">
        <v>14480</v>
      </c>
      <c r="O815" s="490" t="n">
        <v>11044.8</v>
      </c>
    </row>
    <row r="816" customFormat="false" ht="36.75" hidden="false" customHeight="true" outlineLevel="0" collapsed="false">
      <c r="B816" s="487" t="s">
        <v>2518</v>
      </c>
      <c r="C816" s="488" t="n">
        <v>204</v>
      </c>
      <c r="D816" s="487" t="s">
        <v>760</v>
      </c>
      <c r="E816" s="487" t="s">
        <v>422</v>
      </c>
      <c r="F816" s="487" t="s">
        <v>685</v>
      </c>
      <c r="G816" s="487" t="s">
        <v>689</v>
      </c>
      <c r="H816" s="487" t="s">
        <v>628</v>
      </c>
      <c r="I816" s="487" t="s">
        <v>423</v>
      </c>
      <c r="J816" s="487" t="s">
        <v>1435</v>
      </c>
      <c r="K816" s="490" t="n">
        <v>33490</v>
      </c>
      <c r="L816" s="490" t="n">
        <v>18770</v>
      </c>
      <c r="M816" s="491" t="n">
        <v>16.9</v>
      </c>
      <c r="N816" s="490" t="n">
        <v>14720</v>
      </c>
      <c r="O816" s="490" t="n">
        <v>12230.4</v>
      </c>
    </row>
    <row r="817" customFormat="false" ht="12.75" hidden="true" customHeight="true" outlineLevel="1" collapsed="false">
      <c r="B817" s="487" t="s">
        <v>417</v>
      </c>
      <c r="C817" s="487"/>
      <c r="D817" s="487"/>
      <c r="E817" s="487"/>
      <c r="F817" s="487"/>
      <c r="G817" s="487"/>
      <c r="H817" s="487"/>
      <c r="I817" s="487"/>
      <c r="J817" s="487"/>
      <c r="K817" s="492"/>
      <c r="L817" s="492"/>
      <c r="M817" s="492"/>
      <c r="N817" s="490" t="n">
        <v>14720</v>
      </c>
      <c r="O817" s="490" t="n">
        <v>12230.4</v>
      </c>
    </row>
    <row r="818" customFormat="false" ht="36.75" hidden="false" customHeight="true" outlineLevel="0" collapsed="false">
      <c r="B818" s="487" t="s">
        <v>2500</v>
      </c>
      <c r="C818" s="488" t="n">
        <v>201</v>
      </c>
      <c r="D818" s="489" t="n">
        <v>65950</v>
      </c>
      <c r="E818" s="487" t="s">
        <v>409</v>
      </c>
      <c r="F818" s="487" t="s">
        <v>542</v>
      </c>
      <c r="G818" s="487" t="s">
        <v>704</v>
      </c>
      <c r="H818" s="487" t="s">
        <v>410</v>
      </c>
      <c r="I818" s="487" t="s">
        <v>252</v>
      </c>
      <c r="J818" s="487" t="s">
        <v>1435</v>
      </c>
      <c r="K818" s="490" t="n">
        <v>27790</v>
      </c>
      <c r="L818" s="490" t="n">
        <v>14630</v>
      </c>
      <c r="M818" s="491" t="n">
        <v>12.5</v>
      </c>
      <c r="N818" s="490" t="n">
        <v>13160</v>
      </c>
      <c r="O818" s="490" t="n">
        <v>11515</v>
      </c>
    </row>
    <row r="819" customFormat="false" ht="12.75" hidden="true" customHeight="true" outlineLevel="1" collapsed="false">
      <c r="B819" s="487" t="s">
        <v>417</v>
      </c>
      <c r="C819" s="487"/>
      <c r="D819" s="487"/>
      <c r="E819" s="487"/>
      <c r="F819" s="487"/>
      <c r="G819" s="487"/>
      <c r="H819" s="487"/>
      <c r="I819" s="487"/>
      <c r="J819" s="487"/>
      <c r="K819" s="492"/>
      <c r="L819" s="492"/>
      <c r="M819" s="492"/>
      <c r="N819" s="490" t="n">
        <v>13160</v>
      </c>
      <c r="O819" s="490" t="n">
        <v>11515</v>
      </c>
    </row>
    <row r="820" customFormat="false" ht="36.75" hidden="false" customHeight="true" outlineLevel="0" collapsed="false">
      <c r="B820" s="487" t="s">
        <v>2501</v>
      </c>
      <c r="C820" s="488" t="n">
        <v>199</v>
      </c>
      <c r="D820" s="489" t="n">
        <v>65948</v>
      </c>
      <c r="E820" s="487" t="s">
        <v>409</v>
      </c>
      <c r="F820" s="487" t="s">
        <v>363</v>
      </c>
      <c r="G820" s="487" t="s">
        <v>364</v>
      </c>
      <c r="H820" s="487" t="s">
        <v>410</v>
      </c>
      <c r="I820" s="487" t="s">
        <v>252</v>
      </c>
      <c r="J820" s="487" t="s">
        <v>1435</v>
      </c>
      <c r="K820" s="490" t="n">
        <v>27800</v>
      </c>
      <c r="L820" s="490" t="n">
        <v>14550</v>
      </c>
      <c r="M820" s="491" t="n">
        <v>12.5</v>
      </c>
      <c r="N820" s="490" t="n">
        <v>13250</v>
      </c>
      <c r="O820" s="490" t="n">
        <v>11593.7</v>
      </c>
    </row>
    <row r="821" customFormat="false" ht="12.75" hidden="true" customHeight="true" outlineLevel="1" collapsed="false">
      <c r="B821" s="487" t="s">
        <v>417</v>
      </c>
      <c r="C821" s="487"/>
      <c r="D821" s="487"/>
      <c r="E821" s="487"/>
      <c r="F821" s="487"/>
      <c r="G821" s="487"/>
      <c r="H821" s="487"/>
      <c r="I821" s="487"/>
      <c r="J821" s="487"/>
      <c r="K821" s="492"/>
      <c r="L821" s="492"/>
      <c r="M821" s="492"/>
      <c r="N821" s="490" t="n">
        <v>13250</v>
      </c>
      <c r="O821" s="490" t="n">
        <v>11593.7</v>
      </c>
    </row>
    <row r="822" customFormat="false" ht="36.75" hidden="false" customHeight="true" outlineLevel="0" collapsed="false">
      <c r="B822" s="487" t="s">
        <v>2502</v>
      </c>
      <c r="C822" s="488" t="n">
        <v>202</v>
      </c>
      <c r="D822" s="489" t="n">
        <v>130776</v>
      </c>
      <c r="E822" s="487" t="s">
        <v>409</v>
      </c>
      <c r="F822" s="487" t="s">
        <v>537</v>
      </c>
      <c r="G822" s="487" t="s">
        <v>541</v>
      </c>
      <c r="H822" s="487" t="s">
        <v>410</v>
      </c>
      <c r="I822" s="487" t="s">
        <v>252</v>
      </c>
      <c r="J822" s="487" t="s">
        <v>1435</v>
      </c>
      <c r="K822" s="490" t="n">
        <v>28330</v>
      </c>
      <c r="L822" s="490" t="n">
        <v>15030</v>
      </c>
      <c r="M822" s="491" t="n">
        <v>11.2</v>
      </c>
      <c r="N822" s="490" t="n">
        <v>13300</v>
      </c>
      <c r="O822" s="490" t="n">
        <v>11810.4</v>
      </c>
    </row>
    <row r="823" customFormat="false" ht="12.75" hidden="true" customHeight="true" outlineLevel="1" collapsed="false">
      <c r="B823" s="487" t="s">
        <v>417</v>
      </c>
      <c r="C823" s="487"/>
      <c r="D823" s="487"/>
      <c r="E823" s="487"/>
      <c r="F823" s="487"/>
      <c r="G823" s="487"/>
      <c r="H823" s="487"/>
      <c r="I823" s="487"/>
      <c r="J823" s="487"/>
      <c r="K823" s="492"/>
      <c r="L823" s="492"/>
      <c r="M823" s="492"/>
      <c r="N823" s="490" t="n">
        <v>13300</v>
      </c>
      <c r="O823" s="490" t="n">
        <v>11810.4</v>
      </c>
    </row>
    <row r="824" customFormat="false" ht="36.75" hidden="false" customHeight="true" outlineLevel="0" collapsed="false">
      <c r="B824" s="487" t="s">
        <v>2503</v>
      </c>
      <c r="C824" s="488" t="n">
        <v>206</v>
      </c>
      <c r="D824" s="489" t="n">
        <v>130777</v>
      </c>
      <c r="E824" s="487" t="s">
        <v>409</v>
      </c>
      <c r="F824" s="487" t="s">
        <v>445</v>
      </c>
      <c r="G824" s="487" t="s">
        <v>449</v>
      </c>
      <c r="H824" s="487" t="s">
        <v>410</v>
      </c>
      <c r="I824" s="487" t="s">
        <v>252</v>
      </c>
      <c r="J824" s="487" t="s">
        <v>1435</v>
      </c>
      <c r="K824" s="490" t="n">
        <v>29200</v>
      </c>
      <c r="L824" s="490" t="n">
        <v>15700</v>
      </c>
      <c r="M824" s="491" t="n">
        <v>14.5</v>
      </c>
      <c r="N824" s="490" t="n">
        <v>13500</v>
      </c>
      <c r="O824" s="490" t="n">
        <v>11542.5</v>
      </c>
    </row>
    <row r="825" customFormat="false" ht="12.75" hidden="true" customHeight="true" outlineLevel="1" collapsed="false">
      <c r="B825" s="487" t="s">
        <v>417</v>
      </c>
      <c r="C825" s="487"/>
      <c r="D825" s="487"/>
      <c r="E825" s="487"/>
      <c r="F825" s="487"/>
      <c r="G825" s="487"/>
      <c r="H825" s="487"/>
      <c r="I825" s="487"/>
      <c r="J825" s="487"/>
      <c r="K825" s="492"/>
      <c r="L825" s="492"/>
      <c r="M825" s="492"/>
      <c r="N825" s="490" t="n">
        <v>13500</v>
      </c>
      <c r="O825" s="490" t="n">
        <v>11542.5</v>
      </c>
    </row>
    <row r="826" customFormat="false" ht="36.75" hidden="false" customHeight="true" outlineLevel="0" collapsed="false">
      <c r="B826" s="487" t="s">
        <v>2504</v>
      </c>
      <c r="C826" s="488" t="n">
        <v>208</v>
      </c>
      <c r="D826" s="489" t="n">
        <v>130778</v>
      </c>
      <c r="E826" s="487" t="s">
        <v>409</v>
      </c>
      <c r="F826" s="487" t="s">
        <v>451</v>
      </c>
      <c r="G826" s="487" t="s">
        <v>455</v>
      </c>
      <c r="H826" s="487" t="s">
        <v>410</v>
      </c>
      <c r="I826" s="487" t="s">
        <v>252</v>
      </c>
      <c r="J826" s="487" t="s">
        <v>1435</v>
      </c>
      <c r="K826" s="490" t="n">
        <v>28280</v>
      </c>
      <c r="L826" s="490" t="n">
        <v>15050</v>
      </c>
      <c r="M826" s="491" t="n">
        <v>12.5</v>
      </c>
      <c r="N826" s="490" t="n">
        <v>13230</v>
      </c>
      <c r="O826" s="490" t="n">
        <v>11576.2</v>
      </c>
    </row>
    <row r="827" customFormat="false" ht="12.75" hidden="true" customHeight="true" outlineLevel="1" collapsed="false">
      <c r="B827" s="487" t="s">
        <v>417</v>
      </c>
      <c r="C827" s="487"/>
      <c r="D827" s="487"/>
      <c r="E827" s="487"/>
      <c r="F827" s="487"/>
      <c r="G827" s="487"/>
      <c r="H827" s="487"/>
      <c r="I827" s="487"/>
      <c r="J827" s="487"/>
      <c r="K827" s="492"/>
      <c r="L827" s="492"/>
      <c r="M827" s="492"/>
      <c r="N827" s="490" t="n">
        <v>13230</v>
      </c>
      <c r="O827" s="490" t="n">
        <v>11576.2</v>
      </c>
    </row>
    <row r="828" customFormat="false" ht="36.75" hidden="false" customHeight="true" outlineLevel="0" collapsed="false">
      <c r="B828" s="487" t="s">
        <v>2505</v>
      </c>
      <c r="C828" s="488" t="n">
        <v>209</v>
      </c>
      <c r="D828" s="489" t="n">
        <v>130781</v>
      </c>
      <c r="E828" s="487" t="s">
        <v>409</v>
      </c>
      <c r="F828" s="487" t="s">
        <v>371</v>
      </c>
      <c r="G828" s="487" t="s">
        <v>372</v>
      </c>
      <c r="H828" s="487" t="s">
        <v>410</v>
      </c>
      <c r="I828" s="487" t="s">
        <v>584</v>
      </c>
      <c r="J828" s="487" t="s">
        <v>1435</v>
      </c>
      <c r="K828" s="490" t="n">
        <v>28130</v>
      </c>
      <c r="L828" s="490" t="n">
        <v>14940</v>
      </c>
      <c r="M828" s="491" t="n">
        <v>13.5</v>
      </c>
      <c r="N828" s="490" t="n">
        <v>13190</v>
      </c>
      <c r="O828" s="490" t="n">
        <v>11409.3</v>
      </c>
    </row>
    <row r="829" customFormat="false" ht="12.75" hidden="true" customHeight="true" outlineLevel="1" collapsed="false">
      <c r="B829" s="487" t="s">
        <v>417</v>
      </c>
      <c r="C829" s="487"/>
      <c r="D829" s="487"/>
      <c r="E829" s="487"/>
      <c r="F829" s="487"/>
      <c r="G829" s="487"/>
      <c r="H829" s="487"/>
      <c r="I829" s="487"/>
      <c r="J829" s="487"/>
      <c r="K829" s="492"/>
      <c r="L829" s="492"/>
      <c r="M829" s="492"/>
      <c r="N829" s="490" t="n">
        <v>13190</v>
      </c>
      <c r="O829" s="490" t="n">
        <v>11409.3</v>
      </c>
    </row>
    <row r="830" customFormat="false" ht="36.75" hidden="false" customHeight="true" outlineLevel="0" collapsed="false">
      <c r="B830" s="487" t="s">
        <v>2533</v>
      </c>
      <c r="C830" s="488" t="n">
        <v>213</v>
      </c>
      <c r="D830" s="489" t="n">
        <v>37</v>
      </c>
      <c r="E830" s="487" t="s">
        <v>422</v>
      </c>
      <c r="F830" s="487" t="s">
        <v>376</v>
      </c>
      <c r="G830" s="487" t="s">
        <v>377</v>
      </c>
      <c r="H830" s="487" t="s">
        <v>730</v>
      </c>
      <c r="I830" s="487" t="s">
        <v>47</v>
      </c>
      <c r="J830" s="487" t="s">
        <v>1435</v>
      </c>
      <c r="K830" s="492"/>
      <c r="L830" s="492"/>
      <c r="M830" s="492"/>
      <c r="N830" s="492"/>
      <c r="O830" s="492"/>
    </row>
    <row r="831" customFormat="false" ht="36.75" hidden="false" customHeight="true" outlineLevel="0" collapsed="false">
      <c r="B831" s="487" t="s">
        <v>2521</v>
      </c>
      <c r="C831" s="488" t="n">
        <v>214</v>
      </c>
      <c r="D831" s="487" t="s">
        <v>773</v>
      </c>
      <c r="E831" s="487" t="s">
        <v>761</v>
      </c>
      <c r="F831" s="487" t="s">
        <v>602</v>
      </c>
      <c r="G831" s="487" t="s">
        <v>606</v>
      </c>
      <c r="H831" s="487" t="s">
        <v>628</v>
      </c>
      <c r="I831" s="487" t="s">
        <v>423</v>
      </c>
      <c r="J831" s="487" t="s">
        <v>1435</v>
      </c>
      <c r="K831" s="490" t="n">
        <v>32190</v>
      </c>
      <c r="L831" s="490" t="n">
        <v>17740</v>
      </c>
      <c r="M831" s="491" t="n">
        <v>12</v>
      </c>
      <c r="N831" s="490" t="n">
        <v>14450</v>
      </c>
      <c r="O831" s="490" t="n">
        <v>12716</v>
      </c>
    </row>
    <row r="832" customFormat="false" ht="12.75" hidden="true" customHeight="true" outlineLevel="1" collapsed="false">
      <c r="B832" s="487" t="s">
        <v>417</v>
      </c>
      <c r="C832" s="487"/>
      <c r="D832" s="487"/>
      <c r="E832" s="487"/>
      <c r="F832" s="487"/>
      <c r="G832" s="487"/>
      <c r="H832" s="487"/>
      <c r="I832" s="487"/>
      <c r="J832" s="487"/>
      <c r="K832" s="492"/>
      <c r="L832" s="492"/>
      <c r="M832" s="492"/>
      <c r="N832" s="490" t="n">
        <v>14450</v>
      </c>
      <c r="O832" s="490" t="n">
        <v>12716</v>
      </c>
    </row>
    <row r="833" customFormat="false" ht="36.75" hidden="false" customHeight="true" outlineLevel="0" collapsed="false">
      <c r="B833" s="487" t="s">
        <v>2506</v>
      </c>
      <c r="C833" s="488" t="n">
        <v>210</v>
      </c>
      <c r="D833" s="489" t="n">
        <v>130782</v>
      </c>
      <c r="E833" s="487" t="s">
        <v>409</v>
      </c>
      <c r="F833" s="487" t="s">
        <v>365</v>
      </c>
      <c r="G833" s="487" t="s">
        <v>373</v>
      </c>
      <c r="H833" s="487" t="s">
        <v>410</v>
      </c>
      <c r="I833" s="487" t="s">
        <v>252</v>
      </c>
      <c r="J833" s="487" t="s">
        <v>1435</v>
      </c>
      <c r="K833" s="490" t="n">
        <v>34410</v>
      </c>
      <c r="L833" s="490" t="n">
        <v>18690</v>
      </c>
      <c r="M833" s="491" t="n">
        <v>12.5</v>
      </c>
      <c r="N833" s="490" t="n">
        <v>15720</v>
      </c>
      <c r="O833" s="490" t="n">
        <v>13755</v>
      </c>
    </row>
    <row r="834" customFormat="false" ht="12.75" hidden="true" customHeight="true" outlineLevel="1" collapsed="false">
      <c r="B834" s="487" t="s">
        <v>417</v>
      </c>
      <c r="C834" s="487"/>
      <c r="D834" s="487"/>
      <c r="E834" s="487"/>
      <c r="F834" s="487"/>
      <c r="G834" s="487"/>
      <c r="H834" s="487"/>
      <c r="I834" s="487"/>
      <c r="J834" s="487"/>
      <c r="K834" s="492"/>
      <c r="L834" s="492"/>
      <c r="M834" s="492"/>
      <c r="N834" s="490" t="n">
        <v>15720</v>
      </c>
      <c r="O834" s="490" t="n">
        <v>13755</v>
      </c>
    </row>
    <row r="835" customFormat="false" ht="36.75" hidden="false" customHeight="true" outlineLevel="0" collapsed="false">
      <c r="B835" s="487" t="s">
        <v>2507</v>
      </c>
      <c r="C835" s="488" t="n">
        <v>211</v>
      </c>
      <c r="D835" s="489" t="n">
        <v>130783</v>
      </c>
      <c r="E835" s="487" t="s">
        <v>409</v>
      </c>
      <c r="F835" s="487" t="s">
        <v>384</v>
      </c>
      <c r="G835" s="487" t="s">
        <v>385</v>
      </c>
      <c r="H835" s="487" t="s">
        <v>410</v>
      </c>
      <c r="I835" s="487" t="s">
        <v>252</v>
      </c>
      <c r="J835" s="487" t="s">
        <v>1435</v>
      </c>
      <c r="K835" s="490" t="n">
        <v>27680</v>
      </c>
      <c r="L835" s="490" t="n">
        <v>14390</v>
      </c>
      <c r="M835" s="491" t="n">
        <v>13.5</v>
      </c>
      <c r="N835" s="490" t="n">
        <v>13290</v>
      </c>
      <c r="O835" s="490" t="n">
        <v>11495.8</v>
      </c>
    </row>
    <row r="836" customFormat="false" ht="12.75" hidden="true" customHeight="true" outlineLevel="1" collapsed="false">
      <c r="B836" s="487" t="s">
        <v>417</v>
      </c>
      <c r="C836" s="487"/>
      <c r="D836" s="487"/>
      <c r="E836" s="487"/>
      <c r="F836" s="487"/>
      <c r="G836" s="487"/>
      <c r="H836" s="487"/>
      <c r="I836" s="487"/>
      <c r="J836" s="487"/>
      <c r="K836" s="492"/>
      <c r="L836" s="492"/>
      <c r="M836" s="492"/>
      <c r="N836" s="490" t="n">
        <v>13290</v>
      </c>
      <c r="O836" s="490" t="n">
        <v>11495.8</v>
      </c>
    </row>
    <row r="837" customFormat="false" ht="36.75" hidden="false" customHeight="true" outlineLevel="0" collapsed="false">
      <c r="B837" s="487" t="s">
        <v>2508</v>
      </c>
      <c r="C837" s="488" t="n">
        <v>213</v>
      </c>
      <c r="D837" s="489" t="n">
        <v>37</v>
      </c>
      <c r="E837" s="487" t="s">
        <v>422</v>
      </c>
      <c r="F837" s="487" t="s">
        <v>376</v>
      </c>
      <c r="G837" s="487" t="s">
        <v>377</v>
      </c>
      <c r="H837" s="487" t="s">
        <v>730</v>
      </c>
      <c r="I837" s="487" t="s">
        <v>47</v>
      </c>
      <c r="J837" s="487" t="s">
        <v>1435</v>
      </c>
      <c r="K837" s="490" t="n">
        <v>11950</v>
      </c>
      <c r="L837" s="490" t="n">
        <v>9730</v>
      </c>
      <c r="M837" s="491" t="n">
        <v>15.5</v>
      </c>
      <c r="N837" s="490" t="n">
        <v>2220</v>
      </c>
      <c r="O837" s="490" t="n">
        <v>1875.9</v>
      </c>
    </row>
    <row r="838" customFormat="false" ht="12.75" hidden="true" customHeight="true" outlineLevel="1" collapsed="false">
      <c r="B838" s="487" t="s">
        <v>417</v>
      </c>
      <c r="C838" s="487"/>
      <c r="D838" s="487"/>
      <c r="E838" s="487"/>
      <c r="F838" s="487"/>
      <c r="G838" s="487"/>
      <c r="H838" s="487"/>
      <c r="I838" s="487"/>
      <c r="J838" s="487"/>
      <c r="K838" s="492"/>
      <c r="L838" s="492"/>
      <c r="M838" s="492"/>
      <c r="N838" s="490" t="n">
        <v>2220</v>
      </c>
      <c r="O838" s="490" t="n">
        <v>1875.9</v>
      </c>
    </row>
    <row r="839" customFormat="false" ht="36.75" hidden="false" customHeight="true" outlineLevel="0" collapsed="false">
      <c r="B839" s="487" t="s">
        <v>2509</v>
      </c>
      <c r="C839" s="488" t="n">
        <v>212</v>
      </c>
      <c r="D839" s="489" t="n">
        <v>130784</v>
      </c>
      <c r="E839" s="487" t="s">
        <v>409</v>
      </c>
      <c r="F839" s="487" t="s">
        <v>361</v>
      </c>
      <c r="G839" s="487" t="s">
        <v>362</v>
      </c>
      <c r="H839" s="487" t="s">
        <v>410</v>
      </c>
      <c r="I839" s="487" t="s">
        <v>252</v>
      </c>
      <c r="J839" s="487" t="s">
        <v>1435</v>
      </c>
      <c r="K839" s="490" t="n">
        <v>28130</v>
      </c>
      <c r="L839" s="490" t="n">
        <v>14780</v>
      </c>
      <c r="M839" s="491" t="n">
        <v>10.5</v>
      </c>
      <c r="N839" s="490" t="n">
        <v>13350</v>
      </c>
      <c r="O839" s="490" t="n">
        <v>11948.2</v>
      </c>
    </row>
    <row r="840" customFormat="false" ht="12.75" hidden="true" customHeight="true" outlineLevel="1" collapsed="false">
      <c r="B840" s="487" t="s">
        <v>417</v>
      </c>
      <c r="C840" s="487"/>
      <c r="D840" s="487"/>
      <c r="E840" s="487"/>
      <c r="F840" s="487"/>
      <c r="G840" s="487"/>
      <c r="H840" s="487"/>
      <c r="I840" s="487"/>
      <c r="J840" s="487"/>
      <c r="K840" s="492"/>
      <c r="L840" s="492"/>
      <c r="M840" s="492"/>
      <c r="N840" s="490" t="n">
        <v>13350</v>
      </c>
      <c r="O840" s="490" t="n">
        <v>11948.2</v>
      </c>
    </row>
    <row r="841" customFormat="false" ht="36.75" hidden="false" customHeight="true" outlineLevel="0" collapsed="false">
      <c r="B841" s="487" t="s">
        <v>2510</v>
      </c>
      <c r="C841" s="488" t="n">
        <v>216</v>
      </c>
      <c r="D841" s="489" t="n">
        <v>130786</v>
      </c>
      <c r="E841" s="487" t="s">
        <v>409</v>
      </c>
      <c r="F841" s="487" t="s">
        <v>427</v>
      </c>
      <c r="G841" s="487" t="s">
        <v>431</v>
      </c>
      <c r="H841" s="487" t="s">
        <v>410</v>
      </c>
      <c r="I841" s="487" t="s">
        <v>252</v>
      </c>
      <c r="J841" s="487" t="s">
        <v>1435</v>
      </c>
      <c r="K841" s="490" t="n">
        <v>36430</v>
      </c>
      <c r="L841" s="490" t="n">
        <v>21070</v>
      </c>
      <c r="M841" s="491" t="n">
        <v>14</v>
      </c>
      <c r="N841" s="490" t="n">
        <v>15360</v>
      </c>
      <c r="O841" s="490" t="n">
        <v>13209.6</v>
      </c>
    </row>
    <row r="842" customFormat="false" ht="12.75" hidden="true" customHeight="true" outlineLevel="1" collapsed="false">
      <c r="B842" s="487" t="s">
        <v>417</v>
      </c>
      <c r="C842" s="487"/>
      <c r="D842" s="487"/>
      <c r="E842" s="487"/>
      <c r="F842" s="487"/>
      <c r="G842" s="487"/>
      <c r="H842" s="487"/>
      <c r="I842" s="487"/>
      <c r="J842" s="487"/>
      <c r="K842" s="492"/>
      <c r="L842" s="492"/>
      <c r="M842" s="492"/>
      <c r="N842" s="490" t="n">
        <v>15360</v>
      </c>
      <c r="O842" s="490" t="n">
        <v>13209.6</v>
      </c>
    </row>
    <row r="843" customFormat="false" ht="36.75" hidden="false" customHeight="true" outlineLevel="0" collapsed="false">
      <c r="B843" s="487" t="s">
        <v>2511</v>
      </c>
      <c r="C843" s="488" t="n">
        <v>217</v>
      </c>
      <c r="D843" s="489" t="n">
        <v>130787</v>
      </c>
      <c r="E843" s="487" t="s">
        <v>409</v>
      </c>
      <c r="F843" s="487" t="s">
        <v>433</v>
      </c>
      <c r="G843" s="487" t="s">
        <v>437</v>
      </c>
      <c r="H843" s="487" t="s">
        <v>410</v>
      </c>
      <c r="I843" s="487" t="s">
        <v>252</v>
      </c>
      <c r="J843" s="487" t="s">
        <v>1435</v>
      </c>
      <c r="K843" s="490" t="n">
        <v>28110</v>
      </c>
      <c r="L843" s="490" t="n">
        <v>14880</v>
      </c>
      <c r="M843" s="491" t="n">
        <v>8.5</v>
      </c>
      <c r="N843" s="490" t="n">
        <v>13230</v>
      </c>
      <c r="O843" s="490" t="n">
        <v>12105.4</v>
      </c>
    </row>
    <row r="844" customFormat="false" ht="12.75" hidden="true" customHeight="true" outlineLevel="1" collapsed="false">
      <c r="B844" s="487" t="s">
        <v>417</v>
      </c>
      <c r="C844" s="487"/>
      <c r="D844" s="487"/>
      <c r="E844" s="487"/>
      <c r="F844" s="487"/>
      <c r="G844" s="487"/>
      <c r="H844" s="487"/>
      <c r="I844" s="487"/>
      <c r="J844" s="487"/>
      <c r="K844" s="492"/>
      <c r="L844" s="492"/>
      <c r="M844" s="492"/>
      <c r="N844" s="490" t="n">
        <v>13230</v>
      </c>
      <c r="O844" s="490" t="n">
        <v>12105.4</v>
      </c>
    </row>
    <row r="845" customFormat="false" ht="36.75" hidden="false" customHeight="true" outlineLevel="0" collapsed="false">
      <c r="B845" s="487" t="s">
        <v>2527</v>
      </c>
      <c r="C845" s="487"/>
      <c r="D845" s="487" t="s">
        <v>794</v>
      </c>
      <c r="E845" s="487" t="s">
        <v>409</v>
      </c>
      <c r="F845" s="487" t="s">
        <v>792</v>
      </c>
      <c r="G845" s="487" t="s">
        <v>793</v>
      </c>
      <c r="H845" s="487" t="s">
        <v>410</v>
      </c>
      <c r="I845" s="487" t="s">
        <v>252</v>
      </c>
      <c r="J845" s="487" t="s">
        <v>1435</v>
      </c>
      <c r="K845" s="490" t="n">
        <v>33040</v>
      </c>
      <c r="L845" s="490" t="n">
        <v>17140</v>
      </c>
      <c r="M845" s="491" t="n">
        <v>14.8</v>
      </c>
      <c r="N845" s="490" t="n">
        <v>15900</v>
      </c>
      <c r="O845" s="490" t="n">
        <v>13550.6</v>
      </c>
    </row>
    <row r="846" customFormat="false" ht="12.75" hidden="true" customHeight="true" outlineLevel="1" collapsed="false">
      <c r="B846" s="487" t="s">
        <v>417</v>
      </c>
      <c r="C846" s="487"/>
      <c r="D846" s="487"/>
      <c r="E846" s="487"/>
      <c r="F846" s="487"/>
      <c r="G846" s="487"/>
      <c r="H846" s="487"/>
      <c r="I846" s="487"/>
      <c r="J846" s="487"/>
      <c r="K846" s="492"/>
      <c r="L846" s="492"/>
      <c r="M846" s="492"/>
      <c r="N846" s="490" t="n">
        <v>15900</v>
      </c>
      <c r="O846" s="490" t="n">
        <v>13550.6</v>
      </c>
    </row>
    <row r="847" customFormat="false" ht="36.75" hidden="false" customHeight="true" outlineLevel="0" collapsed="false">
      <c r="B847" s="487" t="s">
        <v>2528</v>
      </c>
      <c r="C847" s="487"/>
      <c r="D847" s="487" t="s">
        <v>797</v>
      </c>
      <c r="E847" s="487" t="s">
        <v>409</v>
      </c>
      <c r="F847" s="487" t="s">
        <v>795</v>
      </c>
      <c r="G847" s="487" t="s">
        <v>796</v>
      </c>
      <c r="H847" s="487" t="s">
        <v>410</v>
      </c>
      <c r="I847" s="487" t="s">
        <v>252</v>
      </c>
      <c r="J847" s="487" t="s">
        <v>1435</v>
      </c>
      <c r="K847" s="490" t="n">
        <v>34180</v>
      </c>
      <c r="L847" s="490" t="n">
        <v>18360</v>
      </c>
      <c r="M847" s="491" t="n">
        <v>13.5</v>
      </c>
      <c r="N847" s="490" t="n">
        <v>15820</v>
      </c>
      <c r="O847" s="490" t="n">
        <v>13692.1</v>
      </c>
    </row>
    <row r="848" customFormat="false" ht="12.75" hidden="true" customHeight="true" outlineLevel="1" collapsed="false">
      <c r="B848" s="487" t="s">
        <v>417</v>
      </c>
      <c r="C848" s="487"/>
      <c r="D848" s="487"/>
      <c r="E848" s="487"/>
      <c r="F848" s="487"/>
      <c r="G848" s="487"/>
      <c r="H848" s="487"/>
      <c r="I848" s="487"/>
      <c r="J848" s="487"/>
      <c r="K848" s="492"/>
      <c r="L848" s="492"/>
      <c r="M848" s="492"/>
      <c r="N848" s="490" t="n">
        <v>15820</v>
      </c>
      <c r="O848" s="490" t="n">
        <v>13692.1</v>
      </c>
    </row>
    <row r="849" customFormat="false" ht="36.75" hidden="false" customHeight="true" outlineLevel="0" collapsed="false">
      <c r="B849" s="487" t="s">
        <v>2529</v>
      </c>
      <c r="C849" s="487"/>
      <c r="D849" s="487" t="s">
        <v>798</v>
      </c>
      <c r="E849" s="487" t="s">
        <v>409</v>
      </c>
      <c r="F849" s="487" t="s">
        <v>792</v>
      </c>
      <c r="G849" s="487" t="s">
        <v>793</v>
      </c>
      <c r="H849" s="487" t="s">
        <v>410</v>
      </c>
      <c r="I849" s="487" t="s">
        <v>252</v>
      </c>
      <c r="J849" s="487" t="s">
        <v>1435</v>
      </c>
      <c r="K849" s="490" t="n">
        <v>32580</v>
      </c>
      <c r="L849" s="490" t="n">
        <v>17040</v>
      </c>
      <c r="M849" s="491" t="n">
        <v>12.7</v>
      </c>
      <c r="N849" s="490" t="n">
        <v>15540</v>
      </c>
      <c r="O849" s="490" t="n">
        <v>13560.5</v>
      </c>
    </row>
    <row r="850" customFormat="false" ht="12.75" hidden="true" customHeight="true" outlineLevel="1" collapsed="false">
      <c r="B850" s="487" t="s">
        <v>417</v>
      </c>
      <c r="C850" s="487"/>
      <c r="D850" s="487"/>
      <c r="E850" s="487"/>
      <c r="F850" s="487"/>
      <c r="G850" s="487"/>
      <c r="H850" s="487"/>
      <c r="I850" s="487"/>
      <c r="J850" s="487"/>
      <c r="K850" s="492"/>
      <c r="L850" s="492"/>
      <c r="M850" s="492"/>
      <c r="N850" s="490" t="n">
        <v>15540</v>
      </c>
      <c r="O850" s="490" t="n">
        <v>13560.5</v>
      </c>
    </row>
    <row r="851" customFormat="false" ht="36.75" hidden="false" customHeight="true" outlineLevel="0" collapsed="false">
      <c r="B851" s="487" t="s">
        <v>2530</v>
      </c>
      <c r="C851" s="487"/>
      <c r="D851" s="487" t="s">
        <v>801</v>
      </c>
      <c r="E851" s="487" t="s">
        <v>409</v>
      </c>
      <c r="F851" s="487" t="s">
        <v>799</v>
      </c>
      <c r="G851" s="487" t="s">
        <v>800</v>
      </c>
      <c r="H851" s="487" t="s">
        <v>410</v>
      </c>
      <c r="I851" s="487" t="s">
        <v>252</v>
      </c>
      <c r="J851" s="487" t="s">
        <v>1435</v>
      </c>
      <c r="K851" s="490" t="n">
        <v>32040</v>
      </c>
      <c r="L851" s="490" t="n">
        <v>16120</v>
      </c>
      <c r="M851" s="491" t="n">
        <v>14.4</v>
      </c>
      <c r="N851" s="490" t="n">
        <v>15920</v>
      </c>
      <c r="O851" s="490" t="n">
        <v>13632.4</v>
      </c>
    </row>
    <row r="852" customFormat="false" ht="12.75" hidden="true" customHeight="true" outlineLevel="1" collapsed="false">
      <c r="B852" s="487" t="s">
        <v>417</v>
      </c>
      <c r="C852" s="487"/>
      <c r="D852" s="487"/>
      <c r="E852" s="487"/>
      <c r="F852" s="487"/>
      <c r="G852" s="487"/>
      <c r="H852" s="487"/>
      <c r="I852" s="487"/>
      <c r="J852" s="487"/>
      <c r="K852" s="492"/>
      <c r="L852" s="492"/>
      <c r="M852" s="492"/>
      <c r="N852" s="490" t="n">
        <v>15920</v>
      </c>
      <c r="O852" s="490" t="n">
        <v>13632.4</v>
      </c>
    </row>
    <row r="853" customFormat="false" ht="36.75" hidden="false" customHeight="true" outlineLevel="0" collapsed="false">
      <c r="B853" s="487" t="s">
        <v>2546</v>
      </c>
      <c r="C853" s="488" t="n">
        <v>219</v>
      </c>
      <c r="D853" s="487" t="s">
        <v>848</v>
      </c>
      <c r="E853" s="487" t="s">
        <v>761</v>
      </c>
      <c r="F853" s="487" t="s">
        <v>610</v>
      </c>
      <c r="G853" s="487" t="s">
        <v>614</v>
      </c>
      <c r="H853" s="487" t="s">
        <v>628</v>
      </c>
      <c r="I853" s="487" t="s">
        <v>423</v>
      </c>
      <c r="J853" s="487" t="s">
        <v>1435</v>
      </c>
      <c r="K853" s="490" t="n">
        <v>31040</v>
      </c>
      <c r="L853" s="490" t="n">
        <v>17100</v>
      </c>
      <c r="M853" s="491" t="n">
        <v>25.3</v>
      </c>
      <c r="N853" s="490" t="n">
        <v>13940</v>
      </c>
      <c r="O853" s="490" t="n">
        <v>10413.2</v>
      </c>
    </row>
    <row r="854" customFormat="false" ht="12.75" hidden="true" customHeight="true" outlineLevel="1" collapsed="false">
      <c r="B854" s="487" t="s">
        <v>417</v>
      </c>
      <c r="C854" s="487"/>
      <c r="D854" s="487"/>
      <c r="E854" s="487"/>
      <c r="F854" s="487"/>
      <c r="G854" s="487"/>
      <c r="H854" s="487"/>
      <c r="I854" s="487"/>
      <c r="J854" s="487"/>
      <c r="K854" s="492"/>
      <c r="L854" s="492"/>
      <c r="M854" s="492"/>
      <c r="N854" s="490" t="n">
        <v>13940</v>
      </c>
      <c r="O854" s="490" t="n">
        <v>10413.2</v>
      </c>
    </row>
    <row r="855" customFormat="false" ht="36.75" hidden="false" customHeight="true" outlineLevel="0" collapsed="false">
      <c r="B855" s="487" t="s">
        <v>2513</v>
      </c>
      <c r="C855" s="488" t="n">
        <v>220</v>
      </c>
      <c r="D855" s="489" t="n">
        <v>40</v>
      </c>
      <c r="E855" s="487" t="s">
        <v>422</v>
      </c>
      <c r="F855" s="487" t="s">
        <v>376</v>
      </c>
      <c r="G855" s="487" t="s">
        <v>377</v>
      </c>
      <c r="H855" s="487" t="s">
        <v>628</v>
      </c>
      <c r="I855" s="487" t="s">
        <v>423</v>
      </c>
      <c r="J855" s="487" t="s">
        <v>1435</v>
      </c>
      <c r="K855" s="490" t="n">
        <v>14600</v>
      </c>
      <c r="L855" s="490" t="n">
        <v>9710</v>
      </c>
      <c r="M855" s="491" t="n">
        <v>17</v>
      </c>
      <c r="N855" s="490" t="n">
        <v>4890</v>
      </c>
      <c r="O855" s="490" t="n">
        <v>4058.7</v>
      </c>
    </row>
    <row r="856" customFormat="false" ht="12.75" hidden="true" customHeight="true" outlineLevel="1" collapsed="false">
      <c r="B856" s="487" t="s">
        <v>746</v>
      </c>
      <c r="C856" s="487"/>
      <c r="D856" s="487"/>
      <c r="E856" s="487"/>
      <c r="F856" s="487"/>
      <c r="G856" s="487"/>
      <c r="H856" s="487"/>
      <c r="I856" s="487"/>
      <c r="J856" s="487"/>
      <c r="K856" s="492"/>
      <c r="L856" s="492"/>
      <c r="M856" s="492"/>
      <c r="N856" s="490" t="n">
        <v>4890</v>
      </c>
      <c r="O856" s="490" t="n">
        <v>4058.7</v>
      </c>
    </row>
    <row r="857" customFormat="false" ht="36.75" hidden="false" customHeight="true" outlineLevel="0" collapsed="false">
      <c r="B857" s="487" t="s">
        <v>2514</v>
      </c>
      <c r="C857" s="488" t="n">
        <v>221</v>
      </c>
      <c r="D857" s="489" t="n">
        <v>130788</v>
      </c>
      <c r="E857" s="487" t="s">
        <v>409</v>
      </c>
      <c r="F857" s="487" t="s">
        <v>439</v>
      </c>
      <c r="G857" s="487" t="s">
        <v>443</v>
      </c>
      <c r="H857" s="487" t="s">
        <v>410</v>
      </c>
      <c r="I857" s="487" t="s">
        <v>252</v>
      </c>
      <c r="J857" s="487" t="s">
        <v>1435</v>
      </c>
      <c r="K857" s="490" t="n">
        <v>37550</v>
      </c>
      <c r="L857" s="490" t="n">
        <v>24020</v>
      </c>
      <c r="M857" s="491" t="n">
        <v>8.5</v>
      </c>
      <c r="N857" s="490" t="n">
        <v>13530</v>
      </c>
      <c r="O857" s="490" t="n">
        <v>12379.9</v>
      </c>
    </row>
    <row r="858" customFormat="false" ht="12.75" hidden="true" customHeight="true" outlineLevel="1" collapsed="false">
      <c r="B858" s="487" t="s">
        <v>417</v>
      </c>
      <c r="C858" s="487"/>
      <c r="D858" s="487"/>
      <c r="E858" s="487"/>
      <c r="F858" s="487"/>
      <c r="G858" s="487"/>
      <c r="H858" s="487"/>
      <c r="I858" s="487"/>
      <c r="J858" s="487"/>
      <c r="K858" s="492"/>
      <c r="L858" s="492"/>
      <c r="M858" s="492"/>
      <c r="N858" s="490" t="n">
        <v>13530</v>
      </c>
      <c r="O858" s="490" t="n">
        <v>12379.9</v>
      </c>
    </row>
    <row r="859" customFormat="false" ht="36.75" hidden="false" customHeight="true" outlineLevel="0" collapsed="false">
      <c r="B859" s="487" t="s">
        <v>2515</v>
      </c>
      <c r="C859" s="488" t="n">
        <v>222</v>
      </c>
      <c r="D859" s="489" t="n">
        <v>41</v>
      </c>
      <c r="E859" s="487" t="s">
        <v>422</v>
      </c>
      <c r="F859" s="487" t="s">
        <v>376</v>
      </c>
      <c r="G859" s="487" t="s">
        <v>377</v>
      </c>
      <c r="H859" s="487" t="s">
        <v>628</v>
      </c>
      <c r="I859" s="487" t="s">
        <v>423</v>
      </c>
      <c r="J859" s="487" t="s">
        <v>1435</v>
      </c>
      <c r="K859" s="490" t="n">
        <v>14640</v>
      </c>
      <c r="L859" s="490" t="n">
        <v>9700</v>
      </c>
      <c r="M859" s="491" t="n">
        <v>16</v>
      </c>
      <c r="N859" s="490" t="n">
        <v>4940</v>
      </c>
      <c r="O859" s="490" t="n">
        <v>4149.6</v>
      </c>
    </row>
    <row r="860" customFormat="false" ht="12.75" hidden="true" customHeight="true" outlineLevel="1" collapsed="false">
      <c r="B860" s="487" t="s">
        <v>746</v>
      </c>
      <c r="C860" s="487"/>
      <c r="D860" s="487"/>
      <c r="E860" s="487"/>
      <c r="F860" s="487"/>
      <c r="G860" s="487"/>
      <c r="H860" s="487"/>
      <c r="I860" s="487"/>
      <c r="J860" s="487"/>
      <c r="K860" s="492"/>
      <c r="L860" s="492"/>
      <c r="M860" s="492"/>
      <c r="N860" s="490" t="n">
        <v>4940</v>
      </c>
      <c r="O860" s="490" t="n">
        <v>4149.6</v>
      </c>
    </row>
    <row r="861" customFormat="false" ht="36.75" hidden="false" customHeight="true" outlineLevel="0" collapsed="false">
      <c r="B861" s="487" t="s">
        <v>2516</v>
      </c>
      <c r="C861" s="488" t="n">
        <v>225</v>
      </c>
      <c r="D861" s="489" t="n">
        <v>42</v>
      </c>
      <c r="E861" s="487" t="s">
        <v>422</v>
      </c>
      <c r="F861" s="487" t="s">
        <v>376</v>
      </c>
      <c r="G861" s="487" t="s">
        <v>377</v>
      </c>
      <c r="H861" s="487" t="s">
        <v>628</v>
      </c>
      <c r="I861" s="487" t="s">
        <v>423</v>
      </c>
      <c r="J861" s="487" t="s">
        <v>1435</v>
      </c>
      <c r="K861" s="490" t="n">
        <v>14670</v>
      </c>
      <c r="L861" s="490" t="n">
        <v>9690</v>
      </c>
      <c r="M861" s="491" t="n">
        <v>14</v>
      </c>
      <c r="N861" s="490" t="n">
        <v>4980</v>
      </c>
      <c r="O861" s="490" t="n">
        <v>4282.8</v>
      </c>
    </row>
    <row r="862" customFormat="false" ht="12.75" hidden="true" customHeight="true" outlineLevel="1" collapsed="false">
      <c r="B862" s="487" t="s">
        <v>417</v>
      </c>
      <c r="C862" s="487"/>
      <c r="D862" s="487"/>
      <c r="E862" s="487"/>
      <c r="F862" s="487"/>
      <c r="G862" s="487"/>
      <c r="H862" s="487"/>
      <c r="I862" s="487"/>
      <c r="J862" s="487"/>
      <c r="K862" s="492"/>
      <c r="L862" s="492"/>
      <c r="M862" s="492"/>
      <c r="N862" s="490" t="n">
        <v>4980</v>
      </c>
      <c r="O862" s="490" t="n">
        <v>4282.8</v>
      </c>
    </row>
    <row r="863" customFormat="false" ht="36.75" hidden="false" customHeight="true" outlineLevel="0" collapsed="false">
      <c r="B863" s="487" t="s">
        <v>2517</v>
      </c>
      <c r="C863" s="488" t="n">
        <v>223</v>
      </c>
      <c r="D863" s="489" t="n">
        <v>130790</v>
      </c>
      <c r="E863" s="487" t="s">
        <v>409</v>
      </c>
      <c r="F863" s="487" t="s">
        <v>57</v>
      </c>
      <c r="G863" s="487" t="s">
        <v>58</v>
      </c>
      <c r="H863" s="487" t="s">
        <v>410</v>
      </c>
      <c r="I863" s="487" t="s">
        <v>252</v>
      </c>
      <c r="J863" s="487" t="s">
        <v>1435</v>
      </c>
      <c r="K863" s="490" t="n">
        <v>28860</v>
      </c>
      <c r="L863" s="490" t="n">
        <v>15560</v>
      </c>
      <c r="M863" s="491" t="n">
        <v>11</v>
      </c>
      <c r="N863" s="490" t="n">
        <v>13300</v>
      </c>
      <c r="O863" s="490" t="n">
        <v>11837</v>
      </c>
    </row>
    <row r="864" customFormat="false" ht="12.75" hidden="true" customHeight="true" outlineLevel="1" collapsed="false">
      <c r="B864" s="487" t="s">
        <v>417</v>
      </c>
      <c r="C864" s="487"/>
      <c r="D864" s="487"/>
      <c r="E864" s="487"/>
      <c r="F864" s="487"/>
      <c r="G864" s="487"/>
      <c r="H864" s="487"/>
      <c r="I864" s="487"/>
      <c r="J864" s="487"/>
      <c r="K864" s="492"/>
      <c r="L864" s="492"/>
      <c r="M864" s="492"/>
      <c r="N864" s="490" t="n">
        <v>13300</v>
      </c>
      <c r="O864" s="490" t="n">
        <v>11837</v>
      </c>
    </row>
    <row r="865" customFormat="false" ht="48.75" hidden="false" customHeight="true" outlineLevel="0" collapsed="false">
      <c r="B865" s="487" t="s">
        <v>2549</v>
      </c>
      <c r="C865" s="488" t="n">
        <v>227</v>
      </c>
      <c r="D865" s="487" t="s">
        <v>860</v>
      </c>
      <c r="E865" s="487" t="s">
        <v>761</v>
      </c>
      <c r="F865" s="487" t="s">
        <v>617</v>
      </c>
      <c r="G865" s="487" t="s">
        <v>621</v>
      </c>
      <c r="H865" s="487" t="s">
        <v>730</v>
      </c>
      <c r="I865" s="487" t="s">
        <v>47</v>
      </c>
      <c r="J865" s="487" t="s">
        <v>1435</v>
      </c>
      <c r="K865" s="490" t="n">
        <v>31650</v>
      </c>
      <c r="L865" s="490" t="n">
        <v>17790</v>
      </c>
      <c r="M865" s="491" t="n">
        <v>17.4</v>
      </c>
      <c r="N865" s="490" t="n">
        <v>13860</v>
      </c>
      <c r="O865" s="490" t="n">
        <v>11448.4</v>
      </c>
    </row>
    <row r="866" customFormat="false" ht="12.75" hidden="true" customHeight="true" outlineLevel="1" collapsed="false">
      <c r="B866" s="487" t="s">
        <v>417</v>
      </c>
      <c r="C866" s="487"/>
      <c r="D866" s="487"/>
      <c r="E866" s="487"/>
      <c r="F866" s="487"/>
      <c r="G866" s="487"/>
      <c r="H866" s="487"/>
      <c r="I866" s="487"/>
      <c r="J866" s="487"/>
      <c r="K866" s="492"/>
      <c r="L866" s="492"/>
      <c r="M866" s="492"/>
      <c r="N866" s="490" t="n">
        <v>13860</v>
      </c>
      <c r="O866" s="490" t="n">
        <v>11448.4</v>
      </c>
    </row>
    <row r="867" customFormat="false" ht="36.75" hidden="false" customHeight="true" outlineLevel="0" collapsed="false">
      <c r="B867" s="487" t="s">
        <v>2548</v>
      </c>
      <c r="C867" s="488" t="n">
        <v>232</v>
      </c>
      <c r="D867" s="487" t="s">
        <v>856</v>
      </c>
      <c r="E867" s="487" t="s">
        <v>422</v>
      </c>
      <c r="F867" s="487" t="s">
        <v>685</v>
      </c>
      <c r="G867" s="487" t="s">
        <v>689</v>
      </c>
      <c r="H867" s="487" t="s">
        <v>730</v>
      </c>
      <c r="I867" s="487" t="s">
        <v>423</v>
      </c>
      <c r="J867" s="487" t="s">
        <v>1435</v>
      </c>
      <c r="K867" s="490" t="n">
        <v>33080</v>
      </c>
      <c r="L867" s="490" t="n">
        <v>18790</v>
      </c>
      <c r="M867" s="491" t="n">
        <v>10.9</v>
      </c>
      <c r="N867" s="490" t="n">
        <v>14290</v>
      </c>
      <c r="O867" s="490" t="n">
        <v>12725.4</v>
      </c>
    </row>
    <row r="868" customFormat="false" ht="12.75" hidden="true" customHeight="true" outlineLevel="1" collapsed="false">
      <c r="B868" s="487" t="s">
        <v>417</v>
      </c>
      <c r="C868" s="487"/>
      <c r="D868" s="487"/>
      <c r="E868" s="487"/>
      <c r="F868" s="487"/>
      <c r="G868" s="487"/>
      <c r="H868" s="487"/>
      <c r="I868" s="487"/>
      <c r="J868" s="487"/>
      <c r="K868" s="492"/>
      <c r="L868" s="492"/>
      <c r="M868" s="492"/>
      <c r="N868" s="490" t="n">
        <v>14290</v>
      </c>
      <c r="O868" s="490" t="n">
        <v>12725.4</v>
      </c>
    </row>
    <row r="869" customFormat="false" ht="36.75" hidden="false" customHeight="true" outlineLevel="0" collapsed="false">
      <c r="B869" s="487" t="s">
        <v>2522</v>
      </c>
      <c r="C869" s="488" t="n">
        <v>224</v>
      </c>
      <c r="D869" s="489" t="n">
        <v>130791</v>
      </c>
      <c r="E869" s="487" t="s">
        <v>409</v>
      </c>
      <c r="F869" s="487" t="s">
        <v>547</v>
      </c>
      <c r="G869" s="487" t="s">
        <v>551</v>
      </c>
      <c r="H869" s="487" t="s">
        <v>410</v>
      </c>
      <c r="I869" s="487" t="s">
        <v>252</v>
      </c>
      <c r="J869" s="487" t="s">
        <v>1435</v>
      </c>
      <c r="K869" s="490" t="n">
        <v>28060</v>
      </c>
      <c r="L869" s="490" t="n">
        <v>14730</v>
      </c>
      <c r="M869" s="491" t="n">
        <v>11.5</v>
      </c>
      <c r="N869" s="490" t="n">
        <v>13330</v>
      </c>
      <c r="O869" s="490" t="n">
        <v>11797</v>
      </c>
    </row>
    <row r="870" customFormat="false" ht="12.75" hidden="true" customHeight="true" outlineLevel="1" collapsed="false">
      <c r="B870" s="487" t="s">
        <v>417</v>
      </c>
      <c r="C870" s="487"/>
      <c r="D870" s="487"/>
      <c r="E870" s="487"/>
      <c r="F870" s="487"/>
      <c r="G870" s="487"/>
      <c r="H870" s="487"/>
      <c r="I870" s="487"/>
      <c r="J870" s="487"/>
      <c r="K870" s="492"/>
      <c r="L870" s="492"/>
      <c r="M870" s="492"/>
      <c r="N870" s="490" t="n">
        <v>13330</v>
      </c>
      <c r="O870" s="490" t="n">
        <v>11797</v>
      </c>
    </row>
    <row r="871" customFormat="false" ht="36.75" hidden="false" customHeight="true" outlineLevel="0" collapsed="false">
      <c r="B871" s="487" t="s">
        <v>2524</v>
      </c>
      <c r="C871" s="488" t="n">
        <v>226</v>
      </c>
      <c r="D871" s="489" t="n">
        <v>130792</v>
      </c>
      <c r="E871" s="487" t="s">
        <v>409</v>
      </c>
      <c r="F871" s="487" t="s">
        <v>553</v>
      </c>
      <c r="G871" s="487" t="s">
        <v>557</v>
      </c>
      <c r="H871" s="487" t="s">
        <v>781</v>
      </c>
      <c r="I871" s="487" t="s">
        <v>252</v>
      </c>
      <c r="J871" s="487" t="s">
        <v>1435</v>
      </c>
      <c r="K871" s="490" t="n">
        <v>29030</v>
      </c>
      <c r="L871" s="490" t="n">
        <v>22250</v>
      </c>
      <c r="M871" s="492"/>
      <c r="N871" s="490" t="n">
        <v>14170</v>
      </c>
      <c r="O871" s="490" t="n">
        <v>12728.9</v>
      </c>
    </row>
    <row r="872" customFormat="false" ht="12.75" hidden="true" customHeight="true" outlineLevel="1" collapsed="false">
      <c r="B872" s="487" t="s">
        <v>417</v>
      </c>
      <c r="C872" s="487"/>
      <c r="D872" s="487"/>
      <c r="E872" s="487"/>
      <c r="F872" s="487"/>
      <c r="G872" s="487"/>
      <c r="H872" s="487"/>
      <c r="I872" s="487"/>
      <c r="J872" s="487"/>
      <c r="K872" s="492"/>
      <c r="L872" s="492"/>
      <c r="M872" s="492"/>
      <c r="N872" s="490" t="n">
        <v>6780</v>
      </c>
      <c r="O872" s="490" t="n">
        <v>6780</v>
      </c>
    </row>
    <row r="873" customFormat="false" ht="12.75" hidden="true" customHeight="true" outlineLevel="1" collapsed="false">
      <c r="B873" s="487" t="s">
        <v>417</v>
      </c>
      <c r="C873" s="487"/>
      <c r="D873" s="487"/>
      <c r="E873" s="487"/>
      <c r="F873" s="487"/>
      <c r="G873" s="487"/>
      <c r="H873" s="487"/>
      <c r="I873" s="487"/>
      <c r="J873" s="487"/>
      <c r="K873" s="492"/>
      <c r="L873" s="492"/>
      <c r="M873" s="492"/>
      <c r="N873" s="490" t="n">
        <v>7390</v>
      </c>
      <c r="O873" s="490" t="n">
        <v>5948.9</v>
      </c>
    </row>
    <row r="874" customFormat="false" ht="36.75" hidden="false" customHeight="true" outlineLevel="0" collapsed="false">
      <c r="B874" s="487" t="s">
        <v>2525</v>
      </c>
      <c r="C874" s="488" t="n">
        <v>228</v>
      </c>
      <c r="D874" s="489" t="n">
        <v>130793</v>
      </c>
      <c r="E874" s="487" t="s">
        <v>409</v>
      </c>
      <c r="F874" s="487" t="s">
        <v>55</v>
      </c>
      <c r="G874" s="487" t="s">
        <v>56</v>
      </c>
      <c r="H874" s="487" t="s">
        <v>781</v>
      </c>
      <c r="I874" s="487" t="s">
        <v>252</v>
      </c>
      <c r="J874" s="487" t="s">
        <v>1435</v>
      </c>
      <c r="K874" s="490" t="n">
        <v>28060</v>
      </c>
      <c r="L874" s="490" t="n">
        <v>14580</v>
      </c>
      <c r="M874" s="491" t="n">
        <v>20.5</v>
      </c>
      <c r="N874" s="490" t="n">
        <v>13480</v>
      </c>
      <c r="O874" s="490" t="n">
        <v>10716.6</v>
      </c>
    </row>
    <row r="875" customFormat="false" ht="12.75" hidden="true" customHeight="true" outlineLevel="1" collapsed="false">
      <c r="B875" s="487" t="s">
        <v>417</v>
      </c>
      <c r="C875" s="487"/>
      <c r="D875" s="487"/>
      <c r="E875" s="487"/>
      <c r="F875" s="487"/>
      <c r="G875" s="487"/>
      <c r="H875" s="487"/>
      <c r="I875" s="487"/>
      <c r="J875" s="487"/>
      <c r="K875" s="492"/>
      <c r="L875" s="492"/>
      <c r="M875" s="492"/>
      <c r="N875" s="490" t="n">
        <v>13480</v>
      </c>
      <c r="O875" s="490" t="n">
        <v>10716.6</v>
      </c>
    </row>
    <row r="876" customFormat="false" ht="36.75" hidden="false" customHeight="true" outlineLevel="0" collapsed="false">
      <c r="B876" s="487" t="s">
        <v>2526</v>
      </c>
      <c r="C876" s="488" t="n">
        <v>230</v>
      </c>
      <c r="D876" s="489" t="n">
        <v>130794</v>
      </c>
      <c r="E876" s="487" t="s">
        <v>409</v>
      </c>
      <c r="F876" s="487" t="s">
        <v>457</v>
      </c>
      <c r="G876" s="487" t="s">
        <v>366</v>
      </c>
      <c r="H876" s="487" t="s">
        <v>781</v>
      </c>
      <c r="I876" s="487" t="s">
        <v>252</v>
      </c>
      <c r="J876" s="487" t="s">
        <v>1435</v>
      </c>
      <c r="K876" s="490" t="n">
        <v>28080</v>
      </c>
      <c r="L876" s="490" t="n">
        <v>14850</v>
      </c>
      <c r="M876" s="491" t="n">
        <v>22.5</v>
      </c>
      <c r="N876" s="490" t="n">
        <v>13230</v>
      </c>
      <c r="O876" s="490" t="n">
        <v>10253.2</v>
      </c>
    </row>
    <row r="877" customFormat="false" ht="12.75" hidden="true" customHeight="true" outlineLevel="1" collapsed="false">
      <c r="B877" s="487" t="s">
        <v>417</v>
      </c>
      <c r="C877" s="487"/>
      <c r="D877" s="487"/>
      <c r="E877" s="487"/>
      <c r="F877" s="487"/>
      <c r="G877" s="487"/>
      <c r="H877" s="487"/>
      <c r="I877" s="487"/>
      <c r="J877" s="487"/>
      <c r="K877" s="492"/>
      <c r="L877" s="492"/>
      <c r="M877" s="492"/>
      <c r="N877" s="490" t="n">
        <v>13230</v>
      </c>
      <c r="O877" s="490" t="n">
        <v>10253.2</v>
      </c>
    </row>
    <row r="878" customFormat="false" ht="36.75" hidden="false" customHeight="true" outlineLevel="0" collapsed="false">
      <c r="B878" s="487" t="s">
        <v>2531</v>
      </c>
      <c r="C878" s="488" t="n">
        <v>233</v>
      </c>
      <c r="D878" s="489" t="n">
        <v>45</v>
      </c>
      <c r="E878" s="487" t="s">
        <v>422</v>
      </c>
      <c r="F878" s="487" t="s">
        <v>411</v>
      </c>
      <c r="G878" s="487" t="s">
        <v>381</v>
      </c>
      <c r="H878" s="487" t="s">
        <v>730</v>
      </c>
      <c r="I878" s="487" t="s">
        <v>47</v>
      </c>
      <c r="J878" s="487" t="s">
        <v>1435</v>
      </c>
      <c r="K878" s="490" t="n">
        <v>14400</v>
      </c>
      <c r="L878" s="490" t="n">
        <v>9480</v>
      </c>
      <c r="M878" s="491" t="n">
        <v>17.5</v>
      </c>
      <c r="N878" s="490" t="n">
        <v>4920</v>
      </c>
      <c r="O878" s="490" t="n">
        <v>4059</v>
      </c>
    </row>
    <row r="879" customFormat="false" ht="12.75" hidden="true" customHeight="true" outlineLevel="1" collapsed="false">
      <c r="B879" s="487" t="s">
        <v>417</v>
      </c>
      <c r="C879" s="487"/>
      <c r="D879" s="487"/>
      <c r="E879" s="487"/>
      <c r="F879" s="487"/>
      <c r="G879" s="487"/>
      <c r="H879" s="487"/>
      <c r="I879" s="487"/>
      <c r="J879" s="487"/>
      <c r="K879" s="492"/>
      <c r="L879" s="492"/>
      <c r="M879" s="492"/>
      <c r="N879" s="490" t="n">
        <v>4920</v>
      </c>
      <c r="O879" s="490" t="n">
        <v>4059</v>
      </c>
    </row>
    <row r="880" customFormat="false" ht="36.75" hidden="false" customHeight="true" outlineLevel="0" collapsed="false">
      <c r="B880" s="487" t="s">
        <v>2532</v>
      </c>
      <c r="C880" s="488" t="n">
        <v>234</v>
      </c>
      <c r="D880" s="489" t="n">
        <v>130796</v>
      </c>
      <c r="E880" s="487" t="s">
        <v>409</v>
      </c>
      <c r="F880" s="487" t="s">
        <v>363</v>
      </c>
      <c r="G880" s="487" t="s">
        <v>364</v>
      </c>
      <c r="H880" s="487" t="s">
        <v>781</v>
      </c>
      <c r="I880" s="487" t="s">
        <v>252</v>
      </c>
      <c r="J880" s="487" t="s">
        <v>1435</v>
      </c>
      <c r="K880" s="490" t="n">
        <v>28060</v>
      </c>
      <c r="L880" s="490" t="n">
        <v>14540</v>
      </c>
      <c r="M880" s="491" t="n">
        <v>17.5</v>
      </c>
      <c r="N880" s="490" t="n">
        <v>13520</v>
      </c>
      <c r="O880" s="490" t="n">
        <v>11154</v>
      </c>
    </row>
    <row r="881" customFormat="false" ht="12.75" hidden="true" customHeight="true" outlineLevel="1" collapsed="false">
      <c r="B881" s="487" t="s">
        <v>417</v>
      </c>
      <c r="C881" s="487"/>
      <c r="D881" s="487"/>
      <c r="E881" s="487"/>
      <c r="F881" s="487"/>
      <c r="G881" s="487"/>
      <c r="H881" s="487"/>
      <c r="I881" s="487"/>
      <c r="J881" s="487"/>
      <c r="K881" s="492"/>
      <c r="L881" s="492"/>
      <c r="M881" s="492"/>
      <c r="N881" s="490" t="n">
        <v>13520</v>
      </c>
      <c r="O881" s="490" t="n">
        <v>11154</v>
      </c>
    </row>
    <row r="882" customFormat="false" ht="36.75" hidden="false" customHeight="true" outlineLevel="0" collapsed="false">
      <c r="B882" s="487" t="s">
        <v>2534</v>
      </c>
      <c r="C882" s="488" t="n">
        <v>235</v>
      </c>
      <c r="D882" s="489" t="n">
        <v>130797</v>
      </c>
      <c r="E882" s="487" t="s">
        <v>409</v>
      </c>
      <c r="F882" s="487" t="s">
        <v>537</v>
      </c>
      <c r="G882" s="487" t="s">
        <v>541</v>
      </c>
      <c r="H882" s="487" t="s">
        <v>781</v>
      </c>
      <c r="I882" s="487" t="s">
        <v>252</v>
      </c>
      <c r="J882" s="487" t="s">
        <v>1435</v>
      </c>
      <c r="K882" s="490" t="n">
        <v>28680</v>
      </c>
      <c r="L882" s="490" t="n">
        <v>15170</v>
      </c>
      <c r="M882" s="491" t="n">
        <v>19.5</v>
      </c>
      <c r="N882" s="490" t="n">
        <v>13510</v>
      </c>
      <c r="O882" s="490" t="n">
        <v>10875.5</v>
      </c>
    </row>
    <row r="883" customFormat="false" ht="12.75" hidden="true" customHeight="true" outlineLevel="1" collapsed="false">
      <c r="B883" s="487" t="s">
        <v>417</v>
      </c>
      <c r="C883" s="487"/>
      <c r="D883" s="487"/>
      <c r="E883" s="487"/>
      <c r="F883" s="487"/>
      <c r="G883" s="487"/>
      <c r="H883" s="487"/>
      <c r="I883" s="487"/>
      <c r="J883" s="487"/>
      <c r="K883" s="492"/>
      <c r="L883" s="492"/>
      <c r="M883" s="492"/>
      <c r="N883" s="490" t="n">
        <v>13510</v>
      </c>
      <c r="O883" s="490" t="n">
        <v>10875.5</v>
      </c>
    </row>
    <row r="884" customFormat="false" ht="36.75" hidden="false" customHeight="true" outlineLevel="0" collapsed="false">
      <c r="B884" s="487" t="s">
        <v>2535</v>
      </c>
      <c r="C884" s="488" t="n">
        <v>237</v>
      </c>
      <c r="D884" s="489" t="n">
        <v>130798</v>
      </c>
      <c r="E884" s="487" t="s">
        <v>409</v>
      </c>
      <c r="F884" s="487" t="s">
        <v>445</v>
      </c>
      <c r="G884" s="487" t="s">
        <v>449</v>
      </c>
      <c r="H884" s="487" t="s">
        <v>781</v>
      </c>
      <c r="I884" s="487" t="s">
        <v>252</v>
      </c>
      <c r="J884" s="487" t="s">
        <v>1435</v>
      </c>
      <c r="K884" s="490" t="n">
        <v>29330</v>
      </c>
      <c r="L884" s="490" t="n">
        <v>15640</v>
      </c>
      <c r="M884" s="491" t="n">
        <v>16.5</v>
      </c>
      <c r="N884" s="490" t="n">
        <v>13690</v>
      </c>
      <c r="O884" s="490" t="n">
        <v>11431.1</v>
      </c>
    </row>
    <row r="885" customFormat="false" ht="12.75" hidden="true" customHeight="true" outlineLevel="1" collapsed="false">
      <c r="B885" s="487" t="s">
        <v>417</v>
      </c>
      <c r="C885" s="487"/>
      <c r="D885" s="487"/>
      <c r="E885" s="487"/>
      <c r="F885" s="487"/>
      <c r="G885" s="487"/>
      <c r="H885" s="487"/>
      <c r="I885" s="487"/>
      <c r="J885" s="487"/>
      <c r="K885" s="492"/>
      <c r="L885" s="492"/>
      <c r="M885" s="492"/>
      <c r="N885" s="490" t="n">
        <v>13690</v>
      </c>
      <c r="O885" s="490" t="n">
        <v>11431.1</v>
      </c>
    </row>
    <row r="886" customFormat="false" ht="36.75" hidden="false" customHeight="true" outlineLevel="0" collapsed="false">
      <c r="B886" s="487" t="s">
        <v>2540</v>
      </c>
      <c r="C886" s="488" t="n">
        <v>241</v>
      </c>
      <c r="D886" s="489" t="n">
        <v>47</v>
      </c>
      <c r="E886" s="487" t="s">
        <v>422</v>
      </c>
      <c r="F886" s="487" t="s">
        <v>411</v>
      </c>
      <c r="G886" s="487" t="s">
        <v>381</v>
      </c>
      <c r="H886" s="487" t="s">
        <v>730</v>
      </c>
      <c r="I886" s="487" t="s">
        <v>47</v>
      </c>
      <c r="J886" s="487" t="s">
        <v>1435</v>
      </c>
      <c r="K886" s="490" t="n">
        <v>16370</v>
      </c>
      <c r="L886" s="490" t="n">
        <v>9470</v>
      </c>
      <c r="M886" s="491" t="n">
        <v>22.5</v>
      </c>
      <c r="N886" s="490" t="n">
        <v>6900</v>
      </c>
      <c r="O886" s="490" t="n">
        <v>5347.5</v>
      </c>
    </row>
    <row r="887" customFormat="false" ht="12.75" hidden="true" customHeight="true" outlineLevel="1" collapsed="false">
      <c r="B887" s="487" t="s">
        <v>417</v>
      </c>
      <c r="C887" s="487"/>
      <c r="D887" s="487"/>
      <c r="E887" s="487"/>
      <c r="F887" s="487"/>
      <c r="G887" s="487"/>
      <c r="H887" s="487"/>
      <c r="I887" s="487"/>
      <c r="J887" s="487"/>
      <c r="K887" s="492"/>
      <c r="L887" s="492"/>
      <c r="M887" s="492"/>
      <c r="N887" s="490" t="n">
        <v>6900</v>
      </c>
      <c r="O887" s="490" t="n">
        <v>5347.5</v>
      </c>
    </row>
    <row r="888" customFormat="false" ht="36.75" hidden="false" customHeight="true" outlineLevel="0" collapsed="false">
      <c r="B888" s="487" t="s">
        <v>2536</v>
      </c>
      <c r="C888" s="488" t="n">
        <v>238</v>
      </c>
      <c r="D888" s="489" t="n">
        <v>130799</v>
      </c>
      <c r="E888" s="487" t="s">
        <v>409</v>
      </c>
      <c r="F888" s="487" t="s">
        <v>451</v>
      </c>
      <c r="G888" s="487" t="s">
        <v>455</v>
      </c>
      <c r="H888" s="487" t="s">
        <v>781</v>
      </c>
      <c r="I888" s="487" t="s">
        <v>252</v>
      </c>
      <c r="J888" s="487" t="s">
        <v>1435</v>
      </c>
      <c r="K888" s="490" t="n">
        <v>28640</v>
      </c>
      <c r="L888" s="490" t="n">
        <v>14910</v>
      </c>
      <c r="M888" s="491" t="n">
        <v>20.5</v>
      </c>
      <c r="N888" s="490" t="n">
        <v>13730</v>
      </c>
      <c r="O888" s="490" t="n">
        <v>10915.3</v>
      </c>
    </row>
    <row r="889" customFormat="false" ht="12.75" hidden="true" customHeight="true" outlineLevel="1" collapsed="false">
      <c r="B889" s="487" t="s">
        <v>417</v>
      </c>
      <c r="C889" s="487"/>
      <c r="D889" s="487"/>
      <c r="E889" s="487"/>
      <c r="F889" s="487"/>
      <c r="G889" s="487"/>
      <c r="H889" s="487"/>
      <c r="I889" s="487"/>
      <c r="J889" s="487"/>
      <c r="K889" s="492"/>
      <c r="L889" s="492"/>
      <c r="M889" s="492"/>
      <c r="N889" s="490" t="n">
        <v>13730</v>
      </c>
      <c r="O889" s="490" t="n">
        <v>10915.3</v>
      </c>
    </row>
    <row r="890" customFormat="false" ht="36.75" hidden="false" customHeight="true" outlineLevel="0" collapsed="false">
      <c r="B890" s="487" t="s">
        <v>2537</v>
      </c>
      <c r="C890" s="488" t="n">
        <v>239</v>
      </c>
      <c r="D890" s="489" t="n">
        <v>130800</v>
      </c>
      <c r="E890" s="487" t="s">
        <v>409</v>
      </c>
      <c r="F890" s="487" t="s">
        <v>371</v>
      </c>
      <c r="G890" s="487" t="s">
        <v>372</v>
      </c>
      <c r="H890" s="487" t="s">
        <v>781</v>
      </c>
      <c r="I890" s="487" t="s">
        <v>252</v>
      </c>
      <c r="J890" s="487" t="s">
        <v>1435</v>
      </c>
      <c r="K890" s="490" t="n">
        <v>28760</v>
      </c>
      <c r="L890" s="490" t="n">
        <v>14940</v>
      </c>
      <c r="M890" s="491" t="n">
        <v>18.5</v>
      </c>
      <c r="N890" s="490" t="n">
        <v>13820</v>
      </c>
      <c r="O890" s="490" t="n">
        <v>11263.3</v>
      </c>
    </row>
    <row r="891" customFormat="false" ht="12.75" hidden="true" customHeight="true" outlineLevel="1" collapsed="false">
      <c r="B891" s="487" t="s">
        <v>417</v>
      </c>
      <c r="C891" s="487"/>
      <c r="D891" s="487"/>
      <c r="E891" s="487"/>
      <c r="F891" s="487"/>
      <c r="G891" s="487"/>
      <c r="H891" s="487"/>
      <c r="I891" s="487"/>
      <c r="J891" s="487"/>
      <c r="K891" s="492"/>
      <c r="L891" s="492"/>
      <c r="M891" s="492"/>
      <c r="N891" s="490" t="n">
        <v>13820</v>
      </c>
      <c r="O891" s="490" t="n">
        <v>11263.3</v>
      </c>
    </row>
    <row r="892" customFormat="false" ht="36.75" hidden="false" customHeight="true" outlineLevel="0" collapsed="false">
      <c r="B892" s="487" t="s">
        <v>2541</v>
      </c>
      <c r="C892" s="488" t="n">
        <v>244</v>
      </c>
      <c r="D892" s="489" t="n">
        <v>130753</v>
      </c>
      <c r="E892" s="487" t="s">
        <v>409</v>
      </c>
      <c r="F892" s="487" t="s">
        <v>361</v>
      </c>
      <c r="G892" s="487" t="s">
        <v>362</v>
      </c>
      <c r="H892" s="487" t="s">
        <v>781</v>
      </c>
      <c r="I892" s="487" t="s">
        <v>252</v>
      </c>
      <c r="J892" s="487" t="s">
        <v>1435</v>
      </c>
      <c r="K892" s="490" t="n">
        <v>28130</v>
      </c>
      <c r="L892" s="490" t="n">
        <v>14680</v>
      </c>
      <c r="M892" s="491" t="n">
        <v>15.5</v>
      </c>
      <c r="N892" s="490" t="n">
        <v>13450</v>
      </c>
      <c r="O892" s="490" t="n">
        <v>11365.2</v>
      </c>
    </row>
    <row r="893" customFormat="false" ht="12.75" hidden="true" customHeight="true" outlineLevel="1" collapsed="false">
      <c r="B893" s="487" t="s">
        <v>417</v>
      </c>
      <c r="C893" s="487"/>
      <c r="D893" s="487"/>
      <c r="E893" s="487"/>
      <c r="F893" s="487"/>
      <c r="G893" s="487"/>
      <c r="H893" s="487"/>
      <c r="I893" s="487"/>
      <c r="J893" s="487"/>
      <c r="K893" s="492"/>
      <c r="L893" s="492"/>
      <c r="M893" s="492"/>
      <c r="N893" s="490" t="n">
        <v>13450</v>
      </c>
      <c r="O893" s="490" t="n">
        <v>11365.2</v>
      </c>
    </row>
    <row r="894" customFormat="false" ht="36.75" hidden="false" customHeight="true" outlineLevel="0" collapsed="false">
      <c r="B894" s="487" t="s">
        <v>2542</v>
      </c>
      <c r="C894" s="488" t="n">
        <v>245</v>
      </c>
      <c r="D894" s="489" t="n">
        <v>130756</v>
      </c>
      <c r="E894" s="487" t="s">
        <v>409</v>
      </c>
      <c r="F894" s="487" t="s">
        <v>427</v>
      </c>
      <c r="G894" s="487" t="s">
        <v>431</v>
      </c>
      <c r="H894" s="487" t="s">
        <v>781</v>
      </c>
      <c r="I894" s="487" t="s">
        <v>252</v>
      </c>
      <c r="J894" s="487" t="s">
        <v>1435</v>
      </c>
      <c r="K894" s="490" t="n">
        <v>34520</v>
      </c>
      <c r="L894" s="490" t="n">
        <v>20910</v>
      </c>
      <c r="M894" s="491" t="n">
        <v>18.5</v>
      </c>
      <c r="N894" s="490" t="n">
        <v>13610</v>
      </c>
      <c r="O894" s="490" t="n">
        <v>11092.1</v>
      </c>
    </row>
    <row r="895" customFormat="false" ht="12.75" hidden="true" customHeight="true" outlineLevel="1" collapsed="false">
      <c r="B895" s="487" t="s">
        <v>417</v>
      </c>
      <c r="C895" s="487"/>
      <c r="D895" s="487"/>
      <c r="E895" s="487"/>
      <c r="F895" s="487"/>
      <c r="G895" s="487"/>
      <c r="H895" s="487"/>
      <c r="I895" s="487"/>
      <c r="J895" s="487"/>
      <c r="K895" s="492"/>
      <c r="L895" s="492"/>
      <c r="M895" s="492"/>
      <c r="N895" s="490" t="n">
        <v>13610</v>
      </c>
      <c r="O895" s="490" t="n">
        <v>11092.1</v>
      </c>
    </row>
    <row r="896" customFormat="false" ht="36.75" hidden="false" customHeight="true" outlineLevel="0" collapsed="false">
      <c r="B896" s="487" t="s">
        <v>2547</v>
      </c>
      <c r="C896" s="488" t="n">
        <v>215</v>
      </c>
      <c r="D896" s="487" t="s">
        <v>852</v>
      </c>
      <c r="E896" s="487" t="s">
        <v>422</v>
      </c>
      <c r="F896" s="487" t="s">
        <v>677</v>
      </c>
      <c r="G896" s="487" t="s">
        <v>681</v>
      </c>
      <c r="H896" s="487" t="s">
        <v>730</v>
      </c>
      <c r="I896" s="487" t="s">
        <v>47</v>
      </c>
      <c r="J896" s="487" t="s">
        <v>1435</v>
      </c>
      <c r="K896" s="490" t="n">
        <v>26090</v>
      </c>
      <c r="L896" s="490" t="n">
        <v>16540</v>
      </c>
      <c r="M896" s="491" t="n">
        <v>17</v>
      </c>
      <c r="N896" s="490" t="n">
        <v>9550</v>
      </c>
      <c r="O896" s="490" t="n">
        <v>7928.2</v>
      </c>
    </row>
    <row r="897" customFormat="false" ht="12.75" hidden="true" customHeight="true" outlineLevel="1" collapsed="false">
      <c r="B897" s="487" t="s">
        <v>417</v>
      </c>
      <c r="C897" s="487"/>
      <c r="D897" s="487"/>
      <c r="E897" s="487"/>
      <c r="F897" s="487"/>
      <c r="G897" s="487"/>
      <c r="H897" s="487"/>
      <c r="I897" s="487"/>
      <c r="J897" s="487"/>
      <c r="K897" s="492"/>
      <c r="L897" s="492"/>
      <c r="M897" s="492"/>
      <c r="N897" s="490" t="n">
        <v>9550</v>
      </c>
      <c r="O897" s="490" t="n">
        <v>7928.2</v>
      </c>
    </row>
    <row r="898" customFormat="false" ht="36.75" hidden="false" customHeight="true" outlineLevel="0" collapsed="false">
      <c r="B898" s="487" t="s">
        <v>2543</v>
      </c>
      <c r="C898" s="488" t="n">
        <v>246</v>
      </c>
      <c r="D898" s="489" t="n">
        <v>130755</v>
      </c>
      <c r="E898" s="487" t="s">
        <v>409</v>
      </c>
      <c r="F898" s="487" t="s">
        <v>433</v>
      </c>
      <c r="G898" s="487" t="s">
        <v>437</v>
      </c>
      <c r="H898" s="487" t="s">
        <v>781</v>
      </c>
      <c r="I898" s="487" t="s">
        <v>252</v>
      </c>
      <c r="J898" s="487" t="s">
        <v>1435</v>
      </c>
      <c r="K898" s="490" t="n">
        <v>28420</v>
      </c>
      <c r="L898" s="490" t="n">
        <v>14860</v>
      </c>
      <c r="M898" s="491" t="n">
        <v>15.5</v>
      </c>
      <c r="N898" s="490" t="n">
        <v>13560</v>
      </c>
      <c r="O898" s="490" t="n">
        <v>11458.2</v>
      </c>
    </row>
    <row r="899" customFormat="false" ht="12.75" hidden="true" customHeight="true" outlineLevel="1" collapsed="false">
      <c r="B899" s="487" t="s">
        <v>417</v>
      </c>
      <c r="C899" s="487"/>
      <c r="D899" s="487"/>
      <c r="E899" s="487"/>
      <c r="F899" s="487"/>
      <c r="G899" s="487"/>
      <c r="H899" s="487"/>
      <c r="I899" s="487"/>
      <c r="J899" s="487"/>
      <c r="K899" s="492"/>
      <c r="L899" s="492"/>
      <c r="M899" s="492"/>
      <c r="N899" s="490" t="n">
        <v>13560</v>
      </c>
      <c r="O899" s="490" t="n">
        <v>11458.2</v>
      </c>
    </row>
    <row r="900" customFormat="false" ht="36.75" hidden="false" customHeight="true" outlineLevel="0" collapsed="false">
      <c r="B900" s="487" t="s">
        <v>2538</v>
      </c>
      <c r="C900" s="488" t="n">
        <v>240</v>
      </c>
      <c r="D900" s="489" t="n">
        <v>130751</v>
      </c>
      <c r="E900" s="487" t="s">
        <v>409</v>
      </c>
      <c r="F900" s="487" t="s">
        <v>365</v>
      </c>
      <c r="G900" s="487" t="s">
        <v>373</v>
      </c>
      <c r="H900" s="487" t="s">
        <v>781</v>
      </c>
      <c r="I900" s="487" t="s">
        <v>252</v>
      </c>
      <c r="J900" s="487" t="s">
        <v>1435</v>
      </c>
      <c r="K900" s="490" t="n">
        <v>32460</v>
      </c>
      <c r="L900" s="490" t="n">
        <v>18700</v>
      </c>
      <c r="M900" s="491" t="n">
        <v>16.5</v>
      </c>
      <c r="N900" s="490" t="n">
        <v>13760</v>
      </c>
      <c r="O900" s="490" t="n">
        <v>11489.6</v>
      </c>
    </row>
    <row r="901" customFormat="false" ht="12.75" hidden="true" customHeight="true" outlineLevel="1" collapsed="false">
      <c r="B901" s="487" t="s">
        <v>417</v>
      </c>
      <c r="C901" s="487"/>
      <c r="D901" s="487"/>
      <c r="E901" s="487"/>
      <c r="F901" s="487"/>
      <c r="G901" s="487"/>
      <c r="H901" s="487"/>
      <c r="I901" s="487"/>
      <c r="J901" s="487"/>
      <c r="K901" s="492"/>
      <c r="L901" s="492"/>
      <c r="M901" s="492"/>
      <c r="N901" s="490" t="n">
        <v>13760</v>
      </c>
      <c r="O901" s="490" t="n">
        <v>11489.6</v>
      </c>
    </row>
    <row r="902" customFormat="false" ht="36.75" hidden="false" customHeight="true" outlineLevel="0" collapsed="false">
      <c r="B902" s="487" t="s">
        <v>2539</v>
      </c>
      <c r="C902" s="488" t="n">
        <v>242</v>
      </c>
      <c r="D902" s="489" t="n">
        <v>130752</v>
      </c>
      <c r="E902" s="487" t="s">
        <v>409</v>
      </c>
      <c r="F902" s="487" t="s">
        <v>384</v>
      </c>
      <c r="G902" s="487" t="s">
        <v>385</v>
      </c>
      <c r="H902" s="487" t="s">
        <v>781</v>
      </c>
      <c r="I902" s="487" t="s">
        <v>252</v>
      </c>
      <c r="J902" s="487" t="s">
        <v>1435</v>
      </c>
      <c r="K902" s="490" t="n">
        <v>28200</v>
      </c>
      <c r="L902" s="490" t="n">
        <v>14390</v>
      </c>
      <c r="M902" s="491" t="n">
        <v>17.5</v>
      </c>
      <c r="N902" s="490" t="n">
        <v>13810</v>
      </c>
      <c r="O902" s="490" t="n">
        <v>11393.2</v>
      </c>
    </row>
    <row r="903" customFormat="false" ht="12.75" hidden="true" customHeight="true" outlineLevel="1" collapsed="false">
      <c r="B903" s="487" t="s">
        <v>417</v>
      </c>
      <c r="C903" s="487"/>
      <c r="D903" s="487"/>
      <c r="E903" s="487"/>
      <c r="F903" s="487"/>
      <c r="G903" s="487"/>
      <c r="H903" s="487"/>
      <c r="I903" s="487"/>
      <c r="J903" s="487"/>
      <c r="K903" s="492"/>
      <c r="L903" s="492"/>
      <c r="M903" s="492"/>
      <c r="N903" s="490" t="n">
        <v>13810</v>
      </c>
      <c r="O903" s="490" t="n">
        <v>11393.2</v>
      </c>
    </row>
    <row r="904" customFormat="false" ht="36.75" hidden="false" customHeight="true" outlineLevel="0" collapsed="false">
      <c r="B904" s="487" t="s">
        <v>2544</v>
      </c>
      <c r="C904" s="488" t="n">
        <v>248</v>
      </c>
      <c r="D904" s="489" t="n">
        <v>130754</v>
      </c>
      <c r="E904" s="487" t="s">
        <v>409</v>
      </c>
      <c r="F904" s="487" t="s">
        <v>439</v>
      </c>
      <c r="G904" s="487" t="s">
        <v>443</v>
      </c>
      <c r="H904" s="487" t="s">
        <v>781</v>
      </c>
      <c r="I904" s="487" t="s">
        <v>252</v>
      </c>
      <c r="J904" s="487" t="s">
        <v>1435</v>
      </c>
      <c r="K904" s="490" t="n">
        <v>37580</v>
      </c>
      <c r="L904" s="490" t="n">
        <v>24010</v>
      </c>
      <c r="M904" s="491" t="n">
        <v>13.5</v>
      </c>
      <c r="N904" s="490" t="n">
        <v>13570</v>
      </c>
      <c r="O904" s="490" t="n">
        <v>11738</v>
      </c>
    </row>
    <row r="905" customFormat="false" ht="12.75" hidden="true" customHeight="true" outlineLevel="1" collapsed="false">
      <c r="B905" s="487" t="s">
        <v>417</v>
      </c>
      <c r="C905" s="487"/>
      <c r="D905" s="487"/>
      <c r="E905" s="487"/>
      <c r="F905" s="487"/>
      <c r="G905" s="487"/>
      <c r="H905" s="487"/>
      <c r="I905" s="487"/>
      <c r="J905" s="487"/>
      <c r="K905" s="492"/>
      <c r="L905" s="492"/>
      <c r="M905" s="492"/>
      <c r="N905" s="490" t="n">
        <v>13570</v>
      </c>
      <c r="O905" s="490" t="n">
        <v>11738</v>
      </c>
    </row>
    <row r="906" customFormat="false" ht="36.75" hidden="false" customHeight="true" outlineLevel="0" collapsed="false">
      <c r="B906" s="487" t="s">
        <v>2545</v>
      </c>
      <c r="C906" s="488" t="n">
        <v>250</v>
      </c>
      <c r="D906" s="489" t="n">
        <v>130757</v>
      </c>
      <c r="E906" s="487" t="s">
        <v>409</v>
      </c>
      <c r="F906" s="487" t="s">
        <v>359</v>
      </c>
      <c r="G906" s="487" t="s">
        <v>426</v>
      </c>
      <c r="H906" s="487" t="s">
        <v>841</v>
      </c>
      <c r="I906" s="487" t="s">
        <v>252</v>
      </c>
      <c r="J906" s="487" t="s">
        <v>1435</v>
      </c>
      <c r="K906" s="490" t="n">
        <v>27270</v>
      </c>
      <c r="L906" s="490" t="n">
        <v>13760</v>
      </c>
      <c r="M906" s="491" t="n">
        <v>13.5</v>
      </c>
      <c r="N906" s="490" t="n">
        <v>13510</v>
      </c>
      <c r="O906" s="490" t="n">
        <v>11686.1</v>
      </c>
    </row>
    <row r="907" customFormat="false" ht="12.75" hidden="true" customHeight="true" outlineLevel="1" collapsed="false">
      <c r="B907" s="487" t="s">
        <v>417</v>
      </c>
      <c r="C907" s="487"/>
      <c r="D907" s="487"/>
      <c r="E907" s="487"/>
      <c r="F907" s="487"/>
      <c r="G907" s="487"/>
      <c r="H907" s="487"/>
      <c r="I907" s="487"/>
      <c r="J907" s="487"/>
      <c r="K907" s="492"/>
      <c r="L907" s="492"/>
      <c r="M907" s="492"/>
      <c r="N907" s="490" t="n">
        <v>13510</v>
      </c>
      <c r="O907" s="490" t="n">
        <v>11686.1</v>
      </c>
    </row>
    <row r="908" customFormat="false" ht="36.75" hidden="false" customHeight="true" outlineLevel="0" collapsed="false">
      <c r="B908" s="487" t="s">
        <v>2550</v>
      </c>
      <c r="C908" s="488" t="n">
        <v>251</v>
      </c>
      <c r="D908" s="489" t="n">
        <v>130758</v>
      </c>
      <c r="E908" s="487" t="s">
        <v>409</v>
      </c>
      <c r="F908" s="487" t="s">
        <v>542</v>
      </c>
      <c r="G908" s="487" t="s">
        <v>704</v>
      </c>
      <c r="H908" s="487" t="s">
        <v>841</v>
      </c>
      <c r="I908" s="487" t="s">
        <v>252</v>
      </c>
      <c r="J908" s="487" t="s">
        <v>1435</v>
      </c>
      <c r="K908" s="490" t="n">
        <v>28040</v>
      </c>
      <c r="L908" s="490" t="n">
        <v>14590</v>
      </c>
      <c r="M908" s="491" t="n">
        <v>12.5</v>
      </c>
      <c r="N908" s="490" t="n">
        <v>13450</v>
      </c>
      <c r="O908" s="490" t="n">
        <v>11768.7</v>
      </c>
    </row>
    <row r="909" customFormat="false" ht="12.75" hidden="true" customHeight="true" outlineLevel="1" collapsed="false">
      <c r="B909" s="487" t="s">
        <v>417</v>
      </c>
      <c r="C909" s="487"/>
      <c r="D909" s="487"/>
      <c r="E909" s="487"/>
      <c r="F909" s="487"/>
      <c r="G909" s="487"/>
      <c r="H909" s="487"/>
      <c r="I909" s="487"/>
      <c r="J909" s="487"/>
      <c r="K909" s="492"/>
      <c r="L909" s="492"/>
      <c r="M909" s="492"/>
      <c r="N909" s="490" t="n">
        <v>13450</v>
      </c>
      <c r="O909" s="490" t="n">
        <v>11768.7</v>
      </c>
    </row>
    <row r="910" customFormat="false" ht="36.75" hidden="false" customHeight="true" outlineLevel="0" collapsed="false">
      <c r="B910" s="487" t="s">
        <v>2551</v>
      </c>
      <c r="C910" s="488" t="n">
        <v>252</v>
      </c>
      <c r="D910" s="489" t="n">
        <v>130759</v>
      </c>
      <c r="E910" s="487" t="s">
        <v>409</v>
      </c>
      <c r="F910" s="487" t="s">
        <v>547</v>
      </c>
      <c r="G910" s="487" t="s">
        <v>551</v>
      </c>
      <c r="H910" s="487" t="s">
        <v>841</v>
      </c>
      <c r="I910" s="487" t="s">
        <v>252</v>
      </c>
      <c r="J910" s="487" t="s">
        <v>1435</v>
      </c>
      <c r="K910" s="490" t="n">
        <v>28180</v>
      </c>
      <c r="L910" s="490" t="n">
        <v>14740</v>
      </c>
      <c r="M910" s="491" t="n">
        <v>15.5</v>
      </c>
      <c r="N910" s="490" t="n">
        <v>13440</v>
      </c>
      <c r="O910" s="490" t="n">
        <v>11356.8</v>
      </c>
    </row>
    <row r="911" customFormat="false" ht="12.75" hidden="true" customHeight="true" outlineLevel="1" collapsed="false">
      <c r="B911" s="487" t="s">
        <v>417</v>
      </c>
      <c r="C911" s="487"/>
      <c r="D911" s="487"/>
      <c r="E911" s="487"/>
      <c r="F911" s="487"/>
      <c r="G911" s="487"/>
      <c r="H911" s="487"/>
      <c r="I911" s="487"/>
      <c r="J911" s="487"/>
      <c r="K911" s="492"/>
      <c r="L911" s="492"/>
      <c r="M911" s="492"/>
      <c r="N911" s="490" t="n">
        <v>13440</v>
      </c>
      <c r="O911" s="490" t="n">
        <v>11356.8</v>
      </c>
    </row>
    <row r="912" customFormat="false" ht="36.75" hidden="false" customHeight="true" outlineLevel="0" collapsed="false">
      <c r="B912" s="487" t="s">
        <v>2552</v>
      </c>
      <c r="C912" s="488" t="n">
        <v>253</v>
      </c>
      <c r="D912" s="489" t="n">
        <v>130760</v>
      </c>
      <c r="E912" s="487" t="s">
        <v>409</v>
      </c>
      <c r="F912" s="487" t="s">
        <v>553</v>
      </c>
      <c r="G912" s="487" t="s">
        <v>557</v>
      </c>
      <c r="H912" s="487" t="s">
        <v>841</v>
      </c>
      <c r="I912" s="487" t="s">
        <v>252</v>
      </c>
      <c r="J912" s="487" t="s">
        <v>1435</v>
      </c>
      <c r="K912" s="490" t="n">
        <v>28240</v>
      </c>
      <c r="L912" s="490" t="n">
        <v>14820</v>
      </c>
      <c r="M912" s="491" t="n">
        <v>14.5</v>
      </c>
      <c r="N912" s="490" t="n">
        <v>13420</v>
      </c>
      <c r="O912" s="490" t="n">
        <v>11474.1</v>
      </c>
    </row>
    <row r="913" customFormat="false" ht="12.75" hidden="true" customHeight="true" outlineLevel="1" collapsed="false">
      <c r="B913" s="487" t="s">
        <v>417</v>
      </c>
      <c r="C913" s="487"/>
      <c r="D913" s="487"/>
      <c r="E913" s="487"/>
      <c r="F913" s="487"/>
      <c r="G913" s="487"/>
      <c r="H913" s="487"/>
      <c r="I913" s="487"/>
      <c r="J913" s="487"/>
      <c r="K913" s="492"/>
      <c r="L913" s="492"/>
      <c r="M913" s="492"/>
      <c r="N913" s="490" t="n">
        <v>13420</v>
      </c>
      <c r="O913" s="490" t="n">
        <v>11474.1</v>
      </c>
    </row>
    <row r="914" customFormat="false" ht="36.75" hidden="false" customHeight="true" outlineLevel="0" collapsed="false">
      <c r="B914" s="487" t="s">
        <v>2553</v>
      </c>
      <c r="C914" s="488" t="n">
        <v>258</v>
      </c>
      <c r="D914" s="489" t="n">
        <v>51</v>
      </c>
      <c r="E914" s="487" t="s">
        <v>422</v>
      </c>
      <c r="F914" s="487" t="s">
        <v>374</v>
      </c>
      <c r="G914" s="487" t="s">
        <v>375</v>
      </c>
      <c r="H914" s="487" t="s">
        <v>730</v>
      </c>
      <c r="I914" s="487" t="s">
        <v>47</v>
      </c>
      <c r="J914" s="487" t="s">
        <v>1435</v>
      </c>
      <c r="K914" s="490" t="n">
        <v>9090</v>
      </c>
      <c r="L914" s="490" t="n">
        <v>4600</v>
      </c>
      <c r="M914" s="491" t="n">
        <v>13</v>
      </c>
      <c r="N914" s="490" t="n">
        <v>4490</v>
      </c>
      <c r="O914" s="490" t="n">
        <v>3906.3</v>
      </c>
    </row>
    <row r="915" customFormat="false" ht="12.75" hidden="true" customHeight="true" outlineLevel="1" collapsed="false">
      <c r="B915" s="487" t="s">
        <v>417</v>
      </c>
      <c r="C915" s="487"/>
      <c r="D915" s="487"/>
      <c r="E915" s="487"/>
      <c r="F915" s="487"/>
      <c r="G915" s="487"/>
      <c r="H915" s="487"/>
      <c r="I915" s="487"/>
      <c r="J915" s="487"/>
      <c r="K915" s="492"/>
      <c r="L915" s="492"/>
      <c r="M915" s="492"/>
      <c r="N915" s="490" t="n">
        <v>4490</v>
      </c>
      <c r="O915" s="490" t="n">
        <v>3906.3</v>
      </c>
    </row>
    <row r="916" customFormat="false" ht="36.75" hidden="false" customHeight="true" outlineLevel="0" collapsed="false">
      <c r="B916" s="487" t="s">
        <v>2554</v>
      </c>
      <c r="C916" s="488" t="n">
        <v>254</v>
      </c>
      <c r="D916" s="489" t="n">
        <v>130761</v>
      </c>
      <c r="E916" s="487" t="s">
        <v>409</v>
      </c>
      <c r="F916" s="487" t="s">
        <v>57</v>
      </c>
      <c r="G916" s="487" t="s">
        <v>58</v>
      </c>
      <c r="H916" s="487" t="s">
        <v>841</v>
      </c>
      <c r="I916" s="487" t="s">
        <v>252</v>
      </c>
      <c r="J916" s="487" t="s">
        <v>1435</v>
      </c>
      <c r="K916" s="490" t="n">
        <v>28880</v>
      </c>
      <c r="L916" s="490" t="n">
        <v>15440</v>
      </c>
      <c r="M916" s="491" t="n">
        <v>18.5</v>
      </c>
      <c r="N916" s="490" t="n">
        <v>13440</v>
      </c>
      <c r="O916" s="490" t="n">
        <v>10953.6</v>
      </c>
    </row>
    <row r="917" customFormat="false" ht="12.75" hidden="true" customHeight="true" outlineLevel="1" collapsed="false">
      <c r="B917" s="487" t="s">
        <v>417</v>
      </c>
      <c r="C917" s="487"/>
      <c r="D917" s="487"/>
      <c r="E917" s="487"/>
      <c r="F917" s="487"/>
      <c r="G917" s="487"/>
      <c r="H917" s="487"/>
      <c r="I917" s="487"/>
      <c r="J917" s="487"/>
      <c r="K917" s="492"/>
      <c r="L917" s="492"/>
      <c r="M917" s="492"/>
      <c r="N917" s="490" t="n">
        <v>13440</v>
      </c>
      <c r="O917" s="490" t="n">
        <v>10953.6</v>
      </c>
    </row>
    <row r="918" customFormat="false" ht="36.75" hidden="false" customHeight="true" outlineLevel="0" collapsed="false">
      <c r="B918" s="487" t="s">
        <v>2631</v>
      </c>
      <c r="C918" s="487"/>
      <c r="D918" s="487" t="s">
        <v>891</v>
      </c>
      <c r="E918" s="487" t="s">
        <v>409</v>
      </c>
      <c r="F918" s="487" t="s">
        <v>799</v>
      </c>
      <c r="G918" s="487" t="s">
        <v>890</v>
      </c>
      <c r="H918" s="487" t="s">
        <v>781</v>
      </c>
      <c r="I918" s="487" t="s">
        <v>252</v>
      </c>
      <c r="J918" s="487" t="s">
        <v>1435</v>
      </c>
      <c r="K918" s="490" t="n">
        <v>31840</v>
      </c>
      <c r="L918" s="490" t="n">
        <v>16000</v>
      </c>
      <c r="M918" s="491" t="n">
        <v>19</v>
      </c>
      <c r="N918" s="490" t="n">
        <v>15840</v>
      </c>
      <c r="O918" s="490" t="n">
        <v>12823.2</v>
      </c>
    </row>
    <row r="919" customFormat="false" ht="12.75" hidden="true" customHeight="true" outlineLevel="1" collapsed="false">
      <c r="B919" s="487" t="s">
        <v>417</v>
      </c>
      <c r="C919" s="487"/>
      <c r="D919" s="487"/>
      <c r="E919" s="487"/>
      <c r="F919" s="487"/>
      <c r="G919" s="487"/>
      <c r="H919" s="487"/>
      <c r="I919" s="487"/>
      <c r="J919" s="487"/>
      <c r="K919" s="492"/>
      <c r="L919" s="492"/>
      <c r="M919" s="492"/>
      <c r="N919" s="490" t="n">
        <v>15840</v>
      </c>
      <c r="O919" s="490" t="n">
        <v>12823.2</v>
      </c>
    </row>
    <row r="920" customFormat="false" ht="36.75" hidden="false" customHeight="true" outlineLevel="0" collapsed="false">
      <c r="B920" s="487" t="s">
        <v>2621</v>
      </c>
      <c r="C920" s="488" t="n">
        <v>261</v>
      </c>
      <c r="D920" s="487" t="s">
        <v>882</v>
      </c>
      <c r="E920" s="487" t="s">
        <v>422</v>
      </c>
      <c r="F920" s="487" t="s">
        <v>685</v>
      </c>
      <c r="G920" s="487" t="s">
        <v>689</v>
      </c>
      <c r="H920" s="487" t="s">
        <v>865</v>
      </c>
      <c r="I920" s="487" t="s">
        <v>252</v>
      </c>
      <c r="J920" s="487" t="s">
        <v>1435</v>
      </c>
      <c r="K920" s="490" t="n">
        <v>35150</v>
      </c>
      <c r="L920" s="490" t="n">
        <v>18810</v>
      </c>
      <c r="M920" s="491" t="n">
        <v>13.5</v>
      </c>
      <c r="N920" s="490" t="n">
        <v>16340</v>
      </c>
      <c r="O920" s="490" t="n">
        <v>14133.1</v>
      </c>
    </row>
    <row r="921" customFormat="false" ht="12.75" hidden="true" customHeight="true" outlineLevel="1" collapsed="false">
      <c r="B921" s="487" t="s">
        <v>417</v>
      </c>
      <c r="C921" s="487"/>
      <c r="D921" s="487"/>
      <c r="E921" s="487"/>
      <c r="F921" s="487"/>
      <c r="G921" s="487"/>
      <c r="H921" s="487"/>
      <c r="I921" s="487"/>
      <c r="J921" s="487"/>
      <c r="K921" s="492"/>
      <c r="L921" s="492"/>
      <c r="M921" s="492"/>
      <c r="N921" s="490" t="n">
        <v>16340</v>
      </c>
      <c r="O921" s="490" t="n">
        <v>14133.1</v>
      </c>
    </row>
    <row r="922" customFormat="false" ht="36.75" hidden="false" customHeight="true" outlineLevel="0" collapsed="false">
      <c r="B922" s="487" t="s">
        <v>2619</v>
      </c>
      <c r="C922" s="488" t="n">
        <v>262</v>
      </c>
      <c r="D922" s="487" t="s">
        <v>880</v>
      </c>
      <c r="E922" s="487" t="s">
        <v>422</v>
      </c>
      <c r="F922" s="487" t="s">
        <v>677</v>
      </c>
      <c r="G922" s="487" t="s">
        <v>681</v>
      </c>
      <c r="H922" s="487" t="s">
        <v>730</v>
      </c>
      <c r="I922" s="487" t="s">
        <v>47</v>
      </c>
      <c r="J922" s="487" t="s">
        <v>1435</v>
      </c>
      <c r="K922" s="490" t="n">
        <v>32070</v>
      </c>
      <c r="L922" s="490" t="n">
        <v>16710</v>
      </c>
      <c r="M922" s="491" t="n">
        <v>18.3</v>
      </c>
      <c r="N922" s="490" t="n">
        <v>15360</v>
      </c>
      <c r="O922" s="490" t="n">
        <v>12544.9</v>
      </c>
    </row>
    <row r="923" customFormat="false" ht="12.75" hidden="true" customHeight="true" outlineLevel="1" collapsed="false">
      <c r="B923" s="487" t="s">
        <v>417</v>
      </c>
      <c r="C923" s="487"/>
      <c r="D923" s="487"/>
      <c r="E923" s="487"/>
      <c r="F923" s="487"/>
      <c r="G923" s="487"/>
      <c r="H923" s="487"/>
      <c r="I923" s="487"/>
      <c r="J923" s="487"/>
      <c r="K923" s="492"/>
      <c r="L923" s="492"/>
      <c r="M923" s="492"/>
      <c r="N923" s="490" t="n">
        <v>15360</v>
      </c>
      <c r="O923" s="490" t="n">
        <v>12544.9</v>
      </c>
    </row>
    <row r="924" customFormat="false" ht="48.75" hidden="false" customHeight="true" outlineLevel="0" collapsed="false">
      <c r="B924" s="487" t="s">
        <v>2620</v>
      </c>
      <c r="C924" s="488" t="n">
        <v>264</v>
      </c>
      <c r="D924" s="487" t="s">
        <v>881</v>
      </c>
      <c r="E924" s="487" t="s">
        <v>761</v>
      </c>
      <c r="F924" s="487" t="s">
        <v>617</v>
      </c>
      <c r="G924" s="487" t="s">
        <v>621</v>
      </c>
      <c r="H924" s="487" t="s">
        <v>730</v>
      </c>
      <c r="I924" s="487" t="s">
        <v>252</v>
      </c>
      <c r="J924" s="487" t="s">
        <v>1435</v>
      </c>
      <c r="K924" s="490" t="n">
        <v>30510</v>
      </c>
      <c r="L924" s="490" t="n">
        <v>17670</v>
      </c>
      <c r="M924" s="491" t="n">
        <v>16.7</v>
      </c>
      <c r="N924" s="490" t="n">
        <v>12840</v>
      </c>
      <c r="O924" s="490" t="n">
        <v>10697.5</v>
      </c>
    </row>
    <row r="925" customFormat="false" ht="12.75" hidden="true" customHeight="true" outlineLevel="1" collapsed="false">
      <c r="B925" s="487" t="s">
        <v>417</v>
      </c>
      <c r="C925" s="487"/>
      <c r="D925" s="487"/>
      <c r="E925" s="487"/>
      <c r="F925" s="487"/>
      <c r="G925" s="487"/>
      <c r="H925" s="487"/>
      <c r="I925" s="487"/>
      <c r="J925" s="487"/>
      <c r="K925" s="492"/>
      <c r="L925" s="492"/>
      <c r="M925" s="492"/>
      <c r="N925" s="490" t="n">
        <v>12840</v>
      </c>
      <c r="O925" s="490" t="n">
        <v>10697.5</v>
      </c>
    </row>
    <row r="926" customFormat="false" ht="36.75" hidden="false" customHeight="true" outlineLevel="0" collapsed="false">
      <c r="B926" s="487" t="s">
        <v>2555</v>
      </c>
      <c r="C926" s="488" t="n">
        <v>255</v>
      </c>
      <c r="D926" s="489" t="n">
        <v>130762</v>
      </c>
      <c r="E926" s="487" t="s">
        <v>409</v>
      </c>
      <c r="F926" s="487" t="s">
        <v>457</v>
      </c>
      <c r="G926" s="487" t="s">
        <v>366</v>
      </c>
      <c r="H926" s="487" t="s">
        <v>841</v>
      </c>
      <c r="I926" s="487" t="s">
        <v>252</v>
      </c>
      <c r="J926" s="487" t="s">
        <v>1435</v>
      </c>
      <c r="K926" s="490" t="n">
        <v>28090</v>
      </c>
      <c r="L926" s="490" t="n">
        <v>14790</v>
      </c>
      <c r="M926" s="491" t="n">
        <v>17.5</v>
      </c>
      <c r="N926" s="490" t="n">
        <v>13300</v>
      </c>
      <c r="O926" s="490" t="n">
        <v>10972.5</v>
      </c>
    </row>
    <row r="927" customFormat="false" ht="12.75" hidden="true" customHeight="true" outlineLevel="1" collapsed="false">
      <c r="B927" s="487" t="s">
        <v>417</v>
      </c>
      <c r="C927" s="487"/>
      <c r="D927" s="487"/>
      <c r="E927" s="487"/>
      <c r="F927" s="487"/>
      <c r="G927" s="487"/>
      <c r="H927" s="487"/>
      <c r="I927" s="487"/>
      <c r="J927" s="487"/>
      <c r="K927" s="492"/>
      <c r="L927" s="492"/>
      <c r="M927" s="492"/>
      <c r="N927" s="490" t="n">
        <v>13300</v>
      </c>
      <c r="O927" s="490" t="n">
        <v>10972.5</v>
      </c>
    </row>
    <row r="928" customFormat="false" ht="36.75" hidden="false" customHeight="true" outlineLevel="0" collapsed="false">
      <c r="B928" s="487" t="s">
        <v>2556</v>
      </c>
      <c r="C928" s="488" t="n">
        <v>257</v>
      </c>
      <c r="D928" s="489" t="n">
        <v>130763</v>
      </c>
      <c r="E928" s="487" t="s">
        <v>409</v>
      </c>
      <c r="F928" s="487" t="s">
        <v>537</v>
      </c>
      <c r="G928" s="487" t="s">
        <v>541</v>
      </c>
      <c r="H928" s="487" t="s">
        <v>841</v>
      </c>
      <c r="I928" s="487" t="s">
        <v>252</v>
      </c>
      <c r="J928" s="487" t="s">
        <v>1435</v>
      </c>
      <c r="K928" s="490" t="n">
        <v>28290</v>
      </c>
      <c r="L928" s="490" t="n">
        <v>15060</v>
      </c>
      <c r="M928" s="491" t="n">
        <v>10.5</v>
      </c>
      <c r="N928" s="490" t="n">
        <v>13230</v>
      </c>
      <c r="O928" s="490" t="n">
        <v>11840.8</v>
      </c>
    </row>
    <row r="929" customFormat="false" ht="12.75" hidden="true" customHeight="true" outlineLevel="1" collapsed="false">
      <c r="B929" s="487" t="s">
        <v>417</v>
      </c>
      <c r="C929" s="487"/>
      <c r="D929" s="487"/>
      <c r="E929" s="487"/>
      <c r="F929" s="487"/>
      <c r="G929" s="487"/>
      <c r="H929" s="487"/>
      <c r="I929" s="487"/>
      <c r="J929" s="487"/>
      <c r="K929" s="492"/>
      <c r="L929" s="492"/>
      <c r="M929" s="492"/>
      <c r="N929" s="490" t="n">
        <v>13230</v>
      </c>
      <c r="O929" s="490" t="n">
        <v>11840.8</v>
      </c>
    </row>
    <row r="930" customFormat="false" ht="36.75" hidden="false" customHeight="true" outlineLevel="0" collapsed="false">
      <c r="B930" s="487" t="s">
        <v>2557</v>
      </c>
      <c r="C930" s="488" t="n">
        <v>259</v>
      </c>
      <c r="D930" s="489" t="n">
        <v>52</v>
      </c>
      <c r="E930" s="487" t="s">
        <v>422</v>
      </c>
      <c r="F930" s="487" t="s">
        <v>376</v>
      </c>
      <c r="G930" s="487" t="s">
        <v>377</v>
      </c>
      <c r="H930" s="487" t="s">
        <v>730</v>
      </c>
      <c r="I930" s="487" t="s">
        <v>47</v>
      </c>
      <c r="J930" s="487" t="s">
        <v>1435</v>
      </c>
      <c r="K930" s="490" t="n">
        <v>14210</v>
      </c>
      <c r="L930" s="490" t="n">
        <v>9720</v>
      </c>
      <c r="M930" s="491" t="n">
        <v>10.5</v>
      </c>
      <c r="N930" s="490" t="n">
        <v>4490</v>
      </c>
      <c r="O930" s="490" t="n">
        <v>4018.5</v>
      </c>
    </row>
    <row r="931" customFormat="false" ht="12.75" hidden="true" customHeight="true" outlineLevel="1" collapsed="false">
      <c r="B931" s="487" t="s">
        <v>417</v>
      </c>
      <c r="C931" s="487"/>
      <c r="D931" s="487"/>
      <c r="E931" s="487"/>
      <c r="F931" s="487"/>
      <c r="G931" s="487"/>
      <c r="H931" s="487"/>
      <c r="I931" s="487"/>
      <c r="J931" s="487"/>
      <c r="K931" s="492"/>
      <c r="L931" s="492"/>
      <c r="M931" s="492"/>
      <c r="N931" s="490" t="n">
        <v>4490</v>
      </c>
      <c r="O931" s="490" t="n">
        <v>4018.5</v>
      </c>
    </row>
    <row r="932" customFormat="false" ht="36.75" hidden="false" customHeight="true" outlineLevel="0" collapsed="false">
      <c r="B932" s="487" t="s">
        <v>2558</v>
      </c>
      <c r="C932" s="488" t="n">
        <v>260</v>
      </c>
      <c r="D932" s="489" t="n">
        <v>130764</v>
      </c>
      <c r="E932" s="487" t="s">
        <v>409</v>
      </c>
      <c r="F932" s="487" t="s">
        <v>445</v>
      </c>
      <c r="G932" s="487" t="s">
        <v>449</v>
      </c>
      <c r="H932" s="487" t="s">
        <v>841</v>
      </c>
      <c r="I932" s="487" t="s">
        <v>252</v>
      </c>
      <c r="J932" s="487" t="s">
        <v>1435</v>
      </c>
      <c r="K932" s="490" t="n">
        <v>29310</v>
      </c>
      <c r="L932" s="490" t="n">
        <v>15640</v>
      </c>
      <c r="M932" s="491" t="n">
        <v>20</v>
      </c>
      <c r="N932" s="490" t="n">
        <v>13670</v>
      </c>
      <c r="O932" s="490" t="n">
        <v>10936</v>
      </c>
    </row>
    <row r="933" customFormat="false" ht="12.75" hidden="true" customHeight="true" outlineLevel="1" collapsed="false">
      <c r="B933" s="487" t="s">
        <v>417</v>
      </c>
      <c r="C933" s="487"/>
      <c r="D933" s="487"/>
      <c r="E933" s="487"/>
      <c r="F933" s="487"/>
      <c r="G933" s="487"/>
      <c r="H933" s="487"/>
      <c r="I933" s="487"/>
      <c r="J933" s="487"/>
      <c r="K933" s="492"/>
      <c r="L933" s="492"/>
      <c r="M933" s="492"/>
      <c r="N933" s="490" t="n">
        <v>13670</v>
      </c>
      <c r="O933" s="490" t="n">
        <v>10936</v>
      </c>
    </row>
    <row r="934" customFormat="false" ht="36.75" hidden="false" customHeight="true" outlineLevel="0" collapsed="false">
      <c r="B934" s="487" t="s">
        <v>2559</v>
      </c>
      <c r="C934" s="488" t="n">
        <v>266</v>
      </c>
      <c r="D934" s="489" t="n">
        <v>130765</v>
      </c>
      <c r="E934" s="487" t="s">
        <v>409</v>
      </c>
      <c r="F934" s="487" t="s">
        <v>451</v>
      </c>
      <c r="G934" s="487" t="s">
        <v>455</v>
      </c>
      <c r="H934" s="487" t="s">
        <v>841</v>
      </c>
      <c r="I934" s="487" t="s">
        <v>252</v>
      </c>
      <c r="J934" s="487" t="s">
        <v>1435</v>
      </c>
      <c r="K934" s="490" t="n">
        <v>28580</v>
      </c>
      <c r="L934" s="490" t="n">
        <v>14910</v>
      </c>
      <c r="M934" s="491" t="n">
        <v>19.5</v>
      </c>
      <c r="N934" s="490" t="n">
        <v>13670</v>
      </c>
      <c r="O934" s="490" t="n">
        <v>11004.3</v>
      </c>
    </row>
    <row r="935" customFormat="false" ht="12.75" hidden="true" customHeight="true" outlineLevel="1" collapsed="false">
      <c r="B935" s="487" t="s">
        <v>417</v>
      </c>
      <c r="C935" s="487"/>
      <c r="D935" s="487"/>
      <c r="E935" s="487"/>
      <c r="F935" s="487"/>
      <c r="G935" s="487"/>
      <c r="H935" s="487"/>
      <c r="I935" s="487"/>
      <c r="J935" s="487"/>
      <c r="K935" s="492"/>
      <c r="L935" s="492"/>
      <c r="M935" s="492"/>
      <c r="N935" s="490" t="n">
        <v>13670</v>
      </c>
      <c r="O935" s="490" t="n">
        <v>11004.3</v>
      </c>
    </row>
    <row r="936" customFormat="false" ht="36.75" hidden="false" customHeight="true" outlineLevel="0" collapsed="false">
      <c r="B936" s="487" t="s">
        <v>2560</v>
      </c>
      <c r="C936" s="488" t="n">
        <v>263</v>
      </c>
      <c r="D936" s="489" t="n">
        <v>53</v>
      </c>
      <c r="E936" s="487" t="s">
        <v>422</v>
      </c>
      <c r="F936" s="487" t="s">
        <v>374</v>
      </c>
      <c r="G936" s="487" t="s">
        <v>375</v>
      </c>
      <c r="H936" s="487" t="s">
        <v>157</v>
      </c>
      <c r="I936" s="487" t="s">
        <v>68</v>
      </c>
      <c r="J936" s="487" t="s">
        <v>1435</v>
      </c>
      <c r="K936" s="490" t="n">
        <v>6920</v>
      </c>
      <c r="L936" s="490" t="n">
        <v>4600</v>
      </c>
      <c r="M936" s="491" t="n">
        <v>12.5</v>
      </c>
      <c r="N936" s="490" t="n">
        <v>2320</v>
      </c>
      <c r="O936" s="490" t="n">
        <v>2030</v>
      </c>
    </row>
    <row r="937" customFormat="false" ht="12.75" hidden="true" customHeight="true" outlineLevel="1" collapsed="false">
      <c r="B937" s="487" t="s">
        <v>417</v>
      </c>
      <c r="C937" s="487"/>
      <c r="D937" s="487"/>
      <c r="E937" s="487"/>
      <c r="F937" s="487"/>
      <c r="G937" s="487"/>
      <c r="H937" s="487"/>
      <c r="I937" s="487"/>
      <c r="J937" s="487"/>
      <c r="K937" s="492"/>
      <c r="L937" s="492"/>
      <c r="M937" s="492"/>
      <c r="N937" s="490" t="n">
        <v>2320</v>
      </c>
      <c r="O937" s="490" t="n">
        <v>2030</v>
      </c>
    </row>
    <row r="938" customFormat="false" ht="36.75" hidden="false" customHeight="true" outlineLevel="0" collapsed="false">
      <c r="B938" s="487" t="s">
        <v>2617</v>
      </c>
      <c r="C938" s="488" t="n">
        <v>243</v>
      </c>
      <c r="D938" s="487" t="s">
        <v>878</v>
      </c>
      <c r="E938" s="487" t="s">
        <v>422</v>
      </c>
      <c r="F938" s="487" t="s">
        <v>602</v>
      </c>
      <c r="G938" s="487" t="s">
        <v>606</v>
      </c>
      <c r="H938" s="487" t="s">
        <v>730</v>
      </c>
      <c r="I938" s="487" t="s">
        <v>47</v>
      </c>
      <c r="J938" s="487" t="s">
        <v>1435</v>
      </c>
      <c r="K938" s="490" t="n">
        <v>31330</v>
      </c>
      <c r="L938" s="490" t="n">
        <v>17860</v>
      </c>
      <c r="M938" s="491" t="n">
        <v>17.6</v>
      </c>
      <c r="N938" s="490" t="n">
        <v>13470</v>
      </c>
      <c r="O938" s="490" t="n">
        <v>11105.4</v>
      </c>
    </row>
    <row r="939" customFormat="false" ht="12.75" hidden="true" customHeight="true" outlineLevel="1" collapsed="false">
      <c r="B939" s="487" t="s">
        <v>417</v>
      </c>
      <c r="C939" s="487"/>
      <c r="D939" s="487"/>
      <c r="E939" s="487"/>
      <c r="F939" s="487"/>
      <c r="G939" s="487"/>
      <c r="H939" s="487"/>
      <c r="I939" s="487"/>
      <c r="J939" s="487"/>
      <c r="K939" s="492"/>
      <c r="L939" s="492"/>
      <c r="M939" s="492"/>
      <c r="N939" s="490" t="n">
        <v>13470</v>
      </c>
      <c r="O939" s="490" t="n">
        <v>11105.4</v>
      </c>
    </row>
    <row r="940" customFormat="false" ht="36.75" hidden="false" customHeight="true" outlineLevel="0" collapsed="false">
      <c r="B940" s="487" t="s">
        <v>2561</v>
      </c>
      <c r="C940" s="488" t="n">
        <v>270</v>
      </c>
      <c r="D940" s="489" t="n">
        <v>130767</v>
      </c>
      <c r="E940" s="487" t="s">
        <v>409</v>
      </c>
      <c r="F940" s="487" t="s">
        <v>48</v>
      </c>
      <c r="G940" s="487" t="s">
        <v>49</v>
      </c>
      <c r="H940" s="487" t="s">
        <v>841</v>
      </c>
      <c r="I940" s="487" t="s">
        <v>252</v>
      </c>
      <c r="J940" s="487" t="s">
        <v>1435</v>
      </c>
      <c r="K940" s="490" t="n">
        <v>28770</v>
      </c>
      <c r="L940" s="490" t="n">
        <v>14930</v>
      </c>
      <c r="M940" s="491" t="n">
        <v>16.5</v>
      </c>
      <c r="N940" s="490" t="n">
        <v>13840</v>
      </c>
      <c r="O940" s="490" t="n">
        <v>11556.4</v>
      </c>
    </row>
    <row r="941" customFormat="false" ht="12.75" hidden="true" customHeight="true" outlineLevel="1" collapsed="false">
      <c r="B941" s="487" t="s">
        <v>417</v>
      </c>
      <c r="C941" s="487"/>
      <c r="D941" s="487"/>
      <c r="E941" s="487"/>
      <c r="F941" s="487"/>
      <c r="G941" s="487"/>
      <c r="H941" s="487"/>
      <c r="I941" s="487"/>
      <c r="J941" s="487"/>
      <c r="K941" s="492"/>
      <c r="L941" s="492"/>
      <c r="M941" s="492"/>
      <c r="N941" s="490" t="n">
        <v>13840</v>
      </c>
      <c r="O941" s="490" t="n">
        <v>11556.4</v>
      </c>
    </row>
    <row r="942" customFormat="false" ht="36.75" hidden="false" customHeight="true" outlineLevel="0" collapsed="false">
      <c r="B942" s="487" t="s">
        <v>2618</v>
      </c>
      <c r="C942" s="488" t="n">
        <v>247</v>
      </c>
      <c r="D942" s="487" t="s">
        <v>879</v>
      </c>
      <c r="E942" s="487" t="s">
        <v>761</v>
      </c>
      <c r="F942" s="487" t="s">
        <v>610</v>
      </c>
      <c r="G942" s="487" t="s">
        <v>614</v>
      </c>
      <c r="H942" s="487" t="s">
        <v>730</v>
      </c>
      <c r="I942" s="487" t="s">
        <v>47</v>
      </c>
      <c r="J942" s="487" t="s">
        <v>1435</v>
      </c>
      <c r="K942" s="490" t="n">
        <v>30930</v>
      </c>
      <c r="L942" s="490" t="n">
        <v>16950</v>
      </c>
      <c r="M942" s="491" t="n">
        <v>17.1</v>
      </c>
      <c r="N942" s="490" t="n">
        <v>13980</v>
      </c>
      <c r="O942" s="490" t="n">
        <v>11587</v>
      </c>
    </row>
    <row r="943" customFormat="false" ht="12.75" hidden="true" customHeight="true" outlineLevel="1" collapsed="false">
      <c r="B943" s="487" t="s">
        <v>417</v>
      </c>
      <c r="C943" s="487"/>
      <c r="D943" s="487"/>
      <c r="E943" s="487"/>
      <c r="F943" s="487"/>
      <c r="G943" s="487"/>
      <c r="H943" s="487"/>
      <c r="I943" s="487"/>
      <c r="J943" s="487"/>
      <c r="K943" s="492"/>
      <c r="L943" s="492"/>
      <c r="M943" s="492"/>
      <c r="N943" s="490" t="n">
        <v>13980</v>
      </c>
      <c r="O943" s="490" t="n">
        <v>11587</v>
      </c>
    </row>
    <row r="944" customFormat="false" ht="36.75" hidden="false" customHeight="true" outlineLevel="0" collapsed="false">
      <c r="B944" s="487" t="s">
        <v>2562</v>
      </c>
      <c r="C944" s="488" t="n">
        <v>268</v>
      </c>
      <c r="D944" s="489" t="n">
        <v>130766</v>
      </c>
      <c r="E944" s="487" t="s">
        <v>409</v>
      </c>
      <c r="F944" s="487" t="s">
        <v>466</v>
      </c>
      <c r="G944" s="487" t="s">
        <v>470</v>
      </c>
      <c r="H944" s="487" t="s">
        <v>841</v>
      </c>
      <c r="I944" s="487" t="s">
        <v>252</v>
      </c>
      <c r="J944" s="487" t="s">
        <v>1435</v>
      </c>
      <c r="K944" s="490" t="n">
        <v>28260</v>
      </c>
      <c r="L944" s="490" t="n">
        <v>14630</v>
      </c>
      <c r="M944" s="491" t="n">
        <v>17.5</v>
      </c>
      <c r="N944" s="490" t="n">
        <v>13630</v>
      </c>
      <c r="O944" s="490" t="n">
        <v>11244.7</v>
      </c>
    </row>
    <row r="945" customFormat="false" ht="12.75" hidden="true" customHeight="true" outlineLevel="1" collapsed="false">
      <c r="B945" s="487" t="s">
        <v>417</v>
      </c>
      <c r="C945" s="487"/>
      <c r="D945" s="487"/>
      <c r="E945" s="487"/>
      <c r="F945" s="487"/>
      <c r="G945" s="487"/>
      <c r="H945" s="487"/>
      <c r="I945" s="487"/>
      <c r="J945" s="487"/>
      <c r="K945" s="492"/>
      <c r="L945" s="492"/>
      <c r="M945" s="492"/>
      <c r="N945" s="490" t="n">
        <v>13630</v>
      </c>
      <c r="O945" s="490" t="n">
        <v>11244.7</v>
      </c>
    </row>
    <row r="946" customFormat="false" ht="36.75" hidden="false" customHeight="true" outlineLevel="0" collapsed="false">
      <c r="B946" s="487" t="s">
        <v>2564</v>
      </c>
      <c r="C946" s="488" t="n">
        <v>272</v>
      </c>
      <c r="D946" s="489" t="n">
        <v>130770</v>
      </c>
      <c r="E946" s="487" t="s">
        <v>409</v>
      </c>
      <c r="F946" s="487" t="s">
        <v>371</v>
      </c>
      <c r="G946" s="487" t="s">
        <v>372</v>
      </c>
      <c r="H946" s="487" t="s">
        <v>841</v>
      </c>
      <c r="I946" s="487" t="s">
        <v>252</v>
      </c>
      <c r="J946" s="487" t="s">
        <v>1435</v>
      </c>
      <c r="K946" s="490" t="n">
        <v>28690</v>
      </c>
      <c r="L946" s="490" t="n">
        <v>14960</v>
      </c>
      <c r="M946" s="491" t="n">
        <v>17.5</v>
      </c>
      <c r="N946" s="490" t="n">
        <v>13730</v>
      </c>
      <c r="O946" s="490" t="n">
        <v>11327.2</v>
      </c>
    </row>
    <row r="947" customFormat="false" ht="12.75" hidden="true" customHeight="true" outlineLevel="1" collapsed="false">
      <c r="B947" s="487" t="s">
        <v>417</v>
      </c>
      <c r="C947" s="487"/>
      <c r="D947" s="487"/>
      <c r="E947" s="487"/>
      <c r="F947" s="487"/>
      <c r="G947" s="487"/>
      <c r="H947" s="487"/>
      <c r="I947" s="487"/>
      <c r="J947" s="487"/>
      <c r="K947" s="492"/>
      <c r="L947" s="492"/>
      <c r="M947" s="492"/>
      <c r="N947" s="490" t="n">
        <v>13730</v>
      </c>
      <c r="O947" s="490" t="n">
        <v>11327.2</v>
      </c>
    </row>
    <row r="948" customFormat="false" ht="36.75" hidden="false" customHeight="true" outlineLevel="0" collapsed="false">
      <c r="B948" s="487" t="s">
        <v>2563</v>
      </c>
      <c r="C948" s="488" t="n">
        <v>271</v>
      </c>
      <c r="D948" s="489" t="n">
        <v>130768</v>
      </c>
      <c r="E948" s="487" t="s">
        <v>409</v>
      </c>
      <c r="F948" s="487" t="s">
        <v>472</v>
      </c>
      <c r="G948" s="487" t="s">
        <v>476</v>
      </c>
      <c r="H948" s="487" t="s">
        <v>841</v>
      </c>
      <c r="I948" s="487" t="s">
        <v>252</v>
      </c>
      <c r="J948" s="487" t="s">
        <v>1435</v>
      </c>
      <c r="K948" s="490" t="n">
        <v>29270</v>
      </c>
      <c r="L948" s="490" t="n">
        <v>15360</v>
      </c>
      <c r="M948" s="491" t="n">
        <v>18.5</v>
      </c>
      <c r="N948" s="490" t="n">
        <v>13910</v>
      </c>
      <c r="O948" s="490" t="n">
        <v>11336.6</v>
      </c>
    </row>
    <row r="949" customFormat="false" ht="12.75" hidden="true" customHeight="true" outlineLevel="1" collapsed="false">
      <c r="B949" s="487" t="s">
        <v>417</v>
      </c>
      <c r="C949" s="487"/>
      <c r="D949" s="487"/>
      <c r="E949" s="487"/>
      <c r="F949" s="487"/>
      <c r="G949" s="487"/>
      <c r="H949" s="487"/>
      <c r="I949" s="487"/>
      <c r="J949" s="487"/>
      <c r="K949" s="492"/>
      <c r="L949" s="492"/>
      <c r="M949" s="492"/>
      <c r="N949" s="490" t="n">
        <v>13910</v>
      </c>
      <c r="O949" s="490" t="n">
        <v>11336.6</v>
      </c>
    </row>
    <row r="950" customFormat="false" ht="36.75" hidden="false" customHeight="true" outlineLevel="0" collapsed="false">
      <c r="B950" s="487" t="s">
        <v>2630</v>
      </c>
      <c r="C950" s="487"/>
      <c r="D950" s="487" t="s">
        <v>889</v>
      </c>
      <c r="E950" s="487" t="s">
        <v>409</v>
      </c>
      <c r="F950" s="487" t="s">
        <v>888</v>
      </c>
      <c r="G950" s="487" t="s">
        <v>796</v>
      </c>
      <c r="H950" s="487" t="s">
        <v>781</v>
      </c>
      <c r="I950" s="487" t="s">
        <v>252</v>
      </c>
      <c r="J950" s="487" t="s">
        <v>1435</v>
      </c>
      <c r="K950" s="490" t="n">
        <v>34840</v>
      </c>
      <c r="L950" s="490" t="n">
        <v>18500</v>
      </c>
      <c r="M950" s="491" t="n">
        <v>21.4</v>
      </c>
      <c r="N950" s="490" t="n">
        <v>16340</v>
      </c>
      <c r="O950" s="490" t="n">
        <v>12845.4</v>
      </c>
    </row>
    <row r="951" customFormat="false" ht="12.75" hidden="true" customHeight="true" outlineLevel="1" collapsed="false">
      <c r="B951" s="487" t="s">
        <v>417</v>
      </c>
      <c r="C951" s="487"/>
      <c r="D951" s="487"/>
      <c r="E951" s="487"/>
      <c r="F951" s="487"/>
      <c r="G951" s="487"/>
      <c r="H951" s="487"/>
      <c r="I951" s="487"/>
      <c r="J951" s="487"/>
      <c r="K951" s="492"/>
      <c r="L951" s="492"/>
      <c r="M951" s="492"/>
      <c r="N951" s="490" t="n">
        <v>16340</v>
      </c>
      <c r="O951" s="490" t="n">
        <v>12845.4</v>
      </c>
    </row>
    <row r="952" customFormat="false" ht="36.75" hidden="false" customHeight="true" outlineLevel="0" collapsed="false">
      <c r="B952" s="487" t="s">
        <v>2623</v>
      </c>
      <c r="C952" s="488" t="n">
        <v>280</v>
      </c>
      <c r="D952" s="487" t="s">
        <v>883</v>
      </c>
      <c r="E952" s="487" t="s">
        <v>422</v>
      </c>
      <c r="F952" s="487" t="s">
        <v>792</v>
      </c>
      <c r="G952" s="487" t="s">
        <v>793</v>
      </c>
      <c r="H952" s="487" t="s">
        <v>865</v>
      </c>
      <c r="I952" s="487" t="s">
        <v>252</v>
      </c>
      <c r="J952" s="487" t="s">
        <v>1435</v>
      </c>
      <c r="K952" s="490" t="n">
        <v>31050</v>
      </c>
      <c r="L952" s="490" t="n">
        <v>17130</v>
      </c>
      <c r="M952" s="491" t="n">
        <v>19</v>
      </c>
      <c r="N952" s="490" t="n">
        <v>13920</v>
      </c>
      <c r="O952" s="490" t="n">
        <v>11279.6</v>
      </c>
    </row>
    <row r="953" customFormat="false" ht="12.75" hidden="true" customHeight="true" outlineLevel="1" collapsed="false">
      <c r="B953" s="487" t="s">
        <v>417</v>
      </c>
      <c r="C953" s="487"/>
      <c r="D953" s="487"/>
      <c r="E953" s="487"/>
      <c r="F953" s="487"/>
      <c r="G953" s="487"/>
      <c r="H953" s="487"/>
      <c r="I953" s="487"/>
      <c r="J953" s="487"/>
      <c r="K953" s="492"/>
      <c r="L953" s="492"/>
      <c r="M953" s="492"/>
      <c r="N953" s="490" t="n">
        <v>13920</v>
      </c>
      <c r="O953" s="490" t="n">
        <v>11279.6</v>
      </c>
    </row>
    <row r="954" customFormat="false" ht="36.75" hidden="false" customHeight="true" outlineLevel="0" collapsed="false">
      <c r="B954" s="487" t="s">
        <v>2565</v>
      </c>
      <c r="C954" s="488" t="n">
        <v>274</v>
      </c>
      <c r="D954" s="489" t="n">
        <v>130771</v>
      </c>
      <c r="E954" s="487" t="s">
        <v>409</v>
      </c>
      <c r="F954" s="487" t="s">
        <v>365</v>
      </c>
      <c r="G954" s="487" t="s">
        <v>373</v>
      </c>
      <c r="H954" s="487" t="s">
        <v>841</v>
      </c>
      <c r="I954" s="487" t="s">
        <v>252</v>
      </c>
      <c r="J954" s="487" t="s">
        <v>1435</v>
      </c>
      <c r="K954" s="490" t="n">
        <v>32400</v>
      </c>
      <c r="L954" s="490" t="n">
        <v>18720</v>
      </c>
      <c r="M954" s="491" t="n">
        <v>18.5</v>
      </c>
      <c r="N954" s="490" t="n">
        <v>13680</v>
      </c>
      <c r="O954" s="490" t="n">
        <v>11149.2</v>
      </c>
    </row>
    <row r="955" customFormat="false" ht="12.75" hidden="true" customHeight="true" outlineLevel="1" collapsed="false">
      <c r="B955" s="487" t="s">
        <v>417</v>
      </c>
      <c r="C955" s="487"/>
      <c r="D955" s="487"/>
      <c r="E955" s="487"/>
      <c r="F955" s="487"/>
      <c r="G955" s="487"/>
      <c r="H955" s="487"/>
      <c r="I955" s="487"/>
      <c r="J955" s="487"/>
      <c r="K955" s="492"/>
      <c r="L955" s="492"/>
      <c r="M955" s="492"/>
      <c r="N955" s="490" t="n">
        <v>13680</v>
      </c>
      <c r="O955" s="490" t="n">
        <v>11149.2</v>
      </c>
    </row>
    <row r="956" customFormat="false" ht="36.75" hidden="false" customHeight="true" outlineLevel="0" collapsed="false">
      <c r="B956" s="487" t="s">
        <v>2566</v>
      </c>
      <c r="C956" s="488" t="n">
        <v>275</v>
      </c>
      <c r="D956" s="489" t="n">
        <v>59</v>
      </c>
      <c r="E956" s="487" t="s">
        <v>422</v>
      </c>
      <c r="F956" s="487" t="s">
        <v>376</v>
      </c>
      <c r="G956" s="487" t="s">
        <v>377</v>
      </c>
      <c r="H956" s="487" t="s">
        <v>865</v>
      </c>
      <c r="I956" s="487" t="s">
        <v>252</v>
      </c>
      <c r="J956" s="487" t="s">
        <v>1435</v>
      </c>
      <c r="K956" s="490" t="n">
        <v>28010</v>
      </c>
      <c r="L956" s="490" t="n">
        <v>14400</v>
      </c>
      <c r="M956" s="491" t="n">
        <v>13.5</v>
      </c>
      <c r="N956" s="490" t="n">
        <v>13610</v>
      </c>
      <c r="O956" s="490" t="n">
        <v>11772.6</v>
      </c>
    </row>
    <row r="957" customFormat="false" ht="12.75" hidden="true" customHeight="true" outlineLevel="1" collapsed="false">
      <c r="B957" s="487" t="s">
        <v>417</v>
      </c>
      <c r="C957" s="487"/>
      <c r="D957" s="487"/>
      <c r="E957" s="487"/>
      <c r="F957" s="487"/>
      <c r="G957" s="487"/>
      <c r="H957" s="487"/>
      <c r="I957" s="487"/>
      <c r="J957" s="487"/>
      <c r="K957" s="492"/>
      <c r="L957" s="492"/>
      <c r="M957" s="492"/>
      <c r="N957" s="490" t="n">
        <v>13610</v>
      </c>
      <c r="O957" s="490" t="n">
        <v>11772.6</v>
      </c>
    </row>
    <row r="958" customFormat="false" ht="36.75" hidden="false" customHeight="true" outlineLevel="0" collapsed="false">
      <c r="B958" s="487" t="s">
        <v>2567</v>
      </c>
      <c r="C958" s="488" t="n">
        <v>276</v>
      </c>
      <c r="D958" s="489" t="n">
        <v>60</v>
      </c>
      <c r="E958" s="487" t="s">
        <v>867</v>
      </c>
      <c r="F958" s="487" t="s">
        <v>374</v>
      </c>
      <c r="G958" s="487" t="s">
        <v>375</v>
      </c>
      <c r="H958" s="487" t="s">
        <v>865</v>
      </c>
      <c r="I958" s="487" t="s">
        <v>252</v>
      </c>
      <c r="J958" s="487" t="s">
        <v>1435</v>
      </c>
      <c r="K958" s="490" t="n">
        <v>9050</v>
      </c>
      <c r="L958" s="490" t="n">
        <v>4580</v>
      </c>
      <c r="M958" s="491" t="n">
        <v>11.5</v>
      </c>
      <c r="N958" s="490" t="n">
        <v>4470</v>
      </c>
      <c r="O958" s="490" t="n">
        <v>3955.9</v>
      </c>
    </row>
    <row r="959" customFormat="false" ht="12.75" hidden="true" customHeight="true" outlineLevel="1" collapsed="false">
      <c r="B959" s="487" t="s">
        <v>417</v>
      </c>
      <c r="C959" s="487"/>
      <c r="D959" s="487"/>
      <c r="E959" s="487"/>
      <c r="F959" s="487"/>
      <c r="G959" s="487"/>
      <c r="H959" s="487"/>
      <c r="I959" s="487"/>
      <c r="J959" s="487"/>
      <c r="K959" s="492"/>
      <c r="L959" s="492"/>
      <c r="M959" s="492"/>
      <c r="N959" s="490" t="n">
        <v>4470</v>
      </c>
      <c r="O959" s="490" t="n">
        <v>3955.9</v>
      </c>
    </row>
    <row r="960" customFormat="false" ht="36.75" hidden="false" customHeight="true" outlineLevel="0" collapsed="false">
      <c r="B960" s="487" t="s">
        <v>2568</v>
      </c>
      <c r="C960" s="488" t="n">
        <v>277</v>
      </c>
      <c r="D960" s="489" t="n">
        <v>130775</v>
      </c>
      <c r="E960" s="487" t="s">
        <v>409</v>
      </c>
      <c r="F960" s="487" t="s">
        <v>361</v>
      </c>
      <c r="G960" s="487" t="s">
        <v>362</v>
      </c>
      <c r="H960" s="487" t="s">
        <v>841</v>
      </c>
      <c r="I960" s="487" t="s">
        <v>252</v>
      </c>
      <c r="J960" s="487" t="s">
        <v>1435</v>
      </c>
      <c r="K960" s="490" t="n">
        <v>28430</v>
      </c>
      <c r="L960" s="490" t="n">
        <v>14730</v>
      </c>
      <c r="M960" s="491" t="n">
        <v>18.5</v>
      </c>
      <c r="N960" s="490" t="n">
        <v>13700</v>
      </c>
      <c r="O960" s="490" t="n">
        <v>11165.5</v>
      </c>
    </row>
    <row r="961" customFormat="false" ht="12.75" hidden="true" customHeight="true" outlineLevel="1" collapsed="false">
      <c r="B961" s="487" t="s">
        <v>417</v>
      </c>
      <c r="C961" s="487"/>
      <c r="D961" s="487"/>
      <c r="E961" s="487"/>
      <c r="F961" s="487"/>
      <c r="G961" s="487"/>
      <c r="H961" s="487"/>
      <c r="I961" s="487"/>
      <c r="J961" s="487"/>
      <c r="K961" s="492"/>
      <c r="L961" s="492"/>
      <c r="M961" s="492"/>
      <c r="N961" s="490" t="n">
        <v>13700</v>
      </c>
      <c r="O961" s="490" t="n">
        <v>11165.5</v>
      </c>
    </row>
    <row r="962" customFormat="false" ht="36.75" hidden="false" customHeight="true" outlineLevel="0" collapsed="false">
      <c r="B962" s="487" t="s">
        <v>2569</v>
      </c>
      <c r="C962" s="488" t="n">
        <v>278</v>
      </c>
      <c r="D962" s="489" t="n">
        <v>130773</v>
      </c>
      <c r="E962" s="487" t="s">
        <v>409</v>
      </c>
      <c r="F962" s="487" t="s">
        <v>395</v>
      </c>
      <c r="G962" s="487" t="s">
        <v>566</v>
      </c>
      <c r="H962" s="487" t="s">
        <v>841</v>
      </c>
      <c r="I962" s="487" t="s">
        <v>252</v>
      </c>
      <c r="J962" s="487" t="s">
        <v>1435</v>
      </c>
      <c r="K962" s="490" t="n">
        <v>28030</v>
      </c>
      <c r="L962" s="490" t="n">
        <v>14280</v>
      </c>
      <c r="M962" s="491" t="n">
        <v>11.5</v>
      </c>
      <c r="N962" s="490" t="n">
        <v>13750</v>
      </c>
      <c r="O962" s="490" t="n">
        <v>12168.7</v>
      </c>
    </row>
    <row r="963" customFormat="false" ht="12.75" hidden="true" customHeight="true" outlineLevel="1" collapsed="false">
      <c r="B963" s="487" t="s">
        <v>417</v>
      </c>
      <c r="C963" s="487"/>
      <c r="D963" s="487"/>
      <c r="E963" s="487"/>
      <c r="F963" s="487"/>
      <c r="G963" s="487"/>
      <c r="H963" s="487"/>
      <c r="I963" s="487"/>
      <c r="J963" s="487"/>
      <c r="K963" s="492"/>
      <c r="L963" s="492"/>
      <c r="M963" s="492"/>
      <c r="N963" s="490" t="n">
        <v>13750</v>
      </c>
      <c r="O963" s="490" t="n">
        <v>12168.7</v>
      </c>
    </row>
    <row r="964" customFormat="false" ht="36.75" hidden="false" customHeight="true" outlineLevel="0" collapsed="false">
      <c r="B964" s="487" t="s">
        <v>2622</v>
      </c>
      <c r="C964" s="488" t="n">
        <v>337</v>
      </c>
      <c r="D964" s="489" t="n">
        <v>64</v>
      </c>
      <c r="E964" s="487" t="s">
        <v>422</v>
      </c>
      <c r="F964" s="487" t="s">
        <v>48</v>
      </c>
      <c r="G964" s="487" t="s">
        <v>49</v>
      </c>
      <c r="H964" s="487" t="s">
        <v>865</v>
      </c>
      <c r="I964" s="487" t="s">
        <v>252</v>
      </c>
      <c r="J964" s="487" t="s">
        <v>1435</v>
      </c>
      <c r="K964" s="490" t="n">
        <v>23850</v>
      </c>
      <c r="L964" s="490" t="n">
        <v>14890</v>
      </c>
      <c r="M964" s="491" t="n">
        <v>16</v>
      </c>
      <c r="N964" s="490" t="n">
        <v>8960</v>
      </c>
      <c r="O964" s="490" t="n">
        <v>7526.4</v>
      </c>
    </row>
    <row r="965" customFormat="false" ht="12.75" hidden="true" customHeight="true" outlineLevel="1" collapsed="false">
      <c r="B965" s="487" t="s">
        <v>417</v>
      </c>
      <c r="C965" s="487"/>
      <c r="D965" s="487"/>
      <c r="E965" s="487"/>
      <c r="F965" s="487"/>
      <c r="G965" s="487"/>
      <c r="H965" s="487"/>
      <c r="I965" s="487"/>
      <c r="J965" s="487"/>
      <c r="K965" s="492"/>
      <c r="L965" s="492"/>
      <c r="M965" s="492"/>
      <c r="N965" s="490" t="n">
        <v>8960</v>
      </c>
      <c r="O965" s="490" t="n">
        <v>7526.4</v>
      </c>
    </row>
    <row r="966" customFormat="false" ht="36.75" hidden="false" customHeight="true" outlineLevel="0" collapsed="false">
      <c r="B966" s="487" t="s">
        <v>2570</v>
      </c>
      <c r="C966" s="488" t="n">
        <v>279</v>
      </c>
      <c r="D966" s="489" t="n">
        <v>130774</v>
      </c>
      <c r="E966" s="487" t="s">
        <v>409</v>
      </c>
      <c r="F966" s="487" t="s">
        <v>386</v>
      </c>
      <c r="G966" s="487" t="s">
        <v>387</v>
      </c>
      <c r="H966" s="487" t="s">
        <v>841</v>
      </c>
      <c r="I966" s="487" t="s">
        <v>252</v>
      </c>
      <c r="J966" s="487" t="s">
        <v>1435</v>
      </c>
      <c r="K966" s="490" t="n">
        <v>28730</v>
      </c>
      <c r="L966" s="490" t="n">
        <v>15080</v>
      </c>
      <c r="M966" s="491" t="n">
        <v>16.5</v>
      </c>
      <c r="N966" s="490" t="n">
        <v>13650</v>
      </c>
      <c r="O966" s="490" t="n">
        <v>11397.7</v>
      </c>
    </row>
    <row r="967" customFormat="false" ht="12.75" hidden="true" customHeight="true" outlineLevel="1" collapsed="false">
      <c r="B967" s="487" t="s">
        <v>417</v>
      </c>
      <c r="C967" s="487"/>
      <c r="D967" s="487"/>
      <c r="E967" s="487"/>
      <c r="F967" s="487"/>
      <c r="G967" s="487"/>
      <c r="H967" s="487"/>
      <c r="I967" s="487"/>
      <c r="J967" s="487"/>
      <c r="K967" s="492"/>
      <c r="L967" s="492"/>
      <c r="M967" s="492"/>
      <c r="N967" s="490" t="n">
        <v>13650</v>
      </c>
      <c r="O967" s="490" t="n">
        <v>11397.7</v>
      </c>
    </row>
    <row r="968" customFormat="false" ht="36.75" hidden="false" customHeight="true" outlineLevel="0" collapsed="false">
      <c r="B968" s="487" t="s">
        <v>2571</v>
      </c>
      <c r="C968" s="488" t="n">
        <v>281</v>
      </c>
      <c r="D968" s="489" t="n">
        <v>83501</v>
      </c>
      <c r="E968" s="487" t="s">
        <v>409</v>
      </c>
      <c r="F968" s="487" t="s">
        <v>439</v>
      </c>
      <c r="G968" s="487" t="s">
        <v>443</v>
      </c>
      <c r="H968" s="487" t="s">
        <v>841</v>
      </c>
      <c r="I968" s="487" t="s">
        <v>252</v>
      </c>
      <c r="J968" s="487" t="s">
        <v>1435</v>
      </c>
      <c r="K968" s="490" t="n">
        <v>37850</v>
      </c>
      <c r="L968" s="490" t="n">
        <v>23900</v>
      </c>
      <c r="M968" s="491" t="n">
        <v>19.5</v>
      </c>
      <c r="N968" s="490" t="n">
        <v>13950</v>
      </c>
      <c r="O968" s="490" t="n">
        <v>11229.7</v>
      </c>
    </row>
    <row r="969" customFormat="false" ht="12.75" hidden="true" customHeight="true" outlineLevel="1" collapsed="false">
      <c r="B969" s="487" t="s">
        <v>417</v>
      </c>
      <c r="C969" s="487"/>
      <c r="D969" s="487"/>
      <c r="E969" s="487"/>
      <c r="F969" s="487"/>
      <c r="G969" s="487"/>
      <c r="H969" s="487"/>
      <c r="I969" s="487"/>
      <c r="J969" s="487"/>
      <c r="K969" s="492"/>
      <c r="L969" s="492"/>
      <c r="M969" s="492"/>
      <c r="N969" s="490" t="n">
        <v>13950</v>
      </c>
      <c r="O969" s="490" t="n">
        <v>11229.7</v>
      </c>
    </row>
    <row r="970" customFormat="false" ht="36.75" hidden="false" customHeight="true" outlineLevel="0" collapsed="false">
      <c r="B970" s="487" t="s">
        <v>2572</v>
      </c>
      <c r="C970" s="488" t="n">
        <v>285</v>
      </c>
      <c r="D970" s="489" t="n">
        <v>65</v>
      </c>
      <c r="E970" s="487" t="s">
        <v>422</v>
      </c>
      <c r="F970" s="487" t="s">
        <v>411</v>
      </c>
      <c r="G970" s="487" t="s">
        <v>381</v>
      </c>
      <c r="H970" s="487" t="s">
        <v>865</v>
      </c>
      <c r="I970" s="487" t="s">
        <v>252</v>
      </c>
      <c r="J970" s="487" t="s">
        <v>1435</v>
      </c>
      <c r="K970" s="490" t="n">
        <v>23240</v>
      </c>
      <c r="L970" s="490" t="n">
        <v>14120</v>
      </c>
      <c r="M970" s="491" t="n">
        <v>11</v>
      </c>
      <c r="N970" s="490" t="n">
        <v>9120</v>
      </c>
      <c r="O970" s="490" t="n">
        <v>8116.8</v>
      </c>
    </row>
    <row r="971" customFormat="false" ht="12.75" hidden="true" customHeight="true" outlineLevel="1" collapsed="false">
      <c r="B971" s="487" t="s">
        <v>417</v>
      </c>
      <c r="C971" s="487"/>
      <c r="D971" s="487"/>
      <c r="E971" s="487"/>
      <c r="F971" s="487"/>
      <c r="G971" s="487"/>
      <c r="H971" s="487"/>
      <c r="I971" s="487"/>
      <c r="J971" s="487"/>
      <c r="K971" s="492"/>
      <c r="L971" s="492"/>
      <c r="M971" s="492"/>
      <c r="N971" s="490" t="n">
        <v>9120</v>
      </c>
      <c r="O971" s="490" t="n">
        <v>8116.8</v>
      </c>
    </row>
    <row r="972" customFormat="false" ht="36.75" hidden="false" customHeight="true" outlineLevel="0" collapsed="false">
      <c r="B972" s="487" t="s">
        <v>2573</v>
      </c>
      <c r="C972" s="488" t="n">
        <v>286</v>
      </c>
      <c r="D972" s="489" t="n">
        <v>66</v>
      </c>
      <c r="E972" s="487" t="s">
        <v>422</v>
      </c>
      <c r="F972" s="487" t="s">
        <v>378</v>
      </c>
      <c r="G972" s="487" t="s">
        <v>379</v>
      </c>
      <c r="H972" s="487" t="s">
        <v>865</v>
      </c>
      <c r="I972" s="487" t="s">
        <v>252</v>
      </c>
      <c r="J972" s="487" t="s">
        <v>1435</v>
      </c>
      <c r="K972" s="490" t="n">
        <v>8900</v>
      </c>
      <c r="L972" s="490" t="n">
        <v>4630</v>
      </c>
      <c r="M972" s="491" t="n">
        <v>8.5</v>
      </c>
      <c r="N972" s="490" t="n">
        <v>4270</v>
      </c>
      <c r="O972" s="490" t="n">
        <v>3907</v>
      </c>
    </row>
    <row r="973" customFormat="false" ht="12.75" hidden="true" customHeight="true" outlineLevel="1" collapsed="false">
      <c r="B973" s="487" t="s">
        <v>417</v>
      </c>
      <c r="C973" s="487"/>
      <c r="D973" s="487"/>
      <c r="E973" s="487"/>
      <c r="F973" s="487"/>
      <c r="G973" s="487"/>
      <c r="H973" s="487"/>
      <c r="I973" s="487"/>
      <c r="J973" s="487"/>
      <c r="K973" s="492"/>
      <c r="L973" s="492"/>
      <c r="M973" s="492"/>
      <c r="N973" s="490" t="n">
        <v>4270</v>
      </c>
      <c r="O973" s="490" t="n">
        <v>3907</v>
      </c>
    </row>
    <row r="974" customFormat="false" ht="36.75" hidden="false" customHeight="true" outlineLevel="0" collapsed="false">
      <c r="B974" s="487" t="s">
        <v>2574</v>
      </c>
      <c r="C974" s="488" t="n">
        <v>288</v>
      </c>
      <c r="D974" s="489" t="n">
        <v>67</v>
      </c>
      <c r="E974" s="487" t="s">
        <v>422</v>
      </c>
      <c r="F974" s="487" t="s">
        <v>384</v>
      </c>
      <c r="G974" s="487" t="s">
        <v>385</v>
      </c>
      <c r="H974" s="487" t="s">
        <v>865</v>
      </c>
      <c r="I974" s="487" t="s">
        <v>252</v>
      </c>
      <c r="J974" s="487" t="s">
        <v>1435</v>
      </c>
      <c r="K974" s="490" t="n">
        <v>27260</v>
      </c>
      <c r="L974" s="490" t="n">
        <v>14480</v>
      </c>
      <c r="M974" s="491" t="n">
        <v>16</v>
      </c>
      <c r="N974" s="490" t="n">
        <v>12780</v>
      </c>
      <c r="O974" s="490" t="n">
        <v>10735.2</v>
      </c>
    </row>
    <row r="975" customFormat="false" ht="12.75" hidden="true" customHeight="true" outlineLevel="1" collapsed="false">
      <c r="B975" s="487" t="s">
        <v>417</v>
      </c>
      <c r="C975" s="487"/>
      <c r="D975" s="487"/>
      <c r="E975" s="487"/>
      <c r="F975" s="487"/>
      <c r="G975" s="487"/>
      <c r="H975" s="487"/>
      <c r="I975" s="487"/>
      <c r="J975" s="487"/>
      <c r="K975" s="492"/>
      <c r="L975" s="492"/>
      <c r="M975" s="492"/>
      <c r="N975" s="490" t="n">
        <v>12780</v>
      </c>
      <c r="O975" s="490" t="n">
        <v>10735.2</v>
      </c>
    </row>
    <row r="976" customFormat="false" ht="36.75" hidden="false" customHeight="true" outlineLevel="0" collapsed="false">
      <c r="B976" s="487" t="s">
        <v>2575</v>
      </c>
      <c r="C976" s="488" t="n">
        <v>289</v>
      </c>
      <c r="D976" s="489" t="n">
        <v>68</v>
      </c>
      <c r="E976" s="487" t="s">
        <v>422</v>
      </c>
      <c r="F976" s="487" t="s">
        <v>48</v>
      </c>
      <c r="G976" s="487" t="s">
        <v>49</v>
      </c>
      <c r="H976" s="487" t="s">
        <v>865</v>
      </c>
      <c r="I976" s="487" t="s">
        <v>252</v>
      </c>
      <c r="J976" s="487" t="s">
        <v>1435</v>
      </c>
      <c r="K976" s="490" t="n">
        <v>24210</v>
      </c>
      <c r="L976" s="490" t="n">
        <v>14880</v>
      </c>
      <c r="M976" s="491" t="n">
        <v>15</v>
      </c>
      <c r="N976" s="490" t="n">
        <v>9330</v>
      </c>
      <c r="O976" s="490" t="n">
        <v>7930.5</v>
      </c>
    </row>
    <row r="977" customFormat="false" ht="12.75" hidden="true" customHeight="true" outlineLevel="1" collapsed="false">
      <c r="B977" s="487" t="s">
        <v>417</v>
      </c>
      <c r="C977" s="487"/>
      <c r="D977" s="487"/>
      <c r="E977" s="487"/>
      <c r="F977" s="487"/>
      <c r="G977" s="487"/>
      <c r="H977" s="487"/>
      <c r="I977" s="487"/>
      <c r="J977" s="487"/>
      <c r="K977" s="492"/>
      <c r="L977" s="492"/>
      <c r="M977" s="492"/>
      <c r="N977" s="490" t="n">
        <v>9330</v>
      </c>
      <c r="O977" s="490" t="n">
        <v>7930.5</v>
      </c>
    </row>
    <row r="978" customFormat="false" ht="36.75" hidden="false" customHeight="true" outlineLevel="0" collapsed="false">
      <c r="B978" s="487" t="s">
        <v>2590</v>
      </c>
      <c r="C978" s="488" t="n">
        <v>292</v>
      </c>
      <c r="D978" s="489" t="n">
        <v>65</v>
      </c>
      <c r="E978" s="487" t="s">
        <v>422</v>
      </c>
      <c r="F978" s="487" t="s">
        <v>411</v>
      </c>
      <c r="G978" s="487" t="s">
        <v>381</v>
      </c>
      <c r="H978" s="487"/>
      <c r="I978" s="487" t="s">
        <v>252</v>
      </c>
      <c r="J978" s="487" t="s">
        <v>1435</v>
      </c>
      <c r="K978" s="492"/>
      <c r="L978" s="492"/>
      <c r="M978" s="492"/>
      <c r="N978" s="492"/>
      <c r="O978" s="492"/>
    </row>
    <row r="979" customFormat="false" ht="36.75" hidden="false" customHeight="true" outlineLevel="0" collapsed="false">
      <c r="B979" s="487" t="s">
        <v>2624</v>
      </c>
      <c r="C979" s="488" t="n">
        <v>269</v>
      </c>
      <c r="D979" s="487" t="s">
        <v>884</v>
      </c>
      <c r="E979" s="487" t="s">
        <v>422</v>
      </c>
      <c r="F979" s="487" t="s">
        <v>799</v>
      </c>
      <c r="G979" s="487" t="s">
        <v>800</v>
      </c>
      <c r="H979" s="487" t="s">
        <v>865</v>
      </c>
      <c r="I979" s="487" t="s">
        <v>252</v>
      </c>
      <c r="J979" s="487" t="s">
        <v>1435</v>
      </c>
      <c r="K979" s="490" t="n">
        <v>32130</v>
      </c>
      <c r="L979" s="490" t="n">
        <v>16130</v>
      </c>
      <c r="M979" s="491" t="n">
        <v>18.9</v>
      </c>
      <c r="N979" s="490" t="n">
        <v>16000</v>
      </c>
      <c r="O979" s="490" t="n">
        <v>12975.8</v>
      </c>
    </row>
    <row r="980" customFormat="false" ht="12.75" hidden="true" customHeight="true" outlineLevel="1" collapsed="false">
      <c r="B980" s="487" t="s">
        <v>417</v>
      </c>
      <c r="C980" s="487"/>
      <c r="D980" s="487"/>
      <c r="E980" s="487"/>
      <c r="F980" s="487"/>
      <c r="G980" s="487"/>
      <c r="H980" s="487"/>
      <c r="I980" s="487"/>
      <c r="J980" s="487"/>
      <c r="K980" s="492"/>
      <c r="L980" s="492"/>
      <c r="M980" s="492"/>
      <c r="N980" s="490" t="n">
        <v>16000</v>
      </c>
      <c r="O980" s="490" t="n">
        <v>12975.8</v>
      </c>
    </row>
    <row r="981" customFormat="false" ht="36.75" hidden="false" customHeight="true" outlineLevel="0" collapsed="false">
      <c r="B981" s="487" t="s">
        <v>2576</v>
      </c>
      <c r="C981" s="488" t="n">
        <v>290</v>
      </c>
      <c r="D981" s="489" t="n">
        <v>69</v>
      </c>
      <c r="E981" s="487" t="s">
        <v>422</v>
      </c>
      <c r="F981" s="487" t="s">
        <v>411</v>
      </c>
      <c r="G981" s="487" t="s">
        <v>868</v>
      </c>
      <c r="H981" s="487" t="s">
        <v>865</v>
      </c>
      <c r="I981" s="487" t="s">
        <v>252</v>
      </c>
      <c r="J981" s="487" t="s">
        <v>1435</v>
      </c>
      <c r="K981" s="490" t="n">
        <v>23310</v>
      </c>
      <c r="L981" s="490" t="n">
        <v>14100</v>
      </c>
      <c r="M981" s="491" t="n">
        <v>18.5</v>
      </c>
      <c r="N981" s="490" t="n">
        <v>9210</v>
      </c>
      <c r="O981" s="490" t="n">
        <v>7506.1</v>
      </c>
    </row>
    <row r="982" customFormat="false" ht="12.75" hidden="true" customHeight="true" outlineLevel="1" collapsed="false">
      <c r="B982" s="487" t="s">
        <v>417</v>
      </c>
      <c r="C982" s="487"/>
      <c r="D982" s="487"/>
      <c r="E982" s="487"/>
      <c r="F982" s="487"/>
      <c r="G982" s="487"/>
      <c r="H982" s="487"/>
      <c r="I982" s="487"/>
      <c r="J982" s="487"/>
      <c r="K982" s="492"/>
      <c r="L982" s="492"/>
      <c r="M982" s="492"/>
      <c r="N982" s="490" t="n">
        <v>9210</v>
      </c>
      <c r="O982" s="490" t="n">
        <v>7506.1</v>
      </c>
    </row>
    <row r="983" customFormat="false" ht="36.75" hidden="false" customHeight="true" outlineLevel="0" collapsed="false">
      <c r="B983" s="487" t="s">
        <v>2577</v>
      </c>
      <c r="C983" s="488" t="n">
        <v>291</v>
      </c>
      <c r="D983" s="489" t="n">
        <v>70</v>
      </c>
      <c r="E983" s="487" t="s">
        <v>422</v>
      </c>
      <c r="F983" s="487" t="s">
        <v>378</v>
      </c>
      <c r="G983" s="487" t="s">
        <v>379</v>
      </c>
      <c r="H983" s="487" t="s">
        <v>865</v>
      </c>
      <c r="I983" s="487" t="s">
        <v>252</v>
      </c>
      <c r="J983" s="487" t="s">
        <v>1435</v>
      </c>
      <c r="K983" s="490" t="n">
        <v>9180</v>
      </c>
      <c r="L983" s="490" t="n">
        <v>4620</v>
      </c>
      <c r="M983" s="491" t="n">
        <v>15.5</v>
      </c>
      <c r="N983" s="490" t="n">
        <v>4560</v>
      </c>
      <c r="O983" s="490" t="n">
        <v>3853.2</v>
      </c>
    </row>
    <row r="984" customFormat="false" ht="12.75" hidden="true" customHeight="true" outlineLevel="1" collapsed="false">
      <c r="B984" s="487" t="s">
        <v>417</v>
      </c>
      <c r="C984" s="487"/>
      <c r="D984" s="487"/>
      <c r="E984" s="487"/>
      <c r="F984" s="487"/>
      <c r="G984" s="487"/>
      <c r="H984" s="487"/>
      <c r="I984" s="487"/>
      <c r="J984" s="487"/>
      <c r="K984" s="492"/>
      <c r="L984" s="492"/>
      <c r="M984" s="492"/>
      <c r="N984" s="490" t="n">
        <v>4560</v>
      </c>
      <c r="O984" s="490" t="n">
        <v>3853.2</v>
      </c>
    </row>
    <row r="985" customFormat="false" ht="36.75" hidden="false" customHeight="true" outlineLevel="0" collapsed="false">
      <c r="B985" s="487" t="s">
        <v>2578</v>
      </c>
      <c r="C985" s="488" t="n">
        <v>293</v>
      </c>
      <c r="D985" s="489" t="n">
        <v>71</v>
      </c>
      <c r="E985" s="487" t="s">
        <v>422</v>
      </c>
      <c r="F985" s="487" t="s">
        <v>384</v>
      </c>
      <c r="G985" s="487" t="s">
        <v>385</v>
      </c>
      <c r="H985" s="487" t="s">
        <v>865</v>
      </c>
      <c r="I985" s="487" t="s">
        <v>252</v>
      </c>
      <c r="J985" s="487" t="s">
        <v>1435</v>
      </c>
      <c r="K985" s="490" t="n">
        <v>31060</v>
      </c>
      <c r="L985" s="490" t="n">
        <v>14460</v>
      </c>
      <c r="M985" s="491" t="n">
        <v>14</v>
      </c>
      <c r="N985" s="490" t="n">
        <v>16600</v>
      </c>
      <c r="O985" s="490" t="n">
        <v>14276</v>
      </c>
    </row>
    <row r="986" customFormat="false" ht="12.75" hidden="true" customHeight="true" outlineLevel="1" collapsed="false">
      <c r="B986" s="487" t="s">
        <v>417</v>
      </c>
      <c r="C986" s="487"/>
      <c r="D986" s="487"/>
      <c r="E986" s="487"/>
      <c r="F986" s="487"/>
      <c r="G986" s="487"/>
      <c r="H986" s="487"/>
      <c r="I986" s="487"/>
      <c r="J986" s="487"/>
      <c r="K986" s="492"/>
      <c r="L986" s="492"/>
      <c r="M986" s="492"/>
      <c r="N986" s="490" t="n">
        <v>16600</v>
      </c>
      <c r="O986" s="490" t="n">
        <v>14276</v>
      </c>
    </row>
    <row r="987" customFormat="false" ht="36.75" hidden="false" customHeight="true" outlineLevel="0" collapsed="false">
      <c r="B987" s="487" t="s">
        <v>2579</v>
      </c>
      <c r="C987" s="488" t="n">
        <v>294</v>
      </c>
      <c r="D987" s="489" t="n">
        <v>72</v>
      </c>
      <c r="E987" s="487" t="s">
        <v>422</v>
      </c>
      <c r="F987" s="487" t="s">
        <v>48</v>
      </c>
      <c r="G987" s="487" t="s">
        <v>49</v>
      </c>
      <c r="H987" s="487" t="s">
        <v>870</v>
      </c>
      <c r="I987" s="487" t="s">
        <v>869</v>
      </c>
      <c r="J987" s="487" t="s">
        <v>1435</v>
      </c>
      <c r="K987" s="490" t="n">
        <v>28630</v>
      </c>
      <c r="L987" s="490" t="n">
        <v>14990</v>
      </c>
      <c r="M987" s="491" t="n">
        <v>12</v>
      </c>
      <c r="N987" s="490" t="n">
        <v>13640</v>
      </c>
      <c r="O987" s="490" t="n">
        <v>12003.2</v>
      </c>
    </row>
    <row r="988" customFormat="false" ht="12.75" hidden="true" customHeight="true" outlineLevel="1" collapsed="false">
      <c r="B988" s="487" t="s">
        <v>417</v>
      </c>
      <c r="C988" s="487"/>
      <c r="D988" s="487"/>
      <c r="E988" s="487"/>
      <c r="F988" s="487"/>
      <c r="G988" s="487"/>
      <c r="H988" s="487"/>
      <c r="I988" s="487"/>
      <c r="J988" s="487"/>
      <c r="K988" s="492"/>
      <c r="L988" s="492"/>
      <c r="M988" s="492"/>
      <c r="N988" s="490" t="n">
        <v>13640</v>
      </c>
      <c r="O988" s="490" t="n">
        <v>12003.2</v>
      </c>
    </row>
    <row r="989" customFormat="false" ht="36.75" hidden="false" customHeight="true" outlineLevel="0" collapsed="false">
      <c r="B989" s="487" t="s">
        <v>2580</v>
      </c>
      <c r="C989" s="488" t="n">
        <v>295</v>
      </c>
      <c r="D989" s="489" t="n">
        <v>73</v>
      </c>
      <c r="E989" s="487" t="s">
        <v>422</v>
      </c>
      <c r="F989" s="487" t="s">
        <v>411</v>
      </c>
      <c r="G989" s="487" t="s">
        <v>381</v>
      </c>
      <c r="H989" s="487" t="s">
        <v>870</v>
      </c>
      <c r="I989" s="487" t="s">
        <v>869</v>
      </c>
      <c r="J989" s="487" t="s">
        <v>1435</v>
      </c>
      <c r="K989" s="490" t="n">
        <v>27400</v>
      </c>
      <c r="L989" s="490" t="n">
        <v>14090</v>
      </c>
      <c r="M989" s="491" t="n">
        <v>15</v>
      </c>
      <c r="N989" s="490" t="n">
        <v>13310</v>
      </c>
      <c r="O989" s="490" t="n">
        <v>11313.5</v>
      </c>
    </row>
    <row r="990" customFormat="false" ht="12.75" hidden="true" customHeight="true" outlineLevel="1" collapsed="false">
      <c r="B990" s="487" t="s">
        <v>417</v>
      </c>
      <c r="C990" s="487"/>
      <c r="D990" s="487"/>
      <c r="E990" s="487"/>
      <c r="F990" s="487"/>
      <c r="G990" s="487"/>
      <c r="H990" s="487"/>
      <c r="I990" s="487"/>
      <c r="J990" s="487"/>
      <c r="K990" s="492"/>
      <c r="L990" s="492"/>
      <c r="M990" s="492"/>
      <c r="N990" s="490" t="n">
        <v>13310</v>
      </c>
      <c r="O990" s="490" t="n">
        <v>11313.5</v>
      </c>
    </row>
    <row r="991" customFormat="false" ht="36.75" hidden="false" customHeight="true" outlineLevel="0" collapsed="false">
      <c r="B991" s="487" t="s">
        <v>2581</v>
      </c>
      <c r="C991" s="488" t="n">
        <v>296</v>
      </c>
      <c r="D991" s="489" t="n">
        <v>74</v>
      </c>
      <c r="E991" s="487" t="s">
        <v>422</v>
      </c>
      <c r="F991" s="487" t="s">
        <v>378</v>
      </c>
      <c r="G991" s="487" t="s">
        <v>379</v>
      </c>
      <c r="H991" s="487" t="s">
        <v>870</v>
      </c>
      <c r="I991" s="487" t="s">
        <v>869</v>
      </c>
      <c r="J991" s="487" t="s">
        <v>1435</v>
      </c>
      <c r="K991" s="490" t="n">
        <v>8620</v>
      </c>
      <c r="L991" s="490" t="n">
        <v>4610</v>
      </c>
      <c r="M991" s="491" t="n">
        <v>16.5</v>
      </c>
      <c r="N991" s="490" t="n">
        <v>4010</v>
      </c>
      <c r="O991" s="490" t="n">
        <v>3348.3</v>
      </c>
    </row>
    <row r="992" customFormat="false" ht="12.75" hidden="true" customHeight="true" outlineLevel="1" collapsed="false">
      <c r="B992" s="487" t="s">
        <v>746</v>
      </c>
      <c r="C992" s="487"/>
      <c r="D992" s="487"/>
      <c r="E992" s="487"/>
      <c r="F992" s="487"/>
      <c r="G992" s="487"/>
      <c r="H992" s="487"/>
      <c r="I992" s="487"/>
      <c r="J992" s="487"/>
      <c r="K992" s="492"/>
      <c r="L992" s="492"/>
      <c r="M992" s="492"/>
      <c r="N992" s="490" t="n">
        <v>4010</v>
      </c>
      <c r="O992" s="490" t="n">
        <v>3348.3</v>
      </c>
    </row>
    <row r="993" customFormat="false" ht="36.75" hidden="false" customHeight="true" outlineLevel="0" collapsed="false">
      <c r="B993" s="487" t="s">
        <v>2582</v>
      </c>
      <c r="C993" s="488" t="n">
        <v>297</v>
      </c>
      <c r="D993" s="489" t="n">
        <v>75</v>
      </c>
      <c r="E993" s="487" t="s">
        <v>422</v>
      </c>
      <c r="F993" s="487" t="s">
        <v>384</v>
      </c>
      <c r="G993" s="487" t="s">
        <v>385</v>
      </c>
      <c r="H993" s="487" t="s">
        <v>870</v>
      </c>
      <c r="I993" s="487" t="s">
        <v>869</v>
      </c>
      <c r="J993" s="487" t="s">
        <v>1435</v>
      </c>
      <c r="K993" s="490" t="n">
        <v>31480</v>
      </c>
      <c r="L993" s="490" t="n">
        <v>14460</v>
      </c>
      <c r="M993" s="491" t="n">
        <v>12</v>
      </c>
      <c r="N993" s="490" t="n">
        <v>17020</v>
      </c>
      <c r="O993" s="490" t="n">
        <v>14977.6</v>
      </c>
    </row>
    <row r="994" customFormat="false" ht="12.75" hidden="true" customHeight="true" outlineLevel="1" collapsed="false">
      <c r="B994" s="487" t="s">
        <v>746</v>
      </c>
      <c r="C994" s="487"/>
      <c r="D994" s="487"/>
      <c r="E994" s="487"/>
      <c r="F994" s="487"/>
      <c r="G994" s="487"/>
      <c r="H994" s="487"/>
      <c r="I994" s="487"/>
      <c r="J994" s="487"/>
      <c r="K994" s="492"/>
      <c r="L994" s="492"/>
      <c r="M994" s="492"/>
      <c r="N994" s="490" t="n">
        <v>17020</v>
      </c>
      <c r="O994" s="490" t="n">
        <v>14977.6</v>
      </c>
    </row>
    <row r="995" customFormat="false" ht="36.75" hidden="false" customHeight="true" outlineLevel="0" collapsed="false">
      <c r="B995" s="487" t="s">
        <v>2583</v>
      </c>
      <c r="C995" s="488" t="n">
        <v>298</v>
      </c>
      <c r="D995" s="489" t="n">
        <v>76</v>
      </c>
      <c r="E995" s="487" t="s">
        <v>422</v>
      </c>
      <c r="F995" s="487" t="s">
        <v>48</v>
      </c>
      <c r="G995" s="487" t="s">
        <v>49</v>
      </c>
      <c r="H995" s="487" t="s">
        <v>870</v>
      </c>
      <c r="I995" s="487" t="s">
        <v>869</v>
      </c>
      <c r="J995" s="487" t="s">
        <v>1435</v>
      </c>
      <c r="K995" s="490" t="n">
        <v>28100</v>
      </c>
      <c r="L995" s="490" t="n">
        <v>14970</v>
      </c>
      <c r="M995" s="491" t="n">
        <v>17</v>
      </c>
      <c r="N995" s="490" t="n">
        <v>13130</v>
      </c>
      <c r="O995" s="490" t="n">
        <v>10897.9</v>
      </c>
    </row>
    <row r="996" customFormat="false" ht="12.75" hidden="true" customHeight="true" outlineLevel="1" collapsed="false">
      <c r="B996" s="487" t="s">
        <v>746</v>
      </c>
      <c r="C996" s="487"/>
      <c r="D996" s="487"/>
      <c r="E996" s="487"/>
      <c r="F996" s="487"/>
      <c r="G996" s="487"/>
      <c r="H996" s="487"/>
      <c r="I996" s="487"/>
      <c r="J996" s="487"/>
      <c r="K996" s="492"/>
      <c r="L996" s="492"/>
      <c r="M996" s="492"/>
      <c r="N996" s="490" t="n">
        <v>13130</v>
      </c>
      <c r="O996" s="490" t="n">
        <v>10897.9</v>
      </c>
    </row>
    <row r="997" customFormat="false" ht="36.75" hidden="false" customHeight="true" outlineLevel="0" collapsed="false">
      <c r="B997" s="487" t="s">
        <v>2586</v>
      </c>
      <c r="C997" s="488" t="n">
        <v>300</v>
      </c>
      <c r="D997" s="489" t="n">
        <v>78</v>
      </c>
      <c r="E997" s="487" t="s">
        <v>422</v>
      </c>
      <c r="F997" s="487" t="s">
        <v>378</v>
      </c>
      <c r="G997" s="487" t="s">
        <v>379</v>
      </c>
      <c r="H997" s="487" t="s">
        <v>870</v>
      </c>
      <c r="I997" s="487" t="s">
        <v>869</v>
      </c>
      <c r="J997" s="487" t="s">
        <v>1435</v>
      </c>
      <c r="K997" s="492"/>
      <c r="L997" s="492"/>
      <c r="M997" s="492"/>
      <c r="N997" s="492"/>
      <c r="O997" s="492"/>
    </row>
    <row r="998" customFormat="false" ht="36.75" hidden="false" customHeight="true" outlineLevel="0" collapsed="false">
      <c r="B998" s="487" t="s">
        <v>2584</v>
      </c>
      <c r="C998" s="488" t="n">
        <v>299</v>
      </c>
      <c r="D998" s="489" t="n">
        <v>77</v>
      </c>
      <c r="E998" s="487" t="s">
        <v>422</v>
      </c>
      <c r="F998" s="487" t="s">
        <v>411</v>
      </c>
      <c r="G998" s="487" t="s">
        <v>381</v>
      </c>
      <c r="H998" s="487" t="s">
        <v>870</v>
      </c>
      <c r="I998" s="487" t="s">
        <v>869</v>
      </c>
      <c r="J998" s="487" t="s">
        <v>1435</v>
      </c>
      <c r="K998" s="490" t="n">
        <v>27200</v>
      </c>
      <c r="L998" s="490" t="n">
        <v>14080</v>
      </c>
      <c r="M998" s="491" t="n">
        <v>11</v>
      </c>
      <c r="N998" s="490" t="n">
        <v>13120</v>
      </c>
      <c r="O998" s="490" t="n">
        <v>11676.8</v>
      </c>
    </row>
    <row r="999" customFormat="false" ht="12.75" hidden="true" customHeight="true" outlineLevel="1" collapsed="false">
      <c r="B999" s="487" t="s">
        <v>746</v>
      </c>
      <c r="C999" s="487"/>
      <c r="D999" s="487"/>
      <c r="E999" s="487"/>
      <c r="F999" s="487"/>
      <c r="G999" s="487"/>
      <c r="H999" s="487"/>
      <c r="I999" s="487"/>
      <c r="J999" s="487"/>
      <c r="K999" s="492"/>
      <c r="L999" s="492"/>
      <c r="M999" s="492"/>
      <c r="N999" s="490" t="n">
        <v>13120</v>
      </c>
      <c r="O999" s="490" t="n">
        <v>11676.8</v>
      </c>
    </row>
    <row r="1000" customFormat="false" ht="36.75" hidden="false" customHeight="true" outlineLevel="0" collapsed="false">
      <c r="B1000" s="487" t="s">
        <v>2585</v>
      </c>
      <c r="C1000" s="488" t="n">
        <v>300</v>
      </c>
      <c r="D1000" s="489" t="n">
        <v>78</v>
      </c>
      <c r="E1000" s="487" t="s">
        <v>422</v>
      </c>
      <c r="F1000" s="487" t="s">
        <v>378</v>
      </c>
      <c r="G1000" s="487" t="s">
        <v>379</v>
      </c>
      <c r="H1000" s="487" t="s">
        <v>870</v>
      </c>
      <c r="I1000" s="487" t="s">
        <v>869</v>
      </c>
      <c r="J1000" s="487" t="s">
        <v>1435</v>
      </c>
      <c r="K1000" s="490" t="n">
        <v>9060</v>
      </c>
      <c r="L1000" s="490" t="n">
        <v>4530</v>
      </c>
      <c r="M1000" s="491" t="n">
        <v>9.5</v>
      </c>
      <c r="N1000" s="490" t="n">
        <v>4530</v>
      </c>
      <c r="O1000" s="490" t="n">
        <v>4099.6</v>
      </c>
    </row>
    <row r="1001" customFormat="false" ht="12.75" hidden="true" customHeight="true" outlineLevel="1" collapsed="false">
      <c r="B1001" s="487" t="s">
        <v>746</v>
      </c>
      <c r="C1001" s="487"/>
      <c r="D1001" s="487"/>
      <c r="E1001" s="487"/>
      <c r="F1001" s="487"/>
      <c r="G1001" s="487"/>
      <c r="H1001" s="487"/>
      <c r="I1001" s="487"/>
      <c r="J1001" s="487"/>
      <c r="K1001" s="492"/>
      <c r="L1001" s="492"/>
      <c r="M1001" s="492"/>
      <c r="N1001" s="490" t="n">
        <v>4530</v>
      </c>
      <c r="O1001" s="490" t="n">
        <v>4099.6</v>
      </c>
    </row>
    <row r="1002" customFormat="false" ht="36.75" hidden="false" customHeight="true" outlineLevel="0" collapsed="false">
      <c r="B1002" s="487" t="s">
        <v>2587</v>
      </c>
      <c r="C1002" s="488" t="n">
        <v>302</v>
      </c>
      <c r="D1002" s="489" t="n">
        <v>80</v>
      </c>
      <c r="E1002" s="487" t="s">
        <v>422</v>
      </c>
      <c r="F1002" s="487" t="s">
        <v>384</v>
      </c>
      <c r="G1002" s="487" t="s">
        <v>385</v>
      </c>
      <c r="H1002" s="487" t="s">
        <v>870</v>
      </c>
      <c r="I1002" s="487" t="s">
        <v>869</v>
      </c>
      <c r="J1002" s="487" t="s">
        <v>1435</v>
      </c>
      <c r="K1002" s="490" t="n">
        <v>20660</v>
      </c>
      <c r="L1002" s="490" t="n">
        <v>14450</v>
      </c>
      <c r="M1002" s="491" t="n">
        <v>11.5</v>
      </c>
      <c r="N1002" s="490" t="n">
        <v>6210</v>
      </c>
      <c r="O1002" s="490" t="n">
        <v>5495.8</v>
      </c>
    </row>
    <row r="1003" customFormat="false" ht="12.75" hidden="true" customHeight="true" outlineLevel="1" collapsed="false">
      <c r="B1003" s="487" t="s">
        <v>746</v>
      </c>
      <c r="C1003" s="487"/>
      <c r="D1003" s="487"/>
      <c r="E1003" s="487"/>
      <c r="F1003" s="487"/>
      <c r="G1003" s="487"/>
      <c r="H1003" s="487"/>
      <c r="I1003" s="487"/>
      <c r="J1003" s="487"/>
      <c r="K1003" s="492"/>
      <c r="L1003" s="492"/>
      <c r="M1003" s="492"/>
      <c r="N1003" s="490" t="n">
        <v>6210</v>
      </c>
      <c r="O1003" s="490" t="n">
        <v>5495.8</v>
      </c>
    </row>
    <row r="1004" customFormat="false" ht="36.75" hidden="false" customHeight="true" outlineLevel="0" collapsed="false">
      <c r="B1004" s="487" t="s">
        <v>2588</v>
      </c>
      <c r="C1004" s="488" t="n">
        <v>301</v>
      </c>
      <c r="D1004" s="489" t="n">
        <v>79</v>
      </c>
      <c r="E1004" s="487" t="s">
        <v>422</v>
      </c>
      <c r="F1004" s="487" t="s">
        <v>384</v>
      </c>
      <c r="G1004" s="487" t="s">
        <v>385</v>
      </c>
      <c r="H1004" s="487" t="s">
        <v>730</v>
      </c>
      <c r="I1004" s="487" t="s">
        <v>66</v>
      </c>
      <c r="J1004" s="487" t="s">
        <v>1435</v>
      </c>
      <c r="K1004" s="490" t="n">
        <v>27510</v>
      </c>
      <c r="L1004" s="490" t="n">
        <v>20660</v>
      </c>
      <c r="M1004" s="491" t="n">
        <v>13.5</v>
      </c>
      <c r="N1004" s="490" t="n">
        <v>6850</v>
      </c>
      <c r="O1004" s="490" t="n">
        <v>5925.2</v>
      </c>
    </row>
    <row r="1005" customFormat="false" ht="12.75" hidden="true" customHeight="true" outlineLevel="1" collapsed="false">
      <c r="B1005" s="487" t="s">
        <v>417</v>
      </c>
      <c r="C1005" s="487"/>
      <c r="D1005" s="487"/>
      <c r="E1005" s="487"/>
      <c r="F1005" s="487"/>
      <c r="G1005" s="487"/>
      <c r="H1005" s="487"/>
      <c r="I1005" s="487"/>
      <c r="J1005" s="487"/>
      <c r="K1005" s="492"/>
      <c r="L1005" s="492"/>
      <c r="M1005" s="492"/>
      <c r="N1005" s="490" t="n">
        <v>6850</v>
      </c>
      <c r="O1005" s="490" t="n">
        <v>5925.2</v>
      </c>
    </row>
    <row r="1006" customFormat="false" ht="36.75" hidden="false" customHeight="true" outlineLevel="0" collapsed="false">
      <c r="B1006" s="487" t="s">
        <v>2589</v>
      </c>
      <c r="C1006" s="488" t="n">
        <v>303</v>
      </c>
      <c r="D1006" s="489" t="n">
        <v>81</v>
      </c>
      <c r="E1006" s="487" t="s">
        <v>422</v>
      </c>
      <c r="F1006" s="487" t="s">
        <v>48</v>
      </c>
      <c r="G1006" s="487" t="s">
        <v>49</v>
      </c>
      <c r="H1006" s="487" t="s">
        <v>730</v>
      </c>
      <c r="I1006" s="487" t="s">
        <v>66</v>
      </c>
      <c r="J1006" s="487" t="s">
        <v>1435</v>
      </c>
      <c r="K1006" s="490" t="n">
        <v>28740</v>
      </c>
      <c r="L1006" s="490" t="n">
        <v>14970</v>
      </c>
      <c r="M1006" s="491" t="n">
        <v>16</v>
      </c>
      <c r="N1006" s="490" t="n">
        <v>13770</v>
      </c>
      <c r="O1006" s="490" t="n">
        <v>11566.8</v>
      </c>
    </row>
    <row r="1007" customFormat="false" ht="12.75" hidden="true" customHeight="true" outlineLevel="1" collapsed="false">
      <c r="B1007" s="487" t="s">
        <v>417</v>
      </c>
      <c r="C1007" s="487"/>
      <c r="D1007" s="487"/>
      <c r="E1007" s="487"/>
      <c r="F1007" s="487"/>
      <c r="G1007" s="487"/>
      <c r="H1007" s="487"/>
      <c r="I1007" s="487"/>
      <c r="J1007" s="487"/>
      <c r="K1007" s="492"/>
      <c r="L1007" s="492"/>
      <c r="M1007" s="492"/>
      <c r="N1007" s="490" t="n">
        <v>13770</v>
      </c>
      <c r="O1007" s="490" t="n">
        <v>11566.8</v>
      </c>
    </row>
    <row r="1008" customFormat="false" ht="36.75" hidden="false" customHeight="true" outlineLevel="0" collapsed="false">
      <c r="B1008" s="487" t="s">
        <v>2591</v>
      </c>
      <c r="C1008" s="488" t="n">
        <v>304</v>
      </c>
      <c r="D1008" s="489" t="n">
        <v>82</v>
      </c>
      <c r="E1008" s="487" t="s">
        <v>422</v>
      </c>
      <c r="F1008" s="487" t="s">
        <v>411</v>
      </c>
      <c r="G1008" s="487" t="s">
        <v>381</v>
      </c>
      <c r="H1008" s="487" t="s">
        <v>730</v>
      </c>
      <c r="I1008" s="487" t="s">
        <v>66</v>
      </c>
      <c r="J1008" s="487" t="s">
        <v>1435</v>
      </c>
      <c r="K1008" s="490" t="n">
        <v>27790</v>
      </c>
      <c r="L1008" s="490" t="n">
        <v>14070</v>
      </c>
      <c r="M1008" s="491" t="n">
        <v>9</v>
      </c>
      <c r="N1008" s="490" t="n">
        <v>13720</v>
      </c>
      <c r="O1008" s="490" t="n">
        <v>12485.2</v>
      </c>
    </row>
    <row r="1009" customFormat="false" ht="12.75" hidden="true" customHeight="true" outlineLevel="1" collapsed="false">
      <c r="B1009" s="487" t="s">
        <v>417</v>
      </c>
      <c r="C1009" s="487"/>
      <c r="D1009" s="487"/>
      <c r="E1009" s="487"/>
      <c r="F1009" s="487"/>
      <c r="G1009" s="487"/>
      <c r="H1009" s="487"/>
      <c r="I1009" s="487"/>
      <c r="J1009" s="487"/>
      <c r="K1009" s="492"/>
      <c r="L1009" s="492"/>
      <c r="M1009" s="492"/>
      <c r="N1009" s="490" t="n">
        <v>13720</v>
      </c>
      <c r="O1009" s="490" t="n">
        <v>12485.2</v>
      </c>
    </row>
    <row r="1010" customFormat="false" ht="36.75" hidden="false" customHeight="true" outlineLevel="0" collapsed="false">
      <c r="B1010" s="487" t="s">
        <v>2592</v>
      </c>
      <c r="C1010" s="488" t="n">
        <v>305</v>
      </c>
      <c r="D1010" s="489" t="n">
        <v>83</v>
      </c>
      <c r="E1010" s="487" t="s">
        <v>422</v>
      </c>
      <c r="F1010" s="487" t="s">
        <v>378</v>
      </c>
      <c r="G1010" s="487" t="s">
        <v>379</v>
      </c>
      <c r="H1010" s="487" t="s">
        <v>730</v>
      </c>
      <c r="I1010" s="487" t="s">
        <v>66</v>
      </c>
      <c r="J1010" s="487" t="s">
        <v>1435</v>
      </c>
      <c r="K1010" s="490" t="n">
        <v>9040</v>
      </c>
      <c r="L1010" s="490" t="n">
        <v>4520</v>
      </c>
      <c r="M1010" s="491" t="n">
        <v>7.5</v>
      </c>
      <c r="N1010" s="490" t="n">
        <v>4520</v>
      </c>
      <c r="O1010" s="490" t="n">
        <v>4181</v>
      </c>
    </row>
    <row r="1011" customFormat="false" ht="12.75" hidden="true" customHeight="true" outlineLevel="1" collapsed="false">
      <c r="B1011" s="487" t="s">
        <v>417</v>
      </c>
      <c r="C1011" s="487"/>
      <c r="D1011" s="487"/>
      <c r="E1011" s="487"/>
      <c r="F1011" s="487"/>
      <c r="G1011" s="487"/>
      <c r="H1011" s="487"/>
      <c r="I1011" s="487"/>
      <c r="J1011" s="487"/>
      <c r="K1011" s="492"/>
      <c r="L1011" s="492"/>
      <c r="M1011" s="492"/>
      <c r="N1011" s="490" t="n">
        <v>4520</v>
      </c>
      <c r="O1011" s="490" t="n">
        <v>4181</v>
      </c>
    </row>
    <row r="1012" customFormat="false" ht="36.75" hidden="false" customHeight="true" outlineLevel="0" collapsed="false">
      <c r="B1012" s="487" t="s">
        <v>2593</v>
      </c>
      <c r="C1012" s="488" t="n">
        <v>306</v>
      </c>
      <c r="D1012" s="489" t="n">
        <v>84</v>
      </c>
      <c r="E1012" s="487" t="s">
        <v>422</v>
      </c>
      <c r="F1012" s="487" t="s">
        <v>384</v>
      </c>
      <c r="G1012" s="487" t="s">
        <v>385</v>
      </c>
      <c r="H1012" s="487" t="s">
        <v>730</v>
      </c>
      <c r="I1012" s="487" t="s">
        <v>66</v>
      </c>
      <c r="J1012" s="487" t="s">
        <v>1435</v>
      </c>
      <c r="K1012" s="490" t="n">
        <v>27630</v>
      </c>
      <c r="L1012" s="490" t="n">
        <v>14440</v>
      </c>
      <c r="M1012" s="491" t="n">
        <v>9.5</v>
      </c>
      <c r="N1012" s="490" t="n">
        <v>13190</v>
      </c>
      <c r="O1012" s="490" t="n">
        <v>11936.9</v>
      </c>
    </row>
    <row r="1013" customFormat="false" ht="12.75" hidden="true" customHeight="true" outlineLevel="1" collapsed="false">
      <c r="B1013" s="487" t="s">
        <v>417</v>
      </c>
      <c r="C1013" s="487"/>
      <c r="D1013" s="487"/>
      <c r="E1013" s="487"/>
      <c r="F1013" s="487"/>
      <c r="G1013" s="487"/>
      <c r="H1013" s="487"/>
      <c r="I1013" s="487"/>
      <c r="J1013" s="487"/>
      <c r="K1013" s="492"/>
      <c r="L1013" s="492"/>
      <c r="M1013" s="492"/>
      <c r="N1013" s="490" t="n">
        <v>13190</v>
      </c>
      <c r="O1013" s="490" t="n">
        <v>11936.9</v>
      </c>
    </row>
    <row r="1014" customFormat="false" ht="36.75" hidden="false" customHeight="true" outlineLevel="0" collapsed="false">
      <c r="B1014" s="487" t="s">
        <v>2594</v>
      </c>
      <c r="C1014" s="488" t="n">
        <v>307</v>
      </c>
      <c r="D1014" s="489" t="n">
        <v>85</v>
      </c>
      <c r="E1014" s="487" t="s">
        <v>422</v>
      </c>
      <c r="F1014" s="487" t="s">
        <v>48</v>
      </c>
      <c r="G1014" s="487" t="s">
        <v>49</v>
      </c>
      <c r="H1014" s="487" t="s">
        <v>730</v>
      </c>
      <c r="I1014" s="487" t="s">
        <v>66</v>
      </c>
      <c r="J1014" s="487" t="s">
        <v>1435</v>
      </c>
      <c r="K1014" s="490" t="n">
        <v>28590</v>
      </c>
      <c r="L1014" s="490" t="n">
        <v>14950</v>
      </c>
      <c r="M1014" s="491" t="n">
        <v>9.5</v>
      </c>
      <c r="N1014" s="490" t="n">
        <v>13640</v>
      </c>
      <c r="O1014" s="490" t="n">
        <v>12344.2</v>
      </c>
    </row>
    <row r="1015" customFormat="false" ht="12.75" hidden="true" customHeight="true" outlineLevel="1" collapsed="false">
      <c r="B1015" s="487" t="s">
        <v>417</v>
      </c>
      <c r="C1015" s="487"/>
      <c r="D1015" s="487"/>
      <c r="E1015" s="487"/>
      <c r="F1015" s="487"/>
      <c r="G1015" s="487"/>
      <c r="H1015" s="487"/>
      <c r="I1015" s="487"/>
      <c r="J1015" s="487"/>
      <c r="K1015" s="492"/>
      <c r="L1015" s="492"/>
      <c r="M1015" s="492"/>
      <c r="N1015" s="490" t="n">
        <v>13640</v>
      </c>
      <c r="O1015" s="490" t="n">
        <v>12344.2</v>
      </c>
    </row>
    <row r="1016" customFormat="false" ht="36.75" hidden="false" customHeight="true" outlineLevel="0" collapsed="false">
      <c r="B1016" s="487" t="s">
        <v>2595</v>
      </c>
      <c r="C1016" s="488" t="n">
        <v>309</v>
      </c>
      <c r="D1016" s="489" t="n">
        <v>86</v>
      </c>
      <c r="E1016" s="487" t="s">
        <v>422</v>
      </c>
      <c r="F1016" s="487" t="s">
        <v>872</v>
      </c>
      <c r="G1016" s="487" t="s">
        <v>364</v>
      </c>
      <c r="H1016" s="487" t="s">
        <v>730</v>
      </c>
      <c r="I1016" s="487" t="s">
        <v>66</v>
      </c>
      <c r="J1016" s="487" t="s">
        <v>1435</v>
      </c>
      <c r="K1016" s="490" t="n">
        <v>27300</v>
      </c>
      <c r="L1016" s="490" t="n">
        <v>14610</v>
      </c>
      <c r="M1016" s="491" t="n">
        <v>10.5</v>
      </c>
      <c r="N1016" s="490" t="n">
        <v>12690</v>
      </c>
      <c r="O1016" s="490" t="n">
        <v>11357.5</v>
      </c>
    </row>
    <row r="1017" customFormat="false" ht="12.75" hidden="true" customHeight="true" outlineLevel="1" collapsed="false">
      <c r="B1017" s="487" t="s">
        <v>417</v>
      </c>
      <c r="C1017" s="487"/>
      <c r="D1017" s="487"/>
      <c r="E1017" s="487"/>
      <c r="F1017" s="487"/>
      <c r="G1017" s="487"/>
      <c r="H1017" s="487"/>
      <c r="I1017" s="487"/>
      <c r="J1017" s="487"/>
      <c r="K1017" s="492"/>
      <c r="L1017" s="492"/>
      <c r="M1017" s="492"/>
      <c r="N1017" s="490" t="n">
        <v>12690</v>
      </c>
      <c r="O1017" s="490" t="n">
        <v>11357.5</v>
      </c>
    </row>
    <row r="1018" customFormat="false" ht="36.75" hidden="false" customHeight="true" outlineLevel="0" collapsed="false">
      <c r="B1018" s="487" t="s">
        <v>2596</v>
      </c>
      <c r="C1018" s="488" t="n">
        <v>310</v>
      </c>
      <c r="D1018" s="489" t="n">
        <v>87</v>
      </c>
      <c r="E1018" s="487" t="s">
        <v>867</v>
      </c>
      <c r="F1018" s="487" t="s">
        <v>374</v>
      </c>
      <c r="G1018" s="487" t="s">
        <v>375</v>
      </c>
      <c r="H1018" s="487" t="s">
        <v>730</v>
      </c>
      <c r="I1018" s="487" t="s">
        <v>66</v>
      </c>
      <c r="J1018" s="487" t="s">
        <v>1435</v>
      </c>
      <c r="K1018" s="490" t="n">
        <v>9060</v>
      </c>
      <c r="L1018" s="490" t="n">
        <v>4570</v>
      </c>
      <c r="M1018" s="491" t="n">
        <v>14</v>
      </c>
      <c r="N1018" s="490" t="n">
        <v>4490</v>
      </c>
      <c r="O1018" s="490" t="n">
        <v>3861.4</v>
      </c>
    </row>
    <row r="1019" customFormat="false" ht="12.75" hidden="true" customHeight="true" outlineLevel="1" collapsed="false">
      <c r="B1019" s="487" t="s">
        <v>417</v>
      </c>
      <c r="C1019" s="487"/>
      <c r="D1019" s="487"/>
      <c r="E1019" s="487"/>
      <c r="F1019" s="487"/>
      <c r="G1019" s="487"/>
      <c r="H1019" s="487"/>
      <c r="I1019" s="487"/>
      <c r="J1019" s="487"/>
      <c r="K1019" s="492"/>
      <c r="L1019" s="492"/>
      <c r="M1019" s="492"/>
      <c r="N1019" s="490" t="n">
        <v>4490</v>
      </c>
      <c r="O1019" s="490" t="n">
        <v>3861.4</v>
      </c>
    </row>
    <row r="1020" customFormat="false" ht="36.75" hidden="false" customHeight="true" outlineLevel="0" collapsed="false">
      <c r="B1020" s="487" t="s">
        <v>2597</v>
      </c>
      <c r="C1020" s="488" t="n">
        <v>311</v>
      </c>
      <c r="D1020" s="489" t="n">
        <v>88</v>
      </c>
      <c r="E1020" s="487" t="s">
        <v>422</v>
      </c>
      <c r="F1020" s="487" t="s">
        <v>376</v>
      </c>
      <c r="G1020" s="487" t="s">
        <v>377</v>
      </c>
      <c r="H1020" s="487" t="s">
        <v>730</v>
      </c>
      <c r="I1020" s="487" t="s">
        <v>66</v>
      </c>
      <c r="J1020" s="487" t="s">
        <v>1435</v>
      </c>
      <c r="K1020" s="490" t="n">
        <v>28280</v>
      </c>
      <c r="L1020" s="490" t="n">
        <v>14320</v>
      </c>
      <c r="M1020" s="491" t="n">
        <v>12.5</v>
      </c>
      <c r="N1020" s="490" t="n">
        <v>13960</v>
      </c>
      <c r="O1020" s="490" t="n">
        <v>12215</v>
      </c>
    </row>
    <row r="1021" customFormat="false" ht="12.75" hidden="true" customHeight="true" outlineLevel="1" collapsed="false">
      <c r="B1021" s="487" t="s">
        <v>417</v>
      </c>
      <c r="C1021" s="487"/>
      <c r="D1021" s="487"/>
      <c r="E1021" s="487"/>
      <c r="F1021" s="487"/>
      <c r="G1021" s="487"/>
      <c r="H1021" s="487"/>
      <c r="I1021" s="487"/>
      <c r="J1021" s="487"/>
      <c r="K1021" s="492"/>
      <c r="L1021" s="492"/>
      <c r="M1021" s="492"/>
      <c r="N1021" s="490" t="n">
        <v>13960</v>
      </c>
      <c r="O1021" s="490" t="n">
        <v>12215</v>
      </c>
    </row>
    <row r="1022" customFormat="false" ht="36.75" hidden="false" customHeight="true" outlineLevel="0" collapsed="false">
      <c r="B1022" s="487" t="s">
        <v>2598</v>
      </c>
      <c r="C1022" s="488" t="n">
        <v>313</v>
      </c>
      <c r="D1022" s="489" t="n">
        <v>89</v>
      </c>
      <c r="E1022" s="487" t="s">
        <v>422</v>
      </c>
      <c r="F1022" s="487" t="s">
        <v>371</v>
      </c>
      <c r="G1022" s="487" t="s">
        <v>372</v>
      </c>
      <c r="H1022" s="487" t="s">
        <v>730</v>
      </c>
      <c r="I1022" s="487" t="s">
        <v>66</v>
      </c>
      <c r="J1022" s="487" t="s">
        <v>1435</v>
      </c>
      <c r="K1022" s="490" t="n">
        <v>28870</v>
      </c>
      <c r="L1022" s="490" t="n">
        <v>14930</v>
      </c>
      <c r="M1022" s="491" t="n">
        <v>11</v>
      </c>
      <c r="N1022" s="490" t="n">
        <v>13940</v>
      </c>
      <c r="O1022" s="490" t="n">
        <v>12406.6</v>
      </c>
    </row>
    <row r="1023" customFormat="false" ht="12.75" hidden="true" customHeight="true" outlineLevel="1" collapsed="false">
      <c r="B1023" s="487" t="s">
        <v>746</v>
      </c>
      <c r="C1023" s="487"/>
      <c r="D1023" s="487"/>
      <c r="E1023" s="487"/>
      <c r="F1023" s="487"/>
      <c r="G1023" s="487"/>
      <c r="H1023" s="487"/>
      <c r="I1023" s="487"/>
      <c r="J1023" s="487"/>
      <c r="K1023" s="492"/>
      <c r="L1023" s="492"/>
      <c r="M1023" s="492"/>
      <c r="N1023" s="490" t="n">
        <v>13940</v>
      </c>
      <c r="O1023" s="490" t="n">
        <v>12406.6</v>
      </c>
    </row>
    <row r="1024" customFormat="false" ht="36.75" hidden="false" customHeight="true" outlineLevel="0" collapsed="false">
      <c r="B1024" s="487" t="s">
        <v>2599</v>
      </c>
      <c r="C1024" s="488" t="n">
        <v>314</v>
      </c>
      <c r="D1024" s="489" t="n">
        <v>90</v>
      </c>
      <c r="E1024" s="487" t="s">
        <v>422</v>
      </c>
      <c r="F1024" s="487" t="s">
        <v>457</v>
      </c>
      <c r="G1024" s="487" t="s">
        <v>366</v>
      </c>
      <c r="H1024" s="487" t="s">
        <v>730</v>
      </c>
      <c r="I1024" s="487" t="s">
        <v>66</v>
      </c>
      <c r="J1024" s="487" t="s">
        <v>1435</v>
      </c>
      <c r="K1024" s="490" t="n">
        <v>29020</v>
      </c>
      <c r="L1024" s="490" t="n">
        <v>14980</v>
      </c>
      <c r="M1024" s="491" t="n">
        <v>14</v>
      </c>
      <c r="N1024" s="490" t="n">
        <v>14040</v>
      </c>
      <c r="O1024" s="490" t="n">
        <v>12074.4</v>
      </c>
    </row>
    <row r="1025" customFormat="false" ht="12.75" hidden="true" customHeight="true" outlineLevel="1" collapsed="false">
      <c r="B1025" s="487" t="s">
        <v>746</v>
      </c>
      <c r="C1025" s="487"/>
      <c r="D1025" s="487"/>
      <c r="E1025" s="487"/>
      <c r="F1025" s="487"/>
      <c r="G1025" s="487"/>
      <c r="H1025" s="487"/>
      <c r="I1025" s="487"/>
      <c r="J1025" s="487"/>
      <c r="K1025" s="492"/>
      <c r="L1025" s="492"/>
      <c r="M1025" s="492"/>
      <c r="N1025" s="490" t="n">
        <v>14040</v>
      </c>
      <c r="O1025" s="490" t="n">
        <v>12074.4</v>
      </c>
    </row>
    <row r="1026" customFormat="false" ht="36.75" hidden="false" customHeight="true" outlineLevel="0" collapsed="false">
      <c r="B1026" s="487" t="s">
        <v>2600</v>
      </c>
      <c r="C1026" s="488" t="n">
        <v>316</v>
      </c>
      <c r="D1026" s="489" t="n">
        <v>91</v>
      </c>
      <c r="E1026" s="487" t="s">
        <v>867</v>
      </c>
      <c r="F1026" s="487" t="s">
        <v>374</v>
      </c>
      <c r="G1026" s="487" t="s">
        <v>375</v>
      </c>
      <c r="H1026" s="487" t="s">
        <v>873</v>
      </c>
      <c r="I1026" s="487" t="s">
        <v>66</v>
      </c>
      <c r="J1026" s="487" t="s">
        <v>1435</v>
      </c>
      <c r="K1026" s="490" t="n">
        <v>9360</v>
      </c>
      <c r="L1026" s="490" t="n">
        <v>4590</v>
      </c>
      <c r="M1026" s="491" t="n">
        <v>22</v>
      </c>
      <c r="N1026" s="490" t="n">
        <v>4770</v>
      </c>
      <c r="O1026" s="490" t="n">
        <v>3720.6</v>
      </c>
    </row>
    <row r="1027" customFormat="false" ht="12.75" hidden="true" customHeight="true" outlineLevel="1" collapsed="false">
      <c r="B1027" s="487" t="s">
        <v>417</v>
      </c>
      <c r="C1027" s="487"/>
      <c r="D1027" s="487"/>
      <c r="E1027" s="487"/>
      <c r="F1027" s="487"/>
      <c r="G1027" s="487"/>
      <c r="H1027" s="487"/>
      <c r="I1027" s="487"/>
      <c r="J1027" s="487"/>
      <c r="K1027" s="492"/>
      <c r="L1027" s="492"/>
      <c r="M1027" s="492"/>
      <c r="N1027" s="490" t="n">
        <v>4770</v>
      </c>
      <c r="O1027" s="490" t="n">
        <v>3720.6</v>
      </c>
    </row>
    <row r="1028" customFormat="false" ht="36.75" hidden="false" customHeight="true" outlineLevel="0" collapsed="false">
      <c r="B1028" s="487" t="s">
        <v>2601</v>
      </c>
      <c r="C1028" s="488" t="n">
        <v>317</v>
      </c>
      <c r="D1028" s="489" t="n">
        <v>92</v>
      </c>
      <c r="E1028" s="487" t="s">
        <v>422</v>
      </c>
      <c r="F1028" s="487" t="s">
        <v>363</v>
      </c>
      <c r="G1028" s="487" t="s">
        <v>364</v>
      </c>
      <c r="H1028" s="487" t="s">
        <v>730</v>
      </c>
      <c r="I1028" s="487" t="s">
        <v>66</v>
      </c>
      <c r="J1028" s="487" t="s">
        <v>1435</v>
      </c>
      <c r="K1028" s="490" t="n">
        <v>28500</v>
      </c>
      <c r="L1028" s="490" t="n">
        <v>14590</v>
      </c>
      <c r="M1028" s="491" t="n">
        <v>23</v>
      </c>
      <c r="N1028" s="490" t="n">
        <v>13910</v>
      </c>
      <c r="O1028" s="490" t="n">
        <v>10710.7</v>
      </c>
    </row>
    <row r="1029" customFormat="false" ht="12.75" hidden="true" customHeight="true" outlineLevel="1" collapsed="false">
      <c r="B1029" s="487" t="s">
        <v>746</v>
      </c>
      <c r="C1029" s="487"/>
      <c r="D1029" s="487"/>
      <c r="E1029" s="487"/>
      <c r="F1029" s="487"/>
      <c r="G1029" s="487"/>
      <c r="H1029" s="487"/>
      <c r="I1029" s="487"/>
      <c r="J1029" s="487"/>
      <c r="K1029" s="492"/>
      <c r="L1029" s="492"/>
      <c r="M1029" s="492"/>
      <c r="N1029" s="490" t="n">
        <v>13910</v>
      </c>
      <c r="O1029" s="490" t="n">
        <v>10710.7</v>
      </c>
    </row>
    <row r="1030" customFormat="false" ht="36.75" hidden="false" customHeight="true" outlineLevel="0" collapsed="false">
      <c r="B1030" s="487" t="s">
        <v>2602</v>
      </c>
      <c r="C1030" s="488" t="n">
        <v>318</v>
      </c>
      <c r="D1030" s="489" t="n">
        <v>93</v>
      </c>
      <c r="E1030" s="487" t="s">
        <v>422</v>
      </c>
      <c r="F1030" s="487" t="s">
        <v>376</v>
      </c>
      <c r="G1030" s="487" t="s">
        <v>875</v>
      </c>
      <c r="H1030" s="487" t="s">
        <v>730</v>
      </c>
      <c r="I1030" s="487" t="s">
        <v>66</v>
      </c>
      <c r="J1030" s="487" t="s">
        <v>1435</v>
      </c>
      <c r="K1030" s="490" t="n">
        <v>25680</v>
      </c>
      <c r="L1030" s="490" t="n">
        <v>14310</v>
      </c>
      <c r="M1030" s="491" t="n">
        <v>14</v>
      </c>
      <c r="N1030" s="490" t="n">
        <v>11370</v>
      </c>
      <c r="O1030" s="490" t="n">
        <v>9778.2</v>
      </c>
    </row>
    <row r="1031" customFormat="false" ht="12.75" hidden="true" customHeight="true" outlineLevel="1" collapsed="false">
      <c r="B1031" s="487" t="s">
        <v>746</v>
      </c>
      <c r="C1031" s="487"/>
      <c r="D1031" s="487"/>
      <c r="E1031" s="487"/>
      <c r="F1031" s="487"/>
      <c r="G1031" s="487"/>
      <c r="H1031" s="487"/>
      <c r="I1031" s="487"/>
      <c r="J1031" s="487"/>
      <c r="K1031" s="492"/>
      <c r="L1031" s="492"/>
      <c r="M1031" s="492"/>
      <c r="N1031" s="490" t="n">
        <v>11370</v>
      </c>
      <c r="O1031" s="490" t="n">
        <v>9778.2</v>
      </c>
    </row>
    <row r="1032" customFormat="false" ht="36.75" hidden="false" customHeight="true" outlineLevel="0" collapsed="false">
      <c r="B1032" s="487" t="s">
        <v>2603</v>
      </c>
      <c r="C1032" s="488" t="n">
        <v>319</v>
      </c>
      <c r="D1032" s="489" t="n">
        <v>94</v>
      </c>
      <c r="E1032" s="487" t="s">
        <v>422</v>
      </c>
      <c r="F1032" s="487" t="s">
        <v>374</v>
      </c>
      <c r="G1032" s="487" t="s">
        <v>375</v>
      </c>
      <c r="H1032" s="487" t="s">
        <v>873</v>
      </c>
      <c r="I1032" s="487" t="s">
        <v>66</v>
      </c>
      <c r="J1032" s="487" t="s">
        <v>1435</v>
      </c>
      <c r="K1032" s="490" t="n">
        <v>9380</v>
      </c>
      <c r="L1032" s="490" t="n">
        <v>4590</v>
      </c>
      <c r="M1032" s="491" t="n">
        <v>17.5</v>
      </c>
      <c r="N1032" s="490" t="n">
        <v>4790</v>
      </c>
      <c r="O1032" s="490" t="n">
        <v>3951.7</v>
      </c>
    </row>
    <row r="1033" customFormat="false" ht="12.75" hidden="true" customHeight="true" outlineLevel="1" collapsed="false">
      <c r="B1033" s="487" t="s">
        <v>417</v>
      </c>
      <c r="C1033" s="487"/>
      <c r="D1033" s="487"/>
      <c r="E1033" s="487"/>
      <c r="F1033" s="487"/>
      <c r="G1033" s="487"/>
      <c r="H1033" s="487"/>
      <c r="I1033" s="487"/>
      <c r="J1033" s="487"/>
      <c r="K1033" s="492"/>
      <c r="L1033" s="492"/>
      <c r="M1033" s="492"/>
      <c r="N1033" s="490" t="n">
        <v>4790</v>
      </c>
      <c r="O1033" s="490" t="n">
        <v>3951.7</v>
      </c>
    </row>
    <row r="1034" customFormat="false" ht="36.75" hidden="false" customHeight="true" outlineLevel="0" collapsed="false">
      <c r="B1034" s="487" t="s">
        <v>2604</v>
      </c>
      <c r="C1034" s="488" t="n">
        <v>320</v>
      </c>
      <c r="D1034" s="489" t="n">
        <v>95</v>
      </c>
      <c r="E1034" s="487" t="s">
        <v>422</v>
      </c>
      <c r="F1034" s="487" t="s">
        <v>371</v>
      </c>
      <c r="G1034" s="487" t="s">
        <v>372</v>
      </c>
      <c r="H1034" s="487" t="s">
        <v>730</v>
      </c>
      <c r="I1034" s="487" t="s">
        <v>66</v>
      </c>
      <c r="J1034" s="487" t="s">
        <v>1435</v>
      </c>
      <c r="K1034" s="490" t="n">
        <v>28720</v>
      </c>
      <c r="L1034" s="490" t="n">
        <v>14930</v>
      </c>
      <c r="M1034" s="491" t="n">
        <v>8.5</v>
      </c>
      <c r="N1034" s="490" t="n">
        <v>13790</v>
      </c>
      <c r="O1034" s="490" t="n">
        <v>12617.8</v>
      </c>
    </row>
    <row r="1035" customFormat="false" ht="12.75" hidden="true" customHeight="true" outlineLevel="1" collapsed="false">
      <c r="B1035" s="487" t="s">
        <v>746</v>
      </c>
      <c r="C1035" s="487"/>
      <c r="D1035" s="487"/>
      <c r="E1035" s="487"/>
      <c r="F1035" s="487"/>
      <c r="G1035" s="487"/>
      <c r="H1035" s="487"/>
      <c r="I1035" s="487"/>
      <c r="J1035" s="487"/>
      <c r="K1035" s="492"/>
      <c r="L1035" s="492"/>
      <c r="M1035" s="492"/>
      <c r="N1035" s="490" t="n">
        <v>13790</v>
      </c>
      <c r="O1035" s="490" t="n">
        <v>12617.8</v>
      </c>
    </row>
    <row r="1036" customFormat="false" ht="36.75" hidden="false" customHeight="true" outlineLevel="0" collapsed="false">
      <c r="B1036" s="487" t="s">
        <v>2609</v>
      </c>
      <c r="C1036" s="488" t="n">
        <v>325</v>
      </c>
      <c r="D1036" s="489" t="n">
        <v>98</v>
      </c>
      <c r="E1036" s="487" t="s">
        <v>422</v>
      </c>
      <c r="F1036" s="487" t="s">
        <v>374</v>
      </c>
      <c r="G1036" s="487" t="s">
        <v>375</v>
      </c>
      <c r="H1036" s="487" t="s">
        <v>873</v>
      </c>
      <c r="I1036" s="487" t="s">
        <v>876</v>
      </c>
      <c r="J1036" s="487" t="s">
        <v>1435</v>
      </c>
      <c r="K1036" s="490" t="n">
        <v>9220</v>
      </c>
      <c r="L1036" s="490" t="n">
        <v>4580</v>
      </c>
      <c r="M1036" s="491" t="n">
        <v>14.5</v>
      </c>
      <c r="N1036" s="490" t="n">
        <v>4640</v>
      </c>
      <c r="O1036" s="490" t="n">
        <v>3967.2</v>
      </c>
    </row>
    <row r="1037" customFormat="false" ht="12.75" hidden="true" customHeight="true" outlineLevel="1" collapsed="false">
      <c r="B1037" s="487" t="s">
        <v>417</v>
      </c>
      <c r="C1037" s="487"/>
      <c r="D1037" s="487"/>
      <c r="E1037" s="487"/>
      <c r="F1037" s="487"/>
      <c r="G1037" s="487"/>
      <c r="H1037" s="487"/>
      <c r="I1037" s="487"/>
      <c r="J1037" s="487"/>
      <c r="K1037" s="492"/>
      <c r="L1037" s="492"/>
      <c r="M1037" s="492"/>
      <c r="N1037" s="490" t="n">
        <v>4640</v>
      </c>
      <c r="O1037" s="490" t="n">
        <v>3967.2</v>
      </c>
    </row>
    <row r="1038" customFormat="false" ht="36.75" hidden="false" customHeight="true" outlineLevel="0" collapsed="false">
      <c r="B1038" s="487" t="s">
        <v>2605</v>
      </c>
      <c r="C1038" s="488" t="n">
        <v>322</v>
      </c>
      <c r="D1038" s="489" t="n">
        <v>97</v>
      </c>
      <c r="E1038" s="487" t="s">
        <v>422</v>
      </c>
      <c r="F1038" s="487" t="s">
        <v>457</v>
      </c>
      <c r="G1038" s="487" t="s">
        <v>366</v>
      </c>
      <c r="H1038" s="487" t="s">
        <v>865</v>
      </c>
      <c r="I1038" s="487" t="s">
        <v>252</v>
      </c>
      <c r="J1038" s="487" t="s">
        <v>1435</v>
      </c>
      <c r="K1038" s="490" t="n">
        <v>29060</v>
      </c>
      <c r="L1038" s="490" t="n">
        <v>22220</v>
      </c>
      <c r="M1038" s="491" t="n">
        <v>8.5</v>
      </c>
      <c r="N1038" s="490" t="n">
        <v>6840</v>
      </c>
      <c r="O1038" s="490" t="n">
        <v>6258.6</v>
      </c>
    </row>
    <row r="1039" customFormat="false" ht="12.75" hidden="true" customHeight="true" outlineLevel="1" collapsed="false">
      <c r="B1039" s="487" t="s">
        <v>746</v>
      </c>
      <c r="C1039" s="487"/>
      <c r="D1039" s="487"/>
      <c r="E1039" s="487"/>
      <c r="F1039" s="487"/>
      <c r="G1039" s="487"/>
      <c r="H1039" s="487"/>
      <c r="I1039" s="487"/>
      <c r="J1039" s="487"/>
      <c r="K1039" s="492"/>
      <c r="L1039" s="492"/>
      <c r="M1039" s="492"/>
      <c r="N1039" s="490" t="n">
        <v>6840</v>
      </c>
      <c r="O1039" s="490" t="n">
        <v>6258.6</v>
      </c>
    </row>
    <row r="1040" customFormat="false" ht="36.75" hidden="false" customHeight="true" outlineLevel="0" collapsed="false">
      <c r="B1040" s="487" t="s">
        <v>2606</v>
      </c>
      <c r="C1040" s="488" t="n">
        <v>324</v>
      </c>
      <c r="D1040" s="489" t="n">
        <v>97</v>
      </c>
      <c r="E1040" s="487" t="s">
        <v>422</v>
      </c>
      <c r="F1040" s="487" t="s">
        <v>457</v>
      </c>
      <c r="G1040" s="487" t="s">
        <v>366</v>
      </c>
      <c r="H1040" s="487" t="s">
        <v>730</v>
      </c>
      <c r="I1040" s="487" t="s">
        <v>66</v>
      </c>
      <c r="J1040" s="487" t="s">
        <v>1435</v>
      </c>
      <c r="K1040" s="490" t="n">
        <v>22220</v>
      </c>
      <c r="L1040" s="490" t="n">
        <v>14960</v>
      </c>
      <c r="M1040" s="491" t="n">
        <v>10</v>
      </c>
      <c r="N1040" s="490" t="n">
        <v>7260</v>
      </c>
      <c r="O1040" s="490" t="n">
        <v>6534</v>
      </c>
    </row>
    <row r="1041" customFormat="false" ht="12.75" hidden="true" customHeight="true" outlineLevel="1" collapsed="false">
      <c r="B1041" s="487" t="s">
        <v>746</v>
      </c>
      <c r="C1041" s="487"/>
      <c r="D1041" s="487"/>
      <c r="E1041" s="487"/>
      <c r="F1041" s="487"/>
      <c r="G1041" s="487"/>
      <c r="H1041" s="487"/>
      <c r="I1041" s="487"/>
      <c r="J1041" s="487"/>
      <c r="K1041" s="492"/>
      <c r="L1041" s="492"/>
      <c r="M1041" s="492"/>
      <c r="N1041" s="490" t="n">
        <v>7260</v>
      </c>
      <c r="O1041" s="490" t="n">
        <v>6534</v>
      </c>
    </row>
    <row r="1042" customFormat="false" ht="36.75" hidden="false" customHeight="true" outlineLevel="0" collapsed="false">
      <c r="B1042" s="487" t="s">
        <v>2607</v>
      </c>
      <c r="C1042" s="488" t="n">
        <v>323</v>
      </c>
      <c r="D1042" s="489" t="n">
        <v>96</v>
      </c>
      <c r="E1042" s="487" t="s">
        <v>422</v>
      </c>
      <c r="F1042" s="487" t="s">
        <v>363</v>
      </c>
      <c r="G1042" s="487" t="s">
        <v>364</v>
      </c>
      <c r="H1042" s="487" t="s">
        <v>873</v>
      </c>
      <c r="I1042" s="487" t="s">
        <v>876</v>
      </c>
      <c r="J1042" s="487" t="s">
        <v>1435</v>
      </c>
      <c r="K1042" s="490" t="n">
        <v>29740</v>
      </c>
      <c r="L1042" s="490" t="n">
        <v>22640</v>
      </c>
      <c r="M1042" s="491" t="n">
        <v>14.5</v>
      </c>
      <c r="N1042" s="490" t="n">
        <v>7100</v>
      </c>
      <c r="O1042" s="490" t="n">
        <v>6070.5</v>
      </c>
    </row>
    <row r="1043" customFormat="false" ht="12.75" hidden="true" customHeight="true" outlineLevel="1" collapsed="false">
      <c r="B1043" s="487" t="s">
        <v>417</v>
      </c>
      <c r="C1043" s="487"/>
      <c r="D1043" s="487"/>
      <c r="E1043" s="487"/>
      <c r="F1043" s="487"/>
      <c r="G1043" s="487"/>
      <c r="H1043" s="487"/>
      <c r="I1043" s="487"/>
      <c r="J1043" s="487"/>
      <c r="K1043" s="492"/>
      <c r="L1043" s="492"/>
      <c r="M1043" s="492"/>
      <c r="N1043" s="490" t="n">
        <v>7100</v>
      </c>
      <c r="O1043" s="490" t="n">
        <v>6070.5</v>
      </c>
    </row>
    <row r="1044" customFormat="false" ht="36.75" hidden="false" customHeight="true" outlineLevel="0" collapsed="false">
      <c r="B1044" s="487" t="s">
        <v>2608</v>
      </c>
      <c r="C1044" s="488" t="n">
        <v>326</v>
      </c>
      <c r="D1044" s="489" t="n">
        <v>96</v>
      </c>
      <c r="E1044" s="487" t="s">
        <v>422</v>
      </c>
      <c r="F1044" s="487" t="s">
        <v>363</v>
      </c>
      <c r="G1044" s="487" t="s">
        <v>364</v>
      </c>
      <c r="H1044" s="487" t="s">
        <v>873</v>
      </c>
      <c r="I1044" s="487" t="s">
        <v>66</v>
      </c>
      <c r="J1044" s="487" t="s">
        <v>1435</v>
      </c>
      <c r="K1044" s="490" t="n">
        <v>22640</v>
      </c>
      <c r="L1044" s="490" t="n">
        <v>14580</v>
      </c>
      <c r="M1044" s="491" t="n">
        <v>14.5</v>
      </c>
      <c r="N1044" s="490" t="n">
        <v>8060</v>
      </c>
      <c r="O1044" s="490" t="n">
        <v>6891.3</v>
      </c>
    </row>
    <row r="1045" customFormat="false" ht="12.75" hidden="true" customHeight="true" outlineLevel="1" collapsed="false">
      <c r="B1045" s="487" t="s">
        <v>417</v>
      </c>
      <c r="C1045" s="487"/>
      <c r="D1045" s="487"/>
      <c r="E1045" s="487"/>
      <c r="F1045" s="487"/>
      <c r="G1045" s="487"/>
      <c r="H1045" s="487"/>
      <c r="I1045" s="487"/>
      <c r="J1045" s="487"/>
      <c r="K1045" s="492"/>
      <c r="L1045" s="492"/>
      <c r="M1045" s="492"/>
      <c r="N1045" s="490" t="n">
        <v>8060</v>
      </c>
      <c r="O1045" s="490" t="n">
        <v>6891.3</v>
      </c>
    </row>
    <row r="1046" customFormat="false" ht="36.75" hidden="false" customHeight="true" outlineLevel="0" collapsed="false">
      <c r="B1046" s="487" t="s">
        <v>2610</v>
      </c>
      <c r="C1046" s="488" t="n">
        <v>327</v>
      </c>
      <c r="D1046" s="489" t="n">
        <v>99</v>
      </c>
      <c r="E1046" s="487" t="s">
        <v>422</v>
      </c>
      <c r="F1046" s="487" t="s">
        <v>376</v>
      </c>
      <c r="G1046" s="487" t="s">
        <v>377</v>
      </c>
      <c r="H1046" s="487" t="s">
        <v>865</v>
      </c>
      <c r="I1046" s="487" t="s">
        <v>252</v>
      </c>
      <c r="J1046" s="487" t="s">
        <v>1435</v>
      </c>
      <c r="K1046" s="490" t="n">
        <v>27940</v>
      </c>
      <c r="L1046" s="490" t="n">
        <v>14300</v>
      </c>
      <c r="M1046" s="491" t="n">
        <v>11.5</v>
      </c>
      <c r="N1046" s="490" t="n">
        <v>13640</v>
      </c>
      <c r="O1046" s="490" t="n">
        <v>12071.4</v>
      </c>
    </row>
    <row r="1047" customFormat="false" ht="12.75" hidden="true" customHeight="true" outlineLevel="1" collapsed="false">
      <c r="B1047" s="487" t="s">
        <v>746</v>
      </c>
      <c r="C1047" s="487"/>
      <c r="D1047" s="487"/>
      <c r="E1047" s="487"/>
      <c r="F1047" s="487"/>
      <c r="G1047" s="487"/>
      <c r="H1047" s="487"/>
      <c r="I1047" s="487"/>
      <c r="J1047" s="487"/>
      <c r="K1047" s="492"/>
      <c r="L1047" s="492"/>
      <c r="M1047" s="492"/>
      <c r="N1047" s="490" t="n">
        <v>13640</v>
      </c>
      <c r="O1047" s="490" t="n">
        <v>12071.4</v>
      </c>
    </row>
    <row r="1048" customFormat="false" ht="36.75" hidden="false" customHeight="true" outlineLevel="0" collapsed="false">
      <c r="B1048" s="487" t="s">
        <v>2611</v>
      </c>
      <c r="C1048" s="488" t="n">
        <v>328</v>
      </c>
      <c r="D1048" s="489" t="n">
        <v>100</v>
      </c>
      <c r="E1048" s="487" t="s">
        <v>422</v>
      </c>
      <c r="F1048" s="487" t="s">
        <v>371</v>
      </c>
      <c r="G1048" s="487" t="s">
        <v>372</v>
      </c>
      <c r="H1048" s="487" t="s">
        <v>865</v>
      </c>
      <c r="I1048" s="487" t="s">
        <v>252</v>
      </c>
      <c r="J1048" s="487" t="s">
        <v>1435</v>
      </c>
      <c r="K1048" s="490" t="n">
        <v>28390</v>
      </c>
      <c r="L1048" s="490" t="n">
        <v>14920</v>
      </c>
      <c r="M1048" s="491" t="n">
        <v>14.5</v>
      </c>
      <c r="N1048" s="490" t="n">
        <v>13470</v>
      </c>
      <c r="O1048" s="490" t="n">
        <v>11516.8</v>
      </c>
    </row>
    <row r="1049" customFormat="false" ht="12.75" hidden="true" customHeight="true" outlineLevel="1" collapsed="false">
      <c r="B1049" s="487" t="s">
        <v>746</v>
      </c>
      <c r="C1049" s="487"/>
      <c r="D1049" s="487"/>
      <c r="E1049" s="487"/>
      <c r="F1049" s="487"/>
      <c r="G1049" s="487"/>
      <c r="H1049" s="487"/>
      <c r="I1049" s="487"/>
      <c r="J1049" s="487"/>
      <c r="K1049" s="492"/>
      <c r="L1049" s="492"/>
      <c r="M1049" s="492"/>
      <c r="N1049" s="490" t="n">
        <v>13470</v>
      </c>
      <c r="O1049" s="490" t="n">
        <v>11516.8</v>
      </c>
    </row>
    <row r="1050" customFormat="false" ht="36.75" hidden="false" customHeight="true" outlineLevel="0" collapsed="false">
      <c r="B1050" s="487" t="s">
        <v>2612</v>
      </c>
      <c r="C1050" s="488" t="n">
        <v>329</v>
      </c>
      <c r="D1050" s="489" t="n">
        <v>101</v>
      </c>
      <c r="E1050" s="487" t="s">
        <v>422</v>
      </c>
      <c r="F1050" s="487" t="s">
        <v>363</v>
      </c>
      <c r="G1050" s="487" t="s">
        <v>364</v>
      </c>
      <c r="H1050" s="487" t="s">
        <v>865</v>
      </c>
      <c r="I1050" s="487" t="s">
        <v>252</v>
      </c>
      <c r="J1050" s="487" t="s">
        <v>1435</v>
      </c>
      <c r="K1050" s="490" t="n">
        <v>28980</v>
      </c>
      <c r="L1050" s="490" t="n">
        <v>20040</v>
      </c>
      <c r="M1050" s="491" t="n">
        <v>26.5</v>
      </c>
      <c r="N1050" s="490" t="n">
        <v>8940</v>
      </c>
      <c r="O1050" s="490" t="n">
        <v>6570.9</v>
      </c>
    </row>
    <row r="1051" customFormat="false" ht="12.75" hidden="true" customHeight="true" outlineLevel="1" collapsed="false">
      <c r="B1051" s="487" t="s">
        <v>417</v>
      </c>
      <c r="C1051" s="487"/>
      <c r="D1051" s="487"/>
      <c r="E1051" s="487"/>
      <c r="F1051" s="487"/>
      <c r="G1051" s="487"/>
      <c r="H1051" s="487"/>
      <c r="I1051" s="487"/>
      <c r="J1051" s="487"/>
      <c r="K1051" s="492"/>
      <c r="L1051" s="492"/>
      <c r="M1051" s="492"/>
      <c r="N1051" s="490" t="n">
        <v>8940</v>
      </c>
      <c r="O1051" s="490" t="n">
        <v>6570.9</v>
      </c>
    </row>
    <row r="1052" customFormat="false" ht="36.75" hidden="false" customHeight="true" outlineLevel="0" collapsed="false">
      <c r="B1052" s="487" t="s">
        <v>2613</v>
      </c>
      <c r="C1052" s="488" t="n">
        <v>330</v>
      </c>
      <c r="D1052" s="489" t="n">
        <v>101</v>
      </c>
      <c r="E1052" s="487" t="s">
        <v>422</v>
      </c>
      <c r="F1052" s="487" t="s">
        <v>363</v>
      </c>
      <c r="G1052" s="487" t="s">
        <v>364</v>
      </c>
      <c r="H1052" s="487" t="s">
        <v>873</v>
      </c>
      <c r="I1052" s="487" t="s">
        <v>876</v>
      </c>
      <c r="J1052" s="487" t="s">
        <v>1435</v>
      </c>
      <c r="K1052" s="490" t="n">
        <v>20040</v>
      </c>
      <c r="L1052" s="490" t="n">
        <v>14560</v>
      </c>
      <c r="M1052" s="491" t="n">
        <v>15.5</v>
      </c>
      <c r="N1052" s="490" t="n">
        <v>5480</v>
      </c>
      <c r="O1052" s="490" t="n">
        <v>4630.6</v>
      </c>
    </row>
    <row r="1053" customFormat="false" ht="12.75" hidden="true" customHeight="true" outlineLevel="1" collapsed="false">
      <c r="B1053" s="487" t="s">
        <v>417</v>
      </c>
      <c r="C1053" s="487"/>
      <c r="D1053" s="487"/>
      <c r="E1053" s="487"/>
      <c r="F1053" s="487"/>
      <c r="G1053" s="487"/>
      <c r="H1053" s="487"/>
      <c r="I1053" s="487"/>
      <c r="J1053" s="487"/>
      <c r="K1053" s="492"/>
      <c r="L1053" s="492"/>
      <c r="M1053" s="492"/>
      <c r="N1053" s="490" t="n">
        <v>5480</v>
      </c>
      <c r="O1053" s="490" t="n">
        <v>4630.6</v>
      </c>
    </row>
    <row r="1054" customFormat="false" ht="36.75" hidden="false" customHeight="true" outlineLevel="0" collapsed="false">
      <c r="B1054" s="487" t="s">
        <v>2614</v>
      </c>
      <c r="C1054" s="488" t="n">
        <v>331</v>
      </c>
      <c r="D1054" s="489" t="n">
        <v>102</v>
      </c>
      <c r="E1054" s="487" t="s">
        <v>422</v>
      </c>
      <c r="F1054" s="487" t="s">
        <v>457</v>
      </c>
      <c r="G1054" s="487" t="s">
        <v>366</v>
      </c>
      <c r="H1054" s="487" t="s">
        <v>865</v>
      </c>
      <c r="I1054" s="487" t="s">
        <v>252</v>
      </c>
      <c r="J1054" s="487" t="s">
        <v>1435</v>
      </c>
      <c r="K1054" s="490" t="n">
        <v>29040</v>
      </c>
      <c r="L1054" s="490" t="n">
        <v>14960</v>
      </c>
      <c r="M1054" s="491" t="n">
        <v>27</v>
      </c>
      <c r="N1054" s="490" t="n">
        <v>14080</v>
      </c>
      <c r="O1054" s="490" t="n">
        <v>10278.4</v>
      </c>
    </row>
    <row r="1055" customFormat="false" ht="12.75" hidden="true" customHeight="true" outlineLevel="1" collapsed="false">
      <c r="B1055" s="487" t="s">
        <v>417</v>
      </c>
      <c r="C1055" s="487"/>
      <c r="D1055" s="487"/>
      <c r="E1055" s="487"/>
      <c r="F1055" s="487"/>
      <c r="G1055" s="487"/>
      <c r="H1055" s="487"/>
      <c r="I1055" s="487"/>
      <c r="J1055" s="487"/>
      <c r="K1055" s="492"/>
      <c r="L1055" s="492"/>
      <c r="M1055" s="492"/>
      <c r="N1055" s="490" t="n">
        <v>14080</v>
      </c>
      <c r="O1055" s="490" t="n">
        <v>10278.4</v>
      </c>
    </row>
    <row r="1056" customFormat="false" ht="36.75" hidden="false" customHeight="true" outlineLevel="0" collapsed="false">
      <c r="B1056" s="487" t="s">
        <v>2615</v>
      </c>
      <c r="C1056" s="488" t="n">
        <v>332</v>
      </c>
      <c r="D1056" s="489" t="n">
        <v>103</v>
      </c>
      <c r="E1056" s="487" t="s">
        <v>422</v>
      </c>
      <c r="F1056" s="487" t="s">
        <v>374</v>
      </c>
      <c r="G1056" s="487" t="s">
        <v>375</v>
      </c>
      <c r="H1056" s="487" t="s">
        <v>865</v>
      </c>
      <c r="I1056" s="487" t="s">
        <v>252</v>
      </c>
      <c r="J1056" s="487" t="s">
        <v>1435</v>
      </c>
      <c r="K1056" s="490" t="n">
        <v>7930</v>
      </c>
      <c r="L1056" s="490" t="n">
        <v>4570</v>
      </c>
      <c r="M1056" s="491" t="n">
        <v>11.5</v>
      </c>
      <c r="N1056" s="490" t="n">
        <v>3360</v>
      </c>
      <c r="O1056" s="490" t="n">
        <v>2973.6</v>
      </c>
    </row>
    <row r="1057" customFormat="false" ht="12.75" hidden="true" customHeight="true" outlineLevel="1" collapsed="false">
      <c r="B1057" s="487" t="s">
        <v>417</v>
      </c>
      <c r="C1057" s="487"/>
      <c r="D1057" s="487"/>
      <c r="E1057" s="487"/>
      <c r="F1057" s="487"/>
      <c r="G1057" s="487"/>
      <c r="H1057" s="487"/>
      <c r="I1057" s="487"/>
      <c r="J1057" s="487"/>
      <c r="K1057" s="492"/>
      <c r="L1057" s="492"/>
      <c r="M1057" s="492"/>
      <c r="N1057" s="490" t="n">
        <v>3360</v>
      </c>
      <c r="O1057" s="490" t="n">
        <v>2973.6</v>
      </c>
    </row>
    <row r="1058" customFormat="false" ht="36.75" hidden="false" customHeight="true" outlineLevel="0" collapsed="false">
      <c r="B1058" s="487" t="s">
        <v>2616</v>
      </c>
      <c r="C1058" s="488" t="n">
        <v>333</v>
      </c>
      <c r="D1058" s="489" t="n">
        <v>104</v>
      </c>
      <c r="E1058" s="487" t="s">
        <v>422</v>
      </c>
      <c r="F1058" s="487" t="s">
        <v>376</v>
      </c>
      <c r="G1058" s="487" t="s">
        <v>377</v>
      </c>
      <c r="H1058" s="487" t="s">
        <v>865</v>
      </c>
      <c r="I1058" s="487" t="s">
        <v>252</v>
      </c>
      <c r="J1058" s="487" t="s">
        <v>1435</v>
      </c>
      <c r="K1058" s="490" t="n">
        <v>29700</v>
      </c>
      <c r="L1058" s="490" t="n">
        <v>14290</v>
      </c>
      <c r="M1058" s="491" t="n">
        <v>13</v>
      </c>
      <c r="N1058" s="490" t="n">
        <v>15410</v>
      </c>
      <c r="O1058" s="490" t="n">
        <v>13406.7</v>
      </c>
    </row>
    <row r="1059" customFormat="false" ht="12.75" hidden="true" customHeight="true" outlineLevel="1" collapsed="false">
      <c r="B1059" s="487" t="s">
        <v>746</v>
      </c>
      <c r="C1059" s="487"/>
      <c r="D1059" s="487"/>
      <c r="E1059" s="487"/>
      <c r="F1059" s="487"/>
      <c r="G1059" s="487"/>
      <c r="H1059" s="487"/>
      <c r="I1059" s="487"/>
      <c r="J1059" s="487"/>
      <c r="K1059" s="492"/>
      <c r="L1059" s="492"/>
      <c r="M1059" s="492"/>
      <c r="N1059" s="490" t="n">
        <v>15410</v>
      </c>
      <c r="O1059" s="490" t="n">
        <v>13406.7</v>
      </c>
    </row>
    <row r="1060" customFormat="false" ht="36.75" hidden="false" customHeight="true" outlineLevel="0" collapsed="false">
      <c r="B1060" s="487" t="s">
        <v>2625</v>
      </c>
      <c r="C1060" s="488" t="n">
        <v>336</v>
      </c>
      <c r="D1060" s="489" t="n">
        <v>105</v>
      </c>
      <c r="E1060" s="487" t="s">
        <v>422</v>
      </c>
      <c r="F1060" s="487" t="s">
        <v>359</v>
      </c>
      <c r="G1060" s="487" t="s">
        <v>426</v>
      </c>
      <c r="H1060" s="487" t="s">
        <v>885</v>
      </c>
      <c r="I1060" s="487" t="s">
        <v>47</v>
      </c>
      <c r="J1060" s="487" t="s">
        <v>1435</v>
      </c>
      <c r="K1060" s="490" t="n">
        <v>22920</v>
      </c>
      <c r="L1060" s="490" t="n">
        <v>13920</v>
      </c>
      <c r="M1060" s="491" t="n">
        <v>12</v>
      </c>
      <c r="N1060" s="490" t="n">
        <v>9000</v>
      </c>
      <c r="O1060" s="490" t="n">
        <v>7920</v>
      </c>
    </row>
    <row r="1061" customFormat="false" ht="12.75" hidden="true" customHeight="true" outlineLevel="1" collapsed="false">
      <c r="B1061" s="487" t="s">
        <v>886</v>
      </c>
      <c r="C1061" s="487"/>
      <c r="D1061" s="487"/>
      <c r="E1061" s="487"/>
      <c r="F1061" s="487"/>
      <c r="G1061" s="487"/>
      <c r="H1061" s="487"/>
      <c r="I1061" s="487"/>
      <c r="J1061" s="487"/>
      <c r="K1061" s="492"/>
      <c r="L1061" s="492"/>
      <c r="M1061" s="492"/>
      <c r="N1061" s="490" t="n">
        <v>9000</v>
      </c>
      <c r="O1061" s="490" t="n">
        <v>7920</v>
      </c>
    </row>
    <row r="1062" customFormat="false" ht="36.75" hidden="false" customHeight="true" outlineLevel="0" collapsed="false">
      <c r="B1062" s="487" t="s">
        <v>2626</v>
      </c>
      <c r="C1062" s="488" t="n">
        <v>338</v>
      </c>
      <c r="D1062" s="489" t="n">
        <v>106</v>
      </c>
      <c r="E1062" s="487" t="s">
        <v>422</v>
      </c>
      <c r="F1062" s="487" t="s">
        <v>55</v>
      </c>
      <c r="G1062" s="487" t="s">
        <v>56</v>
      </c>
      <c r="H1062" s="487" t="s">
        <v>865</v>
      </c>
      <c r="I1062" s="487" t="s">
        <v>252</v>
      </c>
      <c r="J1062" s="487" t="s">
        <v>1435</v>
      </c>
      <c r="K1062" s="490" t="n">
        <v>27980</v>
      </c>
      <c r="L1062" s="490" t="n">
        <v>14750</v>
      </c>
      <c r="M1062" s="491" t="n">
        <v>16</v>
      </c>
      <c r="N1062" s="490" t="n">
        <v>13230</v>
      </c>
      <c r="O1062" s="490" t="n">
        <v>11113.2</v>
      </c>
    </row>
    <row r="1063" customFormat="false" ht="12.75" hidden="true" customHeight="true" outlineLevel="1" collapsed="false">
      <c r="B1063" s="487" t="s">
        <v>746</v>
      </c>
      <c r="C1063" s="487"/>
      <c r="D1063" s="487"/>
      <c r="E1063" s="487"/>
      <c r="F1063" s="487"/>
      <c r="G1063" s="487"/>
      <c r="H1063" s="487"/>
      <c r="I1063" s="487"/>
      <c r="J1063" s="487"/>
      <c r="K1063" s="492"/>
      <c r="L1063" s="492"/>
      <c r="M1063" s="492"/>
      <c r="N1063" s="490" t="n">
        <v>13230</v>
      </c>
      <c r="O1063" s="490" t="n">
        <v>11113.2</v>
      </c>
    </row>
    <row r="1064" customFormat="false" ht="36.75" hidden="false" customHeight="true" outlineLevel="0" collapsed="false">
      <c r="B1064" s="487" t="s">
        <v>2627</v>
      </c>
      <c r="C1064" s="488" t="n">
        <v>339</v>
      </c>
      <c r="D1064" s="489" t="n">
        <v>107</v>
      </c>
      <c r="E1064" s="487" t="s">
        <v>422</v>
      </c>
      <c r="F1064" s="487" t="s">
        <v>411</v>
      </c>
      <c r="G1064" s="487" t="s">
        <v>887</v>
      </c>
      <c r="H1064" s="487" t="s">
        <v>885</v>
      </c>
      <c r="I1064" s="487" t="s">
        <v>47</v>
      </c>
      <c r="J1064" s="487" t="s">
        <v>1435</v>
      </c>
      <c r="K1064" s="490" t="n">
        <v>23280</v>
      </c>
      <c r="L1064" s="490" t="n">
        <v>14180</v>
      </c>
      <c r="M1064" s="491" t="n">
        <v>14.5</v>
      </c>
      <c r="N1064" s="490" t="n">
        <v>9100</v>
      </c>
      <c r="O1064" s="490" t="n">
        <v>7780.5</v>
      </c>
    </row>
    <row r="1065" customFormat="false" ht="12.75" hidden="true" customHeight="true" outlineLevel="1" collapsed="false">
      <c r="B1065" s="487" t="s">
        <v>746</v>
      </c>
      <c r="C1065" s="487"/>
      <c r="D1065" s="487"/>
      <c r="E1065" s="487"/>
      <c r="F1065" s="487"/>
      <c r="G1065" s="487"/>
      <c r="H1065" s="487"/>
      <c r="I1065" s="487"/>
      <c r="J1065" s="487"/>
      <c r="K1065" s="492"/>
      <c r="L1065" s="492"/>
      <c r="M1065" s="492"/>
      <c r="N1065" s="490" t="n">
        <v>9100</v>
      </c>
      <c r="O1065" s="490" t="n">
        <v>7780.5</v>
      </c>
    </row>
    <row r="1066" customFormat="false" ht="36.75" hidden="false" customHeight="true" outlineLevel="0" collapsed="false">
      <c r="B1066" s="487" t="s">
        <v>2628</v>
      </c>
      <c r="C1066" s="488" t="n">
        <v>340</v>
      </c>
      <c r="D1066" s="489" t="n">
        <v>108</v>
      </c>
      <c r="E1066" s="487" t="s">
        <v>422</v>
      </c>
      <c r="F1066" s="487" t="s">
        <v>378</v>
      </c>
      <c r="G1066" s="487" t="s">
        <v>379</v>
      </c>
      <c r="H1066" s="487" t="s">
        <v>865</v>
      </c>
      <c r="I1066" s="487" t="s">
        <v>252</v>
      </c>
      <c r="J1066" s="487" t="s">
        <v>1435</v>
      </c>
      <c r="K1066" s="490" t="n">
        <v>9270</v>
      </c>
      <c r="L1066" s="490" t="n">
        <v>4600</v>
      </c>
      <c r="M1066" s="491" t="n">
        <v>20.5</v>
      </c>
      <c r="N1066" s="490" t="n">
        <v>4670</v>
      </c>
      <c r="O1066" s="490" t="n">
        <v>3712.6</v>
      </c>
    </row>
    <row r="1067" customFormat="false" ht="12.75" hidden="true" customHeight="true" outlineLevel="1" collapsed="false">
      <c r="B1067" s="487" t="s">
        <v>746</v>
      </c>
      <c r="C1067" s="487"/>
      <c r="D1067" s="487"/>
      <c r="E1067" s="487"/>
      <c r="F1067" s="487"/>
      <c r="G1067" s="487"/>
      <c r="H1067" s="487"/>
      <c r="I1067" s="487"/>
      <c r="J1067" s="487"/>
      <c r="K1067" s="492"/>
      <c r="L1067" s="492"/>
      <c r="M1067" s="492"/>
      <c r="N1067" s="490" t="n">
        <v>4670</v>
      </c>
      <c r="O1067" s="490" t="n">
        <v>3712.6</v>
      </c>
    </row>
    <row r="1068" customFormat="false" ht="36.75" hidden="false" customHeight="true" outlineLevel="0" collapsed="false">
      <c r="B1068" s="487" t="s">
        <v>2629</v>
      </c>
      <c r="C1068" s="488" t="n">
        <v>341</v>
      </c>
      <c r="D1068" s="489" t="n">
        <v>109</v>
      </c>
      <c r="E1068" s="487" t="s">
        <v>422</v>
      </c>
      <c r="F1068" s="487" t="s">
        <v>359</v>
      </c>
      <c r="G1068" s="487" t="s">
        <v>426</v>
      </c>
      <c r="H1068" s="487" t="s">
        <v>885</v>
      </c>
      <c r="I1068" s="487" t="s">
        <v>47</v>
      </c>
      <c r="J1068" s="487" t="s">
        <v>1435</v>
      </c>
      <c r="K1068" s="490" t="n">
        <v>22650</v>
      </c>
      <c r="L1068" s="490" t="n">
        <v>13900</v>
      </c>
      <c r="M1068" s="491" t="n">
        <v>15.5</v>
      </c>
      <c r="N1068" s="490" t="n">
        <v>8750</v>
      </c>
      <c r="O1068" s="490" t="n">
        <v>7393.7</v>
      </c>
    </row>
    <row r="1069" customFormat="false" ht="12.75" hidden="true" customHeight="true" outlineLevel="1" collapsed="false">
      <c r="B1069" s="487" t="s">
        <v>886</v>
      </c>
      <c r="C1069" s="487"/>
      <c r="D1069" s="487"/>
      <c r="E1069" s="487"/>
      <c r="F1069" s="487"/>
      <c r="G1069" s="487"/>
      <c r="H1069" s="487"/>
      <c r="I1069" s="487"/>
      <c r="J1069" s="487"/>
      <c r="K1069" s="492"/>
      <c r="L1069" s="492"/>
      <c r="M1069" s="492"/>
      <c r="N1069" s="490" t="n">
        <v>8750</v>
      </c>
      <c r="O1069" s="490" t="n">
        <v>7393.7</v>
      </c>
    </row>
    <row r="1070" customFormat="false" ht="36.75" hidden="false" customHeight="true" outlineLevel="0" collapsed="false">
      <c r="B1070" s="487" t="s">
        <v>2632</v>
      </c>
      <c r="C1070" s="488" t="n">
        <v>343</v>
      </c>
      <c r="D1070" s="489" t="n">
        <v>110</v>
      </c>
      <c r="E1070" s="487" t="s">
        <v>422</v>
      </c>
      <c r="F1070" s="487" t="s">
        <v>48</v>
      </c>
      <c r="G1070" s="487" t="s">
        <v>49</v>
      </c>
      <c r="H1070" s="487" t="s">
        <v>865</v>
      </c>
      <c r="I1070" s="487" t="s">
        <v>252</v>
      </c>
      <c r="J1070" s="487" t="s">
        <v>1435</v>
      </c>
      <c r="K1070" s="490" t="n">
        <v>28400</v>
      </c>
      <c r="L1070" s="490" t="n">
        <v>14930</v>
      </c>
      <c r="M1070" s="491" t="n">
        <v>15.5</v>
      </c>
      <c r="N1070" s="490" t="n">
        <v>13470</v>
      </c>
      <c r="O1070" s="490" t="n">
        <v>11382.1</v>
      </c>
    </row>
    <row r="1071" customFormat="false" ht="12.75" hidden="true" customHeight="true" outlineLevel="1" collapsed="false">
      <c r="B1071" s="487" t="s">
        <v>746</v>
      </c>
      <c r="C1071" s="487"/>
      <c r="D1071" s="487"/>
      <c r="E1071" s="487"/>
      <c r="F1071" s="487"/>
      <c r="G1071" s="487"/>
      <c r="H1071" s="487"/>
      <c r="I1071" s="487"/>
      <c r="J1071" s="487"/>
      <c r="K1071" s="492"/>
      <c r="L1071" s="492"/>
      <c r="M1071" s="492"/>
      <c r="N1071" s="490" t="n">
        <v>13470</v>
      </c>
      <c r="O1071" s="490" t="n">
        <v>11382.1</v>
      </c>
    </row>
    <row r="1072" customFormat="false" ht="36.75" hidden="false" customHeight="true" outlineLevel="0" collapsed="false">
      <c r="B1072" s="487" t="s">
        <v>2633</v>
      </c>
      <c r="C1072" s="488" t="n">
        <v>344</v>
      </c>
      <c r="D1072" s="489" t="n">
        <v>111</v>
      </c>
      <c r="E1072" s="487" t="s">
        <v>422</v>
      </c>
      <c r="F1072" s="487" t="s">
        <v>411</v>
      </c>
      <c r="G1072" s="487" t="s">
        <v>381</v>
      </c>
      <c r="H1072" s="487" t="s">
        <v>885</v>
      </c>
      <c r="I1072" s="487" t="s">
        <v>47</v>
      </c>
      <c r="J1072" s="487" t="s">
        <v>1435</v>
      </c>
      <c r="K1072" s="490" t="n">
        <v>23630</v>
      </c>
      <c r="L1072" s="490" t="n">
        <v>14160</v>
      </c>
      <c r="M1072" s="491" t="n">
        <v>14.5</v>
      </c>
      <c r="N1072" s="490" t="n">
        <v>9470</v>
      </c>
      <c r="O1072" s="490" t="n">
        <v>8096.8</v>
      </c>
    </row>
    <row r="1073" customFormat="false" ht="12.75" hidden="true" customHeight="true" outlineLevel="1" collapsed="false">
      <c r="B1073" s="487" t="s">
        <v>746</v>
      </c>
      <c r="C1073" s="487"/>
      <c r="D1073" s="487"/>
      <c r="E1073" s="487"/>
      <c r="F1073" s="487"/>
      <c r="G1073" s="487"/>
      <c r="H1073" s="487"/>
      <c r="I1073" s="487"/>
      <c r="J1073" s="487"/>
      <c r="K1073" s="492"/>
      <c r="L1073" s="492"/>
      <c r="M1073" s="492"/>
      <c r="N1073" s="490" t="n">
        <v>9470</v>
      </c>
      <c r="O1073" s="490" t="n">
        <v>8096.8</v>
      </c>
    </row>
    <row r="1074" customFormat="false" ht="36.75" hidden="false" customHeight="true" outlineLevel="0" collapsed="false">
      <c r="B1074" s="487" t="s">
        <v>2634</v>
      </c>
      <c r="C1074" s="488" t="n">
        <v>346</v>
      </c>
      <c r="D1074" s="489" t="n">
        <v>112</v>
      </c>
      <c r="E1074" s="487" t="s">
        <v>422</v>
      </c>
      <c r="F1074" s="487" t="s">
        <v>359</v>
      </c>
      <c r="G1074" s="487" t="s">
        <v>426</v>
      </c>
      <c r="H1074" s="487" t="s">
        <v>885</v>
      </c>
      <c r="I1074" s="487" t="s">
        <v>47</v>
      </c>
      <c r="J1074" s="487" t="s">
        <v>1435</v>
      </c>
      <c r="K1074" s="490" t="n">
        <v>24450</v>
      </c>
      <c r="L1074" s="490" t="n">
        <v>13910</v>
      </c>
      <c r="M1074" s="491" t="n">
        <v>11.5</v>
      </c>
      <c r="N1074" s="490" t="n">
        <v>10540</v>
      </c>
      <c r="O1074" s="490" t="n">
        <v>9327.9</v>
      </c>
    </row>
    <row r="1075" customFormat="false" ht="12.75" hidden="true" customHeight="true" outlineLevel="1" collapsed="false">
      <c r="B1075" s="487" t="s">
        <v>886</v>
      </c>
      <c r="C1075" s="487"/>
      <c r="D1075" s="487"/>
      <c r="E1075" s="487"/>
      <c r="F1075" s="487"/>
      <c r="G1075" s="487"/>
      <c r="H1075" s="487"/>
      <c r="I1075" s="487"/>
      <c r="J1075" s="487"/>
      <c r="K1075" s="492"/>
      <c r="L1075" s="492"/>
      <c r="M1075" s="492"/>
      <c r="N1075" s="490" t="n">
        <v>10540</v>
      </c>
      <c r="O1075" s="490" t="n">
        <v>9327.9</v>
      </c>
    </row>
    <row r="1076" customFormat="false" ht="36.75" hidden="false" customHeight="true" outlineLevel="0" collapsed="false">
      <c r="B1076" s="487" t="s">
        <v>2635</v>
      </c>
      <c r="C1076" s="488" t="n">
        <v>347</v>
      </c>
      <c r="D1076" s="489" t="n">
        <v>106</v>
      </c>
      <c r="E1076" s="487" t="s">
        <v>422</v>
      </c>
      <c r="F1076" s="487" t="s">
        <v>55</v>
      </c>
      <c r="G1076" s="487" t="s">
        <v>56</v>
      </c>
      <c r="H1076" s="487" t="s">
        <v>865</v>
      </c>
      <c r="I1076" s="487" t="s">
        <v>252</v>
      </c>
      <c r="J1076" s="487" t="s">
        <v>1435</v>
      </c>
      <c r="K1076" s="490" t="n">
        <v>28260</v>
      </c>
      <c r="L1076" s="490" t="n">
        <v>14720</v>
      </c>
      <c r="M1076" s="491" t="n">
        <v>18.5</v>
      </c>
      <c r="N1076" s="490" t="n">
        <v>13540</v>
      </c>
      <c r="O1076" s="490" t="n">
        <v>11035.1</v>
      </c>
    </row>
    <row r="1077" customFormat="false" ht="12.75" hidden="true" customHeight="true" outlineLevel="1" collapsed="false">
      <c r="B1077" s="487" t="s">
        <v>746</v>
      </c>
      <c r="C1077" s="487"/>
      <c r="D1077" s="487"/>
      <c r="E1077" s="487"/>
      <c r="F1077" s="487"/>
      <c r="G1077" s="487"/>
      <c r="H1077" s="487"/>
      <c r="I1077" s="487"/>
      <c r="J1077" s="487"/>
      <c r="K1077" s="492"/>
      <c r="L1077" s="492"/>
      <c r="M1077" s="492"/>
      <c r="N1077" s="490" t="n">
        <v>13540</v>
      </c>
      <c r="O1077" s="490" t="n">
        <v>11035.1</v>
      </c>
    </row>
    <row r="1078" customFormat="false" ht="36.75" hidden="false" customHeight="true" outlineLevel="0" collapsed="false">
      <c r="B1078" s="487" t="s">
        <v>2636</v>
      </c>
      <c r="C1078" s="488" t="n">
        <v>348</v>
      </c>
      <c r="D1078" s="489" t="n">
        <v>114</v>
      </c>
      <c r="E1078" s="487" t="s">
        <v>422</v>
      </c>
      <c r="F1078" s="487" t="s">
        <v>384</v>
      </c>
      <c r="G1078" s="487" t="s">
        <v>385</v>
      </c>
      <c r="H1078" s="487" t="s">
        <v>870</v>
      </c>
      <c r="I1078" s="487" t="s">
        <v>252</v>
      </c>
      <c r="J1078" s="487" t="s">
        <v>1435</v>
      </c>
      <c r="K1078" s="490" t="n">
        <v>31620</v>
      </c>
      <c r="L1078" s="490" t="n">
        <v>14480</v>
      </c>
      <c r="M1078" s="491" t="n">
        <v>12</v>
      </c>
      <c r="N1078" s="490" t="n">
        <v>17140</v>
      </c>
      <c r="O1078" s="490" t="n">
        <v>15083.2</v>
      </c>
    </row>
    <row r="1079" customFormat="false" ht="12.75" hidden="true" customHeight="true" outlineLevel="1" collapsed="false">
      <c r="B1079" s="487" t="s">
        <v>746</v>
      </c>
      <c r="C1079" s="487"/>
      <c r="D1079" s="487"/>
      <c r="E1079" s="487"/>
      <c r="F1079" s="487"/>
      <c r="G1079" s="487"/>
      <c r="H1079" s="487"/>
      <c r="I1079" s="487"/>
      <c r="J1079" s="487"/>
      <c r="K1079" s="492"/>
      <c r="L1079" s="492"/>
      <c r="M1079" s="492"/>
      <c r="N1079" s="490" t="n">
        <v>17140</v>
      </c>
      <c r="O1079" s="490" t="n">
        <v>15083.2</v>
      </c>
    </row>
    <row r="1080" customFormat="false" ht="36.75" hidden="false" customHeight="true" outlineLevel="0" collapsed="false">
      <c r="B1080" s="487" t="s">
        <v>2637</v>
      </c>
      <c r="C1080" s="488" t="n">
        <v>349</v>
      </c>
      <c r="D1080" s="489" t="n">
        <v>115</v>
      </c>
      <c r="E1080" s="487" t="s">
        <v>422</v>
      </c>
      <c r="F1080" s="487" t="s">
        <v>361</v>
      </c>
      <c r="G1080" s="487" t="s">
        <v>362</v>
      </c>
      <c r="H1080" s="487" t="s">
        <v>873</v>
      </c>
      <c r="I1080" s="487" t="s">
        <v>893</v>
      </c>
      <c r="J1080" s="487" t="s">
        <v>1435</v>
      </c>
      <c r="K1080" s="490" t="n">
        <v>32670</v>
      </c>
      <c r="L1080" s="490" t="n">
        <v>14700</v>
      </c>
      <c r="M1080" s="491" t="n">
        <v>16</v>
      </c>
      <c r="N1080" s="490" t="n">
        <v>17970</v>
      </c>
      <c r="O1080" s="490" t="n">
        <v>15094.8</v>
      </c>
    </row>
    <row r="1081" customFormat="false" ht="12.75" hidden="true" customHeight="true" outlineLevel="1" collapsed="false">
      <c r="B1081" s="487" t="s">
        <v>417</v>
      </c>
      <c r="C1081" s="487"/>
      <c r="D1081" s="487"/>
      <c r="E1081" s="487"/>
      <c r="F1081" s="487"/>
      <c r="G1081" s="487"/>
      <c r="H1081" s="487"/>
      <c r="I1081" s="487"/>
      <c r="J1081" s="487"/>
      <c r="K1081" s="492"/>
      <c r="L1081" s="492"/>
      <c r="M1081" s="492"/>
      <c r="N1081" s="490" t="n">
        <v>17970</v>
      </c>
      <c r="O1081" s="490" t="n">
        <v>15094.8</v>
      </c>
    </row>
    <row r="1082" customFormat="false" ht="36.75" hidden="false" customHeight="true" outlineLevel="0" collapsed="false">
      <c r="B1082" s="487" t="s">
        <v>2638</v>
      </c>
      <c r="C1082" s="488" t="n">
        <v>351</v>
      </c>
      <c r="D1082" s="489" t="n">
        <v>116</v>
      </c>
      <c r="E1082" s="487" t="s">
        <v>422</v>
      </c>
      <c r="F1082" s="487" t="s">
        <v>384</v>
      </c>
      <c r="G1082" s="487" t="s">
        <v>385</v>
      </c>
      <c r="H1082" s="487" t="s">
        <v>870</v>
      </c>
      <c r="I1082" s="487" t="s">
        <v>252</v>
      </c>
      <c r="J1082" s="487" t="s">
        <v>1435</v>
      </c>
      <c r="K1082" s="490" t="n">
        <v>24440</v>
      </c>
      <c r="L1082" s="490" t="n">
        <v>14460</v>
      </c>
      <c r="M1082" s="491" t="n">
        <v>8.5</v>
      </c>
      <c r="N1082" s="490" t="n">
        <v>9980</v>
      </c>
      <c r="O1082" s="490" t="n">
        <v>9131.7</v>
      </c>
    </row>
    <row r="1083" customFormat="false" ht="12.75" hidden="true" customHeight="true" outlineLevel="1" collapsed="false">
      <c r="B1083" s="487" t="s">
        <v>746</v>
      </c>
      <c r="C1083" s="487"/>
      <c r="D1083" s="487"/>
      <c r="E1083" s="487"/>
      <c r="F1083" s="487"/>
      <c r="G1083" s="487"/>
      <c r="H1083" s="487"/>
      <c r="I1083" s="487"/>
      <c r="J1083" s="487"/>
      <c r="K1083" s="492"/>
      <c r="L1083" s="492"/>
      <c r="M1083" s="492"/>
      <c r="N1083" s="490" t="n">
        <v>9980</v>
      </c>
      <c r="O1083" s="490" t="n">
        <v>9131.7</v>
      </c>
    </row>
    <row r="1084" customFormat="false" ht="36.75" hidden="false" customHeight="true" outlineLevel="0" collapsed="false">
      <c r="B1084" s="487" t="s">
        <v>2639</v>
      </c>
      <c r="C1084" s="488" t="n">
        <v>352</v>
      </c>
      <c r="D1084" s="489" t="n">
        <v>117</v>
      </c>
      <c r="E1084" s="487" t="s">
        <v>422</v>
      </c>
      <c r="F1084" s="487" t="s">
        <v>382</v>
      </c>
      <c r="G1084" s="487" t="s">
        <v>383</v>
      </c>
      <c r="H1084" s="487" t="s">
        <v>873</v>
      </c>
      <c r="I1084" s="487" t="s">
        <v>894</v>
      </c>
      <c r="J1084" s="487" t="s">
        <v>1435</v>
      </c>
      <c r="K1084" s="490" t="n">
        <v>25900</v>
      </c>
      <c r="L1084" s="490" t="n">
        <v>14860</v>
      </c>
      <c r="M1084" s="491" t="n">
        <v>20.5</v>
      </c>
      <c r="N1084" s="490" t="n">
        <v>11040</v>
      </c>
      <c r="O1084" s="490" t="n">
        <v>8776.8</v>
      </c>
    </row>
    <row r="1085" customFormat="false" ht="12.75" hidden="true" customHeight="true" outlineLevel="1" collapsed="false">
      <c r="B1085" s="487" t="s">
        <v>417</v>
      </c>
      <c r="C1085" s="487"/>
      <c r="D1085" s="487"/>
      <c r="E1085" s="487"/>
      <c r="F1085" s="487"/>
      <c r="G1085" s="487"/>
      <c r="H1085" s="487"/>
      <c r="I1085" s="487"/>
      <c r="J1085" s="487"/>
      <c r="K1085" s="492"/>
      <c r="L1085" s="492"/>
      <c r="M1085" s="492"/>
      <c r="N1085" s="490" t="n">
        <v>11040</v>
      </c>
      <c r="O1085" s="490" t="n">
        <v>8776.8</v>
      </c>
    </row>
    <row r="1086" customFormat="false" ht="36.75" hidden="false" customHeight="true" outlineLevel="0" collapsed="false">
      <c r="B1086" s="487" t="s">
        <v>2640</v>
      </c>
      <c r="C1086" s="488" t="n">
        <v>353</v>
      </c>
      <c r="D1086" s="489" t="n">
        <v>118</v>
      </c>
      <c r="E1086" s="487" t="s">
        <v>422</v>
      </c>
      <c r="F1086" s="487" t="s">
        <v>376</v>
      </c>
      <c r="G1086" s="487" t="s">
        <v>377</v>
      </c>
      <c r="H1086" s="487" t="s">
        <v>873</v>
      </c>
      <c r="I1086" s="487" t="s">
        <v>895</v>
      </c>
      <c r="J1086" s="487" t="s">
        <v>1435</v>
      </c>
      <c r="K1086" s="490" t="n">
        <v>23280</v>
      </c>
      <c r="L1086" s="490" t="n">
        <v>18880</v>
      </c>
      <c r="M1086" s="491" t="n">
        <v>12.5</v>
      </c>
      <c r="N1086" s="490" t="n">
        <v>4400</v>
      </c>
      <c r="O1086" s="490" t="n">
        <v>3850</v>
      </c>
    </row>
    <row r="1087" customFormat="false" ht="12.75" hidden="true" customHeight="true" outlineLevel="1" collapsed="false">
      <c r="B1087" s="487" t="s">
        <v>417</v>
      </c>
      <c r="C1087" s="487"/>
      <c r="D1087" s="487"/>
      <c r="E1087" s="487"/>
      <c r="F1087" s="487"/>
      <c r="G1087" s="487"/>
      <c r="H1087" s="487"/>
      <c r="I1087" s="487"/>
      <c r="J1087" s="487"/>
      <c r="K1087" s="492"/>
      <c r="L1087" s="492"/>
      <c r="M1087" s="492"/>
      <c r="N1087" s="490" t="n">
        <v>4400</v>
      </c>
      <c r="O1087" s="490" t="n">
        <v>3850</v>
      </c>
    </row>
    <row r="1088" customFormat="false" ht="36.75" hidden="false" customHeight="true" outlineLevel="0" collapsed="false">
      <c r="B1088" s="487" t="s">
        <v>2641</v>
      </c>
      <c r="C1088" s="488" t="n">
        <v>354</v>
      </c>
      <c r="D1088" s="489" t="n">
        <v>118</v>
      </c>
      <c r="E1088" s="487" t="s">
        <v>422</v>
      </c>
      <c r="F1088" s="487" t="s">
        <v>376</v>
      </c>
      <c r="G1088" s="487" t="s">
        <v>377</v>
      </c>
      <c r="H1088" s="487" t="s">
        <v>873</v>
      </c>
      <c r="I1088" s="487" t="s">
        <v>894</v>
      </c>
      <c r="J1088" s="487" t="s">
        <v>1435</v>
      </c>
      <c r="K1088" s="490" t="n">
        <v>18880</v>
      </c>
      <c r="L1088" s="490" t="n">
        <v>14290</v>
      </c>
      <c r="M1088" s="491" t="n">
        <v>29.5</v>
      </c>
      <c r="N1088" s="490" t="n">
        <v>4590</v>
      </c>
      <c r="O1088" s="490" t="n">
        <v>3235.9</v>
      </c>
    </row>
    <row r="1089" customFormat="false" ht="12.75" hidden="true" customHeight="true" outlineLevel="1" collapsed="false">
      <c r="B1089" s="487" t="s">
        <v>417</v>
      </c>
      <c r="C1089" s="487"/>
      <c r="D1089" s="487"/>
      <c r="E1089" s="487"/>
      <c r="F1089" s="487"/>
      <c r="G1089" s="487"/>
      <c r="H1089" s="487"/>
      <c r="I1089" s="487"/>
      <c r="J1089" s="487"/>
      <c r="K1089" s="492"/>
      <c r="L1089" s="492"/>
      <c r="M1089" s="492"/>
      <c r="N1089" s="490" t="n">
        <v>4590</v>
      </c>
      <c r="O1089" s="490" t="n">
        <v>3235.9</v>
      </c>
    </row>
    <row r="1090" customFormat="false" ht="36.75" hidden="false" customHeight="true" outlineLevel="0" collapsed="false">
      <c r="B1090" s="487" t="s">
        <v>2642</v>
      </c>
      <c r="C1090" s="488" t="n">
        <v>356</v>
      </c>
      <c r="D1090" s="489" t="n">
        <v>119</v>
      </c>
      <c r="E1090" s="487" t="s">
        <v>422</v>
      </c>
      <c r="F1090" s="487" t="s">
        <v>361</v>
      </c>
      <c r="G1090" s="487" t="s">
        <v>362</v>
      </c>
      <c r="H1090" s="487" t="s">
        <v>896</v>
      </c>
      <c r="I1090" s="487" t="s">
        <v>68</v>
      </c>
      <c r="J1090" s="487" t="s">
        <v>1435</v>
      </c>
      <c r="K1090" s="490" t="n">
        <v>28700</v>
      </c>
      <c r="L1090" s="490" t="n">
        <v>14680</v>
      </c>
      <c r="M1090" s="491" t="n">
        <v>10</v>
      </c>
      <c r="N1090" s="490" t="n">
        <v>14020</v>
      </c>
      <c r="O1090" s="490" t="n">
        <v>12618</v>
      </c>
    </row>
    <row r="1091" customFormat="false" ht="12.75" hidden="true" customHeight="true" outlineLevel="1" collapsed="false">
      <c r="B1091" s="487" t="s">
        <v>746</v>
      </c>
      <c r="C1091" s="487"/>
      <c r="D1091" s="487"/>
      <c r="E1091" s="487"/>
      <c r="F1091" s="487"/>
      <c r="G1091" s="487"/>
      <c r="H1091" s="487"/>
      <c r="I1091" s="487"/>
      <c r="J1091" s="487"/>
      <c r="K1091" s="492"/>
      <c r="L1091" s="492"/>
      <c r="M1091" s="492"/>
      <c r="N1091" s="490" t="n">
        <v>14020</v>
      </c>
      <c r="O1091" s="490" t="n">
        <v>12618</v>
      </c>
    </row>
    <row r="1092" customFormat="false" ht="36.75" hidden="false" customHeight="true" outlineLevel="0" collapsed="false">
      <c r="B1092" s="487" t="s">
        <v>2657</v>
      </c>
      <c r="C1092" s="488" t="n">
        <v>360</v>
      </c>
      <c r="D1092" s="489" t="n">
        <v>122</v>
      </c>
      <c r="E1092" s="487" t="s">
        <v>422</v>
      </c>
      <c r="F1092" s="487" t="s">
        <v>376</v>
      </c>
      <c r="G1092" s="487" t="s">
        <v>377</v>
      </c>
      <c r="H1092" s="487" t="s">
        <v>873</v>
      </c>
      <c r="I1092" s="487" t="s">
        <v>897</v>
      </c>
      <c r="J1092" s="487" t="s">
        <v>1435</v>
      </c>
      <c r="K1092" s="490" t="n">
        <v>22670</v>
      </c>
      <c r="L1092" s="490" t="n">
        <v>14280</v>
      </c>
      <c r="M1092" s="491" t="n">
        <v>19</v>
      </c>
      <c r="N1092" s="490" t="n">
        <v>8390</v>
      </c>
      <c r="O1092" s="490" t="n">
        <v>6795.9</v>
      </c>
    </row>
    <row r="1093" customFormat="false" ht="12.75" hidden="true" customHeight="true" outlineLevel="1" collapsed="false">
      <c r="B1093" s="487" t="s">
        <v>417</v>
      </c>
      <c r="C1093" s="487"/>
      <c r="D1093" s="487"/>
      <c r="E1093" s="487"/>
      <c r="F1093" s="487"/>
      <c r="G1093" s="487"/>
      <c r="H1093" s="487"/>
      <c r="I1093" s="487"/>
      <c r="J1093" s="487"/>
      <c r="K1093" s="492"/>
      <c r="L1093" s="492"/>
      <c r="M1093" s="492"/>
      <c r="N1093" s="490" t="n">
        <v>4195</v>
      </c>
      <c r="O1093" s="490" t="n">
        <v>3083.3</v>
      </c>
    </row>
    <row r="1094" customFormat="false" ht="12.75" hidden="true" customHeight="true" outlineLevel="1" collapsed="false">
      <c r="B1094" s="487" t="s">
        <v>746</v>
      </c>
      <c r="C1094" s="487"/>
      <c r="D1094" s="487"/>
      <c r="E1094" s="487"/>
      <c r="F1094" s="487"/>
      <c r="G1094" s="487"/>
      <c r="H1094" s="487"/>
      <c r="I1094" s="487"/>
      <c r="J1094" s="487"/>
      <c r="K1094" s="492"/>
      <c r="L1094" s="492"/>
      <c r="M1094" s="492"/>
      <c r="N1094" s="490" t="n">
        <v>4195</v>
      </c>
      <c r="O1094" s="490" t="n">
        <v>3712.6</v>
      </c>
    </row>
    <row r="1095" customFormat="false" ht="36.75" hidden="false" customHeight="true" outlineLevel="0" collapsed="false">
      <c r="B1095" s="487" t="s">
        <v>2643</v>
      </c>
      <c r="C1095" s="488" t="n">
        <v>357</v>
      </c>
      <c r="D1095" s="489" t="n">
        <v>120</v>
      </c>
      <c r="E1095" s="487" t="s">
        <v>422</v>
      </c>
      <c r="F1095" s="487" t="s">
        <v>384</v>
      </c>
      <c r="G1095" s="487" t="s">
        <v>385</v>
      </c>
      <c r="H1095" s="487" t="s">
        <v>873</v>
      </c>
      <c r="I1095" s="487" t="s">
        <v>897</v>
      </c>
      <c r="J1095" s="487" t="s">
        <v>1435</v>
      </c>
      <c r="K1095" s="490" t="n">
        <v>25050</v>
      </c>
      <c r="L1095" s="490" t="n">
        <v>20660</v>
      </c>
      <c r="M1095" s="491" t="n">
        <v>29.5</v>
      </c>
      <c r="N1095" s="490" t="n">
        <v>4390</v>
      </c>
      <c r="O1095" s="490" t="n">
        <v>3094.9</v>
      </c>
    </row>
    <row r="1096" customFormat="false" ht="12.75" hidden="true" customHeight="true" outlineLevel="1" collapsed="false">
      <c r="B1096" s="487" t="s">
        <v>417</v>
      </c>
      <c r="C1096" s="487"/>
      <c r="D1096" s="487"/>
      <c r="E1096" s="487"/>
      <c r="F1096" s="487"/>
      <c r="G1096" s="487"/>
      <c r="H1096" s="487"/>
      <c r="I1096" s="487"/>
      <c r="J1096" s="487"/>
      <c r="K1096" s="492"/>
      <c r="L1096" s="492"/>
      <c r="M1096" s="492"/>
      <c r="N1096" s="490" t="n">
        <v>4390</v>
      </c>
      <c r="O1096" s="490" t="n">
        <v>3094.9</v>
      </c>
    </row>
    <row r="1097" customFormat="false" ht="36.75" hidden="false" customHeight="true" outlineLevel="0" collapsed="false">
      <c r="B1097" s="487" t="s">
        <v>2644</v>
      </c>
      <c r="C1097" s="488" t="n">
        <v>358</v>
      </c>
      <c r="D1097" s="489" t="n">
        <v>120</v>
      </c>
      <c r="E1097" s="487" t="s">
        <v>422</v>
      </c>
      <c r="F1097" s="487" t="s">
        <v>384</v>
      </c>
      <c r="G1097" s="487" t="s">
        <v>385</v>
      </c>
      <c r="H1097" s="487" t="s">
        <v>873</v>
      </c>
      <c r="I1097" s="487" t="s">
        <v>898</v>
      </c>
      <c r="J1097" s="487" t="s">
        <v>1435</v>
      </c>
      <c r="K1097" s="490" t="n">
        <v>20660</v>
      </c>
      <c r="L1097" s="490" t="n">
        <v>14480</v>
      </c>
      <c r="M1097" s="491" t="n">
        <v>21.5</v>
      </c>
      <c r="N1097" s="490" t="n">
        <v>6180</v>
      </c>
      <c r="O1097" s="490" t="n">
        <v>4851.3</v>
      </c>
    </row>
    <row r="1098" customFormat="false" ht="12.75" hidden="true" customHeight="true" outlineLevel="1" collapsed="false">
      <c r="B1098" s="487" t="s">
        <v>417</v>
      </c>
      <c r="C1098" s="487"/>
      <c r="D1098" s="487"/>
      <c r="E1098" s="487"/>
      <c r="F1098" s="487"/>
      <c r="G1098" s="487"/>
      <c r="H1098" s="487"/>
      <c r="I1098" s="487"/>
      <c r="J1098" s="487"/>
      <c r="K1098" s="492"/>
      <c r="L1098" s="492"/>
      <c r="M1098" s="492"/>
      <c r="N1098" s="490" t="n">
        <v>6180</v>
      </c>
      <c r="O1098" s="490" t="n">
        <v>4851.3</v>
      </c>
    </row>
    <row r="1099" customFormat="false" ht="36.75" hidden="false" customHeight="true" outlineLevel="0" collapsed="false">
      <c r="B1099" s="487" t="s">
        <v>2645</v>
      </c>
      <c r="C1099" s="488" t="n">
        <v>359</v>
      </c>
      <c r="D1099" s="489" t="n">
        <v>121</v>
      </c>
      <c r="E1099" s="487" t="s">
        <v>422</v>
      </c>
      <c r="F1099" s="487" t="s">
        <v>382</v>
      </c>
      <c r="G1099" s="487" t="s">
        <v>383</v>
      </c>
      <c r="H1099" s="487" t="s">
        <v>896</v>
      </c>
      <c r="I1099" s="487" t="s">
        <v>47</v>
      </c>
      <c r="J1099" s="487" t="s">
        <v>1435</v>
      </c>
      <c r="K1099" s="490" t="n">
        <v>30340</v>
      </c>
      <c r="L1099" s="490" t="n">
        <v>23450</v>
      </c>
      <c r="M1099" s="491" t="n">
        <v>6.5</v>
      </c>
      <c r="N1099" s="490" t="n">
        <v>6890</v>
      </c>
      <c r="O1099" s="490" t="n">
        <v>6442.1</v>
      </c>
    </row>
    <row r="1100" customFormat="false" ht="12.75" hidden="true" customHeight="true" outlineLevel="1" collapsed="false">
      <c r="B1100" s="487" t="s">
        <v>746</v>
      </c>
      <c r="C1100" s="487"/>
      <c r="D1100" s="487"/>
      <c r="E1100" s="487"/>
      <c r="F1100" s="487"/>
      <c r="G1100" s="487"/>
      <c r="H1100" s="487"/>
      <c r="I1100" s="487"/>
      <c r="J1100" s="487"/>
      <c r="K1100" s="492"/>
      <c r="L1100" s="492"/>
      <c r="M1100" s="492"/>
      <c r="N1100" s="490" t="n">
        <v>6890</v>
      </c>
      <c r="O1100" s="490" t="n">
        <v>6442.1</v>
      </c>
    </row>
    <row r="1101" customFormat="false" ht="36.75" hidden="false" customHeight="true" outlineLevel="0" collapsed="false">
      <c r="B1101" s="487" t="s">
        <v>2646</v>
      </c>
      <c r="C1101" s="488" t="n">
        <v>361</v>
      </c>
      <c r="D1101" s="489" t="n">
        <v>121</v>
      </c>
      <c r="E1101" s="487" t="s">
        <v>422</v>
      </c>
      <c r="F1101" s="487" t="s">
        <v>382</v>
      </c>
      <c r="G1101" s="487" t="s">
        <v>383</v>
      </c>
      <c r="H1101" s="487" t="s">
        <v>896</v>
      </c>
      <c r="I1101" s="487" t="s">
        <v>68</v>
      </c>
      <c r="J1101" s="487" t="s">
        <v>1435</v>
      </c>
      <c r="K1101" s="490" t="n">
        <v>23450</v>
      </c>
      <c r="L1101" s="490" t="n">
        <v>14840</v>
      </c>
      <c r="M1101" s="491" t="n">
        <v>8.5</v>
      </c>
      <c r="N1101" s="490" t="n">
        <v>8610</v>
      </c>
      <c r="O1101" s="490" t="n">
        <v>7878.1</v>
      </c>
    </row>
    <row r="1102" customFormat="false" ht="12.75" hidden="true" customHeight="true" outlineLevel="1" collapsed="false">
      <c r="B1102" s="487" t="s">
        <v>746</v>
      </c>
      <c r="C1102" s="487"/>
      <c r="D1102" s="487"/>
      <c r="E1102" s="487"/>
      <c r="F1102" s="487"/>
      <c r="G1102" s="487"/>
      <c r="H1102" s="487"/>
      <c r="I1102" s="487"/>
      <c r="J1102" s="487"/>
      <c r="K1102" s="492"/>
      <c r="L1102" s="492"/>
      <c r="M1102" s="492"/>
      <c r="N1102" s="490" t="n">
        <v>8610</v>
      </c>
      <c r="O1102" s="490" t="n">
        <v>7878.1</v>
      </c>
    </row>
    <row r="1103" customFormat="false" ht="36.75" hidden="false" customHeight="true" outlineLevel="0" collapsed="false">
      <c r="B1103" s="487" t="s">
        <v>2647</v>
      </c>
      <c r="C1103" s="488" t="n">
        <v>362</v>
      </c>
      <c r="D1103" s="489" t="n">
        <v>28</v>
      </c>
      <c r="E1103" s="487" t="s">
        <v>899</v>
      </c>
      <c r="F1103" s="487" t="s">
        <v>374</v>
      </c>
      <c r="G1103" s="487" t="s">
        <v>375</v>
      </c>
      <c r="H1103" s="487" t="s">
        <v>901</v>
      </c>
      <c r="I1103" s="487" t="s">
        <v>900</v>
      </c>
      <c r="J1103" s="487" t="s">
        <v>1435</v>
      </c>
      <c r="K1103" s="490" t="n">
        <v>6240</v>
      </c>
      <c r="L1103" s="490" t="n">
        <v>4560</v>
      </c>
      <c r="M1103" s="491" t="n">
        <v>12</v>
      </c>
      <c r="N1103" s="490" t="n">
        <v>1680</v>
      </c>
      <c r="O1103" s="490" t="n">
        <v>1478.4</v>
      </c>
    </row>
    <row r="1104" customFormat="false" ht="12.75" hidden="true" customHeight="true" outlineLevel="1" collapsed="false">
      <c r="B1104" s="487" t="s">
        <v>417</v>
      </c>
      <c r="C1104" s="487"/>
      <c r="D1104" s="487"/>
      <c r="E1104" s="487"/>
      <c r="F1104" s="487"/>
      <c r="G1104" s="487"/>
      <c r="H1104" s="487"/>
      <c r="I1104" s="487"/>
      <c r="J1104" s="487"/>
      <c r="K1104" s="492"/>
      <c r="L1104" s="492"/>
      <c r="M1104" s="492"/>
      <c r="N1104" s="490" t="n">
        <v>1680</v>
      </c>
      <c r="O1104" s="490" t="n">
        <v>1478.4</v>
      </c>
    </row>
    <row r="1105" customFormat="false" ht="36.75" hidden="false" customHeight="true" outlineLevel="0" collapsed="false">
      <c r="B1105" s="487" t="s">
        <v>2648</v>
      </c>
      <c r="C1105" s="488" t="n">
        <v>363</v>
      </c>
      <c r="D1105" s="489" t="n">
        <v>123</v>
      </c>
      <c r="E1105" s="487" t="s">
        <v>422</v>
      </c>
      <c r="F1105" s="487" t="s">
        <v>384</v>
      </c>
      <c r="G1105" s="487" t="s">
        <v>385</v>
      </c>
      <c r="H1105" s="487" t="s">
        <v>873</v>
      </c>
      <c r="I1105" s="487" t="s">
        <v>68</v>
      </c>
      <c r="J1105" s="487" t="s">
        <v>1435</v>
      </c>
      <c r="K1105" s="490" t="n">
        <v>27420</v>
      </c>
      <c r="L1105" s="490" t="n">
        <v>14450</v>
      </c>
      <c r="M1105" s="491" t="n">
        <v>13.5</v>
      </c>
      <c r="N1105" s="490" t="n">
        <v>12970</v>
      </c>
      <c r="O1105" s="490" t="n">
        <v>11219</v>
      </c>
    </row>
    <row r="1106" customFormat="false" ht="12.75" hidden="true" customHeight="true" outlineLevel="1" collapsed="false">
      <c r="B1106" s="487" t="s">
        <v>886</v>
      </c>
      <c r="C1106" s="487"/>
      <c r="D1106" s="487"/>
      <c r="E1106" s="487"/>
      <c r="F1106" s="487"/>
      <c r="G1106" s="487"/>
      <c r="H1106" s="487"/>
      <c r="I1106" s="487"/>
      <c r="J1106" s="487"/>
      <c r="K1106" s="492"/>
      <c r="L1106" s="492"/>
      <c r="M1106" s="492"/>
      <c r="N1106" s="490" t="n">
        <v>12970</v>
      </c>
      <c r="O1106" s="490" t="n">
        <v>11219</v>
      </c>
    </row>
    <row r="1107" customFormat="false" ht="36.75" hidden="false" customHeight="true" outlineLevel="0" collapsed="false">
      <c r="B1107" s="487" t="s">
        <v>2650</v>
      </c>
      <c r="C1107" s="488" t="n">
        <v>365</v>
      </c>
      <c r="D1107" s="489" t="n">
        <v>125</v>
      </c>
      <c r="E1107" s="487" t="s">
        <v>422</v>
      </c>
      <c r="F1107" s="487" t="s">
        <v>376</v>
      </c>
      <c r="G1107" s="487" t="s">
        <v>377</v>
      </c>
      <c r="H1107" s="487" t="s">
        <v>873</v>
      </c>
      <c r="I1107" s="487" t="s">
        <v>68</v>
      </c>
      <c r="J1107" s="487" t="s">
        <v>1435</v>
      </c>
      <c r="K1107" s="490" t="n">
        <v>27130</v>
      </c>
      <c r="L1107" s="490" t="n">
        <v>14260</v>
      </c>
      <c r="M1107" s="491" t="n">
        <v>10.5</v>
      </c>
      <c r="N1107" s="490" t="n">
        <v>12870</v>
      </c>
      <c r="O1107" s="490" t="n">
        <v>11518.6</v>
      </c>
    </row>
    <row r="1108" customFormat="false" ht="12.75" hidden="true" customHeight="true" outlineLevel="1" collapsed="false">
      <c r="B1108" s="487" t="s">
        <v>746</v>
      </c>
      <c r="C1108" s="487"/>
      <c r="D1108" s="487"/>
      <c r="E1108" s="487"/>
      <c r="F1108" s="487"/>
      <c r="G1108" s="487"/>
      <c r="H1108" s="487"/>
      <c r="I1108" s="487"/>
      <c r="J1108" s="487"/>
      <c r="K1108" s="492"/>
      <c r="L1108" s="492"/>
      <c r="M1108" s="492"/>
      <c r="N1108" s="490" t="n">
        <v>12870</v>
      </c>
      <c r="O1108" s="490" t="n">
        <v>11518.6</v>
      </c>
    </row>
    <row r="1109" customFormat="false" ht="36.75" hidden="false" customHeight="true" outlineLevel="0" collapsed="false">
      <c r="B1109" s="487" t="s">
        <v>2651</v>
      </c>
      <c r="C1109" s="488" t="n">
        <v>366</v>
      </c>
      <c r="D1109" s="489" t="n">
        <v>126</v>
      </c>
      <c r="E1109" s="487" t="s">
        <v>422</v>
      </c>
      <c r="F1109" s="487" t="s">
        <v>374</v>
      </c>
      <c r="G1109" s="487" t="s">
        <v>375</v>
      </c>
      <c r="H1109" s="487" t="s">
        <v>873</v>
      </c>
      <c r="I1109" s="487" t="s">
        <v>68</v>
      </c>
      <c r="J1109" s="487" t="s">
        <v>1435</v>
      </c>
      <c r="K1109" s="490" t="n">
        <v>8820</v>
      </c>
      <c r="L1109" s="490" t="n">
        <v>4560</v>
      </c>
      <c r="M1109" s="491" t="n">
        <v>10.5</v>
      </c>
      <c r="N1109" s="490" t="n">
        <v>4260</v>
      </c>
      <c r="O1109" s="490" t="n">
        <v>3812.7</v>
      </c>
    </row>
    <row r="1110" customFormat="false" ht="12.75" hidden="true" customHeight="true" outlineLevel="1" collapsed="false">
      <c r="B1110" s="487" t="s">
        <v>746</v>
      </c>
      <c r="C1110" s="487"/>
      <c r="D1110" s="487"/>
      <c r="E1110" s="487"/>
      <c r="F1110" s="487"/>
      <c r="G1110" s="487"/>
      <c r="H1110" s="487"/>
      <c r="I1110" s="487"/>
      <c r="J1110" s="487"/>
      <c r="K1110" s="492"/>
      <c r="L1110" s="492"/>
      <c r="M1110" s="492"/>
      <c r="N1110" s="490" t="n">
        <v>4260</v>
      </c>
      <c r="O1110" s="490" t="n">
        <v>3812.7</v>
      </c>
    </row>
    <row r="1111" customFormat="false" ht="36.75" hidden="false" customHeight="true" outlineLevel="0" collapsed="false">
      <c r="B1111" s="487" t="s">
        <v>2652</v>
      </c>
      <c r="C1111" s="488" t="n">
        <v>367</v>
      </c>
      <c r="D1111" s="489" t="n">
        <v>127</v>
      </c>
      <c r="E1111" s="487" t="s">
        <v>422</v>
      </c>
      <c r="F1111" s="487" t="s">
        <v>382</v>
      </c>
      <c r="G1111" s="487" t="s">
        <v>383</v>
      </c>
      <c r="H1111" s="487" t="s">
        <v>896</v>
      </c>
      <c r="I1111" s="487" t="s">
        <v>47</v>
      </c>
      <c r="J1111" s="487" t="s">
        <v>1435</v>
      </c>
      <c r="K1111" s="490" t="n">
        <v>28410</v>
      </c>
      <c r="L1111" s="490" t="n">
        <v>14850</v>
      </c>
      <c r="M1111" s="491" t="n">
        <v>13.5</v>
      </c>
      <c r="N1111" s="490" t="n">
        <v>13560</v>
      </c>
      <c r="O1111" s="490" t="n">
        <v>11729.4</v>
      </c>
    </row>
    <row r="1112" customFormat="false" ht="12.75" hidden="true" customHeight="true" outlineLevel="1" collapsed="false">
      <c r="B1112" s="487" t="s">
        <v>886</v>
      </c>
      <c r="C1112" s="487"/>
      <c r="D1112" s="487"/>
      <c r="E1112" s="487"/>
      <c r="F1112" s="487"/>
      <c r="G1112" s="487"/>
      <c r="H1112" s="487"/>
      <c r="I1112" s="487"/>
      <c r="J1112" s="487"/>
      <c r="K1112" s="492"/>
      <c r="L1112" s="492"/>
      <c r="M1112" s="492"/>
      <c r="N1112" s="490" t="n">
        <v>13560</v>
      </c>
      <c r="O1112" s="490" t="n">
        <v>11729.4</v>
      </c>
    </row>
    <row r="1113" customFormat="false" ht="36.75" hidden="false" customHeight="true" outlineLevel="0" collapsed="false">
      <c r="B1113" s="487" t="s">
        <v>2653</v>
      </c>
      <c r="C1113" s="488" t="n">
        <v>368</v>
      </c>
      <c r="D1113" s="489" t="n">
        <v>128</v>
      </c>
      <c r="E1113" s="487" t="s">
        <v>422</v>
      </c>
      <c r="F1113" s="487" t="s">
        <v>384</v>
      </c>
      <c r="G1113" s="487" t="s">
        <v>385</v>
      </c>
      <c r="H1113" s="487" t="s">
        <v>873</v>
      </c>
      <c r="I1113" s="487" t="s">
        <v>68</v>
      </c>
      <c r="J1113" s="487" t="s">
        <v>1435</v>
      </c>
      <c r="K1113" s="490" t="n">
        <v>27150</v>
      </c>
      <c r="L1113" s="490" t="n">
        <v>14430</v>
      </c>
      <c r="M1113" s="491" t="n">
        <v>11.5</v>
      </c>
      <c r="N1113" s="490" t="n">
        <v>12720</v>
      </c>
      <c r="O1113" s="490" t="n">
        <v>11257.2</v>
      </c>
    </row>
    <row r="1114" customFormat="false" ht="12.75" hidden="true" customHeight="true" outlineLevel="1" collapsed="false">
      <c r="B1114" s="487" t="s">
        <v>746</v>
      </c>
      <c r="C1114" s="487"/>
      <c r="D1114" s="487"/>
      <c r="E1114" s="487"/>
      <c r="F1114" s="487"/>
      <c r="G1114" s="487"/>
      <c r="H1114" s="487"/>
      <c r="I1114" s="487"/>
      <c r="J1114" s="487"/>
      <c r="K1114" s="492"/>
      <c r="L1114" s="492"/>
      <c r="M1114" s="492"/>
      <c r="N1114" s="490" t="n">
        <v>12720</v>
      </c>
      <c r="O1114" s="490" t="n">
        <v>11257.2</v>
      </c>
    </row>
    <row r="1115" customFormat="false" ht="36.75" hidden="false" customHeight="true" outlineLevel="0" collapsed="false">
      <c r="B1115" s="487" t="s">
        <v>2649</v>
      </c>
      <c r="C1115" s="488" t="n">
        <v>364</v>
      </c>
      <c r="D1115" s="489" t="n">
        <v>124</v>
      </c>
      <c r="E1115" s="487" t="s">
        <v>422</v>
      </c>
      <c r="F1115" s="487" t="s">
        <v>361</v>
      </c>
      <c r="G1115" s="487" t="s">
        <v>362</v>
      </c>
      <c r="H1115" s="487" t="s">
        <v>896</v>
      </c>
      <c r="I1115" s="487" t="s">
        <v>47</v>
      </c>
      <c r="J1115" s="487" t="s">
        <v>1435</v>
      </c>
      <c r="K1115" s="490" t="n">
        <v>28620</v>
      </c>
      <c r="L1115" s="490" t="n">
        <v>14660</v>
      </c>
      <c r="M1115" s="491" t="n">
        <v>13.5</v>
      </c>
      <c r="N1115" s="490" t="n">
        <v>13960</v>
      </c>
      <c r="O1115" s="490" t="n">
        <v>12075.4</v>
      </c>
    </row>
    <row r="1116" customFormat="false" ht="12.75" hidden="true" customHeight="true" outlineLevel="1" collapsed="false">
      <c r="B1116" s="487" t="s">
        <v>886</v>
      </c>
      <c r="C1116" s="487"/>
      <c r="D1116" s="487"/>
      <c r="E1116" s="487"/>
      <c r="F1116" s="487"/>
      <c r="G1116" s="487"/>
      <c r="H1116" s="487"/>
      <c r="I1116" s="487"/>
      <c r="J1116" s="487"/>
      <c r="K1116" s="492"/>
      <c r="L1116" s="492"/>
      <c r="M1116" s="492"/>
      <c r="N1116" s="490" t="n">
        <v>13960</v>
      </c>
      <c r="O1116" s="490" t="n">
        <v>12075.4</v>
      </c>
    </row>
    <row r="1117" customFormat="false" ht="36.75" hidden="false" customHeight="true" outlineLevel="0" collapsed="false">
      <c r="B1117" s="487" t="s">
        <v>2654</v>
      </c>
      <c r="C1117" s="488" t="n">
        <v>369</v>
      </c>
      <c r="D1117" s="489" t="n">
        <v>129</v>
      </c>
      <c r="E1117" s="487" t="s">
        <v>422</v>
      </c>
      <c r="F1117" s="487" t="s">
        <v>361</v>
      </c>
      <c r="G1117" s="487" t="s">
        <v>362</v>
      </c>
      <c r="H1117" s="487" t="s">
        <v>896</v>
      </c>
      <c r="I1117" s="487" t="s">
        <v>47</v>
      </c>
      <c r="J1117" s="487" t="s">
        <v>1435</v>
      </c>
      <c r="K1117" s="490" t="n">
        <v>28490</v>
      </c>
      <c r="L1117" s="490" t="n">
        <v>14640</v>
      </c>
      <c r="M1117" s="491" t="n">
        <v>12</v>
      </c>
      <c r="N1117" s="490" t="n">
        <v>13850</v>
      </c>
      <c r="O1117" s="490" t="n">
        <v>12188</v>
      </c>
    </row>
    <row r="1118" customFormat="false" ht="12.75" hidden="true" customHeight="true" outlineLevel="1" collapsed="false">
      <c r="B1118" s="487" t="s">
        <v>746</v>
      </c>
      <c r="C1118" s="487"/>
      <c r="D1118" s="487"/>
      <c r="E1118" s="487"/>
      <c r="F1118" s="487"/>
      <c r="G1118" s="487"/>
      <c r="H1118" s="487"/>
      <c r="I1118" s="487"/>
      <c r="J1118" s="487"/>
      <c r="K1118" s="492"/>
      <c r="L1118" s="492"/>
      <c r="M1118" s="492"/>
      <c r="N1118" s="490" t="n">
        <v>13850</v>
      </c>
      <c r="O1118" s="490" t="n">
        <v>12188</v>
      </c>
    </row>
    <row r="1119" customFormat="false" ht="36.75" hidden="false" customHeight="true" outlineLevel="0" collapsed="false">
      <c r="B1119" s="487" t="s">
        <v>2655</v>
      </c>
      <c r="C1119" s="488" t="n">
        <v>371</v>
      </c>
      <c r="D1119" s="489" t="n">
        <v>131</v>
      </c>
      <c r="E1119" s="487" t="s">
        <v>422</v>
      </c>
      <c r="F1119" s="487" t="s">
        <v>374</v>
      </c>
      <c r="G1119" s="487" t="s">
        <v>375</v>
      </c>
      <c r="H1119" s="487" t="s">
        <v>873</v>
      </c>
      <c r="I1119" s="487" t="s">
        <v>68</v>
      </c>
      <c r="J1119" s="487" t="s">
        <v>1435</v>
      </c>
      <c r="K1119" s="490" t="n">
        <v>8840</v>
      </c>
      <c r="L1119" s="490" t="n">
        <v>4550</v>
      </c>
      <c r="M1119" s="491" t="n">
        <v>7</v>
      </c>
      <c r="N1119" s="490" t="n">
        <v>4290</v>
      </c>
      <c r="O1119" s="490" t="n">
        <v>3989.7</v>
      </c>
    </row>
    <row r="1120" customFormat="false" ht="12.75" hidden="true" customHeight="true" outlineLevel="1" collapsed="false">
      <c r="B1120" s="487" t="s">
        <v>746</v>
      </c>
      <c r="C1120" s="487"/>
      <c r="D1120" s="487"/>
      <c r="E1120" s="487"/>
      <c r="F1120" s="487"/>
      <c r="G1120" s="487"/>
      <c r="H1120" s="487"/>
      <c r="I1120" s="487"/>
      <c r="J1120" s="487"/>
      <c r="K1120" s="492"/>
      <c r="L1120" s="492"/>
      <c r="M1120" s="492"/>
      <c r="N1120" s="490" t="n">
        <v>4290</v>
      </c>
      <c r="O1120" s="490" t="n">
        <v>3989.7</v>
      </c>
    </row>
    <row r="1121" customFormat="false" ht="36.75" hidden="false" customHeight="true" outlineLevel="0" collapsed="false">
      <c r="B1121" s="487" t="s">
        <v>2656</v>
      </c>
      <c r="C1121" s="488" t="n">
        <v>370</v>
      </c>
      <c r="D1121" s="489" t="n">
        <v>130</v>
      </c>
      <c r="E1121" s="487" t="s">
        <v>422</v>
      </c>
      <c r="F1121" s="487" t="s">
        <v>376</v>
      </c>
      <c r="G1121" s="487" t="s">
        <v>377</v>
      </c>
      <c r="H1121" s="487" t="s">
        <v>873</v>
      </c>
      <c r="I1121" s="487" t="s">
        <v>68</v>
      </c>
      <c r="J1121" s="487" t="s">
        <v>1435</v>
      </c>
      <c r="K1121" s="490" t="n">
        <v>27160</v>
      </c>
      <c r="L1121" s="490" t="n">
        <v>14250</v>
      </c>
      <c r="M1121" s="491" t="n">
        <v>10.5</v>
      </c>
      <c r="N1121" s="490" t="n">
        <v>12910</v>
      </c>
      <c r="O1121" s="490" t="n">
        <v>11554.4</v>
      </c>
    </row>
    <row r="1122" customFormat="false" ht="12.75" hidden="true" customHeight="true" outlineLevel="1" collapsed="false">
      <c r="B1122" s="487" t="s">
        <v>746</v>
      </c>
      <c r="C1122" s="487"/>
      <c r="D1122" s="487"/>
      <c r="E1122" s="487"/>
      <c r="F1122" s="487"/>
      <c r="G1122" s="487"/>
      <c r="H1122" s="487"/>
      <c r="I1122" s="487"/>
      <c r="J1122" s="487"/>
      <c r="K1122" s="492"/>
      <c r="L1122" s="492"/>
      <c r="M1122" s="492"/>
      <c r="N1122" s="490" t="n">
        <v>12910</v>
      </c>
      <c r="O1122" s="490" t="n">
        <v>11554.4</v>
      </c>
    </row>
    <row r="1123" customFormat="false" ht="36.75" hidden="false" customHeight="true" outlineLevel="0" collapsed="false">
      <c r="B1123" s="487" t="s">
        <v>2658</v>
      </c>
      <c r="C1123" s="488" t="n">
        <v>372</v>
      </c>
      <c r="D1123" s="489" t="n">
        <v>132</v>
      </c>
      <c r="E1123" s="487" t="s">
        <v>422</v>
      </c>
      <c r="F1123" s="487" t="s">
        <v>382</v>
      </c>
      <c r="G1123" s="487" t="s">
        <v>383</v>
      </c>
      <c r="H1123" s="487" t="s">
        <v>885</v>
      </c>
      <c r="I1123" s="487" t="s">
        <v>47</v>
      </c>
      <c r="J1123" s="487" t="s">
        <v>1435</v>
      </c>
      <c r="K1123" s="490" t="n">
        <v>28460</v>
      </c>
      <c r="L1123" s="490" t="n">
        <v>14840</v>
      </c>
      <c r="M1123" s="491" t="n">
        <v>9.5</v>
      </c>
      <c r="N1123" s="490" t="n">
        <v>13620</v>
      </c>
      <c r="O1123" s="490" t="n">
        <v>12326.1</v>
      </c>
    </row>
    <row r="1124" customFormat="false" ht="12.75" hidden="true" customHeight="true" outlineLevel="1" collapsed="false">
      <c r="B1124" s="487" t="s">
        <v>746</v>
      </c>
      <c r="C1124" s="487"/>
      <c r="D1124" s="487"/>
      <c r="E1124" s="487"/>
      <c r="F1124" s="487"/>
      <c r="G1124" s="487"/>
      <c r="H1124" s="487"/>
      <c r="I1124" s="487"/>
      <c r="J1124" s="487"/>
      <c r="K1124" s="492"/>
      <c r="L1124" s="492"/>
      <c r="M1124" s="492"/>
      <c r="N1124" s="490" t="n">
        <v>13620</v>
      </c>
      <c r="O1124" s="490" t="n">
        <v>12326.1</v>
      </c>
    </row>
    <row r="1125" customFormat="false" ht="36.75" hidden="false" customHeight="true" outlineLevel="0" collapsed="false">
      <c r="B1125" s="487" t="s">
        <v>2659</v>
      </c>
      <c r="C1125" s="488" t="n">
        <v>373</v>
      </c>
      <c r="D1125" s="489" t="n">
        <v>133</v>
      </c>
      <c r="E1125" s="487" t="s">
        <v>422</v>
      </c>
      <c r="F1125" s="487" t="s">
        <v>361</v>
      </c>
      <c r="G1125" s="487" t="s">
        <v>362</v>
      </c>
      <c r="H1125" s="487" t="s">
        <v>873</v>
      </c>
      <c r="I1125" s="487" t="s">
        <v>68</v>
      </c>
      <c r="J1125" s="487" t="s">
        <v>1435</v>
      </c>
      <c r="K1125" s="490" t="n">
        <v>27930</v>
      </c>
      <c r="L1125" s="490" t="n">
        <v>14640</v>
      </c>
      <c r="M1125" s="491" t="n">
        <v>10</v>
      </c>
      <c r="N1125" s="490" t="n">
        <v>13290</v>
      </c>
      <c r="O1125" s="490" t="n">
        <v>11961</v>
      </c>
    </row>
    <row r="1126" customFormat="false" ht="12.75" hidden="true" customHeight="true" outlineLevel="1" collapsed="false">
      <c r="B1126" s="487" t="s">
        <v>746</v>
      </c>
      <c r="C1126" s="487"/>
      <c r="D1126" s="487"/>
      <c r="E1126" s="487"/>
      <c r="F1126" s="487"/>
      <c r="G1126" s="487"/>
      <c r="H1126" s="487"/>
      <c r="I1126" s="487"/>
      <c r="J1126" s="487"/>
      <c r="K1126" s="492"/>
      <c r="L1126" s="492"/>
      <c r="M1126" s="492"/>
      <c r="N1126" s="490" t="n">
        <v>13290</v>
      </c>
      <c r="O1126" s="490" t="n">
        <v>11961</v>
      </c>
    </row>
    <row r="1127" customFormat="false" ht="36.75" hidden="false" customHeight="true" outlineLevel="0" collapsed="false">
      <c r="B1127" s="487" t="s">
        <v>2660</v>
      </c>
      <c r="C1127" s="488" t="n">
        <v>375</v>
      </c>
      <c r="D1127" s="489" t="n">
        <v>134</v>
      </c>
      <c r="E1127" s="487" t="s">
        <v>422</v>
      </c>
      <c r="F1127" s="487" t="s">
        <v>457</v>
      </c>
      <c r="G1127" s="487" t="s">
        <v>366</v>
      </c>
      <c r="H1127" s="487" t="s">
        <v>873</v>
      </c>
      <c r="I1127" s="487" t="s">
        <v>68</v>
      </c>
      <c r="J1127" s="487" t="s">
        <v>1435</v>
      </c>
      <c r="K1127" s="490" t="n">
        <v>25280</v>
      </c>
      <c r="L1127" s="490" t="n">
        <v>14940</v>
      </c>
      <c r="M1127" s="491" t="n">
        <v>5</v>
      </c>
      <c r="N1127" s="490" t="n">
        <v>10340</v>
      </c>
      <c r="O1127" s="490" t="n">
        <v>9823</v>
      </c>
    </row>
    <row r="1128" customFormat="false" ht="12.75" hidden="true" customHeight="true" outlineLevel="1" collapsed="false">
      <c r="B1128" s="487" t="s">
        <v>886</v>
      </c>
      <c r="C1128" s="487"/>
      <c r="D1128" s="487"/>
      <c r="E1128" s="487"/>
      <c r="F1128" s="487"/>
      <c r="G1128" s="487"/>
      <c r="H1128" s="487"/>
      <c r="I1128" s="487"/>
      <c r="J1128" s="487"/>
      <c r="K1128" s="492"/>
      <c r="L1128" s="492"/>
      <c r="M1128" s="492"/>
      <c r="N1128" s="490" t="n">
        <v>10340</v>
      </c>
      <c r="O1128" s="490" t="n">
        <v>9823</v>
      </c>
    </row>
    <row r="1129" customFormat="false" ht="36.75" hidden="false" customHeight="true" outlineLevel="0" collapsed="false">
      <c r="B1129" s="487" t="s">
        <v>2661</v>
      </c>
      <c r="C1129" s="488" t="n">
        <v>377</v>
      </c>
      <c r="D1129" s="489" t="n">
        <v>135</v>
      </c>
      <c r="E1129" s="487" t="s">
        <v>422</v>
      </c>
      <c r="F1129" s="487" t="s">
        <v>371</v>
      </c>
      <c r="G1129" s="487" t="s">
        <v>372</v>
      </c>
      <c r="H1129" s="487" t="s">
        <v>873</v>
      </c>
      <c r="I1129" s="487" t="s">
        <v>68</v>
      </c>
      <c r="J1129" s="487" t="s">
        <v>1435</v>
      </c>
      <c r="K1129" s="490" t="n">
        <v>25720</v>
      </c>
      <c r="L1129" s="490" t="n">
        <v>15020</v>
      </c>
      <c r="M1129" s="491" t="n">
        <v>6.5</v>
      </c>
      <c r="N1129" s="490" t="n">
        <v>10700</v>
      </c>
      <c r="O1129" s="490" t="n">
        <v>10004.5</v>
      </c>
    </row>
    <row r="1130" customFormat="false" ht="12.75" hidden="true" customHeight="true" outlineLevel="1" collapsed="false">
      <c r="B1130" s="487" t="s">
        <v>886</v>
      </c>
      <c r="C1130" s="487"/>
      <c r="D1130" s="487"/>
      <c r="E1130" s="487"/>
      <c r="F1130" s="487"/>
      <c r="G1130" s="487"/>
      <c r="H1130" s="487"/>
      <c r="I1130" s="487"/>
      <c r="J1130" s="487"/>
      <c r="K1130" s="492"/>
      <c r="L1130" s="492"/>
      <c r="M1130" s="492"/>
      <c r="N1130" s="490" t="n">
        <v>10700</v>
      </c>
      <c r="O1130" s="490" t="n">
        <v>10004.5</v>
      </c>
    </row>
    <row r="1131" customFormat="false" ht="36.75" hidden="false" customHeight="true" outlineLevel="0" collapsed="false">
      <c r="B1131" s="487" t="s">
        <v>2662</v>
      </c>
      <c r="C1131" s="488" t="n">
        <v>378</v>
      </c>
      <c r="D1131" s="489" t="n">
        <v>3</v>
      </c>
      <c r="E1131" s="487" t="s">
        <v>899</v>
      </c>
      <c r="F1131" s="487" t="s">
        <v>378</v>
      </c>
      <c r="G1131" s="487" t="s">
        <v>379</v>
      </c>
      <c r="H1131" s="487" t="s">
        <v>903</v>
      </c>
      <c r="I1131" s="487" t="s">
        <v>900</v>
      </c>
      <c r="J1131" s="487" t="s">
        <v>1435</v>
      </c>
      <c r="K1131" s="490" t="n">
        <v>8800</v>
      </c>
      <c r="L1131" s="490" t="n">
        <v>4600</v>
      </c>
      <c r="M1131" s="491" t="n">
        <v>7</v>
      </c>
      <c r="N1131" s="490" t="n">
        <v>4200</v>
      </c>
      <c r="O1131" s="490" t="n">
        <v>3906</v>
      </c>
    </row>
    <row r="1132" customFormat="false" ht="12.75" hidden="true" customHeight="true" outlineLevel="1" collapsed="false">
      <c r="B1132" s="487" t="s">
        <v>746</v>
      </c>
      <c r="C1132" s="487"/>
      <c r="D1132" s="487"/>
      <c r="E1132" s="487"/>
      <c r="F1132" s="487"/>
      <c r="G1132" s="487"/>
      <c r="H1132" s="487"/>
      <c r="I1132" s="487"/>
      <c r="J1132" s="487"/>
      <c r="K1132" s="492"/>
      <c r="L1132" s="492"/>
      <c r="M1132" s="492"/>
      <c r="N1132" s="490" t="n">
        <v>4200</v>
      </c>
      <c r="O1132" s="490" t="n">
        <v>3906</v>
      </c>
    </row>
    <row r="1133" customFormat="false" ht="36.75" hidden="false" customHeight="true" outlineLevel="0" collapsed="false">
      <c r="B1133" s="487" t="s">
        <v>2663</v>
      </c>
      <c r="C1133" s="488" t="n">
        <v>380</v>
      </c>
      <c r="D1133" s="489" t="n">
        <v>1</v>
      </c>
      <c r="E1133" s="487" t="s">
        <v>899</v>
      </c>
      <c r="F1133" s="487" t="s">
        <v>553</v>
      </c>
      <c r="G1133" s="487" t="s">
        <v>557</v>
      </c>
      <c r="H1133" s="487" t="s">
        <v>903</v>
      </c>
      <c r="I1133" s="487" t="s">
        <v>900</v>
      </c>
      <c r="J1133" s="487" t="s">
        <v>1435</v>
      </c>
      <c r="K1133" s="490" t="n">
        <v>27810</v>
      </c>
      <c r="L1133" s="490" t="n">
        <v>14980</v>
      </c>
      <c r="M1133" s="491" t="n">
        <v>9.5</v>
      </c>
      <c r="N1133" s="490" t="n">
        <v>12830</v>
      </c>
      <c r="O1133" s="490" t="n">
        <v>11611.1</v>
      </c>
    </row>
    <row r="1134" customFormat="false" ht="12.75" hidden="true" customHeight="true" outlineLevel="1" collapsed="false">
      <c r="B1134" s="487" t="s">
        <v>746</v>
      </c>
      <c r="C1134" s="487"/>
      <c r="D1134" s="487"/>
      <c r="E1134" s="487"/>
      <c r="F1134" s="487"/>
      <c r="G1134" s="487"/>
      <c r="H1134" s="487"/>
      <c r="I1134" s="487"/>
      <c r="J1134" s="487"/>
      <c r="K1134" s="492"/>
      <c r="L1134" s="492"/>
      <c r="M1134" s="492"/>
      <c r="N1134" s="490" t="n">
        <v>12830</v>
      </c>
      <c r="O1134" s="490" t="n">
        <v>11611.1</v>
      </c>
    </row>
    <row r="1135" customFormat="false" ht="36.75" hidden="false" customHeight="true" outlineLevel="0" collapsed="false">
      <c r="B1135" s="487" t="s">
        <v>2664</v>
      </c>
      <c r="C1135" s="488" t="n">
        <v>381</v>
      </c>
      <c r="D1135" s="489" t="n">
        <v>2</v>
      </c>
      <c r="E1135" s="487" t="s">
        <v>899</v>
      </c>
      <c r="F1135" s="487" t="s">
        <v>547</v>
      </c>
      <c r="G1135" s="487" t="s">
        <v>551</v>
      </c>
      <c r="H1135" s="487" t="s">
        <v>903</v>
      </c>
      <c r="I1135" s="487" t="s">
        <v>900</v>
      </c>
      <c r="J1135" s="487" t="s">
        <v>1435</v>
      </c>
      <c r="K1135" s="490" t="n">
        <v>27520</v>
      </c>
      <c r="L1135" s="490" t="n">
        <v>14770</v>
      </c>
      <c r="M1135" s="491" t="n">
        <v>5</v>
      </c>
      <c r="N1135" s="490" t="n">
        <v>12750</v>
      </c>
      <c r="O1135" s="490" t="n">
        <v>12112.5</v>
      </c>
    </row>
    <row r="1136" customFormat="false" ht="12.75" hidden="true" customHeight="true" outlineLevel="1" collapsed="false">
      <c r="B1136" s="487" t="s">
        <v>746</v>
      </c>
      <c r="C1136" s="487"/>
      <c r="D1136" s="487"/>
      <c r="E1136" s="487"/>
      <c r="F1136" s="487"/>
      <c r="G1136" s="487"/>
      <c r="H1136" s="487"/>
      <c r="I1136" s="487"/>
      <c r="J1136" s="487"/>
      <c r="K1136" s="492"/>
      <c r="L1136" s="492"/>
      <c r="M1136" s="492"/>
      <c r="N1136" s="490" t="n">
        <v>12750</v>
      </c>
      <c r="O1136" s="490" t="n">
        <v>12112.5</v>
      </c>
    </row>
    <row r="1137" customFormat="false" ht="36.75" hidden="false" customHeight="true" outlineLevel="0" collapsed="false">
      <c r="B1137" s="487" t="s">
        <v>2665</v>
      </c>
      <c r="C1137" s="488" t="n">
        <v>382</v>
      </c>
      <c r="D1137" s="489" t="n">
        <v>4</v>
      </c>
      <c r="E1137" s="487" t="s">
        <v>899</v>
      </c>
      <c r="F1137" s="487" t="s">
        <v>363</v>
      </c>
      <c r="G1137" s="487" t="s">
        <v>364</v>
      </c>
      <c r="H1137" s="487" t="s">
        <v>903</v>
      </c>
      <c r="I1137" s="487" t="s">
        <v>900</v>
      </c>
      <c r="J1137" s="487" t="s">
        <v>1435</v>
      </c>
      <c r="K1137" s="490" t="n">
        <v>27190</v>
      </c>
      <c r="L1137" s="490" t="n">
        <v>14530</v>
      </c>
      <c r="M1137" s="491" t="n">
        <v>8</v>
      </c>
      <c r="N1137" s="490" t="n">
        <v>12660</v>
      </c>
      <c r="O1137" s="490" t="n">
        <v>11647.2</v>
      </c>
    </row>
    <row r="1138" customFormat="false" ht="12.75" hidden="true" customHeight="true" outlineLevel="1" collapsed="false">
      <c r="B1138" s="487" t="s">
        <v>746</v>
      </c>
      <c r="C1138" s="487"/>
      <c r="D1138" s="487"/>
      <c r="E1138" s="487"/>
      <c r="F1138" s="487"/>
      <c r="G1138" s="487"/>
      <c r="H1138" s="487"/>
      <c r="I1138" s="487"/>
      <c r="J1138" s="487"/>
      <c r="K1138" s="492"/>
      <c r="L1138" s="492"/>
      <c r="M1138" s="492"/>
      <c r="N1138" s="490" t="n">
        <v>12660</v>
      </c>
      <c r="O1138" s="490" t="n">
        <v>11647.2</v>
      </c>
    </row>
    <row r="1139" customFormat="false" ht="36.75" hidden="false" customHeight="true" outlineLevel="0" collapsed="false">
      <c r="B1139" s="487" t="s">
        <v>2666</v>
      </c>
      <c r="C1139" s="488" t="n">
        <v>383</v>
      </c>
      <c r="D1139" s="489" t="n">
        <v>5</v>
      </c>
      <c r="E1139" s="487" t="s">
        <v>899</v>
      </c>
      <c r="F1139" s="487" t="s">
        <v>55</v>
      </c>
      <c r="G1139" s="487" t="s">
        <v>56</v>
      </c>
      <c r="H1139" s="487" t="s">
        <v>903</v>
      </c>
      <c r="I1139" s="487" t="s">
        <v>900</v>
      </c>
      <c r="J1139" s="487" t="s">
        <v>1435</v>
      </c>
      <c r="K1139" s="490" t="n">
        <v>27620</v>
      </c>
      <c r="L1139" s="490" t="n">
        <v>14630</v>
      </c>
      <c r="M1139" s="491" t="n">
        <v>7</v>
      </c>
      <c r="N1139" s="490" t="n">
        <v>12990</v>
      </c>
      <c r="O1139" s="490" t="n">
        <v>12080.7</v>
      </c>
    </row>
    <row r="1140" customFormat="false" ht="12.75" hidden="true" customHeight="true" outlineLevel="1" collapsed="false">
      <c r="B1140" s="487" t="s">
        <v>746</v>
      </c>
      <c r="C1140" s="487"/>
      <c r="D1140" s="487"/>
      <c r="E1140" s="487"/>
      <c r="F1140" s="487"/>
      <c r="G1140" s="487"/>
      <c r="H1140" s="487"/>
      <c r="I1140" s="487"/>
      <c r="J1140" s="487"/>
      <c r="K1140" s="492"/>
      <c r="L1140" s="492"/>
      <c r="M1140" s="492"/>
      <c r="N1140" s="490" t="n">
        <v>12990</v>
      </c>
      <c r="O1140" s="490" t="n">
        <v>12080.7</v>
      </c>
    </row>
    <row r="1141" customFormat="false" ht="36.75" hidden="false" customHeight="true" outlineLevel="0" collapsed="false">
      <c r="B1141" s="487" t="s">
        <v>2667</v>
      </c>
      <c r="C1141" s="488" t="n">
        <v>384</v>
      </c>
      <c r="D1141" s="489" t="n">
        <v>7</v>
      </c>
      <c r="E1141" s="487" t="s">
        <v>899</v>
      </c>
      <c r="F1141" s="487" t="s">
        <v>451</v>
      </c>
      <c r="G1141" s="487" t="s">
        <v>455</v>
      </c>
      <c r="H1141" s="489" t="n">
        <v>40</v>
      </c>
      <c r="I1141" s="487" t="s">
        <v>900</v>
      </c>
      <c r="J1141" s="487" t="s">
        <v>1435</v>
      </c>
      <c r="K1141" s="490" t="n">
        <v>27430</v>
      </c>
      <c r="L1141" s="490" t="n">
        <v>15070</v>
      </c>
      <c r="M1141" s="491" t="n">
        <v>6</v>
      </c>
      <c r="N1141" s="490" t="n">
        <v>12360</v>
      </c>
      <c r="O1141" s="490" t="n">
        <v>11618.4</v>
      </c>
    </row>
    <row r="1142" customFormat="false" ht="12.75" hidden="true" customHeight="true" outlineLevel="1" collapsed="false">
      <c r="B1142" s="487" t="s">
        <v>746</v>
      </c>
      <c r="C1142" s="487"/>
      <c r="D1142" s="487"/>
      <c r="E1142" s="487"/>
      <c r="F1142" s="487"/>
      <c r="G1142" s="487"/>
      <c r="H1142" s="487"/>
      <c r="I1142" s="487"/>
      <c r="J1142" s="487"/>
      <c r="K1142" s="492"/>
      <c r="L1142" s="492"/>
      <c r="M1142" s="492"/>
      <c r="N1142" s="490" t="n">
        <v>12360</v>
      </c>
      <c r="O1142" s="490" t="n">
        <v>11618.4</v>
      </c>
    </row>
    <row r="1143" customFormat="false" ht="36.75" hidden="false" customHeight="true" outlineLevel="0" collapsed="false">
      <c r="B1143" s="487" t="s">
        <v>2668</v>
      </c>
      <c r="C1143" s="488" t="n">
        <v>385</v>
      </c>
      <c r="D1143" s="489" t="n">
        <v>6</v>
      </c>
      <c r="E1143" s="487" t="s">
        <v>899</v>
      </c>
      <c r="F1143" s="487" t="s">
        <v>445</v>
      </c>
      <c r="G1143" s="487" t="s">
        <v>449</v>
      </c>
      <c r="H1143" s="489" t="n">
        <v>40</v>
      </c>
      <c r="I1143" s="487" t="s">
        <v>900</v>
      </c>
      <c r="J1143" s="487" t="s">
        <v>1435</v>
      </c>
      <c r="K1143" s="490" t="n">
        <v>28580</v>
      </c>
      <c r="L1143" s="490" t="n">
        <v>15740</v>
      </c>
      <c r="M1143" s="491" t="n">
        <v>7</v>
      </c>
      <c r="N1143" s="490" t="n">
        <v>12840</v>
      </c>
      <c r="O1143" s="490" t="n">
        <v>11941.2</v>
      </c>
    </row>
    <row r="1144" customFormat="false" ht="12.75" hidden="true" customHeight="true" outlineLevel="1" collapsed="false">
      <c r="B1144" s="487" t="s">
        <v>746</v>
      </c>
      <c r="C1144" s="487"/>
      <c r="D1144" s="487"/>
      <c r="E1144" s="487"/>
      <c r="F1144" s="487"/>
      <c r="G1144" s="487"/>
      <c r="H1144" s="487"/>
      <c r="I1144" s="487"/>
      <c r="J1144" s="487"/>
      <c r="K1144" s="492"/>
      <c r="L1144" s="492"/>
      <c r="M1144" s="492"/>
      <c r="N1144" s="490" t="n">
        <v>12840</v>
      </c>
      <c r="O1144" s="490" t="n">
        <v>11941.2</v>
      </c>
    </row>
    <row r="1145" customFormat="false" ht="36.75" hidden="false" customHeight="true" outlineLevel="0" collapsed="false">
      <c r="B1145" s="487" t="s">
        <v>2669</v>
      </c>
      <c r="C1145" s="488" t="n">
        <v>386</v>
      </c>
      <c r="D1145" s="487" t="s">
        <v>906</v>
      </c>
      <c r="E1145" s="487" t="s">
        <v>899</v>
      </c>
      <c r="F1145" s="487" t="s">
        <v>361</v>
      </c>
      <c r="G1145" s="487" t="s">
        <v>362</v>
      </c>
      <c r="H1145" s="489" t="n">
        <v>45</v>
      </c>
      <c r="I1145" s="487" t="s">
        <v>904</v>
      </c>
      <c r="J1145" s="487" t="s">
        <v>1435</v>
      </c>
      <c r="K1145" s="490" t="n">
        <v>27660</v>
      </c>
      <c r="L1145" s="490" t="n">
        <v>14730</v>
      </c>
      <c r="M1145" s="491" t="n">
        <v>18.5</v>
      </c>
      <c r="N1145" s="490" t="n">
        <v>12930</v>
      </c>
      <c r="O1145" s="490" t="n">
        <v>10537.9</v>
      </c>
    </row>
    <row r="1146" customFormat="false" ht="12.75" hidden="true" customHeight="true" outlineLevel="1" collapsed="false">
      <c r="B1146" s="487" t="s">
        <v>417</v>
      </c>
      <c r="C1146" s="487"/>
      <c r="D1146" s="487"/>
      <c r="E1146" s="487"/>
      <c r="F1146" s="487"/>
      <c r="G1146" s="487"/>
      <c r="H1146" s="487"/>
      <c r="I1146" s="487"/>
      <c r="J1146" s="487"/>
      <c r="K1146" s="492"/>
      <c r="L1146" s="492"/>
      <c r="M1146" s="492"/>
      <c r="N1146" s="490" t="n">
        <v>12930</v>
      </c>
      <c r="O1146" s="490" t="n">
        <v>10537.9</v>
      </c>
    </row>
    <row r="1147" customFormat="false" ht="36.75" hidden="false" customHeight="true" outlineLevel="0" collapsed="false">
      <c r="B1147" s="487" t="s">
        <v>2670</v>
      </c>
      <c r="C1147" s="488" t="n">
        <v>387</v>
      </c>
      <c r="D1147" s="487" t="s">
        <v>906</v>
      </c>
      <c r="E1147" s="487" t="s">
        <v>899</v>
      </c>
      <c r="F1147" s="487" t="s">
        <v>472</v>
      </c>
      <c r="G1147" s="487" t="s">
        <v>476</v>
      </c>
      <c r="H1147" s="489" t="n">
        <v>45</v>
      </c>
      <c r="I1147" s="487" t="s">
        <v>904</v>
      </c>
      <c r="J1147" s="487" t="s">
        <v>1435</v>
      </c>
      <c r="K1147" s="490" t="n">
        <v>28780</v>
      </c>
      <c r="L1147" s="490" t="n">
        <v>15390</v>
      </c>
      <c r="M1147" s="491" t="n">
        <v>12.5</v>
      </c>
      <c r="N1147" s="490" t="n">
        <v>13390</v>
      </c>
      <c r="O1147" s="490" t="n">
        <v>11716.2</v>
      </c>
    </row>
    <row r="1148" customFormat="false" ht="12.75" hidden="true" customHeight="true" outlineLevel="1" collapsed="false">
      <c r="B1148" s="487" t="s">
        <v>417</v>
      </c>
      <c r="C1148" s="487"/>
      <c r="D1148" s="487"/>
      <c r="E1148" s="487"/>
      <c r="F1148" s="487"/>
      <c r="G1148" s="487"/>
      <c r="H1148" s="487"/>
      <c r="I1148" s="487"/>
      <c r="J1148" s="487"/>
      <c r="K1148" s="492"/>
      <c r="L1148" s="492"/>
      <c r="M1148" s="492"/>
      <c r="N1148" s="490" t="n">
        <v>13390</v>
      </c>
      <c r="O1148" s="490" t="n">
        <v>11716.2</v>
      </c>
    </row>
    <row r="1149" customFormat="false" ht="36.75" hidden="false" customHeight="true" outlineLevel="0" collapsed="false">
      <c r="B1149" s="487" t="s">
        <v>2671</v>
      </c>
      <c r="C1149" s="488" t="n">
        <v>388</v>
      </c>
      <c r="D1149" s="487" t="s">
        <v>906</v>
      </c>
      <c r="E1149" s="487" t="s">
        <v>899</v>
      </c>
      <c r="F1149" s="487" t="s">
        <v>57</v>
      </c>
      <c r="G1149" s="487" t="s">
        <v>58</v>
      </c>
      <c r="H1149" s="489" t="n">
        <v>45</v>
      </c>
      <c r="I1149" s="487" t="s">
        <v>904</v>
      </c>
      <c r="J1149" s="487" t="s">
        <v>1435</v>
      </c>
      <c r="K1149" s="490" t="n">
        <v>28770</v>
      </c>
      <c r="L1149" s="490" t="n">
        <v>15590</v>
      </c>
      <c r="M1149" s="491" t="n">
        <v>20.5</v>
      </c>
      <c r="N1149" s="490" t="n">
        <v>13180</v>
      </c>
      <c r="O1149" s="490" t="n">
        <v>10478.1</v>
      </c>
    </row>
    <row r="1150" customFormat="false" ht="12.75" hidden="true" customHeight="true" outlineLevel="1" collapsed="false">
      <c r="B1150" s="487" t="s">
        <v>417</v>
      </c>
      <c r="C1150" s="487"/>
      <c r="D1150" s="487"/>
      <c r="E1150" s="487"/>
      <c r="F1150" s="487"/>
      <c r="G1150" s="487"/>
      <c r="H1150" s="487"/>
      <c r="I1150" s="487"/>
      <c r="J1150" s="487"/>
      <c r="K1150" s="492"/>
      <c r="L1150" s="492"/>
      <c r="M1150" s="492"/>
      <c r="N1150" s="490" t="n">
        <v>13180</v>
      </c>
      <c r="O1150" s="490" t="n">
        <v>10478.1</v>
      </c>
    </row>
    <row r="1151" customFormat="false" ht="36.75" hidden="false" customHeight="true" outlineLevel="0" collapsed="false">
      <c r="B1151" s="487" t="s">
        <v>2687</v>
      </c>
      <c r="C1151" s="488" t="n">
        <v>406</v>
      </c>
      <c r="D1151" s="489" t="n">
        <v>26</v>
      </c>
      <c r="E1151" s="487" t="s">
        <v>899</v>
      </c>
      <c r="F1151" s="487" t="s">
        <v>395</v>
      </c>
      <c r="G1151" s="487" t="s">
        <v>566</v>
      </c>
      <c r="H1151" s="487" t="s">
        <v>907</v>
      </c>
      <c r="I1151" s="487" t="s">
        <v>904</v>
      </c>
      <c r="J1151" s="487" t="s">
        <v>1435</v>
      </c>
      <c r="K1151" s="490" t="n">
        <v>27890</v>
      </c>
      <c r="L1151" s="490" t="n">
        <v>14420</v>
      </c>
      <c r="M1151" s="491" t="n">
        <v>13.5</v>
      </c>
      <c r="N1151" s="490" t="n">
        <v>13470</v>
      </c>
      <c r="O1151" s="490" t="n">
        <v>11651.5</v>
      </c>
    </row>
    <row r="1152" customFormat="false" ht="12.75" hidden="true" customHeight="true" outlineLevel="1" collapsed="false">
      <c r="B1152" s="487" t="s">
        <v>417</v>
      </c>
      <c r="C1152" s="487"/>
      <c r="D1152" s="487"/>
      <c r="E1152" s="487"/>
      <c r="F1152" s="487"/>
      <c r="G1152" s="487"/>
      <c r="H1152" s="487"/>
      <c r="I1152" s="487"/>
      <c r="J1152" s="487"/>
      <c r="K1152" s="492"/>
      <c r="L1152" s="492"/>
      <c r="M1152" s="492"/>
      <c r="N1152" s="490" t="n">
        <v>13470</v>
      </c>
      <c r="O1152" s="490" t="n">
        <v>11651.5</v>
      </c>
    </row>
    <row r="1153" customFormat="false" ht="36.75" hidden="false" customHeight="true" outlineLevel="0" collapsed="false">
      <c r="B1153" s="487" t="s">
        <v>2688</v>
      </c>
      <c r="C1153" s="488" t="n">
        <v>408</v>
      </c>
      <c r="D1153" s="487" t="s">
        <v>906</v>
      </c>
      <c r="E1153" s="487" t="s">
        <v>899</v>
      </c>
      <c r="F1153" s="487" t="s">
        <v>386</v>
      </c>
      <c r="G1153" s="487" t="s">
        <v>387</v>
      </c>
      <c r="H1153" s="487" t="s">
        <v>907</v>
      </c>
      <c r="I1153" s="487" t="s">
        <v>904</v>
      </c>
      <c r="J1153" s="487" t="s">
        <v>1435</v>
      </c>
      <c r="K1153" s="490" t="n">
        <v>23210</v>
      </c>
      <c r="L1153" s="490" t="n">
        <v>15130</v>
      </c>
      <c r="M1153" s="491" t="n">
        <v>21</v>
      </c>
      <c r="N1153" s="490" t="n">
        <v>8080</v>
      </c>
      <c r="O1153" s="490" t="n">
        <v>6383.2</v>
      </c>
    </row>
    <row r="1154" customFormat="false" ht="12.75" hidden="true" customHeight="true" outlineLevel="1" collapsed="false">
      <c r="B1154" s="487" t="s">
        <v>417</v>
      </c>
      <c r="C1154" s="487"/>
      <c r="D1154" s="487"/>
      <c r="E1154" s="487"/>
      <c r="F1154" s="487"/>
      <c r="G1154" s="487"/>
      <c r="H1154" s="487"/>
      <c r="I1154" s="487"/>
      <c r="J1154" s="487"/>
      <c r="K1154" s="492"/>
      <c r="L1154" s="492"/>
      <c r="M1154" s="492"/>
      <c r="N1154" s="490" t="n">
        <v>8080</v>
      </c>
      <c r="O1154" s="490" t="n">
        <v>6383.2</v>
      </c>
    </row>
    <row r="1155" customFormat="false" ht="36.75" hidden="false" customHeight="true" outlineLevel="0" collapsed="false">
      <c r="B1155" s="487" t="s">
        <v>2672</v>
      </c>
      <c r="C1155" s="488" t="n">
        <v>389</v>
      </c>
      <c r="D1155" s="487" t="s">
        <v>906</v>
      </c>
      <c r="E1155" s="487" t="s">
        <v>899</v>
      </c>
      <c r="F1155" s="487" t="s">
        <v>427</v>
      </c>
      <c r="G1155" s="487" t="s">
        <v>431</v>
      </c>
      <c r="H1155" s="489" t="n">
        <v>45</v>
      </c>
      <c r="I1155" s="487" t="s">
        <v>904</v>
      </c>
      <c r="J1155" s="487" t="s">
        <v>1435</v>
      </c>
      <c r="K1155" s="490" t="n">
        <v>34210</v>
      </c>
      <c r="L1155" s="490" t="n">
        <v>21060</v>
      </c>
      <c r="M1155" s="491" t="n">
        <v>16</v>
      </c>
      <c r="N1155" s="490" t="n">
        <v>13150</v>
      </c>
      <c r="O1155" s="490" t="n">
        <v>11046</v>
      </c>
    </row>
    <row r="1156" customFormat="false" ht="12.75" hidden="true" customHeight="true" outlineLevel="1" collapsed="false">
      <c r="B1156" s="487" t="s">
        <v>417</v>
      </c>
      <c r="C1156" s="487"/>
      <c r="D1156" s="487"/>
      <c r="E1156" s="487"/>
      <c r="F1156" s="487"/>
      <c r="G1156" s="487"/>
      <c r="H1156" s="487"/>
      <c r="I1156" s="487"/>
      <c r="J1156" s="487"/>
      <c r="K1156" s="492"/>
      <c r="L1156" s="492"/>
      <c r="M1156" s="492"/>
      <c r="N1156" s="490" t="n">
        <v>13150</v>
      </c>
      <c r="O1156" s="490" t="n">
        <v>11046</v>
      </c>
    </row>
    <row r="1157" customFormat="false" ht="36.75" hidden="false" customHeight="true" outlineLevel="0" collapsed="false">
      <c r="B1157" s="487" t="s">
        <v>2691</v>
      </c>
      <c r="C1157" s="488" t="n">
        <v>405</v>
      </c>
      <c r="D1157" s="487" t="s">
        <v>906</v>
      </c>
      <c r="E1157" s="487" t="s">
        <v>899</v>
      </c>
      <c r="F1157" s="487" t="s">
        <v>386</v>
      </c>
      <c r="G1157" s="487" t="s">
        <v>387</v>
      </c>
      <c r="H1157" s="487" t="s">
        <v>901</v>
      </c>
      <c r="I1157" s="487" t="s">
        <v>900</v>
      </c>
      <c r="J1157" s="487" t="s">
        <v>1435</v>
      </c>
      <c r="K1157" s="490" t="n">
        <v>29840</v>
      </c>
      <c r="L1157" s="490" t="n">
        <v>23210</v>
      </c>
      <c r="M1157" s="491" t="n">
        <v>14.5</v>
      </c>
      <c r="N1157" s="490" t="n">
        <v>6630</v>
      </c>
      <c r="O1157" s="490" t="n">
        <v>5668.6</v>
      </c>
    </row>
    <row r="1158" customFormat="false" ht="12.75" hidden="true" customHeight="true" outlineLevel="1" collapsed="false">
      <c r="B1158" s="487" t="s">
        <v>417</v>
      </c>
      <c r="C1158" s="487"/>
      <c r="D1158" s="487"/>
      <c r="E1158" s="487"/>
      <c r="F1158" s="487"/>
      <c r="G1158" s="487"/>
      <c r="H1158" s="487"/>
      <c r="I1158" s="487"/>
      <c r="J1158" s="487"/>
      <c r="K1158" s="492"/>
      <c r="L1158" s="492"/>
      <c r="M1158" s="492"/>
      <c r="N1158" s="490" t="n">
        <v>6630</v>
      </c>
      <c r="O1158" s="490" t="n">
        <v>5668.6</v>
      </c>
    </row>
    <row r="1159" customFormat="false" ht="36.75" hidden="false" customHeight="true" outlineLevel="0" collapsed="false">
      <c r="B1159" s="487" t="s">
        <v>2673</v>
      </c>
      <c r="C1159" s="488" t="n">
        <v>390</v>
      </c>
      <c r="D1159" s="487" t="s">
        <v>906</v>
      </c>
      <c r="E1159" s="487" t="s">
        <v>899</v>
      </c>
      <c r="F1159" s="487" t="s">
        <v>439</v>
      </c>
      <c r="G1159" s="487" t="s">
        <v>443</v>
      </c>
      <c r="H1159" s="489" t="n">
        <v>45</v>
      </c>
      <c r="I1159" s="487" t="s">
        <v>904</v>
      </c>
      <c r="J1159" s="487" t="s">
        <v>1435</v>
      </c>
      <c r="K1159" s="490" t="n">
        <v>37250</v>
      </c>
      <c r="L1159" s="490" t="n">
        <v>24020</v>
      </c>
      <c r="M1159" s="491" t="n">
        <v>12.5</v>
      </c>
      <c r="N1159" s="490" t="n">
        <v>13230</v>
      </c>
      <c r="O1159" s="490" t="n">
        <v>11576.2</v>
      </c>
    </row>
    <row r="1160" customFormat="false" ht="12.75" hidden="true" customHeight="true" outlineLevel="1" collapsed="false">
      <c r="B1160" s="487" t="s">
        <v>417</v>
      </c>
      <c r="C1160" s="487"/>
      <c r="D1160" s="487"/>
      <c r="E1160" s="487"/>
      <c r="F1160" s="487"/>
      <c r="G1160" s="487"/>
      <c r="H1160" s="487"/>
      <c r="I1160" s="487"/>
      <c r="J1160" s="487"/>
      <c r="K1160" s="492"/>
      <c r="L1160" s="492"/>
      <c r="M1160" s="492"/>
      <c r="N1160" s="490" t="n">
        <v>13230</v>
      </c>
      <c r="O1160" s="490" t="n">
        <v>11576.2</v>
      </c>
    </row>
    <row r="1161" customFormat="false" ht="36.75" hidden="false" customHeight="true" outlineLevel="0" collapsed="false">
      <c r="B1161" s="487" t="s">
        <v>2674</v>
      </c>
      <c r="C1161" s="488" t="n">
        <v>391</v>
      </c>
      <c r="D1161" s="487" t="s">
        <v>906</v>
      </c>
      <c r="E1161" s="487" t="s">
        <v>899</v>
      </c>
      <c r="F1161" s="487" t="s">
        <v>433</v>
      </c>
      <c r="G1161" s="487" t="s">
        <v>437</v>
      </c>
      <c r="H1161" s="489" t="n">
        <v>45</v>
      </c>
      <c r="I1161" s="487" t="s">
        <v>904</v>
      </c>
      <c r="J1161" s="487" t="s">
        <v>1435</v>
      </c>
      <c r="K1161" s="490" t="n">
        <v>27970</v>
      </c>
      <c r="L1161" s="490" t="n">
        <v>14910</v>
      </c>
      <c r="M1161" s="491" t="n">
        <v>14.5</v>
      </c>
      <c r="N1161" s="490" t="n">
        <v>13060</v>
      </c>
      <c r="O1161" s="490" t="n">
        <v>11166.3</v>
      </c>
    </row>
    <row r="1162" customFormat="false" ht="12.75" hidden="true" customHeight="true" outlineLevel="1" collapsed="false">
      <c r="B1162" s="487" t="s">
        <v>417</v>
      </c>
      <c r="C1162" s="487"/>
      <c r="D1162" s="487"/>
      <c r="E1162" s="487"/>
      <c r="F1162" s="487"/>
      <c r="G1162" s="487"/>
      <c r="H1162" s="487"/>
      <c r="I1162" s="487"/>
      <c r="J1162" s="487"/>
      <c r="K1162" s="492"/>
      <c r="L1162" s="492"/>
      <c r="M1162" s="492"/>
      <c r="N1162" s="490" t="n">
        <v>13060</v>
      </c>
      <c r="O1162" s="490" t="n">
        <v>11166.3</v>
      </c>
    </row>
    <row r="1163" customFormat="false" ht="36.75" hidden="false" customHeight="true" outlineLevel="0" collapsed="false">
      <c r="B1163" s="487" t="s">
        <v>2675</v>
      </c>
      <c r="C1163" s="488" t="n">
        <v>392</v>
      </c>
      <c r="D1163" s="487" t="s">
        <v>906</v>
      </c>
      <c r="E1163" s="487" t="s">
        <v>899</v>
      </c>
      <c r="F1163" s="487" t="s">
        <v>365</v>
      </c>
      <c r="G1163" s="487" t="s">
        <v>373</v>
      </c>
      <c r="H1163" s="489" t="n">
        <v>45</v>
      </c>
      <c r="I1163" s="487" t="s">
        <v>904</v>
      </c>
      <c r="J1163" s="487" t="s">
        <v>1435</v>
      </c>
      <c r="K1163" s="490" t="n">
        <v>31920</v>
      </c>
      <c r="L1163" s="490" t="n">
        <v>18730</v>
      </c>
      <c r="M1163" s="491" t="n">
        <v>8.5</v>
      </c>
      <c r="N1163" s="490" t="n">
        <v>13190</v>
      </c>
      <c r="O1163" s="490" t="n">
        <v>12068.8</v>
      </c>
    </row>
    <row r="1164" customFormat="false" ht="12.75" hidden="true" customHeight="true" outlineLevel="1" collapsed="false">
      <c r="B1164" s="487" t="s">
        <v>417</v>
      </c>
      <c r="C1164" s="487"/>
      <c r="D1164" s="487"/>
      <c r="E1164" s="487"/>
      <c r="F1164" s="487"/>
      <c r="G1164" s="487"/>
      <c r="H1164" s="487"/>
      <c r="I1164" s="487"/>
      <c r="J1164" s="487"/>
      <c r="K1164" s="492"/>
      <c r="L1164" s="492"/>
      <c r="M1164" s="492"/>
      <c r="N1164" s="490" t="n">
        <v>13190</v>
      </c>
      <c r="O1164" s="490" t="n">
        <v>12068.8</v>
      </c>
    </row>
    <row r="1165" customFormat="false" ht="36.75" hidden="false" customHeight="true" outlineLevel="0" collapsed="false">
      <c r="B1165" s="487" t="s">
        <v>2676</v>
      </c>
      <c r="C1165" s="488" t="n">
        <v>393</v>
      </c>
      <c r="D1165" s="487" t="s">
        <v>906</v>
      </c>
      <c r="E1165" s="487" t="s">
        <v>899</v>
      </c>
      <c r="F1165" s="487" t="s">
        <v>457</v>
      </c>
      <c r="G1165" s="487" t="s">
        <v>366</v>
      </c>
      <c r="H1165" s="489" t="n">
        <v>45</v>
      </c>
      <c r="I1165" s="487" t="s">
        <v>904</v>
      </c>
      <c r="J1165" s="487" t="s">
        <v>1435</v>
      </c>
      <c r="K1165" s="490" t="n">
        <v>28050</v>
      </c>
      <c r="L1165" s="490" t="n">
        <v>14910</v>
      </c>
      <c r="M1165" s="491" t="n">
        <v>14.5</v>
      </c>
      <c r="N1165" s="490" t="n">
        <v>13140</v>
      </c>
      <c r="O1165" s="490" t="n">
        <v>11234.7</v>
      </c>
    </row>
    <row r="1166" customFormat="false" ht="12.75" hidden="true" customHeight="true" outlineLevel="1" collapsed="false">
      <c r="B1166" s="487" t="s">
        <v>417</v>
      </c>
      <c r="C1166" s="487"/>
      <c r="D1166" s="487"/>
      <c r="E1166" s="487"/>
      <c r="F1166" s="487"/>
      <c r="G1166" s="487"/>
      <c r="H1166" s="487"/>
      <c r="I1166" s="487"/>
      <c r="J1166" s="487"/>
      <c r="K1166" s="492"/>
      <c r="L1166" s="492"/>
      <c r="M1166" s="492"/>
      <c r="N1166" s="490" t="n">
        <v>13140</v>
      </c>
      <c r="O1166" s="490" t="n">
        <v>11234.7</v>
      </c>
    </row>
    <row r="1167" customFormat="false" ht="36.75" hidden="false" customHeight="true" outlineLevel="0" collapsed="false">
      <c r="B1167" s="487" t="s">
        <v>2677</v>
      </c>
      <c r="C1167" s="488" t="n">
        <v>394</v>
      </c>
      <c r="D1167" s="487" t="s">
        <v>906</v>
      </c>
      <c r="E1167" s="487" t="s">
        <v>899</v>
      </c>
      <c r="F1167" s="487" t="s">
        <v>359</v>
      </c>
      <c r="G1167" s="487" t="s">
        <v>426</v>
      </c>
      <c r="H1167" s="489" t="n">
        <v>45</v>
      </c>
      <c r="I1167" s="487" t="s">
        <v>904</v>
      </c>
      <c r="J1167" s="487" t="s">
        <v>1435</v>
      </c>
      <c r="K1167" s="490" t="n">
        <v>28480</v>
      </c>
      <c r="L1167" s="490" t="n">
        <v>13810</v>
      </c>
      <c r="M1167" s="491" t="n">
        <v>10.5</v>
      </c>
      <c r="N1167" s="490" t="n">
        <v>14670</v>
      </c>
      <c r="O1167" s="490" t="n">
        <v>13129.6</v>
      </c>
    </row>
    <row r="1168" customFormat="false" ht="12.75" hidden="true" customHeight="true" outlineLevel="1" collapsed="false">
      <c r="B1168" s="487" t="s">
        <v>417</v>
      </c>
      <c r="C1168" s="487"/>
      <c r="D1168" s="487"/>
      <c r="E1168" s="487"/>
      <c r="F1168" s="487"/>
      <c r="G1168" s="487"/>
      <c r="H1168" s="487"/>
      <c r="I1168" s="487"/>
      <c r="J1168" s="487"/>
      <c r="K1168" s="492"/>
      <c r="L1168" s="492"/>
      <c r="M1168" s="492"/>
      <c r="N1168" s="490" t="n">
        <v>14670</v>
      </c>
      <c r="O1168" s="490" t="n">
        <v>13129.6</v>
      </c>
    </row>
    <row r="1169" customFormat="false" ht="36.75" hidden="false" customHeight="true" outlineLevel="0" collapsed="false">
      <c r="B1169" s="487" t="s">
        <v>2678</v>
      </c>
      <c r="C1169" s="488" t="n">
        <v>395</v>
      </c>
      <c r="D1169" s="487" t="s">
        <v>906</v>
      </c>
      <c r="E1169" s="487" t="s">
        <v>899</v>
      </c>
      <c r="F1169" s="487" t="s">
        <v>553</v>
      </c>
      <c r="G1169" s="487" t="s">
        <v>557</v>
      </c>
      <c r="H1169" s="489" t="n">
        <v>45</v>
      </c>
      <c r="I1169" s="487" t="s">
        <v>904</v>
      </c>
      <c r="J1169" s="487" t="s">
        <v>1435</v>
      </c>
      <c r="K1169" s="490" t="n">
        <v>28580</v>
      </c>
      <c r="L1169" s="490" t="n">
        <v>14940</v>
      </c>
      <c r="M1169" s="491" t="n">
        <v>12</v>
      </c>
      <c r="N1169" s="490" t="n">
        <v>13640</v>
      </c>
      <c r="O1169" s="490" t="n">
        <v>12003.2</v>
      </c>
    </row>
    <row r="1170" customFormat="false" ht="12.75" hidden="true" customHeight="true" outlineLevel="1" collapsed="false">
      <c r="B1170" s="487" t="s">
        <v>417</v>
      </c>
      <c r="C1170" s="487"/>
      <c r="D1170" s="487"/>
      <c r="E1170" s="487"/>
      <c r="F1170" s="487"/>
      <c r="G1170" s="487"/>
      <c r="H1170" s="487"/>
      <c r="I1170" s="487"/>
      <c r="J1170" s="487"/>
      <c r="K1170" s="492"/>
      <c r="L1170" s="492"/>
      <c r="M1170" s="492"/>
      <c r="N1170" s="490" t="n">
        <v>13640</v>
      </c>
      <c r="O1170" s="490" t="n">
        <v>12003.2</v>
      </c>
    </row>
    <row r="1171" customFormat="false" ht="36.75" hidden="false" customHeight="true" outlineLevel="0" collapsed="false">
      <c r="B1171" s="487" t="s">
        <v>2679</v>
      </c>
      <c r="C1171" s="488" t="n">
        <v>397</v>
      </c>
      <c r="D1171" s="487" t="s">
        <v>906</v>
      </c>
      <c r="E1171" s="487" t="s">
        <v>899</v>
      </c>
      <c r="F1171" s="487" t="s">
        <v>547</v>
      </c>
      <c r="G1171" s="487" t="s">
        <v>551</v>
      </c>
      <c r="H1171" s="489" t="n">
        <v>45</v>
      </c>
      <c r="I1171" s="487" t="s">
        <v>904</v>
      </c>
      <c r="J1171" s="487" t="s">
        <v>1435</v>
      </c>
      <c r="K1171" s="490" t="n">
        <v>28480</v>
      </c>
      <c r="L1171" s="490" t="n">
        <v>14720</v>
      </c>
      <c r="M1171" s="491" t="n">
        <v>14.5</v>
      </c>
      <c r="N1171" s="490" t="n">
        <v>13760</v>
      </c>
      <c r="O1171" s="490" t="n">
        <v>11764.8</v>
      </c>
    </row>
    <row r="1172" customFormat="false" ht="12.75" hidden="true" customHeight="true" outlineLevel="1" collapsed="false">
      <c r="B1172" s="487" t="s">
        <v>417</v>
      </c>
      <c r="C1172" s="487"/>
      <c r="D1172" s="487"/>
      <c r="E1172" s="487"/>
      <c r="F1172" s="487"/>
      <c r="G1172" s="487"/>
      <c r="H1172" s="487"/>
      <c r="I1172" s="487"/>
      <c r="J1172" s="487"/>
      <c r="K1172" s="492"/>
      <c r="L1172" s="492"/>
      <c r="M1172" s="492"/>
      <c r="N1172" s="490" t="n">
        <v>13760</v>
      </c>
      <c r="O1172" s="490" t="n">
        <v>11764.8</v>
      </c>
    </row>
    <row r="1173" customFormat="false" ht="36.75" hidden="false" customHeight="true" outlineLevel="0" collapsed="false">
      <c r="B1173" s="487" t="s">
        <v>2680</v>
      </c>
      <c r="C1173" s="488" t="n">
        <v>398</v>
      </c>
      <c r="D1173" s="487"/>
      <c r="E1173" s="487" t="s">
        <v>899</v>
      </c>
      <c r="F1173" s="487" t="s">
        <v>363</v>
      </c>
      <c r="G1173" s="487" t="s">
        <v>364</v>
      </c>
      <c r="H1173" s="489" t="n">
        <v>45</v>
      </c>
      <c r="I1173" s="487" t="s">
        <v>904</v>
      </c>
      <c r="J1173" s="487" t="s">
        <v>1435</v>
      </c>
      <c r="K1173" s="490" t="n">
        <v>28360</v>
      </c>
      <c r="L1173" s="490" t="n">
        <v>14550</v>
      </c>
      <c r="M1173" s="491" t="n">
        <v>13.5</v>
      </c>
      <c r="N1173" s="490" t="n">
        <v>13810</v>
      </c>
      <c r="O1173" s="490" t="n">
        <v>11945.6</v>
      </c>
    </row>
    <row r="1174" customFormat="false" ht="12.75" hidden="true" customHeight="true" outlineLevel="1" collapsed="false">
      <c r="B1174" s="487" t="s">
        <v>417</v>
      </c>
      <c r="C1174" s="487"/>
      <c r="D1174" s="487"/>
      <c r="E1174" s="487"/>
      <c r="F1174" s="487"/>
      <c r="G1174" s="487"/>
      <c r="H1174" s="487"/>
      <c r="I1174" s="487"/>
      <c r="J1174" s="487"/>
      <c r="K1174" s="492"/>
      <c r="L1174" s="492"/>
      <c r="M1174" s="492"/>
      <c r="N1174" s="490" t="n">
        <v>13810</v>
      </c>
      <c r="O1174" s="490" t="n">
        <v>11945.6</v>
      </c>
    </row>
    <row r="1175" customFormat="false" ht="36.75" hidden="false" customHeight="true" outlineLevel="0" collapsed="false">
      <c r="B1175" s="487" t="s">
        <v>2681</v>
      </c>
      <c r="C1175" s="488" t="n">
        <v>399</v>
      </c>
      <c r="D1175" s="487" t="s">
        <v>906</v>
      </c>
      <c r="E1175" s="487" t="s">
        <v>899</v>
      </c>
      <c r="F1175" s="487" t="s">
        <v>55</v>
      </c>
      <c r="G1175" s="487" t="s">
        <v>56</v>
      </c>
      <c r="H1175" s="489" t="n">
        <v>45</v>
      </c>
      <c r="I1175" s="487" t="s">
        <v>904</v>
      </c>
      <c r="J1175" s="487" t="s">
        <v>1435</v>
      </c>
      <c r="K1175" s="490" t="n">
        <v>28180</v>
      </c>
      <c r="L1175" s="490" t="n">
        <v>14660</v>
      </c>
      <c r="M1175" s="491" t="n">
        <v>13</v>
      </c>
      <c r="N1175" s="490" t="n">
        <v>13520</v>
      </c>
      <c r="O1175" s="490" t="n">
        <v>11762.4</v>
      </c>
    </row>
    <row r="1176" customFormat="false" ht="12.75" hidden="true" customHeight="true" outlineLevel="1" collapsed="false">
      <c r="B1176" s="487" t="s">
        <v>417</v>
      </c>
      <c r="C1176" s="487"/>
      <c r="D1176" s="487"/>
      <c r="E1176" s="487"/>
      <c r="F1176" s="487"/>
      <c r="G1176" s="487"/>
      <c r="H1176" s="487"/>
      <c r="I1176" s="487"/>
      <c r="J1176" s="487"/>
      <c r="K1176" s="492"/>
      <c r="L1176" s="492"/>
      <c r="M1176" s="492"/>
      <c r="N1176" s="490" t="n">
        <v>13520</v>
      </c>
      <c r="O1176" s="490" t="n">
        <v>11762.4</v>
      </c>
    </row>
    <row r="1177" customFormat="false" ht="36.75" hidden="false" customHeight="true" outlineLevel="0" collapsed="false">
      <c r="B1177" s="487" t="s">
        <v>2682</v>
      </c>
      <c r="C1177" s="488" t="n">
        <v>400</v>
      </c>
      <c r="D1177" s="487" t="s">
        <v>906</v>
      </c>
      <c r="E1177" s="487" t="s">
        <v>899</v>
      </c>
      <c r="F1177" s="487" t="s">
        <v>445</v>
      </c>
      <c r="G1177" s="487" t="s">
        <v>449</v>
      </c>
      <c r="H1177" s="487" t="s">
        <v>907</v>
      </c>
      <c r="I1177" s="487" t="s">
        <v>904</v>
      </c>
      <c r="J1177" s="487" t="s">
        <v>1435</v>
      </c>
      <c r="K1177" s="490" t="n">
        <v>29060</v>
      </c>
      <c r="L1177" s="490" t="n">
        <v>15720</v>
      </c>
      <c r="M1177" s="491" t="n">
        <v>11.5</v>
      </c>
      <c r="N1177" s="490" t="n">
        <v>13340</v>
      </c>
      <c r="O1177" s="490" t="n">
        <v>11805.9</v>
      </c>
    </row>
    <row r="1178" customFormat="false" ht="12.75" hidden="true" customHeight="true" outlineLevel="1" collapsed="false">
      <c r="B1178" s="487" t="s">
        <v>746</v>
      </c>
      <c r="C1178" s="487"/>
      <c r="D1178" s="487"/>
      <c r="E1178" s="487"/>
      <c r="F1178" s="487"/>
      <c r="G1178" s="487"/>
      <c r="H1178" s="487"/>
      <c r="I1178" s="487"/>
      <c r="J1178" s="487"/>
      <c r="K1178" s="492"/>
      <c r="L1178" s="492"/>
      <c r="M1178" s="492"/>
      <c r="N1178" s="490" t="n">
        <v>13340</v>
      </c>
      <c r="O1178" s="490" t="n">
        <v>11805.9</v>
      </c>
    </row>
    <row r="1179" customFormat="false" ht="36.75" hidden="false" customHeight="true" outlineLevel="0" collapsed="false">
      <c r="B1179" s="487" t="s">
        <v>2685</v>
      </c>
      <c r="C1179" s="488" t="n">
        <v>403</v>
      </c>
      <c r="D1179" s="487" t="s">
        <v>906</v>
      </c>
      <c r="E1179" s="487" t="s">
        <v>899</v>
      </c>
      <c r="F1179" s="487" t="s">
        <v>57</v>
      </c>
      <c r="G1179" s="487" t="s">
        <v>58</v>
      </c>
      <c r="H1179" s="487" t="s">
        <v>907</v>
      </c>
      <c r="I1179" s="487" t="s">
        <v>904</v>
      </c>
      <c r="J1179" s="487" t="s">
        <v>1435</v>
      </c>
      <c r="K1179" s="490" t="n">
        <v>28930</v>
      </c>
      <c r="L1179" s="490" t="n">
        <v>15520</v>
      </c>
      <c r="M1179" s="491" t="n">
        <v>12.5</v>
      </c>
      <c r="N1179" s="490" t="n">
        <v>13410</v>
      </c>
      <c r="O1179" s="490" t="n">
        <v>11733.7</v>
      </c>
    </row>
    <row r="1180" customFormat="false" ht="12.75" hidden="true" customHeight="true" outlineLevel="1" collapsed="false">
      <c r="B1180" s="487" t="s">
        <v>417</v>
      </c>
      <c r="C1180" s="487"/>
      <c r="D1180" s="487"/>
      <c r="E1180" s="487"/>
      <c r="F1180" s="487"/>
      <c r="G1180" s="487"/>
      <c r="H1180" s="487"/>
      <c r="I1180" s="487"/>
      <c r="J1180" s="487"/>
      <c r="K1180" s="492"/>
      <c r="L1180" s="492"/>
      <c r="M1180" s="492"/>
      <c r="N1180" s="490" t="n">
        <v>13410</v>
      </c>
      <c r="O1180" s="490" t="n">
        <v>11733.7</v>
      </c>
    </row>
    <row r="1181" customFormat="false" ht="36.75" hidden="false" customHeight="true" outlineLevel="0" collapsed="false">
      <c r="B1181" s="487" t="s">
        <v>2686</v>
      </c>
      <c r="C1181" s="488" t="n">
        <v>404</v>
      </c>
      <c r="D1181" s="487" t="s">
        <v>906</v>
      </c>
      <c r="E1181" s="487" t="s">
        <v>899</v>
      </c>
      <c r="F1181" s="487" t="s">
        <v>472</v>
      </c>
      <c r="G1181" s="487" t="s">
        <v>476</v>
      </c>
      <c r="H1181" s="487" t="s">
        <v>907</v>
      </c>
      <c r="I1181" s="487" t="s">
        <v>904</v>
      </c>
      <c r="J1181" s="487" t="s">
        <v>1435</v>
      </c>
      <c r="K1181" s="490" t="n">
        <v>28570</v>
      </c>
      <c r="L1181" s="490" t="n">
        <v>15350</v>
      </c>
      <c r="M1181" s="491" t="n">
        <v>9.5</v>
      </c>
      <c r="N1181" s="490" t="n">
        <v>13220</v>
      </c>
      <c r="O1181" s="490" t="n">
        <v>11964.1</v>
      </c>
    </row>
    <row r="1182" customFormat="false" ht="12.75" hidden="true" customHeight="true" outlineLevel="1" collapsed="false">
      <c r="B1182" s="487" t="s">
        <v>417</v>
      </c>
      <c r="C1182" s="487"/>
      <c r="D1182" s="487"/>
      <c r="E1182" s="487"/>
      <c r="F1182" s="487"/>
      <c r="G1182" s="487"/>
      <c r="H1182" s="487"/>
      <c r="I1182" s="487"/>
      <c r="J1182" s="487"/>
      <c r="K1182" s="492"/>
      <c r="L1182" s="492"/>
      <c r="M1182" s="492"/>
      <c r="N1182" s="490" t="n">
        <v>13220</v>
      </c>
      <c r="O1182" s="490" t="n">
        <v>11964.1</v>
      </c>
    </row>
    <row r="1183" customFormat="false" ht="36.75" hidden="false" customHeight="true" outlineLevel="0" collapsed="false">
      <c r="B1183" s="487" t="s">
        <v>2683</v>
      </c>
      <c r="C1183" s="488" t="n">
        <v>401</v>
      </c>
      <c r="D1183" s="487" t="s">
        <v>906</v>
      </c>
      <c r="E1183" s="487" t="s">
        <v>899</v>
      </c>
      <c r="F1183" s="487" t="s">
        <v>451</v>
      </c>
      <c r="G1183" s="487" t="s">
        <v>455</v>
      </c>
      <c r="H1183" s="487" t="s">
        <v>907</v>
      </c>
      <c r="I1183" s="487" t="s">
        <v>904</v>
      </c>
      <c r="J1183" s="487" t="s">
        <v>1435</v>
      </c>
      <c r="K1183" s="490" t="n">
        <v>28460</v>
      </c>
      <c r="L1183" s="490" t="n">
        <v>15050</v>
      </c>
      <c r="M1183" s="491" t="n">
        <v>12</v>
      </c>
      <c r="N1183" s="490" t="n">
        <v>13410</v>
      </c>
      <c r="O1183" s="490" t="n">
        <v>11800.8</v>
      </c>
    </row>
    <row r="1184" customFormat="false" ht="12.75" hidden="true" customHeight="true" outlineLevel="1" collapsed="false">
      <c r="B1184" s="487" t="s">
        <v>417</v>
      </c>
      <c r="C1184" s="487"/>
      <c r="D1184" s="487"/>
      <c r="E1184" s="487"/>
      <c r="F1184" s="487"/>
      <c r="G1184" s="487"/>
      <c r="H1184" s="487"/>
      <c r="I1184" s="487"/>
      <c r="J1184" s="487"/>
      <c r="K1184" s="492"/>
      <c r="L1184" s="492"/>
      <c r="M1184" s="492"/>
      <c r="N1184" s="490" t="n">
        <v>13410</v>
      </c>
      <c r="O1184" s="490" t="n">
        <v>11800.8</v>
      </c>
    </row>
    <row r="1185" customFormat="false" ht="36.75" hidden="false" customHeight="true" outlineLevel="0" collapsed="false">
      <c r="B1185" s="487" t="s">
        <v>2684</v>
      </c>
      <c r="C1185" s="488" t="n">
        <v>402</v>
      </c>
      <c r="D1185" s="487" t="s">
        <v>906</v>
      </c>
      <c r="E1185" s="487" t="s">
        <v>899</v>
      </c>
      <c r="F1185" s="487" t="s">
        <v>361</v>
      </c>
      <c r="G1185" s="487" t="s">
        <v>362</v>
      </c>
      <c r="H1185" s="487" t="s">
        <v>907</v>
      </c>
      <c r="I1185" s="487" t="s">
        <v>904</v>
      </c>
      <c r="J1185" s="487" t="s">
        <v>1435</v>
      </c>
      <c r="K1185" s="490" t="n">
        <v>28070</v>
      </c>
      <c r="L1185" s="490" t="n">
        <v>14720</v>
      </c>
      <c r="M1185" s="491" t="n">
        <v>12.5</v>
      </c>
      <c r="N1185" s="490" t="n">
        <v>13350</v>
      </c>
      <c r="O1185" s="490" t="n">
        <v>11681.2</v>
      </c>
    </row>
    <row r="1186" customFormat="false" ht="12.75" hidden="true" customHeight="true" outlineLevel="1" collapsed="false">
      <c r="B1186" s="487" t="s">
        <v>417</v>
      </c>
      <c r="C1186" s="487"/>
      <c r="D1186" s="487"/>
      <c r="E1186" s="487"/>
      <c r="F1186" s="487"/>
      <c r="G1186" s="487"/>
      <c r="H1186" s="487"/>
      <c r="I1186" s="487"/>
      <c r="J1186" s="487"/>
      <c r="K1186" s="492"/>
      <c r="L1186" s="492"/>
      <c r="M1186" s="492"/>
      <c r="N1186" s="490" t="n">
        <v>13350</v>
      </c>
      <c r="O1186" s="490" t="n">
        <v>11681.2</v>
      </c>
    </row>
    <row r="1187" customFormat="false" ht="36.75" hidden="false" customHeight="true" outlineLevel="0" collapsed="false">
      <c r="B1187" s="487" t="s">
        <v>2689</v>
      </c>
      <c r="C1187" s="488" t="n">
        <v>407</v>
      </c>
      <c r="D1187" s="489" t="n">
        <v>28</v>
      </c>
      <c r="E1187" s="487" t="s">
        <v>899</v>
      </c>
      <c r="F1187" s="487" t="s">
        <v>384</v>
      </c>
      <c r="G1187" s="487" t="s">
        <v>385</v>
      </c>
      <c r="H1187" s="487" t="s">
        <v>901</v>
      </c>
      <c r="I1187" s="487" t="s">
        <v>900</v>
      </c>
      <c r="J1187" s="487" t="s">
        <v>1435</v>
      </c>
      <c r="K1187" s="490" t="n">
        <v>27530</v>
      </c>
      <c r="L1187" s="490" t="n">
        <v>14450</v>
      </c>
      <c r="M1187" s="491" t="n">
        <v>17</v>
      </c>
      <c r="N1187" s="490" t="n">
        <v>13080</v>
      </c>
      <c r="O1187" s="490" t="n">
        <v>10856.4</v>
      </c>
    </row>
    <row r="1188" customFormat="false" ht="12.75" hidden="true" customHeight="true" outlineLevel="1" collapsed="false">
      <c r="B1188" s="487" t="s">
        <v>417</v>
      </c>
      <c r="C1188" s="487"/>
      <c r="D1188" s="487"/>
      <c r="E1188" s="487"/>
      <c r="F1188" s="487"/>
      <c r="G1188" s="487"/>
      <c r="H1188" s="487"/>
      <c r="I1188" s="487"/>
      <c r="J1188" s="487"/>
      <c r="K1188" s="492"/>
      <c r="L1188" s="492"/>
      <c r="M1188" s="492"/>
      <c r="N1188" s="490" t="n">
        <v>13080</v>
      </c>
      <c r="O1188" s="490" t="n">
        <v>10856.4</v>
      </c>
    </row>
    <row r="1189" customFormat="false" ht="36.75" hidden="false" customHeight="true" outlineLevel="0" collapsed="false">
      <c r="B1189" s="487" t="s">
        <v>2690</v>
      </c>
      <c r="C1189" s="488" t="n">
        <v>409</v>
      </c>
      <c r="D1189" s="489" t="n">
        <v>29</v>
      </c>
      <c r="E1189" s="487" t="s">
        <v>899</v>
      </c>
      <c r="F1189" s="487" t="s">
        <v>382</v>
      </c>
      <c r="G1189" s="487" t="s">
        <v>383</v>
      </c>
      <c r="H1189" s="487" t="s">
        <v>901</v>
      </c>
      <c r="I1189" s="487" t="s">
        <v>900</v>
      </c>
      <c r="J1189" s="487" t="s">
        <v>1435</v>
      </c>
      <c r="K1189" s="490" t="n">
        <v>28900</v>
      </c>
      <c r="L1189" s="490" t="n">
        <v>14890</v>
      </c>
      <c r="M1189" s="491" t="n">
        <v>13.5</v>
      </c>
      <c r="N1189" s="490" t="n">
        <v>14010</v>
      </c>
      <c r="O1189" s="490" t="n">
        <v>12118.6</v>
      </c>
    </row>
    <row r="1190" customFormat="false" ht="12.75" hidden="true" customHeight="true" outlineLevel="1" collapsed="false">
      <c r="B1190" s="487" t="s">
        <v>417</v>
      </c>
      <c r="C1190" s="487"/>
      <c r="D1190" s="487"/>
      <c r="E1190" s="487"/>
      <c r="F1190" s="487"/>
      <c r="G1190" s="487"/>
      <c r="H1190" s="487"/>
      <c r="I1190" s="487"/>
      <c r="J1190" s="487"/>
      <c r="K1190" s="492"/>
      <c r="L1190" s="492"/>
      <c r="M1190" s="492"/>
      <c r="N1190" s="490" t="n">
        <v>14010</v>
      </c>
      <c r="O1190" s="490" t="n">
        <v>12118.6</v>
      </c>
    </row>
    <row r="1191" customFormat="false" ht="36.75" hidden="false" customHeight="true" outlineLevel="0" collapsed="false">
      <c r="B1191" s="487" t="s">
        <v>2692</v>
      </c>
      <c r="C1191" s="488" t="n">
        <v>410</v>
      </c>
      <c r="D1191" s="489" t="n">
        <v>30</v>
      </c>
      <c r="E1191" s="487" t="s">
        <v>899</v>
      </c>
      <c r="F1191" s="487" t="s">
        <v>427</v>
      </c>
      <c r="G1191" s="487" t="s">
        <v>431</v>
      </c>
      <c r="H1191" s="487" t="s">
        <v>901</v>
      </c>
      <c r="I1191" s="487" t="s">
        <v>904</v>
      </c>
      <c r="J1191" s="487" t="s">
        <v>1435</v>
      </c>
      <c r="K1191" s="490" t="n">
        <v>36780</v>
      </c>
      <c r="L1191" s="490" t="n">
        <v>20960</v>
      </c>
      <c r="M1191" s="491" t="n">
        <v>14.8</v>
      </c>
      <c r="N1191" s="490" t="n">
        <v>15820</v>
      </c>
      <c r="O1191" s="490" t="n">
        <v>13482.7</v>
      </c>
    </row>
    <row r="1192" customFormat="false" ht="12.75" hidden="true" customHeight="true" outlineLevel="1" collapsed="false">
      <c r="B1192" s="487" t="s">
        <v>417</v>
      </c>
      <c r="C1192" s="487"/>
      <c r="D1192" s="487"/>
      <c r="E1192" s="487"/>
      <c r="F1192" s="487"/>
      <c r="G1192" s="487"/>
      <c r="H1192" s="487"/>
      <c r="I1192" s="487"/>
      <c r="J1192" s="487"/>
      <c r="K1192" s="492"/>
      <c r="L1192" s="492"/>
      <c r="M1192" s="492"/>
      <c r="N1192" s="490" t="n">
        <v>6720</v>
      </c>
      <c r="O1192" s="490" t="n">
        <v>5611.2</v>
      </c>
    </row>
    <row r="1193" customFormat="false" ht="12.75" hidden="true" customHeight="true" outlineLevel="1" collapsed="false">
      <c r="B1193" s="487" t="s">
        <v>417</v>
      </c>
      <c r="C1193" s="487"/>
      <c r="D1193" s="487"/>
      <c r="E1193" s="487"/>
      <c r="F1193" s="487"/>
      <c r="G1193" s="487"/>
      <c r="H1193" s="487"/>
      <c r="I1193" s="487"/>
      <c r="J1193" s="487"/>
      <c r="K1193" s="492"/>
      <c r="L1193" s="492"/>
      <c r="M1193" s="492"/>
      <c r="N1193" s="490" t="n">
        <v>9100</v>
      </c>
      <c r="O1193" s="490" t="n">
        <v>7871.5</v>
      </c>
    </row>
    <row r="1194" customFormat="false" ht="12.75" hidden="false" customHeight="true" outlineLevel="0" collapsed="false">
      <c r="B1194" s="494" t="s">
        <v>218</v>
      </c>
      <c r="C1194" s="494"/>
      <c r="D1194" s="494"/>
      <c r="E1194" s="494"/>
      <c r="F1194" s="494"/>
      <c r="G1194" s="494"/>
      <c r="H1194" s="494"/>
      <c r="I1194" s="494"/>
      <c r="J1194" s="494"/>
      <c r="K1194" s="490" t="n">
        <v>16147495</v>
      </c>
      <c r="L1194" s="490" t="n">
        <v>9056905</v>
      </c>
      <c r="M1194" s="491" t="n">
        <v>14.5</v>
      </c>
      <c r="N1194" s="490" t="n">
        <v>7098140</v>
      </c>
      <c r="O1194" s="490" t="n">
        <v>6087068.5</v>
      </c>
    </row>
    <row r="1196" customFormat="false" ht="12.75" hidden="false" customHeight="true" outlineLevel="0" collapsed="false">
      <c r="B1196" s="485" t="s">
        <v>3176</v>
      </c>
      <c r="C1196" s="485" t="s">
        <v>1425</v>
      </c>
      <c r="D1196" s="485" t="s">
        <v>1424</v>
      </c>
      <c r="E1196" s="485" t="s">
        <v>281</v>
      </c>
    </row>
    <row r="1197" customFormat="false" ht="12.75" hidden="false" customHeight="true" outlineLevel="0" collapsed="false">
      <c r="B1197" s="485" t="s">
        <v>1416</v>
      </c>
      <c r="C1197" s="485"/>
      <c r="D1197" s="485"/>
      <c r="E1197" s="485"/>
    </row>
    <row r="1198" customFormat="false" ht="12.75" hidden="false" customHeight="true" outlineLevel="0" collapsed="false">
      <c r="B1198" s="487" t="s">
        <v>1435</v>
      </c>
      <c r="C1198" s="487"/>
      <c r="D1198" s="487"/>
      <c r="E1198" s="487"/>
    </row>
    <row r="1199" customFormat="false" ht="12.75" hidden="true" customHeight="true" outlineLevel="1" collapsed="false">
      <c r="B1199" s="487" t="s">
        <v>47</v>
      </c>
      <c r="C1199" s="490" t="n">
        <v>172680</v>
      </c>
      <c r="D1199" s="492"/>
      <c r="E1199" s="490" t="n">
        <v>147857.6</v>
      </c>
    </row>
    <row r="1200" customFormat="false" ht="12.75" hidden="true" customHeight="true" outlineLevel="2" collapsed="false">
      <c r="B1200" s="487" t="s">
        <v>417</v>
      </c>
      <c r="C1200" s="490" t="n">
        <v>73040</v>
      </c>
      <c r="D1200" s="491" t="n">
        <v>16.7</v>
      </c>
      <c r="E1200" s="490" t="n">
        <v>60358.2</v>
      </c>
    </row>
    <row r="1201" customFormat="false" ht="12.75" hidden="true" customHeight="true" outlineLevel="2" collapsed="false">
      <c r="B1201" s="487" t="s">
        <v>746</v>
      </c>
      <c r="C1201" s="490" t="n">
        <v>43830</v>
      </c>
      <c r="D1201" s="491" t="n">
        <v>10.6</v>
      </c>
      <c r="E1201" s="490" t="n">
        <v>39053</v>
      </c>
    </row>
    <row r="1202" customFormat="false" ht="12.75" hidden="true" customHeight="true" outlineLevel="2" collapsed="false">
      <c r="B1202" s="487" t="s">
        <v>886</v>
      </c>
      <c r="C1202" s="490" t="n">
        <v>55810</v>
      </c>
      <c r="D1202" s="491" t="n">
        <v>13.2</v>
      </c>
      <c r="E1202" s="490" t="n">
        <v>48446.4</v>
      </c>
    </row>
    <row r="1203" customFormat="false" ht="12.75" hidden="true" customHeight="true" outlineLevel="1" collapsed="false">
      <c r="B1203" s="487" t="s">
        <v>423</v>
      </c>
      <c r="C1203" s="490" t="n">
        <v>399730</v>
      </c>
      <c r="D1203" s="492"/>
      <c r="E1203" s="490" t="n">
        <v>312805.2</v>
      </c>
    </row>
    <row r="1204" customFormat="false" ht="12.75" hidden="true" customHeight="true" outlineLevel="2" collapsed="false">
      <c r="B1204" s="487" t="s">
        <v>417</v>
      </c>
      <c r="C1204" s="490" t="n">
        <v>389900</v>
      </c>
      <c r="D1204" s="491" t="n">
        <v>22.5</v>
      </c>
      <c r="E1204" s="490" t="n">
        <v>304596.9</v>
      </c>
    </row>
    <row r="1205" customFormat="false" ht="12.75" hidden="true" customHeight="true" outlineLevel="2" collapsed="false">
      <c r="B1205" s="487" t="s">
        <v>746</v>
      </c>
      <c r="C1205" s="490" t="n">
        <v>9830</v>
      </c>
      <c r="D1205" s="491" t="n">
        <v>16.5</v>
      </c>
      <c r="E1205" s="490" t="n">
        <v>8208.3</v>
      </c>
    </row>
    <row r="1206" customFormat="false" ht="12.75" hidden="true" customHeight="true" outlineLevel="1" collapsed="false">
      <c r="B1206" s="487" t="s">
        <v>904</v>
      </c>
      <c r="C1206" s="490" t="n">
        <v>2212825</v>
      </c>
      <c r="D1206" s="492"/>
      <c r="E1206" s="490" t="n">
        <v>1947700.9</v>
      </c>
    </row>
    <row r="1207" customFormat="false" ht="12.75" hidden="true" customHeight="true" outlineLevel="2" collapsed="false">
      <c r="B1207" s="487" t="s">
        <v>417</v>
      </c>
      <c r="C1207" s="490" t="n">
        <v>1651395</v>
      </c>
      <c r="D1207" s="491" t="n">
        <v>13.4</v>
      </c>
      <c r="E1207" s="490" t="n">
        <v>1434887.7</v>
      </c>
    </row>
    <row r="1208" customFormat="false" ht="12.75" hidden="true" customHeight="true" outlineLevel="2" collapsed="false">
      <c r="B1208" s="487" t="s">
        <v>746</v>
      </c>
      <c r="C1208" s="490" t="n">
        <v>419310</v>
      </c>
      <c r="D1208" s="491" t="n">
        <v>8</v>
      </c>
      <c r="E1208" s="490" t="n">
        <v>385507.8</v>
      </c>
    </row>
    <row r="1209" customFormat="false" ht="12.75" hidden="true" customHeight="true" outlineLevel="2" collapsed="false">
      <c r="B1209" s="487" t="s">
        <v>886</v>
      </c>
      <c r="C1209" s="490" t="n">
        <v>142120</v>
      </c>
      <c r="D1209" s="491" t="n">
        <v>10.1</v>
      </c>
      <c r="E1209" s="490" t="n">
        <v>127305.4</v>
      </c>
    </row>
    <row r="1210" customFormat="false" ht="12.75" hidden="true" customHeight="true" outlineLevel="1" collapsed="false">
      <c r="B1210" s="487" t="s">
        <v>68</v>
      </c>
      <c r="C1210" s="490" t="n">
        <v>119300</v>
      </c>
      <c r="D1210" s="492"/>
      <c r="E1210" s="490" t="n">
        <v>107666.2</v>
      </c>
    </row>
    <row r="1211" customFormat="false" ht="12.75" hidden="true" customHeight="true" outlineLevel="2" collapsed="false">
      <c r="B1211" s="487" t="s">
        <v>417</v>
      </c>
      <c r="C1211" s="490" t="n">
        <v>2320</v>
      </c>
      <c r="D1211" s="491" t="n">
        <v>12.5</v>
      </c>
      <c r="E1211" s="490" t="n">
        <v>2030</v>
      </c>
    </row>
    <row r="1212" customFormat="false" ht="12.75" hidden="true" customHeight="true" outlineLevel="2" collapsed="false">
      <c r="B1212" s="487" t="s">
        <v>746</v>
      </c>
      <c r="C1212" s="490" t="n">
        <v>82970</v>
      </c>
      <c r="D1212" s="491" t="n">
        <v>9.8</v>
      </c>
      <c r="E1212" s="490" t="n">
        <v>74589.7</v>
      </c>
    </row>
    <row r="1213" customFormat="false" ht="12.75" hidden="true" customHeight="true" outlineLevel="2" collapsed="false">
      <c r="B1213" s="487" t="s">
        <v>886</v>
      </c>
      <c r="C1213" s="490" t="n">
        <v>34010</v>
      </c>
      <c r="D1213" s="491" t="n">
        <v>8.3</v>
      </c>
      <c r="E1213" s="490" t="n">
        <v>31046.5</v>
      </c>
    </row>
    <row r="1214" customFormat="false" ht="12.75" hidden="true" customHeight="true" outlineLevel="1" collapsed="false">
      <c r="B1214" s="487" t="s">
        <v>869</v>
      </c>
      <c r="C1214" s="490" t="n">
        <v>84970</v>
      </c>
      <c r="D1214" s="492"/>
      <c r="E1214" s="490" t="n">
        <v>73812.7</v>
      </c>
    </row>
    <row r="1215" customFormat="false" ht="12.75" hidden="true" customHeight="true" outlineLevel="2" collapsed="false">
      <c r="B1215" s="487"/>
      <c r="C1215" s="492"/>
      <c r="D1215" s="492"/>
      <c r="E1215" s="492"/>
    </row>
    <row r="1216" customFormat="false" ht="12.75" hidden="true" customHeight="true" outlineLevel="2" collapsed="false">
      <c r="B1216" s="487" t="s">
        <v>417</v>
      </c>
      <c r="C1216" s="490" t="n">
        <v>26950</v>
      </c>
      <c r="D1216" s="491" t="n">
        <v>13.5</v>
      </c>
      <c r="E1216" s="490" t="n">
        <v>23316.7</v>
      </c>
    </row>
    <row r="1217" customFormat="false" ht="12.75" hidden="true" customHeight="true" outlineLevel="2" collapsed="false">
      <c r="B1217" s="487" t="s">
        <v>746</v>
      </c>
      <c r="C1217" s="490" t="n">
        <v>58020</v>
      </c>
      <c r="D1217" s="491" t="n">
        <v>12.9</v>
      </c>
      <c r="E1217" s="490" t="n">
        <v>50496</v>
      </c>
    </row>
    <row r="1218" customFormat="false" ht="12.75" hidden="true" customHeight="true" outlineLevel="1" collapsed="false">
      <c r="B1218" s="487" t="s">
        <v>252</v>
      </c>
      <c r="C1218" s="490" t="n">
        <v>1535230</v>
      </c>
      <c r="D1218" s="492"/>
      <c r="E1218" s="490" t="n">
        <v>1260879.6</v>
      </c>
    </row>
    <row r="1219" customFormat="false" ht="12.75" hidden="true" customHeight="true" outlineLevel="2" collapsed="false">
      <c r="B1219" s="487"/>
      <c r="C1219" s="492"/>
      <c r="D1219" s="492"/>
      <c r="E1219" s="492"/>
    </row>
    <row r="1220" customFormat="false" ht="12.75" hidden="true" customHeight="true" outlineLevel="2" collapsed="false">
      <c r="B1220" s="487" t="s">
        <v>417</v>
      </c>
      <c r="C1220" s="490" t="n">
        <v>1413840</v>
      </c>
      <c r="D1220" s="491" t="n">
        <v>18.1</v>
      </c>
      <c r="E1220" s="490" t="n">
        <v>1156168.2</v>
      </c>
    </row>
    <row r="1221" customFormat="false" ht="12.75" hidden="true" customHeight="true" outlineLevel="2" collapsed="false">
      <c r="B1221" s="487" t="s">
        <v>746</v>
      </c>
      <c r="C1221" s="490" t="n">
        <v>121390</v>
      </c>
      <c r="D1221" s="491" t="n">
        <v>13.9</v>
      </c>
      <c r="E1221" s="490" t="n">
        <v>104711.4</v>
      </c>
    </row>
    <row r="1222" customFormat="false" ht="12.75" hidden="true" customHeight="true" outlineLevel="1" collapsed="false">
      <c r="B1222" s="487" t="s">
        <v>997</v>
      </c>
      <c r="C1222" s="490" t="n">
        <v>361360</v>
      </c>
      <c r="D1222" s="492"/>
      <c r="E1222" s="490" t="n">
        <v>300345.7</v>
      </c>
    </row>
    <row r="1223" customFormat="false" ht="12.75" hidden="true" customHeight="true" outlineLevel="2" collapsed="false">
      <c r="B1223" s="487" t="s">
        <v>417</v>
      </c>
      <c r="C1223" s="490" t="n">
        <v>361360</v>
      </c>
      <c r="D1223" s="491" t="n">
        <v>16.8</v>
      </c>
      <c r="E1223" s="490" t="n">
        <v>300345.7</v>
      </c>
    </row>
    <row r="1224" customFormat="false" ht="12.75" hidden="true" customHeight="true" outlineLevel="1" collapsed="false">
      <c r="B1224" s="487" t="s">
        <v>584</v>
      </c>
      <c r="C1224" s="490" t="n">
        <v>84680</v>
      </c>
      <c r="D1224" s="492"/>
      <c r="E1224" s="490" t="n">
        <v>71306.3</v>
      </c>
    </row>
    <row r="1225" customFormat="false" ht="12.75" hidden="true" customHeight="true" outlineLevel="2" collapsed="false">
      <c r="B1225" s="487" t="s">
        <v>417</v>
      </c>
      <c r="C1225" s="490" t="n">
        <v>84680</v>
      </c>
      <c r="D1225" s="491" t="n">
        <v>16.3</v>
      </c>
      <c r="E1225" s="490" t="n">
        <v>71306.3</v>
      </c>
    </row>
    <row r="1226" customFormat="false" ht="12.75" hidden="true" customHeight="true" outlineLevel="1" collapsed="false">
      <c r="B1226" s="487" t="s">
        <v>895</v>
      </c>
      <c r="C1226" s="490" t="n">
        <v>4400</v>
      </c>
      <c r="D1226" s="492"/>
      <c r="E1226" s="490" t="n">
        <v>3850</v>
      </c>
    </row>
    <row r="1227" customFormat="false" ht="12.75" hidden="true" customHeight="true" outlineLevel="2" collapsed="false">
      <c r="B1227" s="487" t="s">
        <v>417</v>
      </c>
      <c r="C1227" s="490" t="n">
        <v>4400</v>
      </c>
      <c r="D1227" s="491" t="n">
        <v>12.5</v>
      </c>
      <c r="E1227" s="490" t="n">
        <v>3850</v>
      </c>
    </row>
    <row r="1228" customFormat="false" ht="12.75" hidden="true" customHeight="true" outlineLevel="1" collapsed="false">
      <c r="B1228" s="487" t="s">
        <v>893</v>
      </c>
      <c r="C1228" s="490" t="n">
        <v>17970</v>
      </c>
      <c r="D1228" s="492"/>
      <c r="E1228" s="490" t="n">
        <v>15094.8</v>
      </c>
    </row>
    <row r="1229" customFormat="false" ht="12.75" hidden="true" customHeight="true" outlineLevel="2" collapsed="false">
      <c r="B1229" s="487" t="s">
        <v>417</v>
      </c>
      <c r="C1229" s="490" t="n">
        <v>17970</v>
      </c>
      <c r="D1229" s="491" t="n">
        <v>16</v>
      </c>
      <c r="E1229" s="490" t="n">
        <v>15094.8</v>
      </c>
    </row>
    <row r="1230" customFormat="false" ht="12.75" hidden="true" customHeight="true" outlineLevel="1" collapsed="false">
      <c r="B1230" s="487" t="s">
        <v>898</v>
      </c>
      <c r="C1230" s="490" t="n">
        <v>6180</v>
      </c>
      <c r="D1230" s="492"/>
      <c r="E1230" s="490" t="n">
        <v>4851.3</v>
      </c>
    </row>
    <row r="1231" customFormat="false" ht="12.75" hidden="true" customHeight="true" outlineLevel="2" collapsed="false">
      <c r="B1231" s="487" t="s">
        <v>417</v>
      </c>
      <c r="C1231" s="490" t="n">
        <v>6180</v>
      </c>
      <c r="D1231" s="491" t="n">
        <v>21.5</v>
      </c>
      <c r="E1231" s="490" t="n">
        <v>4851.3</v>
      </c>
    </row>
    <row r="1232" customFormat="false" ht="12.75" hidden="true" customHeight="true" outlineLevel="1" collapsed="false">
      <c r="B1232" s="487" t="s">
        <v>1058</v>
      </c>
      <c r="C1232" s="490" t="n">
        <v>285580</v>
      </c>
      <c r="D1232" s="492"/>
      <c r="E1232" s="490" t="n">
        <v>255721</v>
      </c>
    </row>
    <row r="1233" customFormat="false" ht="12.75" hidden="true" customHeight="true" outlineLevel="2" collapsed="false">
      <c r="B1233" s="487" t="s">
        <v>417</v>
      </c>
      <c r="C1233" s="490" t="n">
        <v>219630</v>
      </c>
      <c r="D1233" s="491" t="n">
        <v>11.8</v>
      </c>
      <c r="E1233" s="490" t="n">
        <v>194586.1</v>
      </c>
    </row>
    <row r="1234" customFormat="false" ht="12.75" hidden="true" customHeight="true" outlineLevel="2" collapsed="false">
      <c r="B1234" s="487" t="s">
        <v>746</v>
      </c>
      <c r="C1234" s="490" t="n">
        <v>39660</v>
      </c>
      <c r="D1234" s="491" t="n">
        <v>7.8</v>
      </c>
      <c r="E1234" s="490" t="n">
        <v>36553.3</v>
      </c>
    </row>
    <row r="1235" customFormat="false" ht="12.75" hidden="true" customHeight="true" outlineLevel="2" collapsed="false">
      <c r="B1235" s="487" t="s">
        <v>886</v>
      </c>
      <c r="C1235" s="490" t="n">
        <v>26290</v>
      </c>
      <c r="D1235" s="491" t="n">
        <v>6.5</v>
      </c>
      <c r="E1235" s="490" t="n">
        <v>24581.6</v>
      </c>
    </row>
    <row r="1236" customFormat="false" ht="12.75" hidden="true" customHeight="true" outlineLevel="1" collapsed="false">
      <c r="B1236" s="487" t="s">
        <v>47</v>
      </c>
      <c r="C1236" s="490" t="n">
        <v>25300</v>
      </c>
      <c r="D1236" s="492"/>
      <c r="E1236" s="490" t="n">
        <v>21243.4</v>
      </c>
    </row>
    <row r="1237" customFormat="false" ht="12.75" hidden="true" customHeight="true" outlineLevel="2" collapsed="false">
      <c r="B1237" s="487"/>
      <c r="C1237" s="492"/>
      <c r="D1237" s="492"/>
      <c r="E1237" s="492"/>
    </row>
    <row r="1238" customFormat="false" ht="12.75" hidden="true" customHeight="true" outlineLevel="2" collapsed="false">
      <c r="B1238" s="487" t="s">
        <v>417</v>
      </c>
      <c r="C1238" s="490" t="n">
        <v>16200</v>
      </c>
      <c r="D1238" s="491" t="n">
        <v>16.3</v>
      </c>
      <c r="E1238" s="490" t="n">
        <v>13462.9</v>
      </c>
    </row>
    <row r="1239" customFormat="false" ht="12.75" hidden="true" customHeight="true" outlineLevel="2" collapsed="false">
      <c r="B1239" s="487" t="s">
        <v>746</v>
      </c>
      <c r="C1239" s="490" t="n">
        <v>9100</v>
      </c>
      <c r="D1239" s="491" t="n">
        <v>14.5</v>
      </c>
      <c r="E1239" s="490" t="n">
        <v>7780.5</v>
      </c>
    </row>
    <row r="1240" customFormat="false" ht="12.75" hidden="true" customHeight="true" outlineLevel="1" collapsed="false">
      <c r="B1240" s="487" t="s">
        <v>66</v>
      </c>
      <c r="C1240" s="490" t="n">
        <v>188760</v>
      </c>
      <c r="D1240" s="492"/>
      <c r="E1240" s="490" t="n">
        <v>164558.5</v>
      </c>
    </row>
    <row r="1241" customFormat="false" ht="12.75" hidden="true" customHeight="true" outlineLevel="2" collapsed="false">
      <c r="B1241" s="487" t="s">
        <v>417</v>
      </c>
      <c r="C1241" s="490" t="n">
        <v>114450</v>
      </c>
      <c r="D1241" s="491" t="n">
        <v>13</v>
      </c>
      <c r="E1241" s="490" t="n">
        <v>100436.8</v>
      </c>
    </row>
    <row r="1242" customFormat="false" ht="12.75" hidden="true" customHeight="true" outlineLevel="2" collapsed="false">
      <c r="B1242" s="487" t="s">
        <v>746</v>
      </c>
      <c r="C1242" s="490" t="n">
        <v>74310</v>
      </c>
      <c r="D1242" s="491" t="n">
        <v>13.4</v>
      </c>
      <c r="E1242" s="490" t="n">
        <v>64121.7</v>
      </c>
    </row>
    <row r="1243" customFormat="false" ht="12.75" hidden="true" customHeight="true" outlineLevel="1" collapsed="false">
      <c r="B1243" s="487" t="s">
        <v>876</v>
      </c>
      <c r="C1243" s="490" t="n">
        <v>17220</v>
      </c>
      <c r="D1243" s="492"/>
      <c r="E1243" s="490" t="n">
        <v>14668.3</v>
      </c>
    </row>
    <row r="1244" customFormat="false" ht="12.75" hidden="true" customHeight="true" outlineLevel="2" collapsed="false">
      <c r="B1244" s="487" t="s">
        <v>417</v>
      </c>
      <c r="C1244" s="490" t="n">
        <v>17220</v>
      </c>
      <c r="D1244" s="491" t="n">
        <v>14.8</v>
      </c>
      <c r="E1244" s="490" t="n">
        <v>14668.3</v>
      </c>
    </row>
    <row r="1245" customFormat="false" ht="12.75" hidden="true" customHeight="true" outlineLevel="1" collapsed="false">
      <c r="B1245" s="487" t="s">
        <v>894</v>
      </c>
      <c r="C1245" s="490" t="n">
        <v>15630</v>
      </c>
      <c r="D1245" s="492"/>
      <c r="E1245" s="490" t="n">
        <v>12012.7</v>
      </c>
    </row>
    <row r="1246" customFormat="false" ht="12.75" hidden="true" customHeight="true" outlineLevel="2" collapsed="false">
      <c r="B1246" s="487" t="s">
        <v>417</v>
      </c>
      <c r="C1246" s="490" t="n">
        <v>15630</v>
      </c>
      <c r="D1246" s="491" t="n">
        <v>25</v>
      </c>
      <c r="E1246" s="490" t="n">
        <v>12012.7</v>
      </c>
    </row>
    <row r="1247" customFormat="false" ht="12.75" hidden="true" customHeight="true" outlineLevel="1" collapsed="false">
      <c r="B1247" s="487" t="s">
        <v>897</v>
      </c>
      <c r="C1247" s="490" t="n">
        <v>12780</v>
      </c>
      <c r="D1247" s="492"/>
      <c r="E1247" s="490" t="n">
        <v>9890.8</v>
      </c>
    </row>
    <row r="1248" customFormat="false" ht="12.75" hidden="true" customHeight="true" outlineLevel="2" collapsed="false">
      <c r="B1248" s="487" t="s">
        <v>417</v>
      </c>
      <c r="C1248" s="490" t="n">
        <v>8585</v>
      </c>
      <c r="D1248" s="491" t="n">
        <v>24.3</v>
      </c>
      <c r="E1248" s="490" t="n">
        <v>6178.2</v>
      </c>
    </row>
    <row r="1249" customFormat="false" ht="12.75" hidden="true" customHeight="true" outlineLevel="2" collapsed="false">
      <c r="B1249" s="487" t="s">
        <v>746</v>
      </c>
      <c r="C1249" s="490" t="n">
        <v>4195</v>
      </c>
      <c r="D1249" s="491" t="n">
        <v>19</v>
      </c>
      <c r="E1249" s="490" t="n">
        <v>3712.6</v>
      </c>
    </row>
    <row r="1250" customFormat="false" ht="12.75" hidden="true" customHeight="true" outlineLevel="1" collapsed="false">
      <c r="B1250" s="487" t="s">
        <v>900</v>
      </c>
      <c r="C1250" s="490" t="n">
        <v>315390</v>
      </c>
      <c r="D1250" s="492"/>
      <c r="E1250" s="490" t="n">
        <v>271949.2</v>
      </c>
    </row>
    <row r="1251" customFormat="false" ht="12.75" hidden="true" customHeight="true" outlineLevel="2" collapsed="false">
      <c r="B1251" s="487" t="s">
        <v>417</v>
      </c>
      <c r="C1251" s="490" t="n">
        <v>234760</v>
      </c>
      <c r="D1251" s="491" t="n">
        <v>15.9</v>
      </c>
      <c r="E1251" s="490" t="n">
        <v>197032.1</v>
      </c>
    </row>
    <row r="1252" customFormat="false" ht="12.75" hidden="true" customHeight="true" outlineLevel="2" collapsed="false">
      <c r="B1252" s="487" t="s">
        <v>746</v>
      </c>
      <c r="C1252" s="490" t="n">
        <v>80630</v>
      </c>
      <c r="D1252" s="491" t="n">
        <v>7.1</v>
      </c>
      <c r="E1252" s="490" t="n">
        <v>74917.1</v>
      </c>
    </row>
    <row r="1253" customFormat="false" ht="12.75" hidden="true" customHeight="true" outlineLevel="1" collapsed="false">
      <c r="B1253" s="487" t="s">
        <v>909</v>
      </c>
      <c r="C1253" s="490" t="n">
        <v>779510</v>
      </c>
      <c r="D1253" s="492"/>
      <c r="E1253" s="490" t="n">
        <v>696410.9</v>
      </c>
    </row>
    <row r="1254" customFormat="false" ht="12.75" hidden="true" customHeight="true" outlineLevel="2" collapsed="false">
      <c r="B1254" s="487" t="s">
        <v>417</v>
      </c>
      <c r="C1254" s="490" t="n">
        <v>119860</v>
      </c>
      <c r="D1254" s="491" t="n">
        <v>14</v>
      </c>
      <c r="E1254" s="490" t="n">
        <v>103109.3</v>
      </c>
    </row>
    <row r="1255" customFormat="false" ht="12.75" hidden="true" customHeight="true" outlineLevel="2" collapsed="false">
      <c r="B1255" s="487" t="s">
        <v>746</v>
      </c>
      <c r="C1255" s="490" t="n">
        <v>444240</v>
      </c>
      <c r="D1255" s="491" t="n">
        <v>10.3</v>
      </c>
      <c r="E1255" s="490" t="n">
        <v>398743.1</v>
      </c>
    </row>
    <row r="1256" customFormat="false" ht="12.75" hidden="true" customHeight="true" outlineLevel="2" collapsed="false">
      <c r="B1256" s="487" t="s">
        <v>886</v>
      </c>
      <c r="C1256" s="490" t="n">
        <v>215410</v>
      </c>
      <c r="D1256" s="491" t="n">
        <v>11.9</v>
      </c>
      <c r="E1256" s="490" t="n">
        <v>194558.5</v>
      </c>
    </row>
    <row r="1257" customFormat="false" ht="12.75" hidden="true" customHeight="true" outlineLevel="1" collapsed="false">
      <c r="B1257" s="487" t="s">
        <v>900</v>
      </c>
      <c r="C1257" s="490" t="n">
        <v>92070</v>
      </c>
      <c r="D1257" s="492"/>
      <c r="E1257" s="490" t="n">
        <v>72979.3</v>
      </c>
    </row>
    <row r="1258" customFormat="false" ht="12.75" hidden="true" customHeight="true" outlineLevel="2" collapsed="false">
      <c r="B1258" s="487" t="s">
        <v>417</v>
      </c>
      <c r="C1258" s="490" t="n">
        <v>92070</v>
      </c>
      <c r="D1258" s="491" t="n">
        <v>20.7</v>
      </c>
      <c r="E1258" s="490" t="n">
        <v>72979.3</v>
      </c>
    </row>
    <row r="1259" customFormat="false" ht="12.75" hidden="true" customHeight="true" outlineLevel="1" collapsed="false">
      <c r="B1259" s="487" t="s">
        <v>1061</v>
      </c>
      <c r="C1259" s="490" t="n">
        <v>224085</v>
      </c>
      <c r="D1259" s="492"/>
      <c r="E1259" s="490" t="n">
        <v>197548.7</v>
      </c>
    </row>
    <row r="1260" customFormat="false" ht="12.75" hidden="true" customHeight="true" outlineLevel="2" collapsed="false">
      <c r="B1260" s="487" t="s">
        <v>417</v>
      </c>
      <c r="C1260" s="490" t="n">
        <v>224085</v>
      </c>
      <c r="D1260" s="491" t="n">
        <v>11.9</v>
      </c>
      <c r="E1260" s="490" t="n">
        <v>197548.7</v>
      </c>
    </row>
    <row r="1261" customFormat="false" ht="12.75" hidden="true" customHeight="true" outlineLevel="1" collapsed="false">
      <c r="B1261" s="487" t="s">
        <v>1175</v>
      </c>
      <c r="C1261" s="490" t="n">
        <v>142490</v>
      </c>
      <c r="D1261" s="492"/>
      <c r="E1261" s="490" t="n">
        <v>123915.4</v>
      </c>
    </row>
    <row r="1262" customFormat="false" ht="12.75" hidden="true" customHeight="true" outlineLevel="2" collapsed="false">
      <c r="B1262" s="487" t="s">
        <v>746</v>
      </c>
      <c r="C1262" s="490" t="n">
        <v>77840</v>
      </c>
      <c r="D1262" s="491" t="n">
        <v>14.9</v>
      </c>
      <c r="E1262" s="490" t="n">
        <v>66106.5</v>
      </c>
    </row>
    <row r="1263" customFormat="false" ht="12.75" hidden="true" customHeight="true" outlineLevel="2" collapsed="false">
      <c r="B1263" s="487" t="s">
        <v>886</v>
      </c>
      <c r="C1263" s="490" t="n">
        <v>64650</v>
      </c>
      <c r="D1263" s="491" t="n">
        <v>10.7</v>
      </c>
      <c r="E1263" s="490" t="n">
        <v>57808.9</v>
      </c>
    </row>
    <row r="1264" customFormat="false" ht="12.75" hidden="false" customHeight="true" outlineLevel="0" collapsed="true">
      <c r="B1264" s="494" t="s">
        <v>218</v>
      </c>
      <c r="C1264" s="494"/>
      <c r="D1264" s="494"/>
      <c r="E1264" s="494"/>
    </row>
    <row r="1265" customFormat="false" ht="12.75" hidden="false" customHeight="true" outlineLevel="0" collapsed="false">
      <c r="B1265" s="487" t="s">
        <v>1435</v>
      </c>
      <c r="C1265" s="490" t="n">
        <v>7098140</v>
      </c>
      <c r="D1265" s="491" t="n">
        <v>14.5</v>
      </c>
      <c r="E1265" s="490" t="n">
        <v>6087068.5</v>
      </c>
    </row>
  </sheetData>
  <mergeCells count="607">
    <mergeCell ref="B2:N2"/>
    <mergeCell ref="I6:I7"/>
    <mergeCell ref="J6:J7"/>
    <mergeCell ref="K6:K7"/>
    <mergeCell ref="L6:L7"/>
    <mergeCell ref="M6:M7"/>
    <mergeCell ref="N6:N7"/>
    <mergeCell ref="O6:O7"/>
    <mergeCell ref="B7:H7"/>
    <mergeCell ref="B9:J9"/>
    <mergeCell ref="B11:J11"/>
    <mergeCell ref="B13:J13"/>
    <mergeCell ref="B15:J15"/>
    <mergeCell ref="B17:J17"/>
    <mergeCell ref="B19:J19"/>
    <mergeCell ref="B21:J21"/>
    <mergeCell ref="B23:J23"/>
    <mergeCell ref="B25:J25"/>
    <mergeCell ref="B27:J27"/>
    <mergeCell ref="B29:J29"/>
    <mergeCell ref="B31:J31"/>
    <mergeCell ref="B33:J33"/>
    <mergeCell ref="B35:J35"/>
    <mergeCell ref="B37:J37"/>
    <mergeCell ref="B39:J39"/>
    <mergeCell ref="B41:J41"/>
    <mergeCell ref="B43:J43"/>
    <mergeCell ref="B45:J45"/>
    <mergeCell ref="B47:J47"/>
    <mergeCell ref="B49:J49"/>
    <mergeCell ref="B51:J51"/>
    <mergeCell ref="B53:J53"/>
    <mergeCell ref="B55:J55"/>
    <mergeCell ref="B57:J57"/>
    <mergeCell ref="B59:J59"/>
    <mergeCell ref="B61:J61"/>
    <mergeCell ref="B63:J63"/>
    <mergeCell ref="B65:J65"/>
    <mergeCell ref="B67:J67"/>
    <mergeCell ref="B69:J69"/>
    <mergeCell ref="B71:J71"/>
    <mergeCell ref="B73:J73"/>
    <mergeCell ref="B75:J75"/>
    <mergeCell ref="B77:J77"/>
    <mergeCell ref="B79:J79"/>
    <mergeCell ref="B81:J81"/>
    <mergeCell ref="B83:J83"/>
    <mergeCell ref="B85:J85"/>
    <mergeCell ref="B87:J87"/>
    <mergeCell ref="B89:J89"/>
    <mergeCell ref="B91:J91"/>
    <mergeCell ref="B93:J93"/>
    <mergeCell ref="B95:J95"/>
    <mergeCell ref="B97:J97"/>
    <mergeCell ref="B99:J99"/>
    <mergeCell ref="B101:J101"/>
    <mergeCell ref="B103:J103"/>
    <mergeCell ref="B105:J105"/>
    <mergeCell ref="B107:J107"/>
    <mergeCell ref="B109:J109"/>
    <mergeCell ref="B111:J111"/>
    <mergeCell ref="B113:J113"/>
    <mergeCell ref="B115:J115"/>
    <mergeCell ref="B117:J117"/>
    <mergeCell ref="B119:J119"/>
    <mergeCell ref="B121:J121"/>
    <mergeCell ref="B123:J123"/>
    <mergeCell ref="B125:J125"/>
    <mergeCell ref="B127:J127"/>
    <mergeCell ref="B129:J129"/>
    <mergeCell ref="B131:J131"/>
    <mergeCell ref="B133:J133"/>
    <mergeCell ref="B135:J135"/>
    <mergeCell ref="B137:J137"/>
    <mergeCell ref="B139:J139"/>
    <mergeCell ref="B141:J141"/>
    <mergeCell ref="B143:J143"/>
    <mergeCell ref="B145:J145"/>
    <mergeCell ref="B147:J147"/>
    <mergeCell ref="B149:J149"/>
    <mergeCell ref="B151:J151"/>
    <mergeCell ref="B153:J153"/>
    <mergeCell ref="B155:J155"/>
    <mergeCell ref="B157:J157"/>
    <mergeCell ref="B159:J159"/>
    <mergeCell ref="B161:J161"/>
    <mergeCell ref="B163:J163"/>
    <mergeCell ref="B165:J165"/>
    <mergeCell ref="B167:J167"/>
    <mergeCell ref="B169:J169"/>
    <mergeCell ref="B171:J171"/>
    <mergeCell ref="B173:J173"/>
    <mergeCell ref="B175:J175"/>
    <mergeCell ref="B177:J177"/>
    <mergeCell ref="B179:J179"/>
    <mergeCell ref="B181:J181"/>
    <mergeCell ref="B183:J183"/>
    <mergeCell ref="B185:J185"/>
    <mergeCell ref="B187:J187"/>
    <mergeCell ref="B189:J189"/>
    <mergeCell ref="B191:J191"/>
    <mergeCell ref="B193:J193"/>
    <mergeCell ref="B195:J195"/>
    <mergeCell ref="B197:J197"/>
    <mergeCell ref="B199:J199"/>
    <mergeCell ref="B201:J201"/>
    <mergeCell ref="B203:J203"/>
    <mergeCell ref="B205:J205"/>
    <mergeCell ref="B207:J207"/>
    <mergeCell ref="B209:J209"/>
    <mergeCell ref="B211:J211"/>
    <mergeCell ref="B213:J213"/>
    <mergeCell ref="B215:J215"/>
    <mergeCell ref="B217:J217"/>
    <mergeCell ref="B219:J219"/>
    <mergeCell ref="B221:J221"/>
    <mergeCell ref="B223:J223"/>
    <mergeCell ref="B225:J225"/>
    <mergeCell ref="B227:J227"/>
    <mergeCell ref="B229:J229"/>
    <mergeCell ref="B231:J231"/>
    <mergeCell ref="B233:J233"/>
    <mergeCell ref="B235:J235"/>
    <mergeCell ref="B237:J237"/>
    <mergeCell ref="B239:J239"/>
    <mergeCell ref="B241:J241"/>
    <mergeCell ref="B243:J243"/>
    <mergeCell ref="B245:J245"/>
    <mergeCell ref="B247:J247"/>
    <mergeCell ref="B249:J249"/>
    <mergeCell ref="B251:J251"/>
    <mergeCell ref="B253:J253"/>
    <mergeCell ref="B255:J255"/>
    <mergeCell ref="B257:J257"/>
    <mergeCell ref="B259:J259"/>
    <mergeCell ref="B261:J261"/>
    <mergeCell ref="B263:J263"/>
    <mergeCell ref="B265:J265"/>
    <mergeCell ref="B267:J267"/>
    <mergeCell ref="B269:J269"/>
    <mergeCell ref="B271:J271"/>
    <mergeCell ref="B273:J273"/>
    <mergeCell ref="B275:J275"/>
    <mergeCell ref="B277:J277"/>
    <mergeCell ref="B279:J279"/>
    <mergeCell ref="B281:J281"/>
    <mergeCell ref="B283:J283"/>
    <mergeCell ref="B285:J285"/>
    <mergeCell ref="B287:J287"/>
    <mergeCell ref="B289:J289"/>
    <mergeCell ref="B291:J291"/>
    <mergeCell ref="B293:J293"/>
    <mergeCell ref="B295:J295"/>
    <mergeCell ref="B297:J297"/>
    <mergeCell ref="B299:J299"/>
    <mergeCell ref="B301:J301"/>
    <mergeCell ref="B303:J303"/>
    <mergeCell ref="B305:J305"/>
    <mergeCell ref="B307:J307"/>
    <mergeCell ref="B309:J309"/>
    <mergeCell ref="B311:J311"/>
    <mergeCell ref="B313:J313"/>
    <mergeCell ref="B315:J315"/>
    <mergeCell ref="B317:J317"/>
    <mergeCell ref="B319:J319"/>
    <mergeCell ref="B321:J321"/>
    <mergeCell ref="B323:J323"/>
    <mergeCell ref="B325:J325"/>
    <mergeCell ref="B327:J327"/>
    <mergeCell ref="B329:J329"/>
    <mergeCell ref="B331:J331"/>
    <mergeCell ref="B333:J333"/>
    <mergeCell ref="B335:J335"/>
    <mergeCell ref="B337:J337"/>
    <mergeCell ref="B339:J339"/>
    <mergeCell ref="B341:J341"/>
    <mergeCell ref="B343:J343"/>
    <mergeCell ref="B345:J345"/>
    <mergeCell ref="B347:J347"/>
    <mergeCell ref="B349:J349"/>
    <mergeCell ref="B351:J351"/>
    <mergeCell ref="B353:J353"/>
    <mergeCell ref="B355:J355"/>
    <mergeCell ref="B357:J357"/>
    <mergeCell ref="B359:J359"/>
    <mergeCell ref="B361:J361"/>
    <mergeCell ref="B363:J363"/>
    <mergeCell ref="B365:J365"/>
    <mergeCell ref="B367:J367"/>
    <mergeCell ref="B369:J369"/>
    <mergeCell ref="B371:J371"/>
    <mergeCell ref="B373:J373"/>
    <mergeCell ref="B375:J375"/>
    <mergeCell ref="B377:J377"/>
    <mergeCell ref="B379:J379"/>
    <mergeCell ref="B381:J381"/>
    <mergeCell ref="B383:J383"/>
    <mergeCell ref="B385:J385"/>
    <mergeCell ref="B387:J387"/>
    <mergeCell ref="B389:J389"/>
    <mergeCell ref="B391:J391"/>
    <mergeCell ref="B393:J393"/>
    <mergeCell ref="B395:J395"/>
    <mergeCell ref="B397:J397"/>
    <mergeCell ref="B399:J399"/>
    <mergeCell ref="B401:J401"/>
    <mergeCell ref="B403:J403"/>
    <mergeCell ref="B405:J405"/>
    <mergeCell ref="B407:J407"/>
    <mergeCell ref="B409:J409"/>
    <mergeCell ref="B411:J411"/>
    <mergeCell ref="B413:J413"/>
    <mergeCell ref="B415:J415"/>
    <mergeCell ref="B417:J417"/>
    <mergeCell ref="B419:J419"/>
    <mergeCell ref="B421:J421"/>
    <mergeCell ref="B423:J423"/>
    <mergeCell ref="B425:J425"/>
    <mergeCell ref="B427:J427"/>
    <mergeCell ref="B429:J429"/>
    <mergeCell ref="B431:J431"/>
    <mergeCell ref="B433:J433"/>
    <mergeCell ref="B435:J435"/>
    <mergeCell ref="B437:J437"/>
    <mergeCell ref="B439:J439"/>
    <mergeCell ref="B441:J441"/>
    <mergeCell ref="B443:J443"/>
    <mergeCell ref="B445:J445"/>
    <mergeCell ref="B447:J447"/>
    <mergeCell ref="B449:J449"/>
    <mergeCell ref="B451:J451"/>
    <mergeCell ref="B453:J453"/>
    <mergeCell ref="B455:J455"/>
    <mergeCell ref="B457:J457"/>
    <mergeCell ref="B459:J459"/>
    <mergeCell ref="B461:J461"/>
    <mergeCell ref="B463:J463"/>
    <mergeCell ref="B465:J465"/>
    <mergeCell ref="B467:J467"/>
    <mergeCell ref="B469:J469"/>
    <mergeCell ref="B471:J471"/>
    <mergeCell ref="B473:J473"/>
    <mergeCell ref="B475:J475"/>
    <mergeCell ref="B477:J477"/>
    <mergeCell ref="B479:J479"/>
    <mergeCell ref="B481:J481"/>
    <mergeCell ref="B483:J483"/>
    <mergeCell ref="B485:J485"/>
    <mergeCell ref="B487:J487"/>
    <mergeCell ref="B489:J489"/>
    <mergeCell ref="B491:J491"/>
    <mergeCell ref="B493:J493"/>
    <mergeCell ref="B495:J495"/>
    <mergeCell ref="B497:J497"/>
    <mergeCell ref="B499:J499"/>
    <mergeCell ref="B501:J501"/>
    <mergeCell ref="B503:J503"/>
    <mergeCell ref="B505:J505"/>
    <mergeCell ref="B507:J507"/>
    <mergeCell ref="B509:J509"/>
    <mergeCell ref="B511:J511"/>
    <mergeCell ref="B513:J513"/>
    <mergeCell ref="B515:J515"/>
    <mergeCell ref="B517:J517"/>
    <mergeCell ref="B519:J519"/>
    <mergeCell ref="B521:J521"/>
    <mergeCell ref="B523:J523"/>
    <mergeCell ref="B525:J525"/>
    <mergeCell ref="B527:J527"/>
    <mergeCell ref="B529:J529"/>
    <mergeCell ref="B531:J531"/>
    <mergeCell ref="B533:J533"/>
    <mergeCell ref="B535:J535"/>
    <mergeCell ref="B537:J537"/>
    <mergeCell ref="B539:J539"/>
    <mergeCell ref="B541:J541"/>
    <mergeCell ref="B543:J543"/>
    <mergeCell ref="B545:J545"/>
    <mergeCell ref="B547:J547"/>
    <mergeCell ref="B549:J549"/>
    <mergeCell ref="B551:J551"/>
    <mergeCell ref="B553:J553"/>
    <mergeCell ref="B555:J555"/>
    <mergeCell ref="B557:J557"/>
    <mergeCell ref="B559:J559"/>
    <mergeCell ref="B561:J561"/>
    <mergeCell ref="B563:J563"/>
    <mergeCell ref="B565:J565"/>
    <mergeCell ref="B567:J567"/>
    <mergeCell ref="B569:J569"/>
    <mergeCell ref="B571:J571"/>
    <mergeCell ref="B573:J573"/>
    <mergeCell ref="B575:J575"/>
    <mergeCell ref="B577:J577"/>
    <mergeCell ref="B579:J579"/>
    <mergeCell ref="B581:J581"/>
    <mergeCell ref="B583:J583"/>
    <mergeCell ref="B585:J585"/>
    <mergeCell ref="B587:J587"/>
    <mergeCell ref="B589:J589"/>
    <mergeCell ref="B591:J591"/>
    <mergeCell ref="B593:J593"/>
    <mergeCell ref="B595:J595"/>
    <mergeCell ref="B597:J597"/>
    <mergeCell ref="B599:J599"/>
    <mergeCell ref="B601:J601"/>
    <mergeCell ref="B603:J603"/>
    <mergeCell ref="B605:J605"/>
    <mergeCell ref="B607:J607"/>
    <mergeCell ref="B609:J609"/>
    <mergeCell ref="B611:J611"/>
    <mergeCell ref="B613:J613"/>
    <mergeCell ref="B615:J615"/>
    <mergeCell ref="B617:J617"/>
    <mergeCell ref="B619:J619"/>
    <mergeCell ref="B621:J621"/>
    <mergeCell ref="B623:J623"/>
    <mergeCell ref="B625:J625"/>
    <mergeCell ref="B627:J627"/>
    <mergeCell ref="B629:J629"/>
    <mergeCell ref="B631:J631"/>
    <mergeCell ref="B633:J633"/>
    <mergeCell ref="B635:J635"/>
    <mergeCell ref="B637:J637"/>
    <mergeCell ref="B639:J639"/>
    <mergeCell ref="B641:J641"/>
    <mergeCell ref="B643:J643"/>
    <mergeCell ref="B645:J645"/>
    <mergeCell ref="B647:J647"/>
    <mergeCell ref="B649:J649"/>
    <mergeCell ref="B651:J651"/>
    <mergeCell ref="B653:J653"/>
    <mergeCell ref="B655:J655"/>
    <mergeCell ref="B657:J657"/>
    <mergeCell ref="B659:J659"/>
    <mergeCell ref="B661:J661"/>
    <mergeCell ref="B663:J663"/>
    <mergeCell ref="B665:J665"/>
    <mergeCell ref="B667:J667"/>
    <mergeCell ref="B669:J669"/>
    <mergeCell ref="B671:J671"/>
    <mergeCell ref="B673:J673"/>
    <mergeCell ref="B675:J675"/>
    <mergeCell ref="B677:J677"/>
    <mergeCell ref="B679:J679"/>
    <mergeCell ref="B681:J681"/>
    <mergeCell ref="B683:J683"/>
    <mergeCell ref="B685:J685"/>
    <mergeCell ref="B687:J687"/>
    <mergeCell ref="B689:J689"/>
    <mergeCell ref="B691:J691"/>
    <mergeCell ref="B693:J693"/>
    <mergeCell ref="B695:J695"/>
    <mergeCell ref="B697:J697"/>
    <mergeCell ref="B699:J699"/>
    <mergeCell ref="B701:J701"/>
    <mergeCell ref="B703:J703"/>
    <mergeCell ref="B705:J705"/>
    <mergeCell ref="B707:J707"/>
    <mergeCell ref="B709:J709"/>
    <mergeCell ref="B711:J711"/>
    <mergeCell ref="B713:J713"/>
    <mergeCell ref="B715:J715"/>
    <mergeCell ref="B717:J717"/>
    <mergeCell ref="B719:J719"/>
    <mergeCell ref="B721:J721"/>
    <mergeCell ref="B723:J723"/>
    <mergeCell ref="B725:J725"/>
    <mergeCell ref="B727:J727"/>
    <mergeCell ref="B729:J729"/>
    <mergeCell ref="B731:J731"/>
    <mergeCell ref="B733:J733"/>
    <mergeCell ref="B735:J735"/>
    <mergeCell ref="B737:J737"/>
    <mergeCell ref="B739:J739"/>
    <mergeCell ref="B741:J741"/>
    <mergeCell ref="B743:J743"/>
    <mergeCell ref="B745:J745"/>
    <mergeCell ref="B747:J747"/>
    <mergeCell ref="B749:J749"/>
    <mergeCell ref="B751:J751"/>
    <mergeCell ref="B753:J753"/>
    <mergeCell ref="B755:J755"/>
    <mergeCell ref="B757:J757"/>
    <mergeCell ref="B759:J759"/>
    <mergeCell ref="B761:J761"/>
    <mergeCell ref="B763:J763"/>
    <mergeCell ref="B765:J765"/>
    <mergeCell ref="B767:J767"/>
    <mergeCell ref="B769:J769"/>
    <mergeCell ref="B771:J771"/>
    <mergeCell ref="B773:J773"/>
    <mergeCell ref="B775:J775"/>
    <mergeCell ref="B777:J777"/>
    <mergeCell ref="B779:J779"/>
    <mergeCell ref="B781:J781"/>
    <mergeCell ref="B783:J783"/>
    <mergeCell ref="B785:J785"/>
    <mergeCell ref="B787:J787"/>
    <mergeCell ref="B789:J789"/>
    <mergeCell ref="B791:J791"/>
    <mergeCell ref="B793:J793"/>
    <mergeCell ref="B795:J795"/>
    <mergeCell ref="B797:J797"/>
    <mergeCell ref="B799:J799"/>
    <mergeCell ref="B801:J801"/>
    <mergeCell ref="B803:J803"/>
    <mergeCell ref="B805:J805"/>
    <mergeCell ref="B807:J807"/>
    <mergeCell ref="B809:J809"/>
    <mergeCell ref="B811:J811"/>
    <mergeCell ref="B813:J813"/>
    <mergeCell ref="B815:J815"/>
    <mergeCell ref="B817:J817"/>
    <mergeCell ref="B819:J819"/>
    <mergeCell ref="B821:J821"/>
    <mergeCell ref="B823:J823"/>
    <mergeCell ref="B825:J825"/>
    <mergeCell ref="B827:J827"/>
    <mergeCell ref="B829:J829"/>
    <mergeCell ref="B832:J832"/>
    <mergeCell ref="B834:J834"/>
    <mergeCell ref="B836:J836"/>
    <mergeCell ref="B838:J838"/>
    <mergeCell ref="B840:J840"/>
    <mergeCell ref="B842:J842"/>
    <mergeCell ref="B844:J844"/>
    <mergeCell ref="B846:J846"/>
    <mergeCell ref="B848:J848"/>
    <mergeCell ref="B850:J850"/>
    <mergeCell ref="B852:J852"/>
    <mergeCell ref="B854:J854"/>
    <mergeCell ref="B856:J856"/>
    <mergeCell ref="B858:J858"/>
    <mergeCell ref="B860:J860"/>
    <mergeCell ref="B862:J862"/>
    <mergeCell ref="B864:J864"/>
    <mergeCell ref="B866:J866"/>
    <mergeCell ref="B868:J868"/>
    <mergeCell ref="B870:J870"/>
    <mergeCell ref="B872:J872"/>
    <mergeCell ref="B873:J873"/>
    <mergeCell ref="B875:J875"/>
    <mergeCell ref="B877:J877"/>
    <mergeCell ref="B879:J879"/>
    <mergeCell ref="B881:J881"/>
    <mergeCell ref="B883:J883"/>
    <mergeCell ref="B885:J885"/>
    <mergeCell ref="B887:J887"/>
    <mergeCell ref="B889:J889"/>
    <mergeCell ref="B891:J891"/>
    <mergeCell ref="B893:J893"/>
    <mergeCell ref="B895:J895"/>
    <mergeCell ref="B897:J897"/>
    <mergeCell ref="B899:J899"/>
    <mergeCell ref="B901:J901"/>
    <mergeCell ref="B903:J903"/>
    <mergeCell ref="B905:J905"/>
    <mergeCell ref="B907:J907"/>
    <mergeCell ref="B909:J909"/>
    <mergeCell ref="B911:J911"/>
    <mergeCell ref="B913:J913"/>
    <mergeCell ref="B915:J915"/>
    <mergeCell ref="B917:J917"/>
    <mergeCell ref="B919:J919"/>
    <mergeCell ref="B921:J921"/>
    <mergeCell ref="B923:J923"/>
    <mergeCell ref="B925:J925"/>
    <mergeCell ref="B927:J927"/>
    <mergeCell ref="B929:J929"/>
    <mergeCell ref="B931:J931"/>
    <mergeCell ref="B933:J933"/>
    <mergeCell ref="B935:J935"/>
    <mergeCell ref="B937:J937"/>
    <mergeCell ref="B939:J939"/>
    <mergeCell ref="B941:J941"/>
    <mergeCell ref="B943:J943"/>
    <mergeCell ref="B945:J945"/>
    <mergeCell ref="B947:J947"/>
    <mergeCell ref="B949:J949"/>
    <mergeCell ref="B951:J951"/>
    <mergeCell ref="B953:J953"/>
    <mergeCell ref="B955:J955"/>
    <mergeCell ref="B957:J957"/>
    <mergeCell ref="B959:J959"/>
    <mergeCell ref="B961:J961"/>
    <mergeCell ref="B963:J963"/>
    <mergeCell ref="B965:J965"/>
    <mergeCell ref="B967:J967"/>
    <mergeCell ref="B969:J969"/>
    <mergeCell ref="B971:J971"/>
    <mergeCell ref="B973:J973"/>
    <mergeCell ref="B975:J975"/>
    <mergeCell ref="B977:J977"/>
    <mergeCell ref="B980:J980"/>
    <mergeCell ref="B982:J982"/>
    <mergeCell ref="B984:J984"/>
    <mergeCell ref="B986:J986"/>
    <mergeCell ref="B988:J988"/>
    <mergeCell ref="B990:J990"/>
    <mergeCell ref="B992:J992"/>
    <mergeCell ref="B994:J994"/>
    <mergeCell ref="B996:J996"/>
    <mergeCell ref="B999:J999"/>
    <mergeCell ref="B1001:J1001"/>
    <mergeCell ref="B1003:J1003"/>
    <mergeCell ref="B1005:J1005"/>
    <mergeCell ref="B1007:J1007"/>
    <mergeCell ref="B1009:J1009"/>
    <mergeCell ref="B1011:J1011"/>
    <mergeCell ref="B1013:J1013"/>
    <mergeCell ref="B1015:J1015"/>
    <mergeCell ref="B1017:J1017"/>
    <mergeCell ref="B1019:J1019"/>
    <mergeCell ref="B1021:J1021"/>
    <mergeCell ref="B1023:J1023"/>
    <mergeCell ref="B1025:J1025"/>
    <mergeCell ref="B1027:J1027"/>
    <mergeCell ref="B1029:J1029"/>
    <mergeCell ref="B1031:J1031"/>
    <mergeCell ref="B1033:J1033"/>
    <mergeCell ref="B1035:J1035"/>
    <mergeCell ref="B1037:J1037"/>
    <mergeCell ref="B1039:J1039"/>
    <mergeCell ref="B1041:J1041"/>
    <mergeCell ref="B1043:J1043"/>
    <mergeCell ref="B1045:J1045"/>
    <mergeCell ref="B1047:J1047"/>
    <mergeCell ref="B1049:J1049"/>
    <mergeCell ref="B1051:J1051"/>
    <mergeCell ref="B1053:J1053"/>
    <mergeCell ref="B1055:J1055"/>
    <mergeCell ref="B1057:J1057"/>
    <mergeCell ref="B1059:J1059"/>
    <mergeCell ref="B1061:J1061"/>
    <mergeCell ref="B1063:J1063"/>
    <mergeCell ref="B1065:J1065"/>
    <mergeCell ref="B1067:J1067"/>
    <mergeCell ref="B1069:J1069"/>
    <mergeCell ref="B1071:J1071"/>
    <mergeCell ref="B1073:J1073"/>
    <mergeCell ref="B1075:J1075"/>
    <mergeCell ref="B1077:J1077"/>
    <mergeCell ref="B1079:J1079"/>
    <mergeCell ref="B1081:J1081"/>
    <mergeCell ref="B1083:J1083"/>
    <mergeCell ref="B1085:J1085"/>
    <mergeCell ref="B1087:J1087"/>
    <mergeCell ref="B1089:J1089"/>
    <mergeCell ref="B1091:J1091"/>
    <mergeCell ref="B1093:J1093"/>
    <mergeCell ref="B1094:J1094"/>
    <mergeCell ref="B1096:J1096"/>
    <mergeCell ref="B1098:J1098"/>
    <mergeCell ref="B1100:J1100"/>
    <mergeCell ref="B1102:J1102"/>
    <mergeCell ref="B1104:J1104"/>
    <mergeCell ref="B1106:J1106"/>
    <mergeCell ref="B1108:J1108"/>
    <mergeCell ref="B1110:J1110"/>
    <mergeCell ref="B1112:J1112"/>
    <mergeCell ref="B1114:J1114"/>
    <mergeCell ref="B1116:J1116"/>
    <mergeCell ref="B1118:J1118"/>
    <mergeCell ref="B1120:J1120"/>
    <mergeCell ref="B1122:J1122"/>
    <mergeCell ref="B1124:J1124"/>
    <mergeCell ref="B1126:J1126"/>
    <mergeCell ref="B1128:J1128"/>
    <mergeCell ref="B1130:J1130"/>
    <mergeCell ref="B1132:J1132"/>
    <mergeCell ref="B1134:J1134"/>
    <mergeCell ref="B1136:J1136"/>
    <mergeCell ref="B1138:J1138"/>
    <mergeCell ref="B1140:J1140"/>
    <mergeCell ref="B1142:J1142"/>
    <mergeCell ref="B1144:J1144"/>
    <mergeCell ref="B1146:J1146"/>
    <mergeCell ref="B1148:J1148"/>
    <mergeCell ref="B1150:J1150"/>
    <mergeCell ref="B1152:J1152"/>
    <mergeCell ref="B1154:J1154"/>
    <mergeCell ref="B1156:J1156"/>
    <mergeCell ref="B1158:J1158"/>
    <mergeCell ref="B1160:J1160"/>
    <mergeCell ref="B1162:J1162"/>
    <mergeCell ref="B1164:J1164"/>
    <mergeCell ref="B1166:J1166"/>
    <mergeCell ref="B1168:J1168"/>
    <mergeCell ref="B1170:J1170"/>
    <mergeCell ref="B1172:J1172"/>
    <mergeCell ref="B1174:J1174"/>
    <mergeCell ref="B1176:J1176"/>
    <mergeCell ref="B1178:J1178"/>
    <mergeCell ref="B1180:J1180"/>
    <mergeCell ref="B1182:J1182"/>
    <mergeCell ref="B1184:J1184"/>
    <mergeCell ref="B1186:J1186"/>
    <mergeCell ref="B1188:J1188"/>
    <mergeCell ref="B1190:J1190"/>
    <mergeCell ref="B1192:J1192"/>
    <mergeCell ref="B1193:J1193"/>
    <mergeCell ref="B1194:J1194"/>
    <mergeCell ref="C1196:C1197"/>
    <mergeCell ref="D1196:D1197"/>
    <mergeCell ref="E1196:E1197"/>
    <mergeCell ref="B1264:E126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EQ595"/>
  <sheetViews>
    <sheetView showFormulas="false" showGridLines="true" showRowColHeaders="true" showZeros="true" rightToLeft="false" tabSelected="false" showOutlineSymbols="true" defaultGridColor="true" view="normal" topLeftCell="G1" colorId="64" zoomScale="90" zoomScaleNormal="90" zoomScalePageLayoutView="100" workbookViewId="0">
      <pane xSplit="0" ySplit="1" topLeftCell="A586" activePane="bottomLeft" state="frozen"/>
      <selection pane="topLeft" activeCell="G1" activeCellId="0" sqref="G1"/>
      <selection pane="bottomLeft" activeCell="G2" activeCellId="0" sqref="G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4.42"/>
    <col collapsed="false" customWidth="true" hidden="false" outlineLevel="0" max="2" min="2" style="0" width="15.14"/>
    <col collapsed="false" customWidth="true" hidden="false" outlineLevel="0" max="3" min="3" style="0" width="9.29"/>
    <col collapsed="false" customWidth="true" hidden="false" outlineLevel="0" max="4" min="4" style="0" width="20.42"/>
    <col collapsed="false" customWidth="true" hidden="false" outlineLevel="0" max="5" min="5" style="0" width="17"/>
    <col collapsed="false" customWidth="true" hidden="false" outlineLevel="0" max="6" min="6" style="0" width="14.57"/>
    <col collapsed="false" customWidth="true" hidden="false" outlineLevel="0" max="7" min="7" style="0" width="13"/>
    <col collapsed="false" customWidth="true" hidden="false" outlineLevel="0" max="8" min="8" style="0" width="18.71"/>
    <col collapsed="false" customWidth="true" hidden="false" outlineLevel="0" max="9" min="9" style="0" width="21"/>
    <col collapsed="false" customWidth="true" hidden="false" outlineLevel="0" max="10" min="10" style="0" width="13.29"/>
    <col collapsed="false" customWidth="true" hidden="false" outlineLevel="0" max="11" min="11" style="0" width="13"/>
    <col collapsed="false" customWidth="true" hidden="false" outlineLevel="0" max="12" min="12" style="0" width="22.29"/>
    <col collapsed="false" customWidth="true" hidden="false" outlineLevel="0" max="13" min="13" style="0" width="13"/>
    <col collapsed="false" customWidth="true" hidden="false" outlineLevel="0" max="14" min="14" style="495" width="17.57"/>
    <col collapsed="false" customWidth="true" hidden="false" outlineLevel="0" max="15" min="15" style="0" width="17.57"/>
    <col collapsed="false" customWidth="true" hidden="false" outlineLevel="0" max="16" min="16" style="120" width="14.14"/>
    <col collapsed="false" customWidth="true" hidden="false" outlineLevel="0" max="17" min="17" style="22" width="17.71"/>
    <col collapsed="false" customWidth="true" hidden="false" outlineLevel="0" max="18" min="18" style="496" width="17.71"/>
    <col collapsed="false" customWidth="true" hidden="false" outlineLevel="0" max="236" min="236" style="0" width="1.71"/>
    <col collapsed="false" customWidth="true" hidden="false" outlineLevel="0" max="237" min="237" style="0" width="53.14"/>
    <col collapsed="false" customWidth="true" hidden="false" outlineLevel="0" max="238" min="238" style="0" width="14.71"/>
    <col collapsed="false" customWidth="true" hidden="false" outlineLevel="0" max="239" min="239" style="0" width="20.14"/>
    <col collapsed="false" customWidth="true" hidden="false" outlineLevel="0" max="240" min="240" style="0" width="20.42"/>
    <col collapsed="false" customWidth="true" hidden="false" outlineLevel="0" max="241" min="241" style="0" width="14"/>
    <col collapsed="false" customWidth="true" hidden="false" outlineLevel="0" max="242" min="242" style="0" width="12"/>
    <col collapsed="false" customWidth="true" hidden="false" outlineLevel="0" max="243" min="243" style="0" width="18"/>
    <col collapsed="false" customWidth="true" hidden="false" outlineLevel="0" max="244" min="244" style="0" width="9"/>
    <col collapsed="false" customWidth="true" hidden="false" outlineLevel="0" max="249" min="245" style="0" width="13"/>
    <col collapsed="false" customWidth="true" hidden="false" outlineLevel="0" max="250" min="250" style="0" width="17.57"/>
    <col collapsed="false" customWidth="true" hidden="false" outlineLevel="0" max="492" min="492" style="0" width="1.71"/>
    <col collapsed="false" customWidth="true" hidden="false" outlineLevel="0" max="493" min="493" style="0" width="53.14"/>
    <col collapsed="false" customWidth="true" hidden="false" outlineLevel="0" max="494" min="494" style="0" width="14.71"/>
    <col collapsed="false" customWidth="true" hidden="false" outlineLevel="0" max="495" min="495" style="0" width="20.14"/>
    <col collapsed="false" customWidth="true" hidden="false" outlineLevel="0" max="496" min="496" style="0" width="20.42"/>
    <col collapsed="false" customWidth="true" hidden="false" outlineLevel="0" max="497" min="497" style="0" width="14"/>
    <col collapsed="false" customWidth="true" hidden="false" outlineLevel="0" max="498" min="498" style="0" width="12"/>
    <col collapsed="false" customWidth="true" hidden="false" outlineLevel="0" max="499" min="499" style="0" width="18"/>
    <col collapsed="false" customWidth="true" hidden="false" outlineLevel="0" max="500" min="500" style="0" width="9"/>
    <col collapsed="false" customWidth="true" hidden="false" outlineLevel="0" max="505" min="501" style="0" width="13"/>
    <col collapsed="false" customWidth="true" hidden="false" outlineLevel="0" max="506" min="506" style="0" width="17.57"/>
    <col collapsed="false" customWidth="true" hidden="false" outlineLevel="0" max="748" min="748" style="0" width="1.71"/>
    <col collapsed="false" customWidth="true" hidden="false" outlineLevel="0" max="749" min="749" style="0" width="53.14"/>
    <col collapsed="false" customWidth="true" hidden="false" outlineLevel="0" max="750" min="750" style="0" width="14.71"/>
    <col collapsed="false" customWidth="true" hidden="false" outlineLevel="0" max="751" min="751" style="0" width="20.14"/>
    <col collapsed="false" customWidth="true" hidden="false" outlineLevel="0" max="752" min="752" style="0" width="20.42"/>
    <col collapsed="false" customWidth="true" hidden="false" outlineLevel="0" max="753" min="753" style="0" width="14"/>
    <col collapsed="false" customWidth="true" hidden="false" outlineLevel="0" max="754" min="754" style="0" width="12"/>
    <col collapsed="false" customWidth="true" hidden="false" outlineLevel="0" max="755" min="755" style="0" width="18"/>
    <col collapsed="false" customWidth="true" hidden="false" outlineLevel="0" max="756" min="756" style="0" width="9"/>
    <col collapsed="false" customWidth="true" hidden="false" outlineLevel="0" max="761" min="757" style="0" width="13"/>
    <col collapsed="false" customWidth="true" hidden="false" outlineLevel="0" max="762" min="762" style="0" width="17.57"/>
    <col collapsed="false" customWidth="true" hidden="false" outlineLevel="0" max="1004" min="1004" style="0" width="1.71"/>
    <col collapsed="false" customWidth="true" hidden="false" outlineLevel="0" max="1005" min="1005" style="0" width="53.14"/>
    <col collapsed="false" customWidth="true" hidden="false" outlineLevel="0" max="1006" min="1006" style="0" width="14.71"/>
    <col collapsed="false" customWidth="true" hidden="false" outlineLevel="0" max="1007" min="1007" style="0" width="20.14"/>
    <col collapsed="false" customWidth="true" hidden="false" outlineLevel="0" max="1008" min="1008" style="0" width="20.42"/>
    <col collapsed="false" customWidth="true" hidden="false" outlineLevel="0" max="1009" min="1009" style="0" width="14"/>
    <col collapsed="false" customWidth="true" hidden="false" outlineLevel="0" max="1010" min="1010" style="0" width="12"/>
    <col collapsed="false" customWidth="true" hidden="false" outlineLevel="0" max="1011" min="1011" style="0" width="18"/>
    <col collapsed="false" customWidth="true" hidden="false" outlineLevel="0" max="1012" min="1012" style="0" width="9"/>
    <col collapsed="false" customWidth="true" hidden="false" outlineLevel="0" max="1017" min="1013" style="0" width="13"/>
    <col collapsed="false" customWidth="true" hidden="false" outlineLevel="0" max="1018" min="1018" style="0" width="17.57"/>
    <col collapsed="false" customWidth="true" hidden="false" outlineLevel="0" max="1260" min="1260" style="0" width="1.71"/>
    <col collapsed="false" customWidth="true" hidden="false" outlineLevel="0" max="1261" min="1261" style="0" width="53.14"/>
    <col collapsed="false" customWidth="true" hidden="false" outlineLevel="0" max="1262" min="1262" style="0" width="14.71"/>
    <col collapsed="false" customWidth="true" hidden="false" outlineLevel="0" max="1263" min="1263" style="0" width="20.14"/>
    <col collapsed="false" customWidth="true" hidden="false" outlineLevel="0" max="1264" min="1264" style="0" width="20.42"/>
    <col collapsed="false" customWidth="true" hidden="false" outlineLevel="0" max="1265" min="1265" style="0" width="14"/>
    <col collapsed="false" customWidth="true" hidden="false" outlineLevel="0" max="1266" min="1266" style="0" width="12"/>
    <col collapsed="false" customWidth="true" hidden="false" outlineLevel="0" max="1267" min="1267" style="0" width="18"/>
    <col collapsed="false" customWidth="true" hidden="false" outlineLevel="0" max="1268" min="1268" style="0" width="9"/>
    <col collapsed="false" customWidth="true" hidden="false" outlineLevel="0" max="1273" min="1269" style="0" width="13"/>
    <col collapsed="false" customWidth="true" hidden="false" outlineLevel="0" max="1274" min="1274" style="0" width="17.57"/>
    <col collapsed="false" customWidth="true" hidden="false" outlineLevel="0" max="1516" min="1516" style="0" width="1.71"/>
    <col collapsed="false" customWidth="true" hidden="false" outlineLevel="0" max="1517" min="1517" style="0" width="53.14"/>
    <col collapsed="false" customWidth="true" hidden="false" outlineLevel="0" max="1518" min="1518" style="0" width="14.71"/>
    <col collapsed="false" customWidth="true" hidden="false" outlineLevel="0" max="1519" min="1519" style="0" width="20.14"/>
    <col collapsed="false" customWidth="true" hidden="false" outlineLevel="0" max="1520" min="1520" style="0" width="20.42"/>
    <col collapsed="false" customWidth="true" hidden="false" outlineLevel="0" max="1521" min="1521" style="0" width="14"/>
    <col collapsed="false" customWidth="true" hidden="false" outlineLevel="0" max="1522" min="1522" style="0" width="12"/>
    <col collapsed="false" customWidth="true" hidden="false" outlineLevel="0" max="1523" min="1523" style="0" width="18"/>
    <col collapsed="false" customWidth="true" hidden="false" outlineLevel="0" max="1524" min="1524" style="0" width="9"/>
    <col collapsed="false" customWidth="true" hidden="false" outlineLevel="0" max="1529" min="1525" style="0" width="13"/>
    <col collapsed="false" customWidth="true" hidden="false" outlineLevel="0" max="1530" min="1530" style="0" width="17.57"/>
    <col collapsed="false" customWidth="true" hidden="false" outlineLevel="0" max="1772" min="1772" style="0" width="1.71"/>
    <col collapsed="false" customWidth="true" hidden="false" outlineLevel="0" max="1773" min="1773" style="0" width="53.14"/>
    <col collapsed="false" customWidth="true" hidden="false" outlineLevel="0" max="1774" min="1774" style="0" width="14.71"/>
    <col collapsed="false" customWidth="true" hidden="false" outlineLevel="0" max="1775" min="1775" style="0" width="20.14"/>
    <col collapsed="false" customWidth="true" hidden="false" outlineLevel="0" max="1776" min="1776" style="0" width="20.42"/>
    <col collapsed="false" customWidth="true" hidden="false" outlineLevel="0" max="1777" min="1777" style="0" width="14"/>
    <col collapsed="false" customWidth="true" hidden="false" outlineLevel="0" max="1778" min="1778" style="0" width="12"/>
    <col collapsed="false" customWidth="true" hidden="false" outlineLevel="0" max="1779" min="1779" style="0" width="18"/>
    <col collapsed="false" customWidth="true" hidden="false" outlineLevel="0" max="1780" min="1780" style="0" width="9"/>
    <col collapsed="false" customWidth="true" hidden="false" outlineLevel="0" max="1785" min="1781" style="0" width="13"/>
    <col collapsed="false" customWidth="true" hidden="false" outlineLevel="0" max="1786" min="1786" style="0" width="17.57"/>
    <col collapsed="false" customWidth="true" hidden="false" outlineLevel="0" max="2028" min="2028" style="0" width="1.71"/>
    <col collapsed="false" customWidth="true" hidden="false" outlineLevel="0" max="2029" min="2029" style="0" width="53.14"/>
    <col collapsed="false" customWidth="true" hidden="false" outlineLevel="0" max="2030" min="2030" style="0" width="14.71"/>
    <col collapsed="false" customWidth="true" hidden="false" outlineLevel="0" max="2031" min="2031" style="0" width="20.14"/>
    <col collapsed="false" customWidth="true" hidden="false" outlineLevel="0" max="2032" min="2032" style="0" width="20.42"/>
    <col collapsed="false" customWidth="true" hidden="false" outlineLevel="0" max="2033" min="2033" style="0" width="14"/>
    <col collapsed="false" customWidth="true" hidden="false" outlineLevel="0" max="2034" min="2034" style="0" width="12"/>
    <col collapsed="false" customWidth="true" hidden="false" outlineLevel="0" max="2035" min="2035" style="0" width="18"/>
    <col collapsed="false" customWidth="true" hidden="false" outlineLevel="0" max="2036" min="2036" style="0" width="9"/>
    <col collapsed="false" customWidth="true" hidden="false" outlineLevel="0" max="2041" min="2037" style="0" width="13"/>
    <col collapsed="false" customWidth="true" hidden="false" outlineLevel="0" max="2042" min="2042" style="0" width="17.57"/>
    <col collapsed="false" customWidth="true" hidden="false" outlineLevel="0" max="2284" min="2284" style="0" width="1.71"/>
    <col collapsed="false" customWidth="true" hidden="false" outlineLevel="0" max="2285" min="2285" style="0" width="53.14"/>
    <col collapsed="false" customWidth="true" hidden="false" outlineLevel="0" max="2286" min="2286" style="0" width="14.71"/>
    <col collapsed="false" customWidth="true" hidden="false" outlineLevel="0" max="2287" min="2287" style="0" width="20.14"/>
    <col collapsed="false" customWidth="true" hidden="false" outlineLevel="0" max="2288" min="2288" style="0" width="20.42"/>
    <col collapsed="false" customWidth="true" hidden="false" outlineLevel="0" max="2289" min="2289" style="0" width="14"/>
    <col collapsed="false" customWidth="true" hidden="false" outlineLevel="0" max="2290" min="2290" style="0" width="12"/>
    <col collapsed="false" customWidth="true" hidden="false" outlineLevel="0" max="2291" min="2291" style="0" width="18"/>
    <col collapsed="false" customWidth="true" hidden="false" outlineLevel="0" max="2292" min="2292" style="0" width="9"/>
    <col collapsed="false" customWidth="true" hidden="false" outlineLevel="0" max="2297" min="2293" style="0" width="13"/>
    <col collapsed="false" customWidth="true" hidden="false" outlineLevel="0" max="2298" min="2298" style="0" width="17.57"/>
    <col collapsed="false" customWidth="true" hidden="false" outlineLevel="0" max="2540" min="2540" style="0" width="1.71"/>
    <col collapsed="false" customWidth="true" hidden="false" outlineLevel="0" max="2541" min="2541" style="0" width="53.14"/>
    <col collapsed="false" customWidth="true" hidden="false" outlineLevel="0" max="2542" min="2542" style="0" width="14.71"/>
    <col collapsed="false" customWidth="true" hidden="false" outlineLevel="0" max="2543" min="2543" style="0" width="20.14"/>
    <col collapsed="false" customWidth="true" hidden="false" outlineLevel="0" max="2544" min="2544" style="0" width="20.42"/>
    <col collapsed="false" customWidth="true" hidden="false" outlineLevel="0" max="2545" min="2545" style="0" width="14"/>
    <col collapsed="false" customWidth="true" hidden="false" outlineLevel="0" max="2546" min="2546" style="0" width="12"/>
    <col collapsed="false" customWidth="true" hidden="false" outlineLevel="0" max="2547" min="2547" style="0" width="18"/>
    <col collapsed="false" customWidth="true" hidden="false" outlineLevel="0" max="2548" min="2548" style="0" width="9"/>
    <col collapsed="false" customWidth="true" hidden="false" outlineLevel="0" max="2553" min="2549" style="0" width="13"/>
    <col collapsed="false" customWidth="true" hidden="false" outlineLevel="0" max="2554" min="2554" style="0" width="17.57"/>
    <col collapsed="false" customWidth="true" hidden="false" outlineLevel="0" max="2796" min="2796" style="0" width="1.71"/>
    <col collapsed="false" customWidth="true" hidden="false" outlineLevel="0" max="2797" min="2797" style="0" width="53.14"/>
    <col collapsed="false" customWidth="true" hidden="false" outlineLevel="0" max="2798" min="2798" style="0" width="14.71"/>
    <col collapsed="false" customWidth="true" hidden="false" outlineLevel="0" max="2799" min="2799" style="0" width="20.14"/>
    <col collapsed="false" customWidth="true" hidden="false" outlineLevel="0" max="2800" min="2800" style="0" width="20.42"/>
    <col collapsed="false" customWidth="true" hidden="false" outlineLevel="0" max="2801" min="2801" style="0" width="14"/>
    <col collapsed="false" customWidth="true" hidden="false" outlineLevel="0" max="2802" min="2802" style="0" width="12"/>
    <col collapsed="false" customWidth="true" hidden="false" outlineLevel="0" max="2803" min="2803" style="0" width="18"/>
    <col collapsed="false" customWidth="true" hidden="false" outlineLevel="0" max="2804" min="2804" style="0" width="9"/>
    <col collapsed="false" customWidth="true" hidden="false" outlineLevel="0" max="2809" min="2805" style="0" width="13"/>
    <col collapsed="false" customWidth="true" hidden="false" outlineLevel="0" max="2810" min="2810" style="0" width="17.57"/>
    <col collapsed="false" customWidth="true" hidden="false" outlineLevel="0" max="3052" min="3052" style="0" width="1.71"/>
    <col collapsed="false" customWidth="true" hidden="false" outlineLevel="0" max="3053" min="3053" style="0" width="53.14"/>
    <col collapsed="false" customWidth="true" hidden="false" outlineLevel="0" max="3054" min="3054" style="0" width="14.71"/>
    <col collapsed="false" customWidth="true" hidden="false" outlineLevel="0" max="3055" min="3055" style="0" width="20.14"/>
    <col collapsed="false" customWidth="true" hidden="false" outlineLevel="0" max="3056" min="3056" style="0" width="20.42"/>
    <col collapsed="false" customWidth="true" hidden="false" outlineLevel="0" max="3057" min="3057" style="0" width="14"/>
    <col collapsed="false" customWidth="true" hidden="false" outlineLevel="0" max="3058" min="3058" style="0" width="12"/>
    <col collapsed="false" customWidth="true" hidden="false" outlineLevel="0" max="3059" min="3059" style="0" width="18"/>
    <col collapsed="false" customWidth="true" hidden="false" outlineLevel="0" max="3060" min="3060" style="0" width="9"/>
    <col collapsed="false" customWidth="true" hidden="false" outlineLevel="0" max="3065" min="3061" style="0" width="13"/>
    <col collapsed="false" customWidth="true" hidden="false" outlineLevel="0" max="3066" min="3066" style="0" width="17.57"/>
    <col collapsed="false" customWidth="true" hidden="false" outlineLevel="0" max="3308" min="3308" style="0" width="1.71"/>
    <col collapsed="false" customWidth="true" hidden="false" outlineLevel="0" max="3309" min="3309" style="0" width="53.14"/>
    <col collapsed="false" customWidth="true" hidden="false" outlineLevel="0" max="3310" min="3310" style="0" width="14.71"/>
    <col collapsed="false" customWidth="true" hidden="false" outlineLevel="0" max="3311" min="3311" style="0" width="20.14"/>
    <col collapsed="false" customWidth="true" hidden="false" outlineLevel="0" max="3312" min="3312" style="0" width="20.42"/>
    <col collapsed="false" customWidth="true" hidden="false" outlineLevel="0" max="3313" min="3313" style="0" width="14"/>
    <col collapsed="false" customWidth="true" hidden="false" outlineLevel="0" max="3314" min="3314" style="0" width="12"/>
    <col collapsed="false" customWidth="true" hidden="false" outlineLevel="0" max="3315" min="3315" style="0" width="18"/>
    <col collapsed="false" customWidth="true" hidden="false" outlineLevel="0" max="3316" min="3316" style="0" width="9"/>
    <col collapsed="false" customWidth="true" hidden="false" outlineLevel="0" max="3321" min="3317" style="0" width="13"/>
    <col collapsed="false" customWidth="true" hidden="false" outlineLevel="0" max="3322" min="3322" style="0" width="17.57"/>
    <col collapsed="false" customWidth="true" hidden="false" outlineLevel="0" max="3564" min="3564" style="0" width="1.71"/>
    <col collapsed="false" customWidth="true" hidden="false" outlineLevel="0" max="3565" min="3565" style="0" width="53.14"/>
    <col collapsed="false" customWidth="true" hidden="false" outlineLevel="0" max="3566" min="3566" style="0" width="14.71"/>
    <col collapsed="false" customWidth="true" hidden="false" outlineLevel="0" max="3567" min="3567" style="0" width="20.14"/>
    <col collapsed="false" customWidth="true" hidden="false" outlineLevel="0" max="3568" min="3568" style="0" width="20.42"/>
    <col collapsed="false" customWidth="true" hidden="false" outlineLevel="0" max="3569" min="3569" style="0" width="14"/>
    <col collapsed="false" customWidth="true" hidden="false" outlineLevel="0" max="3570" min="3570" style="0" width="12"/>
    <col collapsed="false" customWidth="true" hidden="false" outlineLevel="0" max="3571" min="3571" style="0" width="18"/>
    <col collapsed="false" customWidth="true" hidden="false" outlineLevel="0" max="3572" min="3572" style="0" width="9"/>
    <col collapsed="false" customWidth="true" hidden="false" outlineLevel="0" max="3577" min="3573" style="0" width="13"/>
    <col collapsed="false" customWidth="true" hidden="false" outlineLevel="0" max="3578" min="3578" style="0" width="17.57"/>
    <col collapsed="false" customWidth="true" hidden="false" outlineLevel="0" max="3820" min="3820" style="0" width="1.71"/>
    <col collapsed="false" customWidth="true" hidden="false" outlineLevel="0" max="3821" min="3821" style="0" width="53.14"/>
    <col collapsed="false" customWidth="true" hidden="false" outlineLevel="0" max="3822" min="3822" style="0" width="14.71"/>
    <col collapsed="false" customWidth="true" hidden="false" outlineLevel="0" max="3823" min="3823" style="0" width="20.14"/>
    <col collapsed="false" customWidth="true" hidden="false" outlineLevel="0" max="3824" min="3824" style="0" width="20.42"/>
    <col collapsed="false" customWidth="true" hidden="false" outlineLevel="0" max="3825" min="3825" style="0" width="14"/>
    <col collapsed="false" customWidth="true" hidden="false" outlineLevel="0" max="3826" min="3826" style="0" width="12"/>
    <col collapsed="false" customWidth="true" hidden="false" outlineLevel="0" max="3827" min="3827" style="0" width="18"/>
    <col collapsed="false" customWidth="true" hidden="false" outlineLevel="0" max="3828" min="3828" style="0" width="9"/>
    <col collapsed="false" customWidth="true" hidden="false" outlineLevel="0" max="3833" min="3829" style="0" width="13"/>
    <col collapsed="false" customWidth="true" hidden="false" outlineLevel="0" max="3834" min="3834" style="0" width="17.57"/>
    <col collapsed="false" customWidth="true" hidden="false" outlineLevel="0" max="4076" min="4076" style="0" width="1.71"/>
    <col collapsed="false" customWidth="true" hidden="false" outlineLevel="0" max="4077" min="4077" style="0" width="53.14"/>
    <col collapsed="false" customWidth="true" hidden="false" outlineLevel="0" max="4078" min="4078" style="0" width="14.71"/>
    <col collapsed="false" customWidth="true" hidden="false" outlineLevel="0" max="4079" min="4079" style="0" width="20.14"/>
    <col collapsed="false" customWidth="true" hidden="false" outlineLevel="0" max="4080" min="4080" style="0" width="20.42"/>
    <col collapsed="false" customWidth="true" hidden="false" outlineLevel="0" max="4081" min="4081" style="0" width="14"/>
    <col collapsed="false" customWidth="true" hidden="false" outlineLevel="0" max="4082" min="4082" style="0" width="12"/>
    <col collapsed="false" customWidth="true" hidden="false" outlineLevel="0" max="4083" min="4083" style="0" width="18"/>
    <col collapsed="false" customWidth="true" hidden="false" outlineLevel="0" max="4084" min="4084" style="0" width="9"/>
    <col collapsed="false" customWidth="true" hidden="false" outlineLevel="0" max="4089" min="4085" style="0" width="13"/>
    <col collapsed="false" customWidth="true" hidden="false" outlineLevel="0" max="4090" min="4090" style="0" width="17.57"/>
    <col collapsed="false" customWidth="true" hidden="false" outlineLevel="0" max="4332" min="4332" style="0" width="1.71"/>
    <col collapsed="false" customWidth="true" hidden="false" outlineLevel="0" max="4333" min="4333" style="0" width="53.14"/>
    <col collapsed="false" customWidth="true" hidden="false" outlineLevel="0" max="4334" min="4334" style="0" width="14.71"/>
    <col collapsed="false" customWidth="true" hidden="false" outlineLevel="0" max="4335" min="4335" style="0" width="20.14"/>
    <col collapsed="false" customWidth="true" hidden="false" outlineLevel="0" max="4336" min="4336" style="0" width="20.42"/>
    <col collapsed="false" customWidth="true" hidden="false" outlineLevel="0" max="4337" min="4337" style="0" width="14"/>
    <col collapsed="false" customWidth="true" hidden="false" outlineLevel="0" max="4338" min="4338" style="0" width="12"/>
    <col collapsed="false" customWidth="true" hidden="false" outlineLevel="0" max="4339" min="4339" style="0" width="18"/>
    <col collapsed="false" customWidth="true" hidden="false" outlineLevel="0" max="4340" min="4340" style="0" width="9"/>
    <col collapsed="false" customWidth="true" hidden="false" outlineLevel="0" max="4345" min="4341" style="0" width="13"/>
    <col collapsed="false" customWidth="true" hidden="false" outlineLevel="0" max="4346" min="4346" style="0" width="17.57"/>
    <col collapsed="false" customWidth="true" hidden="false" outlineLevel="0" max="4588" min="4588" style="0" width="1.71"/>
    <col collapsed="false" customWidth="true" hidden="false" outlineLevel="0" max="4589" min="4589" style="0" width="53.14"/>
    <col collapsed="false" customWidth="true" hidden="false" outlineLevel="0" max="4590" min="4590" style="0" width="14.71"/>
    <col collapsed="false" customWidth="true" hidden="false" outlineLevel="0" max="4591" min="4591" style="0" width="20.14"/>
    <col collapsed="false" customWidth="true" hidden="false" outlineLevel="0" max="4592" min="4592" style="0" width="20.42"/>
    <col collapsed="false" customWidth="true" hidden="false" outlineLevel="0" max="4593" min="4593" style="0" width="14"/>
    <col collapsed="false" customWidth="true" hidden="false" outlineLevel="0" max="4594" min="4594" style="0" width="12"/>
    <col collapsed="false" customWidth="true" hidden="false" outlineLevel="0" max="4595" min="4595" style="0" width="18"/>
    <col collapsed="false" customWidth="true" hidden="false" outlineLevel="0" max="4596" min="4596" style="0" width="9"/>
    <col collapsed="false" customWidth="true" hidden="false" outlineLevel="0" max="4601" min="4597" style="0" width="13"/>
    <col collapsed="false" customWidth="true" hidden="false" outlineLevel="0" max="4602" min="4602" style="0" width="17.57"/>
    <col collapsed="false" customWidth="true" hidden="false" outlineLevel="0" max="4844" min="4844" style="0" width="1.71"/>
    <col collapsed="false" customWidth="true" hidden="false" outlineLevel="0" max="4845" min="4845" style="0" width="53.14"/>
    <col collapsed="false" customWidth="true" hidden="false" outlineLevel="0" max="4846" min="4846" style="0" width="14.71"/>
    <col collapsed="false" customWidth="true" hidden="false" outlineLevel="0" max="4847" min="4847" style="0" width="20.14"/>
    <col collapsed="false" customWidth="true" hidden="false" outlineLevel="0" max="4848" min="4848" style="0" width="20.42"/>
    <col collapsed="false" customWidth="true" hidden="false" outlineLevel="0" max="4849" min="4849" style="0" width="14"/>
    <col collapsed="false" customWidth="true" hidden="false" outlineLevel="0" max="4850" min="4850" style="0" width="12"/>
    <col collapsed="false" customWidth="true" hidden="false" outlineLevel="0" max="4851" min="4851" style="0" width="18"/>
    <col collapsed="false" customWidth="true" hidden="false" outlineLevel="0" max="4852" min="4852" style="0" width="9"/>
    <col collapsed="false" customWidth="true" hidden="false" outlineLevel="0" max="4857" min="4853" style="0" width="13"/>
    <col collapsed="false" customWidth="true" hidden="false" outlineLevel="0" max="4858" min="4858" style="0" width="17.57"/>
    <col collapsed="false" customWidth="true" hidden="false" outlineLevel="0" max="5100" min="5100" style="0" width="1.71"/>
    <col collapsed="false" customWidth="true" hidden="false" outlineLevel="0" max="5101" min="5101" style="0" width="53.14"/>
    <col collapsed="false" customWidth="true" hidden="false" outlineLevel="0" max="5102" min="5102" style="0" width="14.71"/>
    <col collapsed="false" customWidth="true" hidden="false" outlineLevel="0" max="5103" min="5103" style="0" width="20.14"/>
    <col collapsed="false" customWidth="true" hidden="false" outlineLevel="0" max="5104" min="5104" style="0" width="20.42"/>
    <col collapsed="false" customWidth="true" hidden="false" outlineLevel="0" max="5105" min="5105" style="0" width="14"/>
    <col collapsed="false" customWidth="true" hidden="false" outlineLevel="0" max="5106" min="5106" style="0" width="12"/>
    <col collapsed="false" customWidth="true" hidden="false" outlineLevel="0" max="5107" min="5107" style="0" width="18"/>
    <col collapsed="false" customWidth="true" hidden="false" outlineLevel="0" max="5108" min="5108" style="0" width="9"/>
    <col collapsed="false" customWidth="true" hidden="false" outlineLevel="0" max="5113" min="5109" style="0" width="13"/>
    <col collapsed="false" customWidth="true" hidden="false" outlineLevel="0" max="5114" min="5114" style="0" width="17.57"/>
    <col collapsed="false" customWidth="true" hidden="false" outlineLevel="0" max="5356" min="5356" style="0" width="1.71"/>
    <col collapsed="false" customWidth="true" hidden="false" outlineLevel="0" max="5357" min="5357" style="0" width="53.14"/>
    <col collapsed="false" customWidth="true" hidden="false" outlineLevel="0" max="5358" min="5358" style="0" width="14.71"/>
    <col collapsed="false" customWidth="true" hidden="false" outlineLevel="0" max="5359" min="5359" style="0" width="20.14"/>
    <col collapsed="false" customWidth="true" hidden="false" outlineLevel="0" max="5360" min="5360" style="0" width="20.42"/>
    <col collapsed="false" customWidth="true" hidden="false" outlineLevel="0" max="5361" min="5361" style="0" width="14"/>
    <col collapsed="false" customWidth="true" hidden="false" outlineLevel="0" max="5362" min="5362" style="0" width="12"/>
    <col collapsed="false" customWidth="true" hidden="false" outlineLevel="0" max="5363" min="5363" style="0" width="18"/>
    <col collapsed="false" customWidth="true" hidden="false" outlineLevel="0" max="5364" min="5364" style="0" width="9"/>
    <col collapsed="false" customWidth="true" hidden="false" outlineLevel="0" max="5369" min="5365" style="0" width="13"/>
    <col collapsed="false" customWidth="true" hidden="false" outlineLevel="0" max="5370" min="5370" style="0" width="17.57"/>
    <col collapsed="false" customWidth="true" hidden="false" outlineLevel="0" max="5612" min="5612" style="0" width="1.71"/>
    <col collapsed="false" customWidth="true" hidden="false" outlineLevel="0" max="5613" min="5613" style="0" width="53.14"/>
    <col collapsed="false" customWidth="true" hidden="false" outlineLevel="0" max="5614" min="5614" style="0" width="14.71"/>
    <col collapsed="false" customWidth="true" hidden="false" outlineLevel="0" max="5615" min="5615" style="0" width="20.14"/>
    <col collapsed="false" customWidth="true" hidden="false" outlineLevel="0" max="5616" min="5616" style="0" width="20.42"/>
    <col collapsed="false" customWidth="true" hidden="false" outlineLevel="0" max="5617" min="5617" style="0" width="14"/>
    <col collapsed="false" customWidth="true" hidden="false" outlineLevel="0" max="5618" min="5618" style="0" width="12"/>
    <col collapsed="false" customWidth="true" hidden="false" outlineLevel="0" max="5619" min="5619" style="0" width="18"/>
    <col collapsed="false" customWidth="true" hidden="false" outlineLevel="0" max="5620" min="5620" style="0" width="9"/>
    <col collapsed="false" customWidth="true" hidden="false" outlineLevel="0" max="5625" min="5621" style="0" width="13"/>
    <col collapsed="false" customWidth="true" hidden="false" outlineLevel="0" max="5626" min="5626" style="0" width="17.57"/>
    <col collapsed="false" customWidth="true" hidden="false" outlineLevel="0" max="5868" min="5868" style="0" width="1.71"/>
    <col collapsed="false" customWidth="true" hidden="false" outlineLevel="0" max="5869" min="5869" style="0" width="53.14"/>
    <col collapsed="false" customWidth="true" hidden="false" outlineLevel="0" max="5870" min="5870" style="0" width="14.71"/>
    <col collapsed="false" customWidth="true" hidden="false" outlineLevel="0" max="5871" min="5871" style="0" width="20.14"/>
    <col collapsed="false" customWidth="true" hidden="false" outlineLevel="0" max="5872" min="5872" style="0" width="20.42"/>
    <col collapsed="false" customWidth="true" hidden="false" outlineLevel="0" max="5873" min="5873" style="0" width="14"/>
    <col collapsed="false" customWidth="true" hidden="false" outlineLevel="0" max="5874" min="5874" style="0" width="12"/>
    <col collapsed="false" customWidth="true" hidden="false" outlineLevel="0" max="5875" min="5875" style="0" width="18"/>
    <col collapsed="false" customWidth="true" hidden="false" outlineLevel="0" max="5876" min="5876" style="0" width="9"/>
    <col collapsed="false" customWidth="true" hidden="false" outlineLevel="0" max="5881" min="5877" style="0" width="13"/>
    <col collapsed="false" customWidth="true" hidden="false" outlineLevel="0" max="5882" min="5882" style="0" width="17.57"/>
    <col collapsed="false" customWidth="true" hidden="false" outlineLevel="0" max="6124" min="6124" style="0" width="1.71"/>
    <col collapsed="false" customWidth="true" hidden="false" outlineLevel="0" max="6125" min="6125" style="0" width="53.14"/>
    <col collapsed="false" customWidth="true" hidden="false" outlineLevel="0" max="6126" min="6126" style="0" width="14.71"/>
    <col collapsed="false" customWidth="true" hidden="false" outlineLevel="0" max="6127" min="6127" style="0" width="20.14"/>
    <col collapsed="false" customWidth="true" hidden="false" outlineLevel="0" max="6128" min="6128" style="0" width="20.42"/>
    <col collapsed="false" customWidth="true" hidden="false" outlineLevel="0" max="6129" min="6129" style="0" width="14"/>
    <col collapsed="false" customWidth="true" hidden="false" outlineLevel="0" max="6130" min="6130" style="0" width="12"/>
    <col collapsed="false" customWidth="true" hidden="false" outlineLevel="0" max="6131" min="6131" style="0" width="18"/>
    <col collapsed="false" customWidth="true" hidden="false" outlineLevel="0" max="6132" min="6132" style="0" width="9"/>
    <col collapsed="false" customWidth="true" hidden="false" outlineLevel="0" max="6137" min="6133" style="0" width="13"/>
    <col collapsed="false" customWidth="true" hidden="false" outlineLevel="0" max="6138" min="6138" style="0" width="17.57"/>
    <col collapsed="false" customWidth="true" hidden="false" outlineLevel="0" max="6380" min="6380" style="0" width="1.71"/>
    <col collapsed="false" customWidth="true" hidden="false" outlineLevel="0" max="6381" min="6381" style="0" width="53.14"/>
    <col collapsed="false" customWidth="true" hidden="false" outlineLevel="0" max="6382" min="6382" style="0" width="14.71"/>
    <col collapsed="false" customWidth="true" hidden="false" outlineLevel="0" max="6383" min="6383" style="0" width="20.14"/>
    <col collapsed="false" customWidth="true" hidden="false" outlineLevel="0" max="6384" min="6384" style="0" width="20.42"/>
    <col collapsed="false" customWidth="true" hidden="false" outlineLevel="0" max="6385" min="6385" style="0" width="14"/>
    <col collapsed="false" customWidth="true" hidden="false" outlineLevel="0" max="6386" min="6386" style="0" width="12"/>
    <col collapsed="false" customWidth="true" hidden="false" outlineLevel="0" max="6387" min="6387" style="0" width="18"/>
    <col collapsed="false" customWidth="true" hidden="false" outlineLevel="0" max="6388" min="6388" style="0" width="9"/>
    <col collapsed="false" customWidth="true" hidden="false" outlineLevel="0" max="6393" min="6389" style="0" width="13"/>
    <col collapsed="false" customWidth="true" hidden="false" outlineLevel="0" max="6394" min="6394" style="0" width="17.57"/>
    <col collapsed="false" customWidth="true" hidden="false" outlineLevel="0" max="6636" min="6636" style="0" width="1.71"/>
    <col collapsed="false" customWidth="true" hidden="false" outlineLevel="0" max="6637" min="6637" style="0" width="53.14"/>
    <col collapsed="false" customWidth="true" hidden="false" outlineLevel="0" max="6638" min="6638" style="0" width="14.71"/>
    <col collapsed="false" customWidth="true" hidden="false" outlineLevel="0" max="6639" min="6639" style="0" width="20.14"/>
    <col collapsed="false" customWidth="true" hidden="false" outlineLevel="0" max="6640" min="6640" style="0" width="20.42"/>
    <col collapsed="false" customWidth="true" hidden="false" outlineLevel="0" max="6641" min="6641" style="0" width="14"/>
    <col collapsed="false" customWidth="true" hidden="false" outlineLevel="0" max="6642" min="6642" style="0" width="12"/>
    <col collapsed="false" customWidth="true" hidden="false" outlineLevel="0" max="6643" min="6643" style="0" width="18"/>
    <col collapsed="false" customWidth="true" hidden="false" outlineLevel="0" max="6644" min="6644" style="0" width="9"/>
    <col collapsed="false" customWidth="true" hidden="false" outlineLevel="0" max="6649" min="6645" style="0" width="13"/>
    <col collapsed="false" customWidth="true" hidden="false" outlineLevel="0" max="6650" min="6650" style="0" width="17.57"/>
    <col collapsed="false" customWidth="true" hidden="false" outlineLevel="0" max="6892" min="6892" style="0" width="1.71"/>
    <col collapsed="false" customWidth="true" hidden="false" outlineLevel="0" max="6893" min="6893" style="0" width="53.14"/>
    <col collapsed="false" customWidth="true" hidden="false" outlineLevel="0" max="6894" min="6894" style="0" width="14.71"/>
    <col collapsed="false" customWidth="true" hidden="false" outlineLevel="0" max="6895" min="6895" style="0" width="20.14"/>
    <col collapsed="false" customWidth="true" hidden="false" outlineLevel="0" max="6896" min="6896" style="0" width="20.42"/>
    <col collapsed="false" customWidth="true" hidden="false" outlineLevel="0" max="6897" min="6897" style="0" width="14"/>
    <col collapsed="false" customWidth="true" hidden="false" outlineLevel="0" max="6898" min="6898" style="0" width="12"/>
    <col collapsed="false" customWidth="true" hidden="false" outlineLevel="0" max="6899" min="6899" style="0" width="18"/>
    <col collapsed="false" customWidth="true" hidden="false" outlineLevel="0" max="6900" min="6900" style="0" width="9"/>
    <col collapsed="false" customWidth="true" hidden="false" outlineLevel="0" max="6905" min="6901" style="0" width="13"/>
    <col collapsed="false" customWidth="true" hidden="false" outlineLevel="0" max="6906" min="6906" style="0" width="17.57"/>
    <col collapsed="false" customWidth="true" hidden="false" outlineLevel="0" max="7148" min="7148" style="0" width="1.71"/>
    <col collapsed="false" customWidth="true" hidden="false" outlineLevel="0" max="7149" min="7149" style="0" width="53.14"/>
    <col collapsed="false" customWidth="true" hidden="false" outlineLevel="0" max="7150" min="7150" style="0" width="14.71"/>
    <col collapsed="false" customWidth="true" hidden="false" outlineLevel="0" max="7151" min="7151" style="0" width="20.14"/>
    <col collapsed="false" customWidth="true" hidden="false" outlineLevel="0" max="7152" min="7152" style="0" width="20.42"/>
    <col collapsed="false" customWidth="true" hidden="false" outlineLevel="0" max="7153" min="7153" style="0" width="14"/>
    <col collapsed="false" customWidth="true" hidden="false" outlineLevel="0" max="7154" min="7154" style="0" width="12"/>
    <col collapsed="false" customWidth="true" hidden="false" outlineLevel="0" max="7155" min="7155" style="0" width="18"/>
    <col collapsed="false" customWidth="true" hidden="false" outlineLevel="0" max="7156" min="7156" style="0" width="9"/>
    <col collapsed="false" customWidth="true" hidden="false" outlineLevel="0" max="7161" min="7157" style="0" width="13"/>
    <col collapsed="false" customWidth="true" hidden="false" outlineLevel="0" max="7162" min="7162" style="0" width="17.57"/>
    <col collapsed="false" customWidth="true" hidden="false" outlineLevel="0" max="7404" min="7404" style="0" width="1.71"/>
    <col collapsed="false" customWidth="true" hidden="false" outlineLevel="0" max="7405" min="7405" style="0" width="53.14"/>
    <col collapsed="false" customWidth="true" hidden="false" outlineLevel="0" max="7406" min="7406" style="0" width="14.71"/>
    <col collapsed="false" customWidth="true" hidden="false" outlineLevel="0" max="7407" min="7407" style="0" width="20.14"/>
    <col collapsed="false" customWidth="true" hidden="false" outlineLevel="0" max="7408" min="7408" style="0" width="20.42"/>
    <col collapsed="false" customWidth="true" hidden="false" outlineLevel="0" max="7409" min="7409" style="0" width="14"/>
    <col collapsed="false" customWidth="true" hidden="false" outlineLevel="0" max="7410" min="7410" style="0" width="12"/>
    <col collapsed="false" customWidth="true" hidden="false" outlineLevel="0" max="7411" min="7411" style="0" width="18"/>
    <col collapsed="false" customWidth="true" hidden="false" outlineLevel="0" max="7412" min="7412" style="0" width="9"/>
    <col collapsed="false" customWidth="true" hidden="false" outlineLevel="0" max="7417" min="7413" style="0" width="13"/>
    <col collapsed="false" customWidth="true" hidden="false" outlineLevel="0" max="7418" min="7418" style="0" width="17.57"/>
    <col collapsed="false" customWidth="true" hidden="false" outlineLevel="0" max="7660" min="7660" style="0" width="1.71"/>
    <col collapsed="false" customWidth="true" hidden="false" outlineLevel="0" max="7661" min="7661" style="0" width="53.14"/>
    <col collapsed="false" customWidth="true" hidden="false" outlineLevel="0" max="7662" min="7662" style="0" width="14.71"/>
    <col collapsed="false" customWidth="true" hidden="false" outlineLevel="0" max="7663" min="7663" style="0" width="20.14"/>
    <col collapsed="false" customWidth="true" hidden="false" outlineLevel="0" max="7664" min="7664" style="0" width="20.42"/>
    <col collapsed="false" customWidth="true" hidden="false" outlineLevel="0" max="7665" min="7665" style="0" width="14"/>
    <col collapsed="false" customWidth="true" hidden="false" outlineLevel="0" max="7666" min="7666" style="0" width="12"/>
    <col collapsed="false" customWidth="true" hidden="false" outlineLevel="0" max="7667" min="7667" style="0" width="18"/>
    <col collapsed="false" customWidth="true" hidden="false" outlineLevel="0" max="7668" min="7668" style="0" width="9"/>
    <col collapsed="false" customWidth="true" hidden="false" outlineLevel="0" max="7673" min="7669" style="0" width="13"/>
    <col collapsed="false" customWidth="true" hidden="false" outlineLevel="0" max="7674" min="7674" style="0" width="17.57"/>
    <col collapsed="false" customWidth="true" hidden="false" outlineLevel="0" max="7916" min="7916" style="0" width="1.71"/>
    <col collapsed="false" customWidth="true" hidden="false" outlineLevel="0" max="7917" min="7917" style="0" width="53.14"/>
    <col collapsed="false" customWidth="true" hidden="false" outlineLevel="0" max="7918" min="7918" style="0" width="14.71"/>
    <col collapsed="false" customWidth="true" hidden="false" outlineLevel="0" max="7919" min="7919" style="0" width="20.14"/>
    <col collapsed="false" customWidth="true" hidden="false" outlineLevel="0" max="7920" min="7920" style="0" width="20.42"/>
    <col collapsed="false" customWidth="true" hidden="false" outlineLevel="0" max="7921" min="7921" style="0" width="14"/>
    <col collapsed="false" customWidth="true" hidden="false" outlineLevel="0" max="7922" min="7922" style="0" width="12"/>
    <col collapsed="false" customWidth="true" hidden="false" outlineLevel="0" max="7923" min="7923" style="0" width="18"/>
    <col collapsed="false" customWidth="true" hidden="false" outlineLevel="0" max="7924" min="7924" style="0" width="9"/>
    <col collapsed="false" customWidth="true" hidden="false" outlineLevel="0" max="7929" min="7925" style="0" width="13"/>
    <col collapsed="false" customWidth="true" hidden="false" outlineLevel="0" max="7930" min="7930" style="0" width="17.57"/>
    <col collapsed="false" customWidth="true" hidden="false" outlineLevel="0" max="8172" min="8172" style="0" width="1.71"/>
    <col collapsed="false" customWidth="true" hidden="false" outlineLevel="0" max="8173" min="8173" style="0" width="53.14"/>
    <col collapsed="false" customWidth="true" hidden="false" outlineLevel="0" max="8174" min="8174" style="0" width="14.71"/>
    <col collapsed="false" customWidth="true" hidden="false" outlineLevel="0" max="8175" min="8175" style="0" width="20.14"/>
    <col collapsed="false" customWidth="true" hidden="false" outlineLevel="0" max="8176" min="8176" style="0" width="20.42"/>
    <col collapsed="false" customWidth="true" hidden="false" outlineLevel="0" max="8177" min="8177" style="0" width="14"/>
    <col collapsed="false" customWidth="true" hidden="false" outlineLevel="0" max="8178" min="8178" style="0" width="12"/>
    <col collapsed="false" customWidth="true" hidden="false" outlineLevel="0" max="8179" min="8179" style="0" width="18"/>
    <col collapsed="false" customWidth="true" hidden="false" outlineLevel="0" max="8180" min="8180" style="0" width="9"/>
    <col collapsed="false" customWidth="true" hidden="false" outlineLevel="0" max="8185" min="8181" style="0" width="13"/>
    <col collapsed="false" customWidth="true" hidden="false" outlineLevel="0" max="8186" min="8186" style="0" width="17.57"/>
    <col collapsed="false" customWidth="true" hidden="false" outlineLevel="0" max="8428" min="8428" style="0" width="1.71"/>
    <col collapsed="false" customWidth="true" hidden="false" outlineLevel="0" max="8429" min="8429" style="0" width="53.14"/>
    <col collapsed="false" customWidth="true" hidden="false" outlineLevel="0" max="8430" min="8430" style="0" width="14.71"/>
    <col collapsed="false" customWidth="true" hidden="false" outlineLevel="0" max="8431" min="8431" style="0" width="20.14"/>
    <col collapsed="false" customWidth="true" hidden="false" outlineLevel="0" max="8432" min="8432" style="0" width="20.42"/>
    <col collapsed="false" customWidth="true" hidden="false" outlineLevel="0" max="8433" min="8433" style="0" width="14"/>
    <col collapsed="false" customWidth="true" hidden="false" outlineLevel="0" max="8434" min="8434" style="0" width="12"/>
    <col collapsed="false" customWidth="true" hidden="false" outlineLevel="0" max="8435" min="8435" style="0" width="18"/>
    <col collapsed="false" customWidth="true" hidden="false" outlineLevel="0" max="8436" min="8436" style="0" width="9"/>
    <col collapsed="false" customWidth="true" hidden="false" outlineLevel="0" max="8441" min="8437" style="0" width="13"/>
    <col collapsed="false" customWidth="true" hidden="false" outlineLevel="0" max="8442" min="8442" style="0" width="17.57"/>
    <col collapsed="false" customWidth="true" hidden="false" outlineLevel="0" max="8684" min="8684" style="0" width="1.71"/>
    <col collapsed="false" customWidth="true" hidden="false" outlineLevel="0" max="8685" min="8685" style="0" width="53.14"/>
    <col collapsed="false" customWidth="true" hidden="false" outlineLevel="0" max="8686" min="8686" style="0" width="14.71"/>
    <col collapsed="false" customWidth="true" hidden="false" outlineLevel="0" max="8687" min="8687" style="0" width="20.14"/>
    <col collapsed="false" customWidth="true" hidden="false" outlineLevel="0" max="8688" min="8688" style="0" width="20.42"/>
    <col collapsed="false" customWidth="true" hidden="false" outlineLevel="0" max="8689" min="8689" style="0" width="14"/>
    <col collapsed="false" customWidth="true" hidden="false" outlineLevel="0" max="8690" min="8690" style="0" width="12"/>
    <col collapsed="false" customWidth="true" hidden="false" outlineLevel="0" max="8691" min="8691" style="0" width="18"/>
    <col collapsed="false" customWidth="true" hidden="false" outlineLevel="0" max="8692" min="8692" style="0" width="9"/>
    <col collapsed="false" customWidth="true" hidden="false" outlineLevel="0" max="8697" min="8693" style="0" width="13"/>
    <col collapsed="false" customWidth="true" hidden="false" outlineLevel="0" max="8698" min="8698" style="0" width="17.57"/>
    <col collapsed="false" customWidth="true" hidden="false" outlineLevel="0" max="8940" min="8940" style="0" width="1.71"/>
    <col collapsed="false" customWidth="true" hidden="false" outlineLevel="0" max="8941" min="8941" style="0" width="53.14"/>
    <col collapsed="false" customWidth="true" hidden="false" outlineLevel="0" max="8942" min="8942" style="0" width="14.71"/>
    <col collapsed="false" customWidth="true" hidden="false" outlineLevel="0" max="8943" min="8943" style="0" width="20.14"/>
    <col collapsed="false" customWidth="true" hidden="false" outlineLevel="0" max="8944" min="8944" style="0" width="20.42"/>
    <col collapsed="false" customWidth="true" hidden="false" outlineLevel="0" max="8945" min="8945" style="0" width="14"/>
    <col collapsed="false" customWidth="true" hidden="false" outlineLevel="0" max="8946" min="8946" style="0" width="12"/>
    <col collapsed="false" customWidth="true" hidden="false" outlineLevel="0" max="8947" min="8947" style="0" width="18"/>
    <col collapsed="false" customWidth="true" hidden="false" outlineLevel="0" max="8948" min="8948" style="0" width="9"/>
    <col collapsed="false" customWidth="true" hidden="false" outlineLevel="0" max="8953" min="8949" style="0" width="13"/>
    <col collapsed="false" customWidth="true" hidden="false" outlineLevel="0" max="8954" min="8954" style="0" width="17.57"/>
    <col collapsed="false" customWidth="true" hidden="false" outlineLevel="0" max="9196" min="9196" style="0" width="1.71"/>
    <col collapsed="false" customWidth="true" hidden="false" outlineLevel="0" max="9197" min="9197" style="0" width="53.14"/>
    <col collapsed="false" customWidth="true" hidden="false" outlineLevel="0" max="9198" min="9198" style="0" width="14.71"/>
    <col collapsed="false" customWidth="true" hidden="false" outlineLevel="0" max="9199" min="9199" style="0" width="20.14"/>
    <col collapsed="false" customWidth="true" hidden="false" outlineLevel="0" max="9200" min="9200" style="0" width="20.42"/>
    <col collapsed="false" customWidth="true" hidden="false" outlineLevel="0" max="9201" min="9201" style="0" width="14"/>
    <col collapsed="false" customWidth="true" hidden="false" outlineLevel="0" max="9202" min="9202" style="0" width="12"/>
    <col collapsed="false" customWidth="true" hidden="false" outlineLevel="0" max="9203" min="9203" style="0" width="18"/>
    <col collapsed="false" customWidth="true" hidden="false" outlineLevel="0" max="9204" min="9204" style="0" width="9"/>
    <col collapsed="false" customWidth="true" hidden="false" outlineLevel="0" max="9209" min="9205" style="0" width="13"/>
    <col collapsed="false" customWidth="true" hidden="false" outlineLevel="0" max="9210" min="9210" style="0" width="17.57"/>
    <col collapsed="false" customWidth="true" hidden="false" outlineLevel="0" max="9452" min="9452" style="0" width="1.71"/>
    <col collapsed="false" customWidth="true" hidden="false" outlineLevel="0" max="9453" min="9453" style="0" width="53.14"/>
    <col collapsed="false" customWidth="true" hidden="false" outlineLevel="0" max="9454" min="9454" style="0" width="14.71"/>
    <col collapsed="false" customWidth="true" hidden="false" outlineLevel="0" max="9455" min="9455" style="0" width="20.14"/>
    <col collapsed="false" customWidth="true" hidden="false" outlineLevel="0" max="9456" min="9456" style="0" width="20.42"/>
    <col collapsed="false" customWidth="true" hidden="false" outlineLevel="0" max="9457" min="9457" style="0" width="14"/>
    <col collapsed="false" customWidth="true" hidden="false" outlineLevel="0" max="9458" min="9458" style="0" width="12"/>
    <col collapsed="false" customWidth="true" hidden="false" outlineLevel="0" max="9459" min="9459" style="0" width="18"/>
    <col collapsed="false" customWidth="true" hidden="false" outlineLevel="0" max="9460" min="9460" style="0" width="9"/>
    <col collapsed="false" customWidth="true" hidden="false" outlineLevel="0" max="9465" min="9461" style="0" width="13"/>
    <col collapsed="false" customWidth="true" hidden="false" outlineLevel="0" max="9466" min="9466" style="0" width="17.57"/>
    <col collapsed="false" customWidth="true" hidden="false" outlineLevel="0" max="9708" min="9708" style="0" width="1.71"/>
    <col collapsed="false" customWidth="true" hidden="false" outlineLevel="0" max="9709" min="9709" style="0" width="53.14"/>
    <col collapsed="false" customWidth="true" hidden="false" outlineLevel="0" max="9710" min="9710" style="0" width="14.71"/>
    <col collapsed="false" customWidth="true" hidden="false" outlineLevel="0" max="9711" min="9711" style="0" width="20.14"/>
    <col collapsed="false" customWidth="true" hidden="false" outlineLevel="0" max="9712" min="9712" style="0" width="20.42"/>
    <col collapsed="false" customWidth="true" hidden="false" outlineLevel="0" max="9713" min="9713" style="0" width="14"/>
    <col collapsed="false" customWidth="true" hidden="false" outlineLevel="0" max="9714" min="9714" style="0" width="12"/>
    <col collapsed="false" customWidth="true" hidden="false" outlineLevel="0" max="9715" min="9715" style="0" width="18"/>
    <col collapsed="false" customWidth="true" hidden="false" outlineLevel="0" max="9716" min="9716" style="0" width="9"/>
    <col collapsed="false" customWidth="true" hidden="false" outlineLevel="0" max="9721" min="9717" style="0" width="13"/>
    <col collapsed="false" customWidth="true" hidden="false" outlineLevel="0" max="9722" min="9722" style="0" width="17.57"/>
    <col collapsed="false" customWidth="true" hidden="false" outlineLevel="0" max="9964" min="9964" style="0" width="1.71"/>
    <col collapsed="false" customWidth="true" hidden="false" outlineLevel="0" max="9965" min="9965" style="0" width="53.14"/>
    <col collapsed="false" customWidth="true" hidden="false" outlineLevel="0" max="9966" min="9966" style="0" width="14.71"/>
    <col collapsed="false" customWidth="true" hidden="false" outlineLevel="0" max="9967" min="9967" style="0" width="20.14"/>
    <col collapsed="false" customWidth="true" hidden="false" outlineLevel="0" max="9968" min="9968" style="0" width="20.42"/>
    <col collapsed="false" customWidth="true" hidden="false" outlineLevel="0" max="9969" min="9969" style="0" width="14"/>
    <col collapsed="false" customWidth="true" hidden="false" outlineLevel="0" max="9970" min="9970" style="0" width="12"/>
    <col collapsed="false" customWidth="true" hidden="false" outlineLevel="0" max="9971" min="9971" style="0" width="18"/>
    <col collapsed="false" customWidth="true" hidden="false" outlineLevel="0" max="9972" min="9972" style="0" width="9"/>
    <col collapsed="false" customWidth="true" hidden="false" outlineLevel="0" max="9977" min="9973" style="0" width="13"/>
    <col collapsed="false" customWidth="true" hidden="false" outlineLevel="0" max="9978" min="9978" style="0" width="17.57"/>
    <col collapsed="false" customWidth="true" hidden="false" outlineLevel="0" max="10220" min="10220" style="0" width="1.71"/>
    <col collapsed="false" customWidth="true" hidden="false" outlineLevel="0" max="10221" min="10221" style="0" width="53.14"/>
    <col collapsed="false" customWidth="true" hidden="false" outlineLevel="0" max="10222" min="10222" style="0" width="14.71"/>
    <col collapsed="false" customWidth="true" hidden="false" outlineLevel="0" max="10223" min="10223" style="0" width="20.14"/>
    <col collapsed="false" customWidth="true" hidden="false" outlineLevel="0" max="10224" min="10224" style="0" width="20.42"/>
    <col collapsed="false" customWidth="true" hidden="false" outlineLevel="0" max="10225" min="10225" style="0" width="14"/>
    <col collapsed="false" customWidth="true" hidden="false" outlineLevel="0" max="10226" min="10226" style="0" width="12"/>
    <col collapsed="false" customWidth="true" hidden="false" outlineLevel="0" max="10227" min="10227" style="0" width="18"/>
    <col collapsed="false" customWidth="true" hidden="false" outlineLevel="0" max="10228" min="10228" style="0" width="9"/>
    <col collapsed="false" customWidth="true" hidden="false" outlineLevel="0" max="10233" min="10229" style="0" width="13"/>
    <col collapsed="false" customWidth="true" hidden="false" outlineLevel="0" max="10234" min="10234" style="0" width="17.57"/>
    <col collapsed="false" customWidth="true" hidden="false" outlineLevel="0" max="10476" min="10476" style="0" width="1.71"/>
    <col collapsed="false" customWidth="true" hidden="false" outlineLevel="0" max="10477" min="10477" style="0" width="53.14"/>
    <col collapsed="false" customWidth="true" hidden="false" outlineLevel="0" max="10478" min="10478" style="0" width="14.71"/>
    <col collapsed="false" customWidth="true" hidden="false" outlineLevel="0" max="10479" min="10479" style="0" width="20.14"/>
    <col collapsed="false" customWidth="true" hidden="false" outlineLevel="0" max="10480" min="10480" style="0" width="20.42"/>
    <col collapsed="false" customWidth="true" hidden="false" outlineLevel="0" max="10481" min="10481" style="0" width="14"/>
    <col collapsed="false" customWidth="true" hidden="false" outlineLevel="0" max="10482" min="10482" style="0" width="12"/>
    <col collapsed="false" customWidth="true" hidden="false" outlineLevel="0" max="10483" min="10483" style="0" width="18"/>
    <col collapsed="false" customWidth="true" hidden="false" outlineLevel="0" max="10484" min="10484" style="0" width="9"/>
    <col collapsed="false" customWidth="true" hidden="false" outlineLevel="0" max="10489" min="10485" style="0" width="13"/>
    <col collapsed="false" customWidth="true" hidden="false" outlineLevel="0" max="10490" min="10490" style="0" width="17.57"/>
    <col collapsed="false" customWidth="true" hidden="false" outlineLevel="0" max="10732" min="10732" style="0" width="1.71"/>
    <col collapsed="false" customWidth="true" hidden="false" outlineLevel="0" max="10733" min="10733" style="0" width="53.14"/>
    <col collapsed="false" customWidth="true" hidden="false" outlineLevel="0" max="10734" min="10734" style="0" width="14.71"/>
    <col collapsed="false" customWidth="true" hidden="false" outlineLevel="0" max="10735" min="10735" style="0" width="20.14"/>
    <col collapsed="false" customWidth="true" hidden="false" outlineLevel="0" max="10736" min="10736" style="0" width="20.42"/>
    <col collapsed="false" customWidth="true" hidden="false" outlineLevel="0" max="10737" min="10737" style="0" width="14"/>
    <col collapsed="false" customWidth="true" hidden="false" outlineLevel="0" max="10738" min="10738" style="0" width="12"/>
    <col collapsed="false" customWidth="true" hidden="false" outlineLevel="0" max="10739" min="10739" style="0" width="18"/>
    <col collapsed="false" customWidth="true" hidden="false" outlineLevel="0" max="10740" min="10740" style="0" width="9"/>
    <col collapsed="false" customWidth="true" hidden="false" outlineLevel="0" max="10745" min="10741" style="0" width="13"/>
    <col collapsed="false" customWidth="true" hidden="false" outlineLevel="0" max="10746" min="10746" style="0" width="17.57"/>
    <col collapsed="false" customWidth="true" hidden="false" outlineLevel="0" max="10988" min="10988" style="0" width="1.71"/>
    <col collapsed="false" customWidth="true" hidden="false" outlineLevel="0" max="10989" min="10989" style="0" width="53.14"/>
    <col collapsed="false" customWidth="true" hidden="false" outlineLevel="0" max="10990" min="10990" style="0" width="14.71"/>
    <col collapsed="false" customWidth="true" hidden="false" outlineLevel="0" max="10991" min="10991" style="0" width="20.14"/>
    <col collapsed="false" customWidth="true" hidden="false" outlineLevel="0" max="10992" min="10992" style="0" width="20.42"/>
    <col collapsed="false" customWidth="true" hidden="false" outlineLevel="0" max="10993" min="10993" style="0" width="14"/>
    <col collapsed="false" customWidth="true" hidden="false" outlineLevel="0" max="10994" min="10994" style="0" width="12"/>
    <col collapsed="false" customWidth="true" hidden="false" outlineLevel="0" max="10995" min="10995" style="0" width="18"/>
    <col collapsed="false" customWidth="true" hidden="false" outlineLevel="0" max="10996" min="10996" style="0" width="9"/>
    <col collapsed="false" customWidth="true" hidden="false" outlineLevel="0" max="11001" min="10997" style="0" width="13"/>
    <col collapsed="false" customWidth="true" hidden="false" outlineLevel="0" max="11002" min="11002" style="0" width="17.57"/>
    <col collapsed="false" customWidth="true" hidden="false" outlineLevel="0" max="11244" min="11244" style="0" width="1.71"/>
    <col collapsed="false" customWidth="true" hidden="false" outlineLevel="0" max="11245" min="11245" style="0" width="53.14"/>
    <col collapsed="false" customWidth="true" hidden="false" outlineLevel="0" max="11246" min="11246" style="0" width="14.71"/>
    <col collapsed="false" customWidth="true" hidden="false" outlineLevel="0" max="11247" min="11247" style="0" width="20.14"/>
    <col collapsed="false" customWidth="true" hidden="false" outlineLevel="0" max="11248" min="11248" style="0" width="20.42"/>
    <col collapsed="false" customWidth="true" hidden="false" outlineLevel="0" max="11249" min="11249" style="0" width="14"/>
    <col collapsed="false" customWidth="true" hidden="false" outlineLevel="0" max="11250" min="11250" style="0" width="12"/>
    <col collapsed="false" customWidth="true" hidden="false" outlineLevel="0" max="11251" min="11251" style="0" width="18"/>
    <col collapsed="false" customWidth="true" hidden="false" outlineLevel="0" max="11252" min="11252" style="0" width="9"/>
    <col collapsed="false" customWidth="true" hidden="false" outlineLevel="0" max="11257" min="11253" style="0" width="13"/>
    <col collapsed="false" customWidth="true" hidden="false" outlineLevel="0" max="11258" min="11258" style="0" width="17.57"/>
    <col collapsed="false" customWidth="true" hidden="false" outlineLevel="0" max="11500" min="11500" style="0" width="1.71"/>
    <col collapsed="false" customWidth="true" hidden="false" outlineLevel="0" max="11501" min="11501" style="0" width="53.14"/>
    <col collapsed="false" customWidth="true" hidden="false" outlineLevel="0" max="11502" min="11502" style="0" width="14.71"/>
    <col collapsed="false" customWidth="true" hidden="false" outlineLevel="0" max="11503" min="11503" style="0" width="20.14"/>
    <col collapsed="false" customWidth="true" hidden="false" outlineLevel="0" max="11504" min="11504" style="0" width="20.42"/>
    <col collapsed="false" customWidth="true" hidden="false" outlineLevel="0" max="11505" min="11505" style="0" width="14"/>
    <col collapsed="false" customWidth="true" hidden="false" outlineLevel="0" max="11506" min="11506" style="0" width="12"/>
    <col collapsed="false" customWidth="true" hidden="false" outlineLevel="0" max="11507" min="11507" style="0" width="18"/>
    <col collapsed="false" customWidth="true" hidden="false" outlineLevel="0" max="11508" min="11508" style="0" width="9"/>
    <col collapsed="false" customWidth="true" hidden="false" outlineLevel="0" max="11513" min="11509" style="0" width="13"/>
    <col collapsed="false" customWidth="true" hidden="false" outlineLevel="0" max="11514" min="11514" style="0" width="17.57"/>
    <col collapsed="false" customWidth="true" hidden="false" outlineLevel="0" max="11756" min="11756" style="0" width="1.71"/>
    <col collapsed="false" customWidth="true" hidden="false" outlineLevel="0" max="11757" min="11757" style="0" width="53.14"/>
    <col collapsed="false" customWidth="true" hidden="false" outlineLevel="0" max="11758" min="11758" style="0" width="14.71"/>
    <col collapsed="false" customWidth="true" hidden="false" outlineLevel="0" max="11759" min="11759" style="0" width="20.14"/>
    <col collapsed="false" customWidth="true" hidden="false" outlineLevel="0" max="11760" min="11760" style="0" width="20.42"/>
    <col collapsed="false" customWidth="true" hidden="false" outlineLevel="0" max="11761" min="11761" style="0" width="14"/>
    <col collapsed="false" customWidth="true" hidden="false" outlineLevel="0" max="11762" min="11762" style="0" width="12"/>
    <col collapsed="false" customWidth="true" hidden="false" outlineLevel="0" max="11763" min="11763" style="0" width="18"/>
    <col collapsed="false" customWidth="true" hidden="false" outlineLevel="0" max="11764" min="11764" style="0" width="9"/>
    <col collapsed="false" customWidth="true" hidden="false" outlineLevel="0" max="11769" min="11765" style="0" width="13"/>
    <col collapsed="false" customWidth="true" hidden="false" outlineLevel="0" max="11770" min="11770" style="0" width="17.57"/>
    <col collapsed="false" customWidth="true" hidden="false" outlineLevel="0" max="12012" min="12012" style="0" width="1.71"/>
    <col collapsed="false" customWidth="true" hidden="false" outlineLevel="0" max="12013" min="12013" style="0" width="53.14"/>
    <col collapsed="false" customWidth="true" hidden="false" outlineLevel="0" max="12014" min="12014" style="0" width="14.71"/>
    <col collapsed="false" customWidth="true" hidden="false" outlineLevel="0" max="12015" min="12015" style="0" width="20.14"/>
    <col collapsed="false" customWidth="true" hidden="false" outlineLevel="0" max="12016" min="12016" style="0" width="20.42"/>
    <col collapsed="false" customWidth="true" hidden="false" outlineLevel="0" max="12017" min="12017" style="0" width="14"/>
    <col collapsed="false" customWidth="true" hidden="false" outlineLevel="0" max="12018" min="12018" style="0" width="12"/>
    <col collapsed="false" customWidth="true" hidden="false" outlineLevel="0" max="12019" min="12019" style="0" width="18"/>
    <col collapsed="false" customWidth="true" hidden="false" outlineLevel="0" max="12020" min="12020" style="0" width="9"/>
    <col collapsed="false" customWidth="true" hidden="false" outlineLevel="0" max="12025" min="12021" style="0" width="13"/>
    <col collapsed="false" customWidth="true" hidden="false" outlineLevel="0" max="12026" min="12026" style="0" width="17.57"/>
    <col collapsed="false" customWidth="true" hidden="false" outlineLevel="0" max="12268" min="12268" style="0" width="1.71"/>
    <col collapsed="false" customWidth="true" hidden="false" outlineLevel="0" max="12269" min="12269" style="0" width="53.14"/>
    <col collapsed="false" customWidth="true" hidden="false" outlineLevel="0" max="12270" min="12270" style="0" width="14.71"/>
    <col collapsed="false" customWidth="true" hidden="false" outlineLevel="0" max="12271" min="12271" style="0" width="20.14"/>
    <col collapsed="false" customWidth="true" hidden="false" outlineLevel="0" max="12272" min="12272" style="0" width="20.42"/>
    <col collapsed="false" customWidth="true" hidden="false" outlineLevel="0" max="12273" min="12273" style="0" width="14"/>
    <col collapsed="false" customWidth="true" hidden="false" outlineLevel="0" max="12274" min="12274" style="0" width="12"/>
    <col collapsed="false" customWidth="true" hidden="false" outlineLevel="0" max="12275" min="12275" style="0" width="18"/>
    <col collapsed="false" customWidth="true" hidden="false" outlineLevel="0" max="12276" min="12276" style="0" width="9"/>
    <col collapsed="false" customWidth="true" hidden="false" outlineLevel="0" max="12281" min="12277" style="0" width="13"/>
    <col collapsed="false" customWidth="true" hidden="false" outlineLevel="0" max="12282" min="12282" style="0" width="17.57"/>
    <col collapsed="false" customWidth="true" hidden="false" outlineLevel="0" max="12524" min="12524" style="0" width="1.71"/>
    <col collapsed="false" customWidth="true" hidden="false" outlineLevel="0" max="12525" min="12525" style="0" width="53.14"/>
    <col collapsed="false" customWidth="true" hidden="false" outlineLevel="0" max="12526" min="12526" style="0" width="14.71"/>
    <col collapsed="false" customWidth="true" hidden="false" outlineLevel="0" max="12527" min="12527" style="0" width="20.14"/>
    <col collapsed="false" customWidth="true" hidden="false" outlineLevel="0" max="12528" min="12528" style="0" width="20.42"/>
    <col collapsed="false" customWidth="true" hidden="false" outlineLevel="0" max="12529" min="12529" style="0" width="14"/>
    <col collapsed="false" customWidth="true" hidden="false" outlineLevel="0" max="12530" min="12530" style="0" width="12"/>
    <col collapsed="false" customWidth="true" hidden="false" outlineLevel="0" max="12531" min="12531" style="0" width="18"/>
    <col collapsed="false" customWidth="true" hidden="false" outlineLevel="0" max="12532" min="12532" style="0" width="9"/>
    <col collapsed="false" customWidth="true" hidden="false" outlineLevel="0" max="12537" min="12533" style="0" width="13"/>
    <col collapsed="false" customWidth="true" hidden="false" outlineLevel="0" max="12538" min="12538" style="0" width="17.57"/>
    <col collapsed="false" customWidth="true" hidden="false" outlineLevel="0" max="12780" min="12780" style="0" width="1.71"/>
    <col collapsed="false" customWidth="true" hidden="false" outlineLevel="0" max="12781" min="12781" style="0" width="53.14"/>
    <col collapsed="false" customWidth="true" hidden="false" outlineLevel="0" max="12782" min="12782" style="0" width="14.71"/>
    <col collapsed="false" customWidth="true" hidden="false" outlineLevel="0" max="12783" min="12783" style="0" width="20.14"/>
    <col collapsed="false" customWidth="true" hidden="false" outlineLevel="0" max="12784" min="12784" style="0" width="20.42"/>
    <col collapsed="false" customWidth="true" hidden="false" outlineLevel="0" max="12785" min="12785" style="0" width="14"/>
    <col collapsed="false" customWidth="true" hidden="false" outlineLevel="0" max="12786" min="12786" style="0" width="12"/>
    <col collapsed="false" customWidth="true" hidden="false" outlineLevel="0" max="12787" min="12787" style="0" width="18"/>
    <col collapsed="false" customWidth="true" hidden="false" outlineLevel="0" max="12788" min="12788" style="0" width="9"/>
    <col collapsed="false" customWidth="true" hidden="false" outlineLevel="0" max="12793" min="12789" style="0" width="13"/>
    <col collapsed="false" customWidth="true" hidden="false" outlineLevel="0" max="12794" min="12794" style="0" width="17.57"/>
    <col collapsed="false" customWidth="true" hidden="false" outlineLevel="0" max="13036" min="13036" style="0" width="1.71"/>
    <col collapsed="false" customWidth="true" hidden="false" outlineLevel="0" max="13037" min="13037" style="0" width="53.14"/>
    <col collapsed="false" customWidth="true" hidden="false" outlineLevel="0" max="13038" min="13038" style="0" width="14.71"/>
    <col collapsed="false" customWidth="true" hidden="false" outlineLevel="0" max="13039" min="13039" style="0" width="20.14"/>
    <col collapsed="false" customWidth="true" hidden="false" outlineLevel="0" max="13040" min="13040" style="0" width="20.42"/>
    <col collapsed="false" customWidth="true" hidden="false" outlineLevel="0" max="13041" min="13041" style="0" width="14"/>
    <col collapsed="false" customWidth="true" hidden="false" outlineLevel="0" max="13042" min="13042" style="0" width="12"/>
    <col collapsed="false" customWidth="true" hidden="false" outlineLevel="0" max="13043" min="13043" style="0" width="18"/>
    <col collapsed="false" customWidth="true" hidden="false" outlineLevel="0" max="13044" min="13044" style="0" width="9"/>
    <col collapsed="false" customWidth="true" hidden="false" outlineLevel="0" max="13049" min="13045" style="0" width="13"/>
    <col collapsed="false" customWidth="true" hidden="false" outlineLevel="0" max="13050" min="13050" style="0" width="17.57"/>
    <col collapsed="false" customWidth="true" hidden="false" outlineLevel="0" max="13292" min="13292" style="0" width="1.71"/>
    <col collapsed="false" customWidth="true" hidden="false" outlineLevel="0" max="13293" min="13293" style="0" width="53.14"/>
    <col collapsed="false" customWidth="true" hidden="false" outlineLevel="0" max="13294" min="13294" style="0" width="14.71"/>
    <col collapsed="false" customWidth="true" hidden="false" outlineLevel="0" max="13295" min="13295" style="0" width="20.14"/>
    <col collapsed="false" customWidth="true" hidden="false" outlineLevel="0" max="13296" min="13296" style="0" width="20.42"/>
    <col collapsed="false" customWidth="true" hidden="false" outlineLevel="0" max="13297" min="13297" style="0" width="14"/>
    <col collapsed="false" customWidth="true" hidden="false" outlineLevel="0" max="13298" min="13298" style="0" width="12"/>
    <col collapsed="false" customWidth="true" hidden="false" outlineLevel="0" max="13299" min="13299" style="0" width="18"/>
    <col collapsed="false" customWidth="true" hidden="false" outlineLevel="0" max="13300" min="13300" style="0" width="9"/>
    <col collapsed="false" customWidth="true" hidden="false" outlineLevel="0" max="13305" min="13301" style="0" width="13"/>
    <col collapsed="false" customWidth="true" hidden="false" outlineLevel="0" max="13306" min="13306" style="0" width="17.57"/>
    <col collapsed="false" customWidth="true" hidden="false" outlineLevel="0" max="13548" min="13548" style="0" width="1.71"/>
    <col collapsed="false" customWidth="true" hidden="false" outlineLevel="0" max="13549" min="13549" style="0" width="53.14"/>
    <col collapsed="false" customWidth="true" hidden="false" outlineLevel="0" max="13550" min="13550" style="0" width="14.71"/>
    <col collapsed="false" customWidth="true" hidden="false" outlineLevel="0" max="13551" min="13551" style="0" width="20.14"/>
    <col collapsed="false" customWidth="true" hidden="false" outlineLevel="0" max="13552" min="13552" style="0" width="20.42"/>
    <col collapsed="false" customWidth="true" hidden="false" outlineLevel="0" max="13553" min="13553" style="0" width="14"/>
    <col collapsed="false" customWidth="true" hidden="false" outlineLevel="0" max="13554" min="13554" style="0" width="12"/>
    <col collapsed="false" customWidth="true" hidden="false" outlineLevel="0" max="13555" min="13555" style="0" width="18"/>
    <col collapsed="false" customWidth="true" hidden="false" outlineLevel="0" max="13556" min="13556" style="0" width="9"/>
    <col collapsed="false" customWidth="true" hidden="false" outlineLevel="0" max="13561" min="13557" style="0" width="13"/>
    <col collapsed="false" customWidth="true" hidden="false" outlineLevel="0" max="13562" min="13562" style="0" width="17.57"/>
    <col collapsed="false" customWidth="true" hidden="false" outlineLevel="0" max="13804" min="13804" style="0" width="1.71"/>
    <col collapsed="false" customWidth="true" hidden="false" outlineLevel="0" max="13805" min="13805" style="0" width="53.14"/>
    <col collapsed="false" customWidth="true" hidden="false" outlineLevel="0" max="13806" min="13806" style="0" width="14.71"/>
    <col collapsed="false" customWidth="true" hidden="false" outlineLevel="0" max="13807" min="13807" style="0" width="20.14"/>
    <col collapsed="false" customWidth="true" hidden="false" outlineLevel="0" max="13808" min="13808" style="0" width="20.42"/>
    <col collapsed="false" customWidth="true" hidden="false" outlineLevel="0" max="13809" min="13809" style="0" width="14"/>
    <col collapsed="false" customWidth="true" hidden="false" outlineLevel="0" max="13810" min="13810" style="0" width="12"/>
    <col collapsed="false" customWidth="true" hidden="false" outlineLevel="0" max="13811" min="13811" style="0" width="18"/>
    <col collapsed="false" customWidth="true" hidden="false" outlineLevel="0" max="13812" min="13812" style="0" width="9"/>
    <col collapsed="false" customWidth="true" hidden="false" outlineLevel="0" max="13817" min="13813" style="0" width="13"/>
    <col collapsed="false" customWidth="true" hidden="false" outlineLevel="0" max="13818" min="13818" style="0" width="17.57"/>
    <col collapsed="false" customWidth="true" hidden="false" outlineLevel="0" max="14060" min="14060" style="0" width="1.71"/>
    <col collapsed="false" customWidth="true" hidden="false" outlineLevel="0" max="14061" min="14061" style="0" width="53.14"/>
    <col collapsed="false" customWidth="true" hidden="false" outlineLevel="0" max="14062" min="14062" style="0" width="14.71"/>
    <col collapsed="false" customWidth="true" hidden="false" outlineLevel="0" max="14063" min="14063" style="0" width="20.14"/>
    <col collapsed="false" customWidth="true" hidden="false" outlineLevel="0" max="14064" min="14064" style="0" width="20.42"/>
    <col collapsed="false" customWidth="true" hidden="false" outlineLevel="0" max="14065" min="14065" style="0" width="14"/>
    <col collapsed="false" customWidth="true" hidden="false" outlineLevel="0" max="14066" min="14066" style="0" width="12"/>
    <col collapsed="false" customWidth="true" hidden="false" outlineLevel="0" max="14067" min="14067" style="0" width="18"/>
    <col collapsed="false" customWidth="true" hidden="false" outlineLevel="0" max="14068" min="14068" style="0" width="9"/>
    <col collapsed="false" customWidth="true" hidden="false" outlineLevel="0" max="14073" min="14069" style="0" width="13"/>
    <col collapsed="false" customWidth="true" hidden="false" outlineLevel="0" max="14074" min="14074" style="0" width="17.57"/>
    <col collapsed="false" customWidth="true" hidden="false" outlineLevel="0" max="14316" min="14316" style="0" width="1.71"/>
    <col collapsed="false" customWidth="true" hidden="false" outlineLevel="0" max="14317" min="14317" style="0" width="53.14"/>
    <col collapsed="false" customWidth="true" hidden="false" outlineLevel="0" max="14318" min="14318" style="0" width="14.71"/>
    <col collapsed="false" customWidth="true" hidden="false" outlineLevel="0" max="14319" min="14319" style="0" width="20.14"/>
    <col collapsed="false" customWidth="true" hidden="false" outlineLevel="0" max="14320" min="14320" style="0" width="20.42"/>
    <col collapsed="false" customWidth="true" hidden="false" outlineLevel="0" max="14321" min="14321" style="0" width="14"/>
    <col collapsed="false" customWidth="true" hidden="false" outlineLevel="0" max="14322" min="14322" style="0" width="12"/>
    <col collapsed="false" customWidth="true" hidden="false" outlineLevel="0" max="14323" min="14323" style="0" width="18"/>
    <col collapsed="false" customWidth="true" hidden="false" outlineLevel="0" max="14324" min="14324" style="0" width="9"/>
    <col collapsed="false" customWidth="true" hidden="false" outlineLevel="0" max="14329" min="14325" style="0" width="13"/>
    <col collapsed="false" customWidth="true" hidden="false" outlineLevel="0" max="14330" min="14330" style="0" width="17.57"/>
    <col collapsed="false" customWidth="true" hidden="false" outlineLevel="0" max="14572" min="14572" style="0" width="1.71"/>
    <col collapsed="false" customWidth="true" hidden="false" outlineLevel="0" max="14573" min="14573" style="0" width="53.14"/>
    <col collapsed="false" customWidth="true" hidden="false" outlineLevel="0" max="14574" min="14574" style="0" width="14.71"/>
    <col collapsed="false" customWidth="true" hidden="false" outlineLevel="0" max="14575" min="14575" style="0" width="20.14"/>
    <col collapsed="false" customWidth="true" hidden="false" outlineLevel="0" max="14576" min="14576" style="0" width="20.42"/>
    <col collapsed="false" customWidth="true" hidden="false" outlineLevel="0" max="14577" min="14577" style="0" width="14"/>
    <col collapsed="false" customWidth="true" hidden="false" outlineLevel="0" max="14578" min="14578" style="0" width="12"/>
    <col collapsed="false" customWidth="true" hidden="false" outlineLevel="0" max="14579" min="14579" style="0" width="18"/>
    <col collapsed="false" customWidth="true" hidden="false" outlineLevel="0" max="14580" min="14580" style="0" width="9"/>
    <col collapsed="false" customWidth="true" hidden="false" outlineLevel="0" max="14585" min="14581" style="0" width="13"/>
    <col collapsed="false" customWidth="true" hidden="false" outlineLevel="0" max="14586" min="14586" style="0" width="17.57"/>
    <col collapsed="false" customWidth="true" hidden="false" outlineLevel="0" max="14828" min="14828" style="0" width="1.71"/>
    <col collapsed="false" customWidth="true" hidden="false" outlineLevel="0" max="14829" min="14829" style="0" width="53.14"/>
    <col collapsed="false" customWidth="true" hidden="false" outlineLevel="0" max="14830" min="14830" style="0" width="14.71"/>
    <col collapsed="false" customWidth="true" hidden="false" outlineLevel="0" max="14831" min="14831" style="0" width="20.14"/>
    <col collapsed="false" customWidth="true" hidden="false" outlineLevel="0" max="14832" min="14832" style="0" width="20.42"/>
    <col collapsed="false" customWidth="true" hidden="false" outlineLevel="0" max="14833" min="14833" style="0" width="14"/>
    <col collapsed="false" customWidth="true" hidden="false" outlineLevel="0" max="14834" min="14834" style="0" width="12"/>
    <col collapsed="false" customWidth="true" hidden="false" outlineLevel="0" max="14835" min="14835" style="0" width="18"/>
    <col collapsed="false" customWidth="true" hidden="false" outlineLevel="0" max="14836" min="14836" style="0" width="9"/>
    <col collapsed="false" customWidth="true" hidden="false" outlineLevel="0" max="14841" min="14837" style="0" width="13"/>
    <col collapsed="false" customWidth="true" hidden="false" outlineLevel="0" max="14842" min="14842" style="0" width="17.57"/>
    <col collapsed="false" customWidth="true" hidden="false" outlineLevel="0" max="15084" min="15084" style="0" width="1.71"/>
    <col collapsed="false" customWidth="true" hidden="false" outlineLevel="0" max="15085" min="15085" style="0" width="53.14"/>
    <col collapsed="false" customWidth="true" hidden="false" outlineLevel="0" max="15086" min="15086" style="0" width="14.71"/>
    <col collapsed="false" customWidth="true" hidden="false" outlineLevel="0" max="15087" min="15087" style="0" width="20.14"/>
    <col collapsed="false" customWidth="true" hidden="false" outlineLevel="0" max="15088" min="15088" style="0" width="20.42"/>
    <col collapsed="false" customWidth="true" hidden="false" outlineLevel="0" max="15089" min="15089" style="0" width="14"/>
    <col collapsed="false" customWidth="true" hidden="false" outlineLevel="0" max="15090" min="15090" style="0" width="12"/>
    <col collapsed="false" customWidth="true" hidden="false" outlineLevel="0" max="15091" min="15091" style="0" width="18"/>
    <col collapsed="false" customWidth="true" hidden="false" outlineLevel="0" max="15092" min="15092" style="0" width="9"/>
    <col collapsed="false" customWidth="true" hidden="false" outlineLevel="0" max="15097" min="15093" style="0" width="13"/>
    <col collapsed="false" customWidth="true" hidden="false" outlineLevel="0" max="15098" min="15098" style="0" width="17.57"/>
    <col collapsed="false" customWidth="true" hidden="false" outlineLevel="0" max="15340" min="15340" style="0" width="1.71"/>
    <col collapsed="false" customWidth="true" hidden="false" outlineLevel="0" max="15341" min="15341" style="0" width="53.14"/>
    <col collapsed="false" customWidth="true" hidden="false" outlineLevel="0" max="15342" min="15342" style="0" width="14.71"/>
    <col collapsed="false" customWidth="true" hidden="false" outlineLevel="0" max="15343" min="15343" style="0" width="20.14"/>
    <col collapsed="false" customWidth="true" hidden="false" outlineLevel="0" max="15344" min="15344" style="0" width="20.42"/>
    <col collapsed="false" customWidth="true" hidden="false" outlineLevel="0" max="15345" min="15345" style="0" width="14"/>
    <col collapsed="false" customWidth="true" hidden="false" outlineLevel="0" max="15346" min="15346" style="0" width="12"/>
    <col collapsed="false" customWidth="true" hidden="false" outlineLevel="0" max="15347" min="15347" style="0" width="18"/>
    <col collapsed="false" customWidth="true" hidden="false" outlineLevel="0" max="15348" min="15348" style="0" width="9"/>
    <col collapsed="false" customWidth="true" hidden="false" outlineLevel="0" max="15353" min="15349" style="0" width="13"/>
    <col collapsed="false" customWidth="true" hidden="false" outlineLevel="0" max="15354" min="15354" style="0" width="17.57"/>
    <col collapsed="false" customWidth="true" hidden="false" outlineLevel="0" max="15596" min="15596" style="0" width="1.71"/>
    <col collapsed="false" customWidth="true" hidden="false" outlineLevel="0" max="15597" min="15597" style="0" width="53.14"/>
    <col collapsed="false" customWidth="true" hidden="false" outlineLevel="0" max="15598" min="15598" style="0" width="14.71"/>
    <col collapsed="false" customWidth="true" hidden="false" outlineLevel="0" max="15599" min="15599" style="0" width="20.14"/>
    <col collapsed="false" customWidth="true" hidden="false" outlineLevel="0" max="15600" min="15600" style="0" width="20.42"/>
    <col collapsed="false" customWidth="true" hidden="false" outlineLevel="0" max="15601" min="15601" style="0" width="14"/>
    <col collapsed="false" customWidth="true" hidden="false" outlineLevel="0" max="15602" min="15602" style="0" width="12"/>
    <col collapsed="false" customWidth="true" hidden="false" outlineLevel="0" max="15603" min="15603" style="0" width="18"/>
    <col collapsed="false" customWidth="true" hidden="false" outlineLevel="0" max="15604" min="15604" style="0" width="9"/>
    <col collapsed="false" customWidth="true" hidden="false" outlineLevel="0" max="15609" min="15605" style="0" width="13"/>
    <col collapsed="false" customWidth="true" hidden="false" outlineLevel="0" max="15610" min="15610" style="0" width="17.57"/>
    <col collapsed="false" customWidth="true" hidden="false" outlineLevel="0" max="15852" min="15852" style="0" width="1.71"/>
    <col collapsed="false" customWidth="true" hidden="false" outlineLevel="0" max="15853" min="15853" style="0" width="53.14"/>
    <col collapsed="false" customWidth="true" hidden="false" outlineLevel="0" max="15854" min="15854" style="0" width="14.71"/>
    <col collapsed="false" customWidth="true" hidden="false" outlineLevel="0" max="15855" min="15855" style="0" width="20.14"/>
    <col collapsed="false" customWidth="true" hidden="false" outlineLevel="0" max="15856" min="15856" style="0" width="20.42"/>
    <col collapsed="false" customWidth="true" hidden="false" outlineLevel="0" max="15857" min="15857" style="0" width="14"/>
    <col collapsed="false" customWidth="true" hidden="false" outlineLevel="0" max="15858" min="15858" style="0" width="12"/>
    <col collapsed="false" customWidth="true" hidden="false" outlineLevel="0" max="15859" min="15859" style="0" width="18"/>
    <col collapsed="false" customWidth="true" hidden="false" outlineLevel="0" max="15860" min="15860" style="0" width="9"/>
    <col collapsed="false" customWidth="true" hidden="false" outlineLevel="0" max="15865" min="15861" style="0" width="13"/>
    <col collapsed="false" customWidth="true" hidden="false" outlineLevel="0" max="15866" min="15866" style="0" width="17.57"/>
    <col collapsed="false" customWidth="true" hidden="false" outlineLevel="0" max="16108" min="16108" style="0" width="1.71"/>
    <col collapsed="false" customWidth="true" hidden="false" outlineLevel="0" max="16109" min="16109" style="0" width="53.14"/>
    <col collapsed="false" customWidth="true" hidden="false" outlineLevel="0" max="16110" min="16110" style="0" width="14.71"/>
    <col collapsed="false" customWidth="true" hidden="false" outlineLevel="0" max="16111" min="16111" style="0" width="20.14"/>
    <col collapsed="false" customWidth="true" hidden="false" outlineLevel="0" max="16112" min="16112" style="0" width="20.42"/>
    <col collapsed="false" customWidth="true" hidden="false" outlineLevel="0" max="16113" min="16113" style="0" width="14"/>
    <col collapsed="false" customWidth="true" hidden="false" outlineLevel="0" max="16114" min="16114" style="0" width="12"/>
    <col collapsed="false" customWidth="true" hidden="false" outlineLevel="0" max="16115" min="16115" style="0" width="18"/>
    <col collapsed="false" customWidth="true" hidden="false" outlineLevel="0" max="16116" min="16116" style="0" width="9"/>
    <col collapsed="false" customWidth="true" hidden="false" outlineLevel="0" max="16121" min="16117" style="0" width="13"/>
    <col collapsed="false" customWidth="true" hidden="false" outlineLevel="0" max="16122" min="16122" style="0" width="17.57"/>
  </cols>
  <sheetData>
    <row r="1" s="502" customFormat="true" ht="30" hidden="false" customHeight="true" outlineLevel="0" collapsed="false">
      <c r="A1" s="497" t="s">
        <v>1415</v>
      </c>
      <c r="B1" s="497" t="s">
        <v>1417</v>
      </c>
      <c r="C1" s="497" t="s">
        <v>1418</v>
      </c>
      <c r="D1" s="497" t="s">
        <v>339</v>
      </c>
      <c r="E1" s="497" t="s">
        <v>1419</v>
      </c>
      <c r="F1" s="497" t="s">
        <v>1420</v>
      </c>
      <c r="G1" s="497" t="s">
        <v>341</v>
      </c>
      <c r="H1" s="497" t="s">
        <v>1416</v>
      </c>
      <c r="I1" s="497" t="s">
        <v>1421</v>
      </c>
      <c r="J1" s="497" t="s">
        <v>1422</v>
      </c>
      <c r="K1" s="497" t="s">
        <v>1423</v>
      </c>
      <c r="L1" s="497" t="s">
        <v>1424</v>
      </c>
      <c r="M1" s="497" t="s">
        <v>1425</v>
      </c>
      <c r="N1" s="498" t="s">
        <v>281</v>
      </c>
      <c r="O1" s="497" t="s">
        <v>41</v>
      </c>
      <c r="P1" s="499" t="s">
        <v>42</v>
      </c>
      <c r="Q1" s="500" t="s">
        <v>43</v>
      </c>
      <c r="R1" s="501" t="s">
        <v>3177</v>
      </c>
    </row>
    <row r="2" customFormat="false" ht="36.75" hidden="false" customHeight="true" outlineLevel="0" collapsed="false">
      <c r="A2" s="503" t="s">
        <v>2424</v>
      </c>
      <c r="B2" s="0" t="n">
        <v>102</v>
      </c>
      <c r="C2" s="503" t="n">
        <v>65889</v>
      </c>
      <c r="D2" s="503" t="s">
        <v>409</v>
      </c>
      <c r="E2" s="503" t="s">
        <v>411</v>
      </c>
      <c r="F2" s="503" t="s">
        <v>381</v>
      </c>
      <c r="G2" s="503" t="s">
        <v>410</v>
      </c>
      <c r="H2" s="503" t="s">
        <v>252</v>
      </c>
      <c r="I2" s="503" t="s">
        <v>1435</v>
      </c>
      <c r="J2" s="504" t="n">
        <v>27380</v>
      </c>
      <c r="K2" s="504" t="n">
        <v>13950</v>
      </c>
      <c r="L2" s="505" t="n">
        <v>27</v>
      </c>
      <c r="M2" s="504" t="n">
        <v>13430</v>
      </c>
      <c r="N2" s="504" t="n">
        <v>9803.9</v>
      </c>
      <c r="O2" s="504" t="s">
        <v>417</v>
      </c>
      <c r="P2" s="505" t="n">
        <v>44</v>
      </c>
      <c r="Q2" s="506" t="n">
        <v>45804</v>
      </c>
      <c r="R2" s="507" t="n">
        <v>0.781331018518519</v>
      </c>
    </row>
    <row r="3" customFormat="false" ht="36.75" hidden="false" customHeight="true" outlineLevel="0" collapsed="false">
      <c r="A3" s="503" t="s">
        <v>2425</v>
      </c>
      <c r="B3" s="0" t="n">
        <v>103</v>
      </c>
      <c r="C3" s="503" t="n">
        <v>65901</v>
      </c>
      <c r="D3" s="503" t="s">
        <v>409</v>
      </c>
      <c r="E3" s="503" t="s">
        <v>376</v>
      </c>
      <c r="F3" s="503" t="s">
        <v>377</v>
      </c>
      <c r="G3" s="503" t="s">
        <v>410</v>
      </c>
      <c r="H3" s="503" t="s">
        <v>252</v>
      </c>
      <c r="I3" s="503" t="s">
        <v>1435</v>
      </c>
      <c r="J3" s="504" t="n">
        <v>28260</v>
      </c>
      <c r="K3" s="504" t="n">
        <v>14290</v>
      </c>
      <c r="L3" s="505" t="n">
        <v>26</v>
      </c>
      <c r="M3" s="504" t="n">
        <v>13970</v>
      </c>
      <c r="N3" s="504" t="n">
        <v>10337.8</v>
      </c>
      <c r="O3" s="504" t="s">
        <v>417</v>
      </c>
      <c r="P3" s="505" t="n">
        <v>45</v>
      </c>
      <c r="Q3" s="506" t="n">
        <v>45804</v>
      </c>
      <c r="R3" s="507" t="n">
        <v>0.788368055555556</v>
      </c>
    </row>
    <row r="4" customFormat="false" ht="36.75" hidden="false" customHeight="true" outlineLevel="0" collapsed="false">
      <c r="A4" s="503" t="s">
        <v>2426</v>
      </c>
      <c r="B4" s="0" t="n">
        <v>104</v>
      </c>
      <c r="C4" s="503" t="n">
        <v>1</v>
      </c>
      <c r="D4" s="503" t="s">
        <v>422</v>
      </c>
      <c r="E4" s="503" t="s">
        <v>411</v>
      </c>
      <c r="F4" s="503" t="s">
        <v>381</v>
      </c>
      <c r="G4" s="503" t="s">
        <v>133</v>
      </c>
      <c r="H4" s="503" t="s">
        <v>423</v>
      </c>
      <c r="I4" s="503" t="s">
        <v>1435</v>
      </c>
      <c r="J4" s="504" t="n">
        <v>11320</v>
      </c>
      <c r="K4" s="504" t="n">
        <v>9270</v>
      </c>
      <c r="L4" s="505" t="n">
        <v>22</v>
      </c>
      <c r="M4" s="504" t="n">
        <v>2050</v>
      </c>
      <c r="N4" s="504" t="n">
        <v>1599</v>
      </c>
      <c r="O4" s="504" t="s">
        <v>417</v>
      </c>
      <c r="P4" s="505" t="n">
        <v>46</v>
      </c>
      <c r="Q4" s="506" t="n">
        <v>45804</v>
      </c>
      <c r="R4" s="507" t="n">
        <v>0.75849537037037</v>
      </c>
    </row>
    <row r="5" customFormat="false" ht="36.75" hidden="false" customHeight="true" outlineLevel="0" collapsed="false">
      <c r="A5" s="503" t="s">
        <v>2427</v>
      </c>
      <c r="B5" s="0" t="n">
        <v>105</v>
      </c>
      <c r="C5" s="503" t="n">
        <v>65902</v>
      </c>
      <c r="D5" s="503" t="s">
        <v>409</v>
      </c>
      <c r="E5" s="503" t="s">
        <v>359</v>
      </c>
      <c r="F5" s="503" t="s">
        <v>426</v>
      </c>
      <c r="G5" s="503" t="s">
        <v>410</v>
      </c>
      <c r="H5" s="503" t="s">
        <v>252</v>
      </c>
      <c r="I5" s="503" t="s">
        <v>1435</v>
      </c>
      <c r="J5" s="504" t="n">
        <v>27680</v>
      </c>
      <c r="K5" s="504" t="n">
        <v>13880</v>
      </c>
      <c r="L5" s="505" t="n">
        <v>20</v>
      </c>
      <c r="M5" s="504" t="n">
        <v>13800</v>
      </c>
      <c r="N5" s="504" t="n">
        <v>11040</v>
      </c>
      <c r="O5" s="504" t="s">
        <v>417</v>
      </c>
      <c r="P5" s="505" t="n">
        <v>47</v>
      </c>
      <c r="Q5" s="506" t="n">
        <v>45805</v>
      </c>
      <c r="R5" s="507" t="n">
        <v>0.315659722222222</v>
      </c>
    </row>
    <row r="6" customFormat="false" ht="36.75" hidden="false" customHeight="true" outlineLevel="0" collapsed="false">
      <c r="A6" s="503" t="s">
        <v>2428</v>
      </c>
      <c r="B6" s="0" t="n">
        <v>108</v>
      </c>
      <c r="C6" s="503" t="n">
        <v>65903</v>
      </c>
      <c r="D6" s="503" t="s">
        <v>409</v>
      </c>
      <c r="E6" s="503" t="s">
        <v>427</v>
      </c>
      <c r="F6" s="503" t="s">
        <v>431</v>
      </c>
      <c r="G6" s="503" t="s">
        <v>410</v>
      </c>
      <c r="H6" s="503" t="s">
        <v>252</v>
      </c>
      <c r="I6" s="503" t="s">
        <v>1435</v>
      </c>
      <c r="J6" s="504" t="n">
        <v>34970</v>
      </c>
      <c r="K6" s="504" t="n">
        <v>20920</v>
      </c>
      <c r="L6" s="505" t="n">
        <v>21</v>
      </c>
      <c r="M6" s="504" t="n">
        <v>14050</v>
      </c>
      <c r="N6" s="504" t="n">
        <v>11099.5</v>
      </c>
      <c r="O6" s="504" t="s">
        <v>417</v>
      </c>
      <c r="P6" s="505" t="n">
        <v>48</v>
      </c>
      <c r="Q6" s="506" t="n">
        <v>45805</v>
      </c>
      <c r="R6" s="507" t="n">
        <v>0.556388888888889</v>
      </c>
    </row>
    <row r="7" customFormat="false" ht="36.75" hidden="false" customHeight="true" outlineLevel="0" collapsed="false">
      <c r="A7" s="503" t="s">
        <v>2429</v>
      </c>
      <c r="B7" s="0" t="n">
        <v>110</v>
      </c>
      <c r="C7" s="503" t="n">
        <v>65904</v>
      </c>
      <c r="D7" s="503" t="s">
        <v>409</v>
      </c>
      <c r="E7" s="503" t="s">
        <v>433</v>
      </c>
      <c r="F7" s="503" t="s">
        <v>437</v>
      </c>
      <c r="G7" s="503" t="s">
        <v>410</v>
      </c>
      <c r="H7" s="503" t="s">
        <v>252</v>
      </c>
      <c r="I7" s="503" t="s">
        <v>1435</v>
      </c>
      <c r="J7" s="504" t="n">
        <v>28940</v>
      </c>
      <c r="K7" s="504" t="n">
        <v>14890</v>
      </c>
      <c r="L7" s="505" t="n">
        <v>31.5</v>
      </c>
      <c r="M7" s="504" t="n">
        <v>14050</v>
      </c>
      <c r="N7" s="504" t="n">
        <v>9624.2</v>
      </c>
      <c r="O7" s="504" t="s">
        <v>417</v>
      </c>
      <c r="P7" s="508" t="n">
        <v>52</v>
      </c>
      <c r="Q7" s="506" t="n">
        <v>45805</v>
      </c>
      <c r="R7" s="507" t="n">
        <v>0.714641203703704</v>
      </c>
    </row>
    <row r="8" customFormat="false" ht="36.75" hidden="false" customHeight="true" outlineLevel="0" collapsed="false">
      <c r="A8" s="503" t="s">
        <v>2430</v>
      </c>
      <c r="B8" s="0" t="n">
        <v>111</v>
      </c>
      <c r="C8" s="503" t="n">
        <v>65905</v>
      </c>
      <c r="D8" s="503" t="s">
        <v>409</v>
      </c>
      <c r="E8" s="503" t="s">
        <v>439</v>
      </c>
      <c r="F8" s="503" t="s">
        <v>443</v>
      </c>
      <c r="G8" s="503" t="s">
        <v>410</v>
      </c>
      <c r="H8" s="503" t="s">
        <v>252</v>
      </c>
      <c r="I8" s="503" t="s">
        <v>1435</v>
      </c>
      <c r="J8" s="504" t="n">
        <v>38160</v>
      </c>
      <c r="K8" s="504" t="n">
        <v>24140</v>
      </c>
      <c r="L8" s="505" t="n">
        <v>31.5</v>
      </c>
      <c r="M8" s="504" t="n">
        <v>14180</v>
      </c>
      <c r="N8" s="504" t="n">
        <v>9713.3</v>
      </c>
      <c r="O8" s="504" t="s">
        <v>417</v>
      </c>
      <c r="P8" s="508" t="n">
        <v>53</v>
      </c>
      <c r="Q8" s="506" t="n">
        <v>45805</v>
      </c>
      <c r="R8" s="507" t="n">
        <v>0.717453703703704</v>
      </c>
    </row>
    <row r="9" customFormat="false" ht="36.75" hidden="false" customHeight="true" outlineLevel="0" collapsed="false">
      <c r="A9" s="503" t="s">
        <v>2431</v>
      </c>
      <c r="B9" s="0" t="n">
        <v>112</v>
      </c>
      <c r="C9" s="503" t="n">
        <v>65907</v>
      </c>
      <c r="D9" s="503" t="s">
        <v>409</v>
      </c>
      <c r="E9" s="503" t="s">
        <v>445</v>
      </c>
      <c r="F9" s="503" t="s">
        <v>449</v>
      </c>
      <c r="G9" s="503" t="s">
        <v>410</v>
      </c>
      <c r="H9" s="503" t="s">
        <v>252</v>
      </c>
      <c r="I9" s="503" t="s">
        <v>1435</v>
      </c>
      <c r="J9" s="504" t="n">
        <v>29800</v>
      </c>
      <c r="K9" s="504" t="n">
        <v>15690</v>
      </c>
      <c r="L9" s="505" t="n">
        <v>30.5</v>
      </c>
      <c r="M9" s="504" t="n">
        <v>14110</v>
      </c>
      <c r="N9" s="504" t="n">
        <v>9806.4</v>
      </c>
      <c r="O9" s="504" t="s">
        <v>417</v>
      </c>
      <c r="P9" s="508" t="n">
        <v>54</v>
      </c>
      <c r="Q9" s="506" t="n">
        <v>45805</v>
      </c>
      <c r="R9" s="507" t="n">
        <v>0.812268518518519</v>
      </c>
    </row>
    <row r="10" customFormat="false" ht="36.75" hidden="false" customHeight="true" outlineLevel="0" collapsed="false">
      <c r="A10" s="503" t="s">
        <v>2432</v>
      </c>
      <c r="B10" s="0" t="n">
        <v>113</v>
      </c>
      <c r="C10" s="503" t="n">
        <v>65906</v>
      </c>
      <c r="D10" s="503" t="s">
        <v>409</v>
      </c>
      <c r="E10" s="503" t="s">
        <v>451</v>
      </c>
      <c r="F10" s="503" t="s">
        <v>455</v>
      </c>
      <c r="G10" s="503" t="s">
        <v>410</v>
      </c>
      <c r="H10" s="503" t="s">
        <v>252</v>
      </c>
      <c r="I10" s="503" t="s">
        <v>1435</v>
      </c>
      <c r="J10" s="504" t="n">
        <v>29560</v>
      </c>
      <c r="K10" s="504" t="n">
        <v>15050</v>
      </c>
      <c r="L10" s="505" t="n">
        <v>27.5</v>
      </c>
      <c r="M10" s="504" t="n">
        <v>14510</v>
      </c>
      <c r="N10" s="504" t="n">
        <v>10519.7</v>
      </c>
      <c r="O10" s="504" t="s">
        <v>417</v>
      </c>
      <c r="P10" s="508" t="n">
        <v>55</v>
      </c>
      <c r="Q10" s="506" t="n">
        <v>45805</v>
      </c>
      <c r="R10" s="507" t="n">
        <v>0.921446759259259</v>
      </c>
    </row>
    <row r="11" customFormat="false" ht="36.75" hidden="false" customHeight="true" outlineLevel="0" collapsed="false">
      <c r="A11" s="503" t="s">
        <v>2433</v>
      </c>
      <c r="B11" s="0" t="n">
        <v>114</v>
      </c>
      <c r="C11" s="503" t="n">
        <v>65908</v>
      </c>
      <c r="D11" s="503" t="s">
        <v>409</v>
      </c>
      <c r="E11" s="503" t="s">
        <v>457</v>
      </c>
      <c r="F11" s="503" t="s">
        <v>366</v>
      </c>
      <c r="G11" s="503" t="s">
        <v>410</v>
      </c>
      <c r="H11" s="503" t="s">
        <v>252</v>
      </c>
      <c r="I11" s="503" t="s">
        <v>1435</v>
      </c>
      <c r="J11" s="504" t="n">
        <v>28960</v>
      </c>
      <c r="K11" s="504" t="n">
        <v>14870</v>
      </c>
      <c r="L11" s="505" t="n">
        <v>30.5</v>
      </c>
      <c r="M11" s="504" t="n">
        <v>14090</v>
      </c>
      <c r="N11" s="504" t="n">
        <v>9792.5</v>
      </c>
      <c r="O11" s="504" t="s">
        <v>417</v>
      </c>
      <c r="P11" s="508" t="n">
        <v>56</v>
      </c>
      <c r="Q11" s="506" t="n">
        <v>45805</v>
      </c>
      <c r="R11" s="507" t="n">
        <v>0.978842592592593</v>
      </c>
    </row>
    <row r="12" customFormat="false" ht="36.75" hidden="false" customHeight="true" outlineLevel="0" collapsed="false">
      <c r="A12" s="503" t="s">
        <v>2434</v>
      </c>
      <c r="B12" s="0" t="n">
        <v>115</v>
      </c>
      <c r="C12" s="503" t="n">
        <v>65909</v>
      </c>
      <c r="D12" s="503" t="s">
        <v>409</v>
      </c>
      <c r="E12" s="503" t="s">
        <v>55</v>
      </c>
      <c r="F12" s="503" t="s">
        <v>56</v>
      </c>
      <c r="G12" s="503" t="s">
        <v>410</v>
      </c>
      <c r="H12" s="503" t="s">
        <v>252</v>
      </c>
      <c r="I12" s="503" t="s">
        <v>1435</v>
      </c>
      <c r="J12" s="504" t="n">
        <v>28680</v>
      </c>
      <c r="K12" s="504" t="n">
        <v>14580</v>
      </c>
      <c r="L12" s="505" t="n">
        <v>32</v>
      </c>
      <c r="M12" s="504" t="n">
        <v>14100</v>
      </c>
      <c r="N12" s="504" t="n">
        <v>9588</v>
      </c>
      <c r="O12" s="504" t="s">
        <v>417</v>
      </c>
      <c r="P12" s="508" t="n">
        <v>57</v>
      </c>
      <c r="Q12" s="506" t="n">
        <v>45806</v>
      </c>
      <c r="R12" s="507" t="n">
        <v>0.385115740740741</v>
      </c>
    </row>
    <row r="13" customFormat="false" ht="36.75" hidden="false" customHeight="true" outlineLevel="0" collapsed="false">
      <c r="A13" s="503" t="s">
        <v>2435</v>
      </c>
      <c r="B13" s="0" t="n">
        <v>117</v>
      </c>
      <c r="C13" s="503" t="n">
        <v>65910</v>
      </c>
      <c r="D13" s="503" t="s">
        <v>409</v>
      </c>
      <c r="E13" s="503" t="s">
        <v>466</v>
      </c>
      <c r="F13" s="503" t="s">
        <v>470</v>
      </c>
      <c r="G13" s="503" t="s">
        <v>410</v>
      </c>
      <c r="H13" s="503" t="s">
        <v>252</v>
      </c>
      <c r="I13" s="503" t="s">
        <v>1435</v>
      </c>
      <c r="J13" s="504" t="n">
        <v>28830</v>
      </c>
      <c r="K13" s="504" t="n">
        <v>14830</v>
      </c>
      <c r="L13" s="505" t="n">
        <v>27.5</v>
      </c>
      <c r="M13" s="504" t="n">
        <v>14000</v>
      </c>
      <c r="N13" s="504" t="n">
        <v>10150</v>
      </c>
      <c r="O13" s="504" t="s">
        <v>417</v>
      </c>
      <c r="P13" s="508" t="n">
        <v>58</v>
      </c>
      <c r="Q13" s="506" t="n">
        <v>45806</v>
      </c>
      <c r="R13" s="507" t="n">
        <v>0.173923611111111</v>
      </c>
    </row>
    <row r="14" customFormat="false" ht="36.75" hidden="false" customHeight="true" outlineLevel="0" collapsed="false">
      <c r="A14" s="503" t="s">
        <v>2436</v>
      </c>
      <c r="B14" s="0" t="n">
        <v>118</v>
      </c>
      <c r="C14" s="503" t="n">
        <v>65911</v>
      </c>
      <c r="D14" s="503" t="s">
        <v>409</v>
      </c>
      <c r="E14" s="503" t="s">
        <v>472</v>
      </c>
      <c r="F14" s="503" t="s">
        <v>476</v>
      </c>
      <c r="G14" s="503" t="s">
        <v>410</v>
      </c>
      <c r="H14" s="503" t="s">
        <v>252</v>
      </c>
      <c r="I14" s="503" t="s">
        <v>1435</v>
      </c>
      <c r="J14" s="504" t="n">
        <v>29110</v>
      </c>
      <c r="K14" s="504" t="n">
        <v>15320</v>
      </c>
      <c r="L14" s="505" t="n">
        <v>30</v>
      </c>
      <c r="M14" s="504" t="n">
        <v>13790</v>
      </c>
      <c r="N14" s="504" t="n">
        <v>9653</v>
      </c>
      <c r="O14" s="504" t="s">
        <v>417</v>
      </c>
      <c r="P14" s="508" t="n">
        <v>59</v>
      </c>
      <c r="Q14" s="506" t="n">
        <v>45806</v>
      </c>
      <c r="R14" s="507" t="n">
        <v>0.245127314814815</v>
      </c>
    </row>
    <row r="15" customFormat="false" ht="36.75" hidden="false" customHeight="true" outlineLevel="0" collapsed="false">
      <c r="A15" s="503" t="s">
        <v>2437</v>
      </c>
      <c r="B15" s="0" t="n">
        <v>122</v>
      </c>
      <c r="C15" s="503" t="n">
        <v>2</v>
      </c>
      <c r="D15" s="503" t="s">
        <v>422</v>
      </c>
      <c r="E15" s="503" t="s">
        <v>472</v>
      </c>
      <c r="F15" s="503" t="s">
        <v>476</v>
      </c>
      <c r="G15" s="503" t="s">
        <v>133</v>
      </c>
      <c r="H15" s="503" t="s">
        <v>423</v>
      </c>
      <c r="I15" s="503" t="s">
        <v>1435</v>
      </c>
      <c r="J15" s="504" t="n">
        <v>13930</v>
      </c>
      <c r="K15" s="504" t="n">
        <v>9710</v>
      </c>
      <c r="L15" s="505" t="n">
        <v>27</v>
      </c>
      <c r="M15" s="504" t="n">
        <v>4220</v>
      </c>
      <c r="N15" s="504" t="n">
        <v>3080.6</v>
      </c>
      <c r="O15" s="504" t="s">
        <v>417</v>
      </c>
      <c r="P15" s="508" t="n">
        <v>72</v>
      </c>
      <c r="Q15" s="506" t="n">
        <v>45806</v>
      </c>
      <c r="R15" s="507" t="n">
        <v>0.819363425925926</v>
      </c>
    </row>
    <row r="16" customFormat="false" ht="36.75" hidden="false" customHeight="true" outlineLevel="0" collapsed="false">
      <c r="A16" s="503" t="s">
        <v>2438</v>
      </c>
      <c r="B16" s="0" t="n">
        <v>123</v>
      </c>
      <c r="C16" s="503" t="n">
        <v>3</v>
      </c>
      <c r="D16" s="503" t="s">
        <v>422</v>
      </c>
      <c r="E16" s="503" t="s">
        <v>472</v>
      </c>
      <c r="F16" s="503" t="s">
        <v>476</v>
      </c>
      <c r="G16" s="503" t="s">
        <v>133</v>
      </c>
      <c r="H16" s="503" t="s">
        <v>423</v>
      </c>
      <c r="I16" s="503" t="s">
        <v>1435</v>
      </c>
      <c r="J16" s="504" t="n">
        <v>21910</v>
      </c>
      <c r="K16" s="504" t="n">
        <v>15390</v>
      </c>
      <c r="L16" s="505" t="n">
        <v>23</v>
      </c>
      <c r="M16" s="504" t="n">
        <v>6520</v>
      </c>
      <c r="N16" s="504" t="n">
        <v>5020.4</v>
      </c>
      <c r="O16" s="504" t="s">
        <v>417</v>
      </c>
      <c r="P16" s="508" t="n">
        <v>73</v>
      </c>
      <c r="Q16" s="506" t="n">
        <v>45806</v>
      </c>
      <c r="R16" s="507" t="n">
        <v>0.832847222222222</v>
      </c>
    </row>
    <row r="17" customFormat="false" ht="36.75" hidden="false" customHeight="true" outlineLevel="0" collapsed="false">
      <c r="A17" s="503" t="s">
        <v>2439</v>
      </c>
      <c r="B17" s="0" t="n">
        <v>126</v>
      </c>
      <c r="C17" s="503" t="n">
        <v>4</v>
      </c>
      <c r="D17" s="503" t="s">
        <v>422</v>
      </c>
      <c r="E17" s="503" t="s">
        <v>376</v>
      </c>
      <c r="F17" s="503" t="s">
        <v>377</v>
      </c>
      <c r="G17" s="503" t="s">
        <v>133</v>
      </c>
      <c r="H17" s="503" t="s">
        <v>423</v>
      </c>
      <c r="I17" s="503" t="s">
        <v>1435</v>
      </c>
      <c r="J17" s="504" t="n">
        <v>14120</v>
      </c>
      <c r="K17" s="504" t="n">
        <v>9740</v>
      </c>
      <c r="L17" s="505" t="n">
        <v>24.5</v>
      </c>
      <c r="M17" s="504" t="n">
        <v>4380</v>
      </c>
      <c r="N17" s="504" t="n">
        <v>3306.9</v>
      </c>
      <c r="O17" s="504" t="s">
        <v>417</v>
      </c>
      <c r="P17" s="508" t="n">
        <v>74</v>
      </c>
      <c r="Q17" s="506" t="n">
        <v>45808</v>
      </c>
      <c r="R17" s="507" t="n">
        <v>0.381863425925926</v>
      </c>
    </row>
    <row r="18" customFormat="false" ht="36.75" hidden="false" customHeight="true" outlineLevel="0" collapsed="false">
      <c r="A18" s="503" t="s">
        <v>2440</v>
      </c>
      <c r="B18" s="0" t="n">
        <v>127</v>
      </c>
      <c r="C18" s="503" t="n">
        <v>5</v>
      </c>
      <c r="D18" s="503" t="s">
        <v>422</v>
      </c>
      <c r="E18" s="503" t="s">
        <v>376</v>
      </c>
      <c r="F18" s="503" t="s">
        <v>377</v>
      </c>
      <c r="G18" s="503" t="s">
        <v>133</v>
      </c>
      <c r="H18" s="503" t="s">
        <v>423</v>
      </c>
      <c r="I18" s="503" t="s">
        <v>1435</v>
      </c>
      <c r="J18" s="504" t="n">
        <v>14320</v>
      </c>
      <c r="K18" s="504" t="n">
        <v>9730</v>
      </c>
      <c r="L18" s="505" t="n">
        <v>22.5</v>
      </c>
      <c r="M18" s="504" t="n">
        <v>4590</v>
      </c>
      <c r="N18" s="504" t="n">
        <v>3557.2</v>
      </c>
      <c r="O18" s="504" t="s">
        <v>417</v>
      </c>
      <c r="P18" s="508" t="n">
        <v>75</v>
      </c>
      <c r="Q18" s="506" t="n">
        <v>45808</v>
      </c>
      <c r="R18" s="507" t="n">
        <v>0.424131944444444</v>
      </c>
    </row>
    <row r="19" customFormat="false" ht="36.75" hidden="false" customHeight="true" outlineLevel="0" collapsed="false">
      <c r="A19" s="503" t="s">
        <v>2441</v>
      </c>
      <c r="B19" s="0" t="n">
        <v>128</v>
      </c>
      <c r="C19" s="503" t="n">
        <v>6</v>
      </c>
      <c r="D19" s="503" t="s">
        <v>422</v>
      </c>
      <c r="E19" s="503" t="s">
        <v>376</v>
      </c>
      <c r="F19" s="503" t="s">
        <v>377</v>
      </c>
      <c r="G19" s="503" t="s">
        <v>133</v>
      </c>
      <c r="H19" s="503" t="s">
        <v>423</v>
      </c>
      <c r="I19" s="503" t="s">
        <v>1435</v>
      </c>
      <c r="J19" s="504" t="n">
        <v>23120</v>
      </c>
      <c r="K19" s="504" t="n">
        <v>14360</v>
      </c>
      <c r="L19" s="505" t="n">
        <v>28.5</v>
      </c>
      <c r="M19" s="504" t="n">
        <v>8760</v>
      </c>
      <c r="N19" s="504" t="n">
        <v>6263.4</v>
      </c>
      <c r="O19" s="504" t="s">
        <v>417</v>
      </c>
      <c r="P19" s="508" t="n">
        <v>76</v>
      </c>
      <c r="Q19" s="506" t="n">
        <v>45808</v>
      </c>
      <c r="R19" s="507" t="n">
        <v>0.508854166666667</v>
      </c>
    </row>
    <row r="20" customFormat="false" ht="36.75" hidden="false" customHeight="true" outlineLevel="0" collapsed="false">
      <c r="A20" s="503" t="s">
        <v>2442</v>
      </c>
      <c r="B20" s="0" t="n">
        <v>129</v>
      </c>
      <c r="C20" s="503" t="n">
        <v>7</v>
      </c>
      <c r="D20" s="503" t="s">
        <v>422</v>
      </c>
      <c r="E20" s="503" t="s">
        <v>376</v>
      </c>
      <c r="F20" s="503" t="s">
        <v>377</v>
      </c>
      <c r="G20" s="503" t="s">
        <v>133</v>
      </c>
      <c r="H20" s="503" t="s">
        <v>423</v>
      </c>
      <c r="I20" s="503" t="s">
        <v>1435</v>
      </c>
      <c r="J20" s="504" t="n">
        <v>14470</v>
      </c>
      <c r="K20" s="504" t="n">
        <v>9700</v>
      </c>
      <c r="L20" s="505" t="n">
        <v>31</v>
      </c>
      <c r="M20" s="504" t="n">
        <v>4770</v>
      </c>
      <c r="N20" s="504" t="n">
        <v>3291.3</v>
      </c>
      <c r="O20" s="504" t="s">
        <v>417</v>
      </c>
      <c r="P20" s="508" t="n">
        <v>77</v>
      </c>
      <c r="Q20" s="506" t="n">
        <v>45808</v>
      </c>
      <c r="R20" s="507" t="n">
        <v>0.628506944444444</v>
      </c>
    </row>
    <row r="21" customFormat="false" ht="36.75" hidden="false" customHeight="true" outlineLevel="0" collapsed="false">
      <c r="A21" s="503" t="s">
        <v>2443</v>
      </c>
      <c r="B21" s="0" t="n">
        <v>130</v>
      </c>
      <c r="C21" s="503" t="n">
        <v>8</v>
      </c>
      <c r="D21" s="503" t="s">
        <v>422</v>
      </c>
      <c r="E21" s="503" t="s">
        <v>376</v>
      </c>
      <c r="F21" s="503" t="s">
        <v>377</v>
      </c>
      <c r="G21" s="503" t="s">
        <v>133</v>
      </c>
      <c r="H21" s="503" t="s">
        <v>423</v>
      </c>
      <c r="I21" s="503" t="s">
        <v>1435</v>
      </c>
      <c r="J21" s="504" t="n">
        <v>14140</v>
      </c>
      <c r="K21" s="504" t="n">
        <v>9690</v>
      </c>
      <c r="L21" s="505" t="n">
        <v>33</v>
      </c>
      <c r="M21" s="504" t="n">
        <v>4450</v>
      </c>
      <c r="N21" s="504" t="n">
        <v>2981.5</v>
      </c>
      <c r="O21" s="504" t="s">
        <v>417</v>
      </c>
      <c r="P21" s="508" t="n">
        <v>78</v>
      </c>
      <c r="Q21" s="506" t="n">
        <v>45808</v>
      </c>
      <c r="R21" s="507" t="n">
        <v>0.770115740740741</v>
      </c>
    </row>
    <row r="22" customFormat="false" ht="36.75" hidden="false" customHeight="true" outlineLevel="0" collapsed="false">
      <c r="A22" s="503" t="s">
        <v>2444</v>
      </c>
      <c r="B22" s="0" t="n">
        <v>131</v>
      </c>
      <c r="C22" s="503" t="n">
        <v>9</v>
      </c>
      <c r="D22" s="503" t="s">
        <v>422</v>
      </c>
      <c r="E22" s="503" t="s">
        <v>376</v>
      </c>
      <c r="F22" s="503" t="s">
        <v>377</v>
      </c>
      <c r="G22" s="503" t="s">
        <v>133</v>
      </c>
      <c r="H22" s="503" t="s">
        <v>423</v>
      </c>
      <c r="I22" s="503" t="s">
        <v>1435</v>
      </c>
      <c r="J22" s="504" t="n">
        <v>24430</v>
      </c>
      <c r="K22" s="504" t="n">
        <v>14330</v>
      </c>
      <c r="L22" s="505" t="n">
        <v>29</v>
      </c>
      <c r="M22" s="504" t="n">
        <v>10100</v>
      </c>
      <c r="N22" s="504" t="n">
        <v>7171</v>
      </c>
      <c r="O22" s="504" t="s">
        <v>417</v>
      </c>
      <c r="P22" s="508" t="n">
        <v>79</v>
      </c>
      <c r="Q22" s="506" t="n">
        <v>45808</v>
      </c>
      <c r="R22" s="507" t="n">
        <v>0.811180555555556</v>
      </c>
    </row>
    <row r="23" customFormat="false" ht="36.75" hidden="false" customHeight="true" outlineLevel="0" collapsed="false">
      <c r="A23" s="503" t="s">
        <v>2445</v>
      </c>
      <c r="B23" s="0" t="n">
        <v>132</v>
      </c>
      <c r="C23" s="503" t="n">
        <v>10</v>
      </c>
      <c r="D23" s="503" t="s">
        <v>422</v>
      </c>
      <c r="E23" s="503" t="s">
        <v>376</v>
      </c>
      <c r="F23" s="503" t="s">
        <v>377</v>
      </c>
      <c r="G23" s="503" t="s">
        <v>133</v>
      </c>
      <c r="H23" s="503" t="s">
        <v>423</v>
      </c>
      <c r="I23" s="503" t="s">
        <v>1435</v>
      </c>
      <c r="J23" s="504" t="n">
        <v>23580</v>
      </c>
      <c r="K23" s="504" t="n">
        <v>14320</v>
      </c>
      <c r="L23" s="505" t="n">
        <v>23</v>
      </c>
      <c r="M23" s="504" t="n">
        <v>9260</v>
      </c>
      <c r="N23" s="504" t="n">
        <v>7130.2</v>
      </c>
      <c r="O23" s="504" t="s">
        <v>417</v>
      </c>
      <c r="P23" s="508" t="n">
        <v>80</v>
      </c>
      <c r="Q23" s="506" t="n">
        <v>45808</v>
      </c>
      <c r="R23" s="507" t="n">
        <v>0.943622685185185</v>
      </c>
    </row>
    <row r="24" customFormat="false" ht="36.75" hidden="false" customHeight="true" outlineLevel="0" collapsed="false">
      <c r="A24" s="503" t="s">
        <v>2446</v>
      </c>
      <c r="B24" s="0" t="n">
        <v>133</v>
      </c>
      <c r="C24" s="503" t="n">
        <v>11</v>
      </c>
      <c r="D24" s="503" t="s">
        <v>422</v>
      </c>
      <c r="E24" s="503" t="s">
        <v>376</v>
      </c>
      <c r="F24" s="503" t="s">
        <v>377</v>
      </c>
      <c r="G24" s="503" t="s">
        <v>133</v>
      </c>
      <c r="H24" s="503" t="s">
        <v>423</v>
      </c>
      <c r="I24" s="503" t="s">
        <v>1435</v>
      </c>
      <c r="J24" s="504" t="n">
        <v>23620</v>
      </c>
      <c r="K24" s="504" t="n">
        <v>14320</v>
      </c>
      <c r="L24" s="505" t="n">
        <v>27</v>
      </c>
      <c r="M24" s="504" t="n">
        <v>9300</v>
      </c>
      <c r="N24" s="504" t="n">
        <v>6789</v>
      </c>
      <c r="O24" s="504" t="s">
        <v>417</v>
      </c>
      <c r="P24" s="508" t="n">
        <v>81</v>
      </c>
      <c r="Q24" s="506" t="n">
        <v>45809</v>
      </c>
      <c r="R24" s="507" t="n">
        <v>0.0730787037037037</v>
      </c>
    </row>
    <row r="25" customFormat="false" ht="36.75" hidden="false" customHeight="true" outlineLevel="0" collapsed="false">
      <c r="A25" s="503" t="s">
        <v>2447</v>
      </c>
      <c r="B25" s="0" t="n">
        <v>134</v>
      </c>
      <c r="C25" s="503" t="n">
        <v>12</v>
      </c>
      <c r="D25" s="503" t="s">
        <v>422</v>
      </c>
      <c r="E25" s="503" t="s">
        <v>376</v>
      </c>
      <c r="F25" s="503" t="s">
        <v>377</v>
      </c>
      <c r="G25" s="503" t="s">
        <v>133</v>
      </c>
      <c r="H25" s="503" t="s">
        <v>423</v>
      </c>
      <c r="I25" s="503" t="s">
        <v>1435</v>
      </c>
      <c r="J25" s="504" t="n">
        <v>23600</v>
      </c>
      <c r="K25" s="504" t="n">
        <v>14310</v>
      </c>
      <c r="L25" s="505" t="n">
        <v>28</v>
      </c>
      <c r="M25" s="504" t="n">
        <v>9290</v>
      </c>
      <c r="N25" s="504" t="n">
        <v>6688.8</v>
      </c>
      <c r="O25" s="504" t="s">
        <v>417</v>
      </c>
      <c r="P25" s="508" t="n">
        <v>82</v>
      </c>
      <c r="Q25" s="506" t="n">
        <v>45809</v>
      </c>
      <c r="R25" s="507" t="n">
        <v>0.322094907407407</v>
      </c>
    </row>
    <row r="26" customFormat="false" ht="36.75" hidden="false" customHeight="true" outlineLevel="0" collapsed="false">
      <c r="A26" s="503" t="s">
        <v>2448</v>
      </c>
      <c r="B26" s="0" t="n">
        <v>135</v>
      </c>
      <c r="C26" s="503" t="n">
        <v>13</v>
      </c>
      <c r="D26" s="503" t="s">
        <v>422</v>
      </c>
      <c r="E26" s="503" t="s">
        <v>376</v>
      </c>
      <c r="F26" s="503" t="s">
        <v>377</v>
      </c>
      <c r="G26" s="503" t="s">
        <v>133</v>
      </c>
      <c r="H26" s="503" t="s">
        <v>423</v>
      </c>
      <c r="I26" s="503" t="s">
        <v>1435</v>
      </c>
      <c r="J26" s="504" t="n">
        <v>23430</v>
      </c>
      <c r="K26" s="504" t="n">
        <v>14300</v>
      </c>
      <c r="L26" s="505" t="n">
        <v>21</v>
      </c>
      <c r="M26" s="504" t="n">
        <v>9130</v>
      </c>
      <c r="N26" s="504" t="n">
        <v>7212.7</v>
      </c>
      <c r="O26" s="504" t="s">
        <v>417</v>
      </c>
      <c r="P26" s="508" t="n">
        <v>83</v>
      </c>
      <c r="Q26" s="506" t="n">
        <v>45809</v>
      </c>
      <c r="R26" s="507" t="n">
        <v>0.320324074074074</v>
      </c>
    </row>
    <row r="27" customFormat="false" ht="36.75" hidden="false" customHeight="true" outlineLevel="0" collapsed="false">
      <c r="A27" s="503" t="s">
        <v>2449</v>
      </c>
      <c r="B27" s="0" t="n">
        <v>137</v>
      </c>
      <c r="C27" s="503" t="n">
        <v>14</v>
      </c>
      <c r="D27" s="503" t="s">
        <v>422</v>
      </c>
      <c r="E27" s="503" t="s">
        <v>359</v>
      </c>
      <c r="F27" s="503" t="s">
        <v>426</v>
      </c>
      <c r="G27" s="503" t="s">
        <v>133</v>
      </c>
      <c r="H27" s="503" t="s">
        <v>423</v>
      </c>
      <c r="I27" s="503" t="s">
        <v>1435</v>
      </c>
      <c r="J27" s="504" t="n">
        <v>18150</v>
      </c>
      <c r="K27" s="504" t="n">
        <v>13850</v>
      </c>
      <c r="L27" s="505" t="n">
        <v>26</v>
      </c>
      <c r="M27" s="504" t="n">
        <v>4300</v>
      </c>
      <c r="N27" s="504" t="n">
        <v>3182</v>
      </c>
      <c r="O27" s="504" t="s">
        <v>417</v>
      </c>
      <c r="P27" s="508" t="n">
        <v>84</v>
      </c>
      <c r="Q27" s="506" t="n">
        <v>45809</v>
      </c>
      <c r="R27" s="507" t="n">
        <v>0.547939814814815</v>
      </c>
    </row>
    <row r="28" customFormat="false" ht="36.75" hidden="false" customHeight="true" outlineLevel="0" collapsed="false">
      <c r="A28" s="503" t="s">
        <v>2450</v>
      </c>
      <c r="B28" s="0" t="n">
        <v>138</v>
      </c>
      <c r="C28" s="503" t="n">
        <v>15</v>
      </c>
      <c r="D28" s="503" t="s">
        <v>422</v>
      </c>
      <c r="E28" s="503" t="s">
        <v>359</v>
      </c>
      <c r="F28" s="503" t="s">
        <v>426</v>
      </c>
      <c r="G28" s="503" t="s">
        <v>133</v>
      </c>
      <c r="H28" s="503" t="s">
        <v>423</v>
      </c>
      <c r="I28" s="503" t="s">
        <v>1435</v>
      </c>
      <c r="J28" s="504" t="n">
        <v>23060</v>
      </c>
      <c r="K28" s="504" t="n">
        <v>13840</v>
      </c>
      <c r="L28" s="505" t="n">
        <v>31</v>
      </c>
      <c r="M28" s="504" t="n">
        <v>9220</v>
      </c>
      <c r="N28" s="504" t="n">
        <v>6361.8</v>
      </c>
      <c r="O28" s="504" t="s">
        <v>417</v>
      </c>
      <c r="P28" s="508" t="n">
        <v>85</v>
      </c>
      <c r="Q28" s="506" t="n">
        <v>45809</v>
      </c>
      <c r="R28" s="507" t="n">
        <v>0.693125</v>
      </c>
    </row>
    <row r="29" customFormat="false" ht="36.75" hidden="false" customHeight="true" outlineLevel="0" collapsed="false">
      <c r="A29" s="503" t="s">
        <v>2451</v>
      </c>
      <c r="B29" s="0" t="n">
        <v>139</v>
      </c>
      <c r="C29" s="503" t="n">
        <v>65912</v>
      </c>
      <c r="D29" s="503" t="s">
        <v>409</v>
      </c>
      <c r="E29" s="503" t="s">
        <v>511</v>
      </c>
      <c r="F29" s="503" t="s">
        <v>515</v>
      </c>
      <c r="G29" s="503" t="s">
        <v>410</v>
      </c>
      <c r="H29" s="503" t="s">
        <v>252</v>
      </c>
      <c r="I29" s="503" t="s">
        <v>1435</v>
      </c>
      <c r="J29" s="504" t="n">
        <v>28520</v>
      </c>
      <c r="K29" s="504" t="n">
        <v>14800</v>
      </c>
      <c r="L29" s="505" t="n">
        <v>17.5</v>
      </c>
      <c r="M29" s="504" t="n">
        <v>13720</v>
      </c>
      <c r="N29" s="504" t="n">
        <v>11319</v>
      </c>
      <c r="O29" s="504" t="s">
        <v>417</v>
      </c>
      <c r="P29" s="508" t="n">
        <v>86</v>
      </c>
      <c r="Q29" s="506" t="n">
        <v>45809</v>
      </c>
      <c r="R29" s="507" t="n">
        <v>0.728090277777778</v>
      </c>
    </row>
    <row r="30" customFormat="false" ht="36.75" hidden="false" customHeight="true" outlineLevel="0" collapsed="false">
      <c r="A30" s="503" t="s">
        <v>2452</v>
      </c>
      <c r="B30" s="0" t="n">
        <v>140</v>
      </c>
      <c r="C30" s="503" t="n">
        <v>16</v>
      </c>
      <c r="D30" s="503" t="s">
        <v>422</v>
      </c>
      <c r="E30" s="503" t="s">
        <v>359</v>
      </c>
      <c r="F30" s="503" t="s">
        <v>426</v>
      </c>
      <c r="G30" s="503" t="s">
        <v>133</v>
      </c>
      <c r="H30" s="503" t="s">
        <v>423</v>
      </c>
      <c r="I30" s="503" t="s">
        <v>1435</v>
      </c>
      <c r="J30" s="504" t="n">
        <v>27950</v>
      </c>
      <c r="K30" s="504" t="n">
        <v>13830</v>
      </c>
      <c r="L30" s="505" t="n">
        <v>28</v>
      </c>
      <c r="M30" s="504" t="n">
        <v>14120</v>
      </c>
      <c r="N30" s="504" t="n">
        <v>10166.4</v>
      </c>
      <c r="O30" s="504" t="s">
        <v>417</v>
      </c>
      <c r="P30" s="508" t="n">
        <v>87</v>
      </c>
      <c r="Q30" s="506" t="n">
        <v>45809</v>
      </c>
      <c r="R30" s="507" t="n">
        <v>0.788877314814815</v>
      </c>
    </row>
    <row r="31" customFormat="false" ht="36.75" hidden="false" customHeight="true" outlineLevel="0" collapsed="false">
      <c r="A31" s="503" t="s">
        <v>2453</v>
      </c>
      <c r="B31" s="0" t="n">
        <v>141</v>
      </c>
      <c r="C31" s="503" t="n">
        <v>65914</v>
      </c>
      <c r="D31" s="503" t="s">
        <v>409</v>
      </c>
      <c r="E31" s="503" t="s">
        <v>411</v>
      </c>
      <c r="F31" s="503" t="s">
        <v>381</v>
      </c>
      <c r="G31" s="503" t="s">
        <v>410</v>
      </c>
      <c r="H31" s="503" t="s">
        <v>252</v>
      </c>
      <c r="I31" s="503" t="s">
        <v>1435</v>
      </c>
      <c r="J31" s="504" t="n">
        <v>27720</v>
      </c>
      <c r="K31" s="504" t="n">
        <v>14090</v>
      </c>
      <c r="L31" s="505" t="n">
        <v>22</v>
      </c>
      <c r="M31" s="504" t="n">
        <v>13630</v>
      </c>
      <c r="N31" s="504" t="n">
        <v>10631.4</v>
      </c>
      <c r="O31" s="504" t="s">
        <v>417</v>
      </c>
      <c r="P31" s="508" t="n">
        <v>88</v>
      </c>
      <c r="Q31" s="506" t="n">
        <v>45809</v>
      </c>
      <c r="R31" s="507" t="n">
        <v>0.79056712962963</v>
      </c>
    </row>
    <row r="32" customFormat="false" ht="48.75" hidden="false" customHeight="true" outlineLevel="0" collapsed="false">
      <c r="A32" s="503" t="s">
        <v>2454</v>
      </c>
      <c r="B32" s="0" t="n">
        <v>142</v>
      </c>
      <c r="C32" s="503" t="n">
        <v>65915</v>
      </c>
      <c r="D32" s="503" t="s">
        <v>409</v>
      </c>
      <c r="E32" s="503" t="s">
        <v>519</v>
      </c>
      <c r="F32" s="503" t="s">
        <v>523</v>
      </c>
      <c r="G32" s="503" t="s">
        <v>410</v>
      </c>
      <c r="H32" s="503" t="s">
        <v>252</v>
      </c>
      <c r="I32" s="503" t="s">
        <v>1435</v>
      </c>
      <c r="J32" s="504" t="n">
        <v>29140</v>
      </c>
      <c r="K32" s="504" t="n">
        <v>15640</v>
      </c>
      <c r="L32" s="505" t="n">
        <v>21</v>
      </c>
      <c r="M32" s="504" t="n">
        <v>13500</v>
      </c>
      <c r="N32" s="504" t="n">
        <v>10665</v>
      </c>
      <c r="O32" s="504" t="s">
        <v>417</v>
      </c>
      <c r="P32" s="508" t="n">
        <v>89</v>
      </c>
      <c r="Q32" s="506" t="n">
        <v>45809</v>
      </c>
      <c r="R32" s="507" t="n">
        <v>0.823599537037037</v>
      </c>
    </row>
    <row r="33" customFormat="false" ht="36.75" hidden="false" customHeight="true" outlineLevel="0" collapsed="false">
      <c r="A33" s="503" t="s">
        <v>2455</v>
      </c>
      <c r="B33" s="0" t="n">
        <v>143</v>
      </c>
      <c r="C33" s="503" t="n">
        <v>65916</v>
      </c>
      <c r="D33" s="503" t="s">
        <v>409</v>
      </c>
      <c r="E33" s="503" t="s">
        <v>363</v>
      </c>
      <c r="F33" s="503" t="s">
        <v>364</v>
      </c>
      <c r="G33" s="503" t="s">
        <v>410</v>
      </c>
      <c r="H33" s="503" t="s">
        <v>252</v>
      </c>
      <c r="I33" s="503" t="s">
        <v>1435</v>
      </c>
      <c r="J33" s="504" t="n">
        <v>28320</v>
      </c>
      <c r="K33" s="504" t="n">
        <v>14490</v>
      </c>
      <c r="L33" s="505" t="n">
        <v>17</v>
      </c>
      <c r="M33" s="504" t="n">
        <v>13830</v>
      </c>
      <c r="N33" s="504" t="n">
        <v>11478.9</v>
      </c>
      <c r="O33" s="504" t="s">
        <v>417</v>
      </c>
      <c r="P33" s="508" t="n">
        <v>90</v>
      </c>
      <c r="Q33" s="506" t="n">
        <v>45809</v>
      </c>
      <c r="R33" s="507" t="n">
        <v>0.998854166666667</v>
      </c>
    </row>
    <row r="34" customFormat="false" ht="36.75" hidden="false" customHeight="true" outlineLevel="0" collapsed="false">
      <c r="A34" s="503" t="s">
        <v>2456</v>
      </c>
      <c r="B34" s="0" t="n">
        <v>144</v>
      </c>
      <c r="C34" s="503" t="n">
        <v>65917</v>
      </c>
      <c r="D34" s="503" t="s">
        <v>409</v>
      </c>
      <c r="E34" s="503" t="s">
        <v>386</v>
      </c>
      <c r="F34" s="503" t="s">
        <v>387</v>
      </c>
      <c r="G34" s="503" t="s">
        <v>410</v>
      </c>
      <c r="H34" s="503" t="s">
        <v>252</v>
      </c>
      <c r="I34" s="503" t="s">
        <v>1435</v>
      </c>
      <c r="J34" s="504" t="n">
        <v>29030</v>
      </c>
      <c r="K34" s="504" t="n">
        <v>15150</v>
      </c>
      <c r="L34" s="505" t="n">
        <v>22</v>
      </c>
      <c r="M34" s="504" t="n">
        <v>13880</v>
      </c>
      <c r="N34" s="504" t="n">
        <v>10826.4</v>
      </c>
      <c r="O34" s="504" t="s">
        <v>417</v>
      </c>
      <c r="P34" s="508" t="n">
        <v>91</v>
      </c>
      <c r="Q34" s="506" t="n">
        <v>45809</v>
      </c>
      <c r="R34" s="507" t="n">
        <v>0.877013888888889</v>
      </c>
    </row>
    <row r="35" customFormat="false" ht="36.75" hidden="false" customHeight="true" outlineLevel="0" collapsed="false">
      <c r="A35" s="503" t="s">
        <v>2457</v>
      </c>
      <c r="B35" s="0" t="n">
        <v>146</v>
      </c>
      <c r="C35" s="503" t="n">
        <v>65918</v>
      </c>
      <c r="D35" s="503" t="s">
        <v>409</v>
      </c>
      <c r="E35" s="503" t="s">
        <v>57</v>
      </c>
      <c r="F35" s="503" t="s">
        <v>58</v>
      </c>
      <c r="G35" s="503" t="s">
        <v>410</v>
      </c>
      <c r="H35" s="503" t="s">
        <v>252</v>
      </c>
      <c r="I35" s="503" t="s">
        <v>1435</v>
      </c>
      <c r="J35" s="504" t="n">
        <v>29310</v>
      </c>
      <c r="K35" s="504" t="n">
        <v>15540</v>
      </c>
      <c r="L35" s="505" t="n">
        <v>27</v>
      </c>
      <c r="M35" s="504" t="n">
        <v>13770</v>
      </c>
      <c r="N35" s="504" t="n">
        <v>10052.1</v>
      </c>
      <c r="O35" s="504" t="s">
        <v>417</v>
      </c>
      <c r="P35" s="508" t="n">
        <v>92</v>
      </c>
      <c r="Q35" s="506" t="n">
        <v>45809</v>
      </c>
      <c r="R35" s="507" t="n">
        <v>0.937222222222222</v>
      </c>
    </row>
    <row r="36" customFormat="false" ht="36.75" hidden="false" customHeight="true" outlineLevel="0" collapsed="false">
      <c r="A36" s="503" t="s">
        <v>2458</v>
      </c>
      <c r="B36" s="0" t="n">
        <v>145</v>
      </c>
      <c r="C36" s="503" t="n">
        <v>17</v>
      </c>
      <c r="D36" s="503" t="s">
        <v>422</v>
      </c>
      <c r="E36" s="503" t="s">
        <v>411</v>
      </c>
      <c r="F36" s="503" t="s">
        <v>381</v>
      </c>
      <c r="G36" s="503" t="s">
        <v>133</v>
      </c>
      <c r="H36" s="503" t="s">
        <v>423</v>
      </c>
      <c r="I36" s="503" t="s">
        <v>1435</v>
      </c>
      <c r="J36" s="504" t="n">
        <v>26540</v>
      </c>
      <c r="K36" s="504" t="n">
        <v>14200</v>
      </c>
      <c r="L36" s="505" t="n">
        <v>31</v>
      </c>
      <c r="M36" s="504" t="n">
        <v>12340</v>
      </c>
      <c r="N36" s="504" t="n">
        <v>8514.6</v>
      </c>
      <c r="O36" s="504" t="s">
        <v>417</v>
      </c>
      <c r="P36" s="508" t="n">
        <v>93</v>
      </c>
      <c r="Q36" s="506" t="n">
        <v>45809</v>
      </c>
      <c r="R36" s="507" t="n">
        <v>0.911377314814815</v>
      </c>
    </row>
    <row r="37" customFormat="false" ht="36.75" hidden="false" customHeight="true" outlineLevel="0" collapsed="false">
      <c r="A37" s="503" t="s">
        <v>2459</v>
      </c>
      <c r="B37" s="0" t="n">
        <v>147</v>
      </c>
      <c r="C37" s="503" t="n">
        <v>65919</v>
      </c>
      <c r="D37" s="503" t="s">
        <v>409</v>
      </c>
      <c r="E37" s="503" t="s">
        <v>537</v>
      </c>
      <c r="F37" s="503" t="s">
        <v>541</v>
      </c>
      <c r="G37" s="503" t="s">
        <v>410</v>
      </c>
      <c r="H37" s="503" t="s">
        <v>252</v>
      </c>
      <c r="I37" s="503" t="s">
        <v>1435</v>
      </c>
      <c r="J37" s="504" t="n">
        <v>28810</v>
      </c>
      <c r="K37" s="504" t="n">
        <v>15140</v>
      </c>
      <c r="L37" s="505" t="n">
        <v>25</v>
      </c>
      <c r="M37" s="504" t="n">
        <v>13670</v>
      </c>
      <c r="N37" s="504" t="n">
        <v>10252.5</v>
      </c>
      <c r="O37" s="504" t="s">
        <v>417</v>
      </c>
      <c r="P37" s="508" t="n">
        <v>94</v>
      </c>
      <c r="Q37" s="506" t="n">
        <v>45809</v>
      </c>
      <c r="R37" s="507" t="n">
        <v>0.967430555555556</v>
      </c>
    </row>
    <row r="38" customFormat="false" ht="36.75" hidden="false" customHeight="true" outlineLevel="0" collapsed="false">
      <c r="A38" s="503" t="s">
        <v>2460</v>
      </c>
      <c r="B38" s="0" t="n">
        <v>150</v>
      </c>
      <c r="C38" s="503" t="n">
        <v>65920</v>
      </c>
      <c r="D38" s="503" t="s">
        <v>409</v>
      </c>
      <c r="E38" s="503" t="s">
        <v>542</v>
      </c>
      <c r="F38" s="503" t="s">
        <v>546</v>
      </c>
      <c r="G38" s="503" t="s">
        <v>410</v>
      </c>
      <c r="H38" s="503" t="s">
        <v>252</v>
      </c>
      <c r="I38" s="503" t="s">
        <v>1435</v>
      </c>
      <c r="J38" s="504" t="n">
        <v>28330</v>
      </c>
      <c r="K38" s="504" t="n">
        <v>14550</v>
      </c>
      <c r="L38" s="505" t="n">
        <v>24</v>
      </c>
      <c r="M38" s="504" t="n">
        <v>13780</v>
      </c>
      <c r="N38" s="504" t="n">
        <v>10472.8</v>
      </c>
      <c r="O38" s="504" t="s">
        <v>417</v>
      </c>
      <c r="P38" s="508" t="n">
        <v>96</v>
      </c>
      <c r="Q38" s="506" t="n">
        <v>45810</v>
      </c>
      <c r="R38" s="507" t="n">
        <v>0.394085648148148</v>
      </c>
    </row>
    <row r="39" customFormat="false" ht="36.75" hidden="false" customHeight="true" outlineLevel="0" collapsed="false">
      <c r="A39" s="503" t="s">
        <v>2461</v>
      </c>
      <c r="B39" s="0" t="n">
        <v>151</v>
      </c>
      <c r="C39" s="503" t="n">
        <v>65921</v>
      </c>
      <c r="D39" s="503" t="s">
        <v>409</v>
      </c>
      <c r="E39" s="503" t="s">
        <v>547</v>
      </c>
      <c r="F39" s="503" t="s">
        <v>551</v>
      </c>
      <c r="G39" s="503" t="s">
        <v>410</v>
      </c>
      <c r="H39" s="503" t="s">
        <v>252</v>
      </c>
      <c r="I39" s="503" t="s">
        <v>1435</v>
      </c>
      <c r="J39" s="504" t="n">
        <v>28370</v>
      </c>
      <c r="K39" s="504" t="n">
        <v>14790</v>
      </c>
      <c r="L39" s="505" t="n">
        <v>21</v>
      </c>
      <c r="M39" s="504" t="n">
        <v>13580</v>
      </c>
      <c r="N39" s="504" t="n">
        <v>10728.2</v>
      </c>
      <c r="O39" s="504" t="s">
        <v>417</v>
      </c>
      <c r="P39" s="508" t="n">
        <v>97</v>
      </c>
      <c r="Q39" s="506" t="n">
        <v>45810</v>
      </c>
      <c r="R39" s="507" t="n">
        <v>0.510046296296296</v>
      </c>
    </row>
    <row r="40" customFormat="false" ht="36.75" hidden="false" customHeight="true" outlineLevel="0" collapsed="false">
      <c r="A40" s="503" t="s">
        <v>2462</v>
      </c>
      <c r="B40" s="0" t="n">
        <v>152</v>
      </c>
      <c r="C40" s="503" t="n">
        <v>65922</v>
      </c>
      <c r="D40" s="503" t="s">
        <v>409</v>
      </c>
      <c r="E40" s="503" t="s">
        <v>553</v>
      </c>
      <c r="F40" s="503" t="s">
        <v>557</v>
      </c>
      <c r="G40" s="503" t="s">
        <v>410</v>
      </c>
      <c r="H40" s="503" t="s">
        <v>252</v>
      </c>
      <c r="I40" s="503" t="s">
        <v>1435</v>
      </c>
      <c r="J40" s="504" t="n">
        <v>28660</v>
      </c>
      <c r="K40" s="504" t="n">
        <v>14970</v>
      </c>
      <c r="L40" s="505" t="n">
        <v>24</v>
      </c>
      <c r="M40" s="504" t="n">
        <v>13690</v>
      </c>
      <c r="N40" s="504" t="n">
        <v>10404.4</v>
      </c>
      <c r="O40" s="504" t="s">
        <v>417</v>
      </c>
      <c r="P40" s="508" t="n">
        <v>98</v>
      </c>
      <c r="Q40" s="506" t="n">
        <v>45810</v>
      </c>
      <c r="R40" s="507" t="n">
        <v>0.549699074074074</v>
      </c>
    </row>
    <row r="41" customFormat="false" ht="36.75" hidden="false" customHeight="true" outlineLevel="0" collapsed="false">
      <c r="A41" s="503" t="s">
        <v>2463</v>
      </c>
      <c r="B41" s="0" t="n">
        <v>149</v>
      </c>
      <c r="C41" s="503" t="n">
        <v>18</v>
      </c>
      <c r="D41" s="503" t="s">
        <v>422</v>
      </c>
      <c r="E41" s="503" t="s">
        <v>359</v>
      </c>
      <c r="F41" s="503" t="s">
        <v>426</v>
      </c>
      <c r="G41" s="503" t="s">
        <v>133</v>
      </c>
      <c r="H41" s="503" t="s">
        <v>423</v>
      </c>
      <c r="I41" s="503" t="s">
        <v>1435</v>
      </c>
      <c r="J41" s="504" t="n">
        <v>24560</v>
      </c>
      <c r="K41" s="504" t="n">
        <v>13820</v>
      </c>
      <c r="L41" s="505" t="n">
        <v>29</v>
      </c>
      <c r="M41" s="504" t="n">
        <v>10740</v>
      </c>
      <c r="N41" s="504" t="n">
        <v>7625.4</v>
      </c>
      <c r="O41" s="504" t="s">
        <v>417</v>
      </c>
      <c r="P41" s="508" t="n">
        <v>99</v>
      </c>
      <c r="Q41" s="506" t="n">
        <v>45810</v>
      </c>
      <c r="R41" s="507" t="n">
        <v>0.560914351851852</v>
      </c>
    </row>
    <row r="42" customFormat="false" ht="36.75" hidden="false" customHeight="true" outlineLevel="0" collapsed="false">
      <c r="A42" s="503" t="s">
        <v>2464</v>
      </c>
      <c r="B42" s="0" t="n">
        <v>153</v>
      </c>
      <c r="C42" s="503" t="n">
        <v>65923</v>
      </c>
      <c r="D42" s="503" t="s">
        <v>409</v>
      </c>
      <c r="E42" s="503" t="s">
        <v>395</v>
      </c>
      <c r="F42" s="503" t="s">
        <v>566</v>
      </c>
      <c r="G42" s="503" t="s">
        <v>410</v>
      </c>
      <c r="H42" s="503" t="s">
        <v>252</v>
      </c>
      <c r="I42" s="503" t="s">
        <v>1435</v>
      </c>
      <c r="J42" s="504" t="n">
        <v>28060</v>
      </c>
      <c r="K42" s="504" t="n">
        <v>14390</v>
      </c>
      <c r="L42" s="505" t="n">
        <v>25</v>
      </c>
      <c r="M42" s="504" t="n">
        <v>13670</v>
      </c>
      <c r="N42" s="504" t="n">
        <v>10252.5</v>
      </c>
      <c r="O42" s="504" t="s">
        <v>417</v>
      </c>
      <c r="P42" s="508" t="n">
        <v>100</v>
      </c>
      <c r="Q42" s="506" t="n">
        <v>45810</v>
      </c>
      <c r="R42" s="507" t="n">
        <v>0.573981481481482</v>
      </c>
    </row>
    <row r="43" customFormat="false" ht="36.75" hidden="false" customHeight="true" outlineLevel="0" collapsed="false">
      <c r="A43" s="503" t="s">
        <v>2465</v>
      </c>
      <c r="B43" s="0" t="n">
        <v>154</v>
      </c>
      <c r="C43" s="503" t="n">
        <v>65924</v>
      </c>
      <c r="D43" s="503" t="s">
        <v>409</v>
      </c>
      <c r="E43" s="503" t="s">
        <v>48</v>
      </c>
      <c r="F43" s="503" t="s">
        <v>49</v>
      </c>
      <c r="G43" s="503" t="s">
        <v>410</v>
      </c>
      <c r="H43" s="503" t="s">
        <v>252</v>
      </c>
      <c r="I43" s="503" t="s">
        <v>1435</v>
      </c>
      <c r="J43" s="504" t="n">
        <v>28740</v>
      </c>
      <c r="K43" s="504" t="n">
        <v>14950</v>
      </c>
      <c r="L43" s="505" t="n">
        <v>25.5</v>
      </c>
      <c r="M43" s="504" t="n">
        <v>13790</v>
      </c>
      <c r="N43" s="504" t="n">
        <v>10273.5</v>
      </c>
      <c r="O43" s="504" t="s">
        <v>417</v>
      </c>
      <c r="P43" s="508" t="n">
        <v>101</v>
      </c>
      <c r="Q43" s="506" t="n">
        <v>45810</v>
      </c>
      <c r="R43" s="507" t="n">
        <v>0.585127314814815</v>
      </c>
    </row>
    <row r="44" customFormat="false" ht="36.75" hidden="false" customHeight="true" outlineLevel="0" collapsed="false">
      <c r="A44" s="503" t="s">
        <v>2466</v>
      </c>
      <c r="B44" s="0" t="n">
        <v>155</v>
      </c>
      <c r="C44" s="503" t="n">
        <v>19</v>
      </c>
      <c r="D44" s="503" t="s">
        <v>422</v>
      </c>
      <c r="E44" s="503" t="s">
        <v>411</v>
      </c>
      <c r="F44" s="503" t="s">
        <v>381</v>
      </c>
      <c r="G44" s="503" t="s">
        <v>133</v>
      </c>
      <c r="H44" s="503" t="s">
        <v>423</v>
      </c>
      <c r="I44" s="503" t="s">
        <v>1435</v>
      </c>
      <c r="J44" s="504" t="n">
        <v>26590</v>
      </c>
      <c r="K44" s="504" t="n">
        <v>14190</v>
      </c>
      <c r="L44" s="505" t="n">
        <v>21</v>
      </c>
      <c r="M44" s="504" t="n">
        <v>12400</v>
      </c>
      <c r="N44" s="504" t="n">
        <v>9796</v>
      </c>
      <c r="O44" s="504" t="s">
        <v>417</v>
      </c>
      <c r="P44" s="508" t="n">
        <v>102</v>
      </c>
      <c r="Q44" s="506" t="n">
        <v>45810</v>
      </c>
      <c r="R44" s="507" t="n">
        <v>0.677858796296296</v>
      </c>
    </row>
    <row r="45" customFormat="false" ht="36.75" hidden="false" customHeight="true" outlineLevel="0" collapsed="false">
      <c r="A45" s="503" t="s">
        <v>2467</v>
      </c>
      <c r="B45" s="0" t="n">
        <v>156</v>
      </c>
      <c r="C45" s="503" t="n">
        <v>65927</v>
      </c>
      <c r="D45" s="503" t="s">
        <v>409</v>
      </c>
      <c r="E45" s="503" t="s">
        <v>384</v>
      </c>
      <c r="F45" s="503" t="s">
        <v>385</v>
      </c>
      <c r="G45" s="503" t="s">
        <v>410</v>
      </c>
      <c r="H45" s="503" t="s">
        <v>252</v>
      </c>
      <c r="I45" s="503" t="s">
        <v>1435</v>
      </c>
      <c r="J45" s="504" t="n">
        <v>28190</v>
      </c>
      <c r="K45" s="504" t="n">
        <v>14380</v>
      </c>
      <c r="L45" s="505" t="n">
        <v>23.5</v>
      </c>
      <c r="M45" s="504" t="n">
        <v>13810</v>
      </c>
      <c r="N45" s="504" t="n">
        <v>10564.6</v>
      </c>
      <c r="O45" s="504" t="s">
        <v>417</v>
      </c>
      <c r="P45" s="508" t="n">
        <v>103</v>
      </c>
      <c r="Q45" s="506" t="n">
        <v>45810</v>
      </c>
      <c r="R45" s="507" t="n">
        <v>0.685671296296296</v>
      </c>
    </row>
    <row r="46" customFormat="false" ht="36.75" hidden="false" customHeight="true" outlineLevel="0" collapsed="false">
      <c r="A46" s="503" t="s">
        <v>2468</v>
      </c>
      <c r="B46" s="0" t="n">
        <v>158</v>
      </c>
      <c r="C46" s="503" t="n">
        <v>65928</v>
      </c>
      <c r="D46" s="503" t="s">
        <v>409</v>
      </c>
      <c r="E46" s="503" t="s">
        <v>361</v>
      </c>
      <c r="F46" s="503" t="s">
        <v>362</v>
      </c>
      <c r="G46" s="503" t="s">
        <v>410</v>
      </c>
      <c r="H46" s="503" t="s">
        <v>252</v>
      </c>
      <c r="I46" s="503" t="s">
        <v>1435</v>
      </c>
      <c r="J46" s="504" t="n">
        <v>28300</v>
      </c>
      <c r="K46" s="504" t="n">
        <v>14800</v>
      </c>
      <c r="L46" s="505" t="n">
        <v>22.5</v>
      </c>
      <c r="M46" s="504" t="n">
        <v>13500</v>
      </c>
      <c r="N46" s="504" t="n">
        <v>10462.5</v>
      </c>
      <c r="O46" s="504" t="s">
        <v>417</v>
      </c>
      <c r="P46" s="508" t="n">
        <v>104</v>
      </c>
      <c r="Q46" s="506" t="n">
        <v>45810</v>
      </c>
      <c r="R46" s="507" t="n">
        <v>0.736678240740741</v>
      </c>
    </row>
    <row r="47" customFormat="false" ht="36.75" hidden="false" customHeight="true" outlineLevel="0" collapsed="false">
      <c r="A47" s="503" t="s">
        <v>2469</v>
      </c>
      <c r="B47" s="0" t="n">
        <v>164</v>
      </c>
      <c r="C47" s="503" t="n">
        <v>65929</v>
      </c>
      <c r="D47" s="503" t="s">
        <v>409</v>
      </c>
      <c r="E47" s="503" t="s">
        <v>371</v>
      </c>
      <c r="F47" s="503" t="s">
        <v>372</v>
      </c>
      <c r="G47" s="503" t="s">
        <v>410</v>
      </c>
      <c r="H47" s="503" t="s">
        <v>584</v>
      </c>
      <c r="I47" s="503" t="s">
        <v>1435</v>
      </c>
      <c r="J47" s="504" t="n">
        <v>28400</v>
      </c>
      <c r="K47" s="504" t="n">
        <v>14970</v>
      </c>
      <c r="L47" s="505" t="n">
        <v>21.5</v>
      </c>
      <c r="M47" s="504" t="n">
        <v>13430</v>
      </c>
      <c r="N47" s="504" t="n">
        <v>10542.5</v>
      </c>
      <c r="O47" s="504" t="s">
        <v>417</v>
      </c>
      <c r="P47" s="508" t="n">
        <v>105</v>
      </c>
      <c r="Q47" s="506" t="n">
        <v>45810</v>
      </c>
      <c r="R47" s="507" t="n">
        <v>0.937013888888889</v>
      </c>
    </row>
    <row r="48" customFormat="false" ht="36.75" hidden="false" customHeight="true" outlineLevel="0" collapsed="false">
      <c r="A48" s="503" t="s">
        <v>2470</v>
      </c>
      <c r="B48" s="0" t="n">
        <v>165</v>
      </c>
      <c r="C48" s="503" t="n">
        <v>65940</v>
      </c>
      <c r="D48" s="503" t="s">
        <v>409</v>
      </c>
      <c r="E48" s="503" t="s">
        <v>365</v>
      </c>
      <c r="F48" s="503" t="s">
        <v>373</v>
      </c>
      <c r="G48" s="503" t="s">
        <v>410</v>
      </c>
      <c r="H48" s="503" t="s">
        <v>584</v>
      </c>
      <c r="I48" s="503" t="s">
        <v>1435</v>
      </c>
      <c r="J48" s="504" t="n">
        <v>32140</v>
      </c>
      <c r="K48" s="504" t="n">
        <v>18690</v>
      </c>
      <c r="L48" s="505" t="n">
        <v>21</v>
      </c>
      <c r="M48" s="504" t="n">
        <v>13450</v>
      </c>
      <c r="N48" s="504" t="n">
        <v>10625.5</v>
      </c>
      <c r="O48" s="504" t="s">
        <v>417</v>
      </c>
      <c r="P48" s="508" t="n">
        <v>106</v>
      </c>
      <c r="Q48" s="506" t="n">
        <v>45810</v>
      </c>
      <c r="R48" s="507" t="n">
        <v>0.941481481481482</v>
      </c>
    </row>
    <row r="49" customFormat="false" ht="36.75" hidden="false" customHeight="true" outlineLevel="0" collapsed="false">
      <c r="A49" s="503" t="s">
        <v>2471</v>
      </c>
      <c r="B49" s="0" t="n">
        <v>166</v>
      </c>
      <c r="C49" s="503" t="n">
        <v>65925</v>
      </c>
      <c r="D49" s="503" t="s">
        <v>409</v>
      </c>
      <c r="E49" s="503" t="s">
        <v>445</v>
      </c>
      <c r="F49" s="503" t="s">
        <v>449</v>
      </c>
      <c r="G49" s="503" t="s">
        <v>410</v>
      </c>
      <c r="H49" s="503" t="s">
        <v>584</v>
      </c>
      <c r="I49" s="503" t="s">
        <v>1435</v>
      </c>
      <c r="J49" s="504" t="n">
        <v>28920</v>
      </c>
      <c r="K49" s="504" t="n">
        <v>15610</v>
      </c>
      <c r="L49" s="505" t="n">
        <v>15.5</v>
      </c>
      <c r="M49" s="504" t="n">
        <v>13310</v>
      </c>
      <c r="N49" s="504" t="n">
        <v>11246.9</v>
      </c>
      <c r="O49" s="504" t="s">
        <v>417</v>
      </c>
      <c r="P49" s="508" t="n">
        <v>107</v>
      </c>
      <c r="Q49" s="506" t="n">
        <v>45810</v>
      </c>
      <c r="R49" s="507" t="n">
        <v>0.943981481481482</v>
      </c>
    </row>
    <row r="50" customFormat="false" ht="36.75" hidden="false" customHeight="true" outlineLevel="0" collapsed="false">
      <c r="A50" s="503" t="s">
        <v>2472</v>
      </c>
      <c r="B50" s="0" t="n">
        <v>167</v>
      </c>
      <c r="C50" s="503" t="n">
        <v>23</v>
      </c>
      <c r="D50" s="503" t="s">
        <v>422</v>
      </c>
      <c r="E50" s="503" t="s">
        <v>376</v>
      </c>
      <c r="F50" s="503" t="s">
        <v>377</v>
      </c>
      <c r="G50" s="503" t="s">
        <v>133</v>
      </c>
      <c r="H50" s="503" t="s">
        <v>423</v>
      </c>
      <c r="I50" s="503" t="s">
        <v>1435</v>
      </c>
      <c r="J50" s="504" t="n">
        <v>23520</v>
      </c>
      <c r="K50" s="504" t="n">
        <v>14390</v>
      </c>
      <c r="L50" s="505" t="n">
        <v>15.5</v>
      </c>
      <c r="M50" s="504" t="n">
        <v>9130</v>
      </c>
      <c r="N50" s="504" t="n">
        <v>7714.8</v>
      </c>
      <c r="O50" s="504" t="s">
        <v>417</v>
      </c>
      <c r="P50" s="508" t="n">
        <v>108</v>
      </c>
      <c r="Q50" s="506" t="n">
        <v>45810</v>
      </c>
      <c r="R50" s="507" t="n">
        <v>0.9684375</v>
      </c>
    </row>
    <row r="51" customFormat="false" ht="36.75" hidden="false" customHeight="true" outlineLevel="0" collapsed="false">
      <c r="A51" s="503" t="s">
        <v>2473</v>
      </c>
      <c r="B51" s="0" t="n">
        <v>168</v>
      </c>
      <c r="C51" s="503" t="n">
        <v>65926</v>
      </c>
      <c r="D51" s="503" t="s">
        <v>409</v>
      </c>
      <c r="E51" s="503" t="s">
        <v>451</v>
      </c>
      <c r="F51" s="503" t="s">
        <v>455</v>
      </c>
      <c r="G51" s="503" t="s">
        <v>410</v>
      </c>
      <c r="H51" s="503" t="s">
        <v>584</v>
      </c>
      <c r="I51" s="503" t="s">
        <v>1435</v>
      </c>
      <c r="J51" s="504" t="n">
        <v>28350</v>
      </c>
      <c r="K51" s="504" t="n">
        <v>15010</v>
      </c>
      <c r="L51" s="505" t="n">
        <v>18.5</v>
      </c>
      <c r="M51" s="504" t="n">
        <v>13340</v>
      </c>
      <c r="N51" s="504" t="n">
        <v>10872.1</v>
      </c>
      <c r="O51" s="504" t="s">
        <v>417</v>
      </c>
      <c r="P51" s="508" t="n">
        <v>109</v>
      </c>
      <c r="Q51" s="506" t="n">
        <v>45810</v>
      </c>
      <c r="R51" s="507" t="n">
        <v>0.974513888888889</v>
      </c>
    </row>
    <row r="52" customFormat="false" ht="36.75" hidden="false" customHeight="true" outlineLevel="0" collapsed="false">
      <c r="A52" s="503" t="s">
        <v>2474</v>
      </c>
      <c r="B52" s="0" t="n">
        <v>170</v>
      </c>
      <c r="C52" s="503" t="n">
        <v>24</v>
      </c>
      <c r="D52" s="503" t="s">
        <v>422</v>
      </c>
      <c r="E52" s="503" t="s">
        <v>361</v>
      </c>
      <c r="F52" s="503" t="s">
        <v>362</v>
      </c>
      <c r="G52" s="503" t="s">
        <v>133</v>
      </c>
      <c r="H52" s="503" t="s">
        <v>423</v>
      </c>
      <c r="I52" s="503" t="s">
        <v>1435</v>
      </c>
      <c r="J52" s="504" t="n">
        <v>23950</v>
      </c>
      <c r="K52" s="504" t="n">
        <v>14790</v>
      </c>
      <c r="L52" s="505" t="n">
        <v>20.5</v>
      </c>
      <c r="M52" s="504" t="n">
        <v>9160</v>
      </c>
      <c r="N52" s="504" t="n">
        <v>7282.2</v>
      </c>
      <c r="O52" s="504" t="s">
        <v>417</v>
      </c>
      <c r="P52" s="508" t="n">
        <v>110</v>
      </c>
      <c r="Q52" s="506" t="n">
        <v>45811</v>
      </c>
      <c r="R52" s="507" t="n">
        <v>0.177986111111111</v>
      </c>
    </row>
    <row r="53" customFormat="false" ht="36.75" hidden="false" customHeight="true" outlineLevel="0" collapsed="false">
      <c r="A53" s="503" t="s">
        <v>2475</v>
      </c>
      <c r="B53" s="0" t="n">
        <v>172</v>
      </c>
      <c r="C53" s="503" t="n">
        <v>26</v>
      </c>
      <c r="D53" s="503" t="s">
        <v>422</v>
      </c>
      <c r="E53" s="503" t="s">
        <v>376</v>
      </c>
      <c r="F53" s="503" t="s">
        <v>377</v>
      </c>
      <c r="G53" s="503" t="s">
        <v>133</v>
      </c>
      <c r="H53" s="503" t="s">
        <v>423</v>
      </c>
      <c r="I53" s="503" t="s">
        <v>1435</v>
      </c>
      <c r="J53" s="504" t="n">
        <v>23580</v>
      </c>
      <c r="K53" s="504" t="n">
        <v>14380</v>
      </c>
      <c r="L53" s="505" t="n">
        <v>17.5</v>
      </c>
      <c r="M53" s="504" t="n">
        <v>9200</v>
      </c>
      <c r="N53" s="504" t="n">
        <v>7590</v>
      </c>
      <c r="O53" s="504" t="s">
        <v>417</v>
      </c>
      <c r="P53" s="508" t="n">
        <v>111</v>
      </c>
      <c r="Q53" s="506" t="n">
        <v>45811</v>
      </c>
      <c r="R53" s="507" t="n">
        <v>0.179953703703704</v>
      </c>
    </row>
    <row r="54" customFormat="false" ht="36.75" hidden="false" customHeight="true" outlineLevel="0" collapsed="false">
      <c r="A54" s="503" t="s">
        <v>2476</v>
      </c>
      <c r="B54" s="0" t="n">
        <v>160</v>
      </c>
      <c r="C54" s="503" t="s">
        <v>609</v>
      </c>
      <c r="D54" s="503" t="s">
        <v>422</v>
      </c>
      <c r="E54" s="503" t="s">
        <v>602</v>
      </c>
      <c r="F54" s="503" t="s">
        <v>606</v>
      </c>
      <c r="G54" s="503" t="s">
        <v>133</v>
      </c>
      <c r="H54" s="503" t="s">
        <v>423</v>
      </c>
      <c r="I54" s="503" t="s">
        <v>1435</v>
      </c>
      <c r="J54" s="504" t="n">
        <v>17590</v>
      </c>
      <c r="K54" s="504" t="n">
        <v>10530</v>
      </c>
      <c r="L54" s="505" t="n">
        <v>13.4</v>
      </c>
      <c r="M54" s="504" t="n">
        <v>7060</v>
      </c>
      <c r="N54" s="504" t="n">
        <v>6114.4</v>
      </c>
      <c r="O54" s="504" t="s">
        <v>417</v>
      </c>
      <c r="P54" s="508" t="n">
        <v>112</v>
      </c>
      <c r="Q54" s="506" t="n">
        <v>45810</v>
      </c>
      <c r="R54" s="507" t="n">
        <v>0.580081018518519</v>
      </c>
    </row>
    <row r="55" customFormat="false" ht="36.75" hidden="false" customHeight="true" outlineLevel="0" collapsed="false">
      <c r="A55" s="503" t="s">
        <v>2477</v>
      </c>
      <c r="B55" s="0" t="n">
        <v>162</v>
      </c>
      <c r="C55" s="503" t="s">
        <v>616</v>
      </c>
      <c r="D55" s="503" t="s">
        <v>422</v>
      </c>
      <c r="E55" s="503" t="s">
        <v>610</v>
      </c>
      <c r="F55" s="503" t="s">
        <v>614</v>
      </c>
      <c r="G55" s="503" t="s">
        <v>133</v>
      </c>
      <c r="H55" s="503" t="s">
        <v>423</v>
      </c>
      <c r="I55" s="503" t="s">
        <v>1435</v>
      </c>
      <c r="J55" s="504" t="n">
        <v>27260</v>
      </c>
      <c r="K55" s="504" t="n">
        <v>17080</v>
      </c>
      <c r="L55" s="505" t="n">
        <v>13.7</v>
      </c>
      <c r="M55" s="504" t="n">
        <v>10180</v>
      </c>
      <c r="N55" s="504" t="n">
        <v>8787</v>
      </c>
      <c r="O55" s="504" t="s">
        <v>417</v>
      </c>
      <c r="P55" s="508" t="n">
        <v>113</v>
      </c>
      <c r="Q55" s="506" t="n">
        <v>45810</v>
      </c>
      <c r="R55" s="507" t="n">
        <v>0.634178240740741</v>
      </c>
    </row>
    <row r="56" customFormat="false" ht="48.75" hidden="false" customHeight="true" outlineLevel="0" collapsed="false">
      <c r="A56" s="503" t="s">
        <v>2478</v>
      </c>
      <c r="B56" s="0" t="n">
        <v>163</v>
      </c>
      <c r="C56" s="503" t="s">
        <v>623</v>
      </c>
      <c r="D56" s="503" t="s">
        <v>422</v>
      </c>
      <c r="E56" s="503" t="s">
        <v>617</v>
      </c>
      <c r="F56" s="503" t="s">
        <v>621</v>
      </c>
      <c r="G56" s="503" t="s">
        <v>133</v>
      </c>
      <c r="H56" s="503" t="s">
        <v>423</v>
      </c>
      <c r="I56" s="503" t="s">
        <v>1435</v>
      </c>
      <c r="J56" s="504" t="n">
        <v>32700</v>
      </c>
      <c r="K56" s="504" t="n">
        <v>17790</v>
      </c>
      <c r="L56" s="505" t="n">
        <v>13.4</v>
      </c>
      <c r="M56" s="504" t="n">
        <v>14910</v>
      </c>
      <c r="N56" s="504" t="n">
        <v>12905.6</v>
      </c>
      <c r="O56" s="504" t="s">
        <v>417</v>
      </c>
      <c r="P56" s="508" t="n">
        <v>114</v>
      </c>
      <c r="Q56" s="506" t="n">
        <v>45810</v>
      </c>
      <c r="R56" s="507" t="n">
        <v>0.687523148148148</v>
      </c>
    </row>
    <row r="57" customFormat="false" ht="36.75" hidden="false" customHeight="true" outlineLevel="0" collapsed="false">
      <c r="A57" s="503" t="s">
        <v>2479</v>
      </c>
      <c r="B57" s="0" t="n">
        <v>163</v>
      </c>
      <c r="C57" s="503" t="s">
        <v>627</v>
      </c>
      <c r="D57" s="503" t="s">
        <v>409</v>
      </c>
      <c r="E57" s="503" t="s">
        <v>624</v>
      </c>
      <c r="F57" s="503" t="s">
        <v>625</v>
      </c>
      <c r="G57" s="503" t="s">
        <v>410</v>
      </c>
      <c r="H57" s="503" t="s">
        <v>584</v>
      </c>
      <c r="I57" s="503" t="s">
        <v>1435</v>
      </c>
      <c r="J57" s="504" t="n">
        <v>34160</v>
      </c>
      <c r="K57" s="504" t="n">
        <v>16200</v>
      </c>
      <c r="L57" s="505" t="n">
        <v>7.5</v>
      </c>
      <c r="M57" s="504" t="n">
        <v>17960</v>
      </c>
      <c r="N57" s="504" t="n">
        <v>16610</v>
      </c>
      <c r="O57" s="504" t="s">
        <v>417</v>
      </c>
      <c r="P57" s="508" t="n">
        <v>115</v>
      </c>
      <c r="Q57" s="506" t="n">
        <v>45810</v>
      </c>
      <c r="R57" s="507" t="n">
        <v>0.974525462962963</v>
      </c>
      <c r="XEQ57" s="503"/>
    </row>
    <row r="58" customFormat="false" ht="35.05" hidden="false" customHeight="false" outlineLevel="0" collapsed="false">
      <c r="A58" s="503" t="s">
        <v>2480</v>
      </c>
      <c r="B58" s="0" t="n">
        <v>179</v>
      </c>
      <c r="C58" s="503" t="n">
        <v>30</v>
      </c>
      <c r="D58" s="503" t="s">
        <v>422</v>
      </c>
      <c r="E58" s="503" t="s">
        <v>411</v>
      </c>
      <c r="F58" s="503" t="s">
        <v>381</v>
      </c>
      <c r="G58" s="503" t="s">
        <v>628</v>
      </c>
      <c r="H58" s="503" t="s">
        <v>423</v>
      </c>
      <c r="I58" s="503" t="s">
        <v>1435</v>
      </c>
      <c r="J58" s="504" t="n">
        <v>29230</v>
      </c>
      <c r="K58" s="504" t="n">
        <v>22520</v>
      </c>
      <c r="L58" s="505" t="n">
        <v>29</v>
      </c>
      <c r="M58" s="504" t="n">
        <v>6710</v>
      </c>
      <c r="N58" s="504" t="n">
        <v>4764.1</v>
      </c>
      <c r="O58" s="504" t="s">
        <v>417</v>
      </c>
      <c r="P58" s="508" t="n">
        <v>132</v>
      </c>
      <c r="Q58" s="506" t="n">
        <v>45811</v>
      </c>
      <c r="R58" s="507" t="n">
        <v>0.664513888888889</v>
      </c>
    </row>
    <row r="59" customFormat="false" ht="35.05" hidden="false" customHeight="false" outlineLevel="0" collapsed="false">
      <c r="A59" s="503" t="s">
        <v>2481</v>
      </c>
      <c r="B59" s="0" t="n">
        <v>180</v>
      </c>
      <c r="C59" s="503" t="n">
        <v>30</v>
      </c>
      <c r="D59" s="503" t="s">
        <v>422</v>
      </c>
      <c r="E59" s="503" t="s">
        <v>411</v>
      </c>
      <c r="F59" s="503" t="s">
        <v>381</v>
      </c>
      <c r="G59" s="503" t="s">
        <v>133</v>
      </c>
      <c r="H59" s="503" t="s">
        <v>423</v>
      </c>
      <c r="I59" s="503" t="s">
        <v>1435</v>
      </c>
      <c r="J59" s="504" t="n">
        <v>22520</v>
      </c>
      <c r="K59" s="504" t="n">
        <v>14140</v>
      </c>
      <c r="L59" s="505" t="n">
        <v>24</v>
      </c>
      <c r="M59" s="504" t="n">
        <v>8380</v>
      </c>
      <c r="N59" s="504" t="n">
        <v>6368.8</v>
      </c>
      <c r="O59" s="504" t="s">
        <v>417</v>
      </c>
      <c r="P59" s="508" t="n">
        <v>136</v>
      </c>
      <c r="Q59" s="506" t="n">
        <v>45811</v>
      </c>
      <c r="R59" s="507" t="n">
        <v>0.665891203703704</v>
      </c>
    </row>
    <row r="60" customFormat="false" ht="35.05" hidden="false" customHeight="false" outlineLevel="0" collapsed="false">
      <c r="A60" s="503" t="s">
        <v>2482</v>
      </c>
      <c r="B60" s="0" t="n">
        <v>182</v>
      </c>
      <c r="C60" s="503" t="n">
        <v>30</v>
      </c>
      <c r="D60" s="503" t="s">
        <v>422</v>
      </c>
      <c r="E60" s="503" t="s">
        <v>411</v>
      </c>
      <c r="F60" s="503" t="s">
        <v>381</v>
      </c>
      <c r="G60" s="503" t="s">
        <v>628</v>
      </c>
      <c r="H60" s="503" t="s">
        <v>423</v>
      </c>
      <c r="I60" s="503" t="s">
        <v>1435</v>
      </c>
      <c r="J60" s="504" t="n">
        <v>14110</v>
      </c>
      <c r="K60" s="504" t="n">
        <v>9450</v>
      </c>
      <c r="L60" s="505" t="n">
        <v>31</v>
      </c>
      <c r="M60" s="504" t="n">
        <v>4660</v>
      </c>
      <c r="N60" s="504" t="n">
        <v>3215.4</v>
      </c>
      <c r="O60" s="504" t="s">
        <v>417</v>
      </c>
      <c r="P60" s="508" t="n">
        <v>137</v>
      </c>
      <c r="Q60" s="506" t="n">
        <v>45811</v>
      </c>
      <c r="R60" s="507" t="n">
        <v>0.692175925925926</v>
      </c>
    </row>
    <row r="61" customFormat="false" ht="35.05" hidden="false" customHeight="false" outlineLevel="0" collapsed="false">
      <c r="A61" s="503" t="s">
        <v>2483</v>
      </c>
      <c r="B61" s="0" t="n">
        <v>181</v>
      </c>
      <c r="C61" s="503" t="n">
        <v>65933</v>
      </c>
      <c r="D61" s="503" t="s">
        <v>409</v>
      </c>
      <c r="E61" s="503" t="s">
        <v>427</v>
      </c>
      <c r="F61" s="503" t="s">
        <v>431</v>
      </c>
      <c r="G61" s="503" t="s">
        <v>410</v>
      </c>
      <c r="H61" s="503" t="s">
        <v>252</v>
      </c>
      <c r="I61" s="503" t="s">
        <v>1435</v>
      </c>
      <c r="J61" s="504" t="n">
        <v>34390</v>
      </c>
      <c r="K61" s="504" t="n">
        <v>20870</v>
      </c>
      <c r="L61" s="505" t="n">
        <v>18.5</v>
      </c>
      <c r="M61" s="504" t="n">
        <v>13520</v>
      </c>
      <c r="N61" s="504" t="n">
        <v>11018.8</v>
      </c>
      <c r="O61" s="504" t="s">
        <v>417</v>
      </c>
      <c r="P61" s="508" t="n">
        <v>138</v>
      </c>
      <c r="Q61" s="506" t="n">
        <v>45811</v>
      </c>
      <c r="R61" s="507" t="n">
        <v>0.730347222222222</v>
      </c>
    </row>
    <row r="62" customFormat="false" ht="35.05" hidden="false" customHeight="false" outlineLevel="0" collapsed="false">
      <c r="A62" s="503" t="s">
        <v>2484</v>
      </c>
      <c r="B62" s="0" t="n">
        <v>186</v>
      </c>
      <c r="C62" s="503" t="n">
        <v>65935</v>
      </c>
      <c r="D62" s="503" t="s">
        <v>409</v>
      </c>
      <c r="E62" s="503" t="s">
        <v>433</v>
      </c>
      <c r="F62" s="503" t="s">
        <v>437</v>
      </c>
      <c r="G62" s="503" t="s">
        <v>410</v>
      </c>
      <c r="H62" s="503" t="s">
        <v>252</v>
      </c>
      <c r="I62" s="503" t="s">
        <v>1435</v>
      </c>
      <c r="J62" s="504" t="n">
        <v>28460</v>
      </c>
      <c r="K62" s="504" t="n">
        <v>14860</v>
      </c>
      <c r="L62" s="505" t="n">
        <v>16.5</v>
      </c>
      <c r="M62" s="504" t="n">
        <v>13600</v>
      </c>
      <c r="N62" s="504" t="n">
        <v>11356</v>
      </c>
      <c r="O62" s="504" t="s">
        <v>417</v>
      </c>
      <c r="P62" s="508" t="n">
        <v>139</v>
      </c>
      <c r="Q62" s="506" t="n">
        <v>45811</v>
      </c>
      <c r="R62" s="507" t="n">
        <v>0.794247685185185</v>
      </c>
    </row>
    <row r="63" customFormat="false" ht="35.05" hidden="false" customHeight="false" outlineLevel="0" collapsed="false">
      <c r="A63" s="503" t="s">
        <v>2485</v>
      </c>
      <c r="B63" s="0" t="n">
        <v>187</v>
      </c>
      <c r="C63" s="503" t="n">
        <v>65936</v>
      </c>
      <c r="D63" s="503" t="s">
        <v>409</v>
      </c>
      <c r="E63" s="503" t="s">
        <v>439</v>
      </c>
      <c r="F63" s="503" t="s">
        <v>443</v>
      </c>
      <c r="G63" s="503" t="s">
        <v>410</v>
      </c>
      <c r="H63" s="503" t="s">
        <v>252</v>
      </c>
      <c r="I63" s="503" t="s">
        <v>1435</v>
      </c>
      <c r="J63" s="504" t="n">
        <v>37510</v>
      </c>
      <c r="K63" s="504" t="n">
        <v>24030</v>
      </c>
      <c r="L63" s="505" t="n">
        <v>13.5</v>
      </c>
      <c r="M63" s="504" t="n">
        <v>13480</v>
      </c>
      <c r="N63" s="504" t="n">
        <v>11660.2</v>
      </c>
      <c r="O63" s="504" t="s">
        <v>417</v>
      </c>
      <c r="P63" s="508" t="n">
        <v>140</v>
      </c>
      <c r="Q63" s="506" t="n">
        <v>45811</v>
      </c>
      <c r="R63" s="507" t="n">
        <v>0.888958333333333</v>
      </c>
    </row>
    <row r="64" customFormat="false" ht="35.05" hidden="false" customHeight="false" outlineLevel="0" collapsed="false">
      <c r="A64" s="503" t="s">
        <v>2486</v>
      </c>
      <c r="B64" s="0" t="n">
        <v>188</v>
      </c>
      <c r="C64" s="503" t="n">
        <v>31</v>
      </c>
      <c r="D64" s="503" t="s">
        <v>422</v>
      </c>
      <c r="E64" s="503" t="s">
        <v>411</v>
      </c>
      <c r="F64" s="503" t="s">
        <v>381</v>
      </c>
      <c r="G64" s="503" t="s">
        <v>628</v>
      </c>
      <c r="H64" s="503" t="s">
        <v>423</v>
      </c>
      <c r="I64" s="503" t="s">
        <v>1435</v>
      </c>
      <c r="J64" s="504" t="n">
        <v>13910</v>
      </c>
      <c r="K64" s="504" t="n">
        <v>9460</v>
      </c>
      <c r="L64" s="505" t="n">
        <v>19.5</v>
      </c>
      <c r="M64" s="504" t="n">
        <v>4450</v>
      </c>
      <c r="N64" s="504" t="n">
        <v>3582.2</v>
      </c>
      <c r="O64" s="504" t="s">
        <v>417</v>
      </c>
      <c r="P64" s="508" t="n">
        <v>141</v>
      </c>
      <c r="Q64" s="506" t="n">
        <v>45811</v>
      </c>
      <c r="R64" s="507" t="n">
        <v>0.901724537037037</v>
      </c>
    </row>
    <row r="65" customFormat="false" ht="35.05" hidden="false" customHeight="false" outlineLevel="0" collapsed="false">
      <c r="A65" s="503" t="s">
        <v>2487</v>
      </c>
      <c r="B65" s="0" t="n">
        <v>189</v>
      </c>
      <c r="C65" s="503" t="n">
        <v>65937</v>
      </c>
      <c r="D65" s="503" t="s">
        <v>409</v>
      </c>
      <c r="E65" s="503" t="s">
        <v>466</v>
      </c>
      <c r="F65" s="503" t="s">
        <v>470</v>
      </c>
      <c r="G65" s="503" t="s">
        <v>410</v>
      </c>
      <c r="H65" s="503" t="s">
        <v>252</v>
      </c>
      <c r="I65" s="503" t="s">
        <v>1435</v>
      </c>
      <c r="J65" s="504" t="n">
        <v>28520</v>
      </c>
      <c r="K65" s="504" t="n">
        <v>14820</v>
      </c>
      <c r="L65" s="505" t="n">
        <v>16</v>
      </c>
      <c r="M65" s="504" t="n">
        <v>13700</v>
      </c>
      <c r="N65" s="504" t="n">
        <v>11508</v>
      </c>
      <c r="O65" s="504" t="s">
        <v>417</v>
      </c>
      <c r="P65" s="508" t="n">
        <v>142</v>
      </c>
      <c r="Q65" s="506" t="n">
        <v>45811</v>
      </c>
      <c r="R65" s="507" t="n">
        <v>0.932430555555556</v>
      </c>
    </row>
    <row r="66" customFormat="false" ht="35.05" hidden="false" customHeight="false" outlineLevel="0" collapsed="false">
      <c r="A66" s="503" t="s">
        <v>2488</v>
      </c>
      <c r="B66" s="0" t="n">
        <v>190</v>
      </c>
      <c r="C66" s="503" t="n">
        <v>65938</v>
      </c>
      <c r="D66" s="503" t="s">
        <v>409</v>
      </c>
      <c r="E66" s="503" t="s">
        <v>386</v>
      </c>
      <c r="F66" s="503" t="s">
        <v>387</v>
      </c>
      <c r="G66" s="503" t="s">
        <v>410</v>
      </c>
      <c r="H66" s="503" t="s">
        <v>252</v>
      </c>
      <c r="I66" s="503" t="s">
        <v>1435</v>
      </c>
      <c r="J66" s="504" t="n">
        <v>28750</v>
      </c>
      <c r="K66" s="504" t="n">
        <v>15120</v>
      </c>
      <c r="L66" s="505" t="n">
        <v>20</v>
      </c>
      <c r="M66" s="504" t="n">
        <v>13630</v>
      </c>
      <c r="N66" s="504" t="n">
        <v>10904</v>
      </c>
      <c r="O66" s="504" t="s">
        <v>417</v>
      </c>
      <c r="P66" s="508" t="n">
        <v>143</v>
      </c>
      <c r="Q66" s="506" t="n">
        <v>45811</v>
      </c>
      <c r="R66" s="507" t="n">
        <v>0.9121875</v>
      </c>
    </row>
    <row r="67" customFormat="false" ht="35.05" hidden="false" customHeight="false" outlineLevel="0" collapsed="false">
      <c r="A67" s="503" t="s">
        <v>2489</v>
      </c>
      <c r="B67" s="0" t="n">
        <v>191</v>
      </c>
      <c r="C67" s="503" t="n">
        <v>65939</v>
      </c>
      <c r="D67" s="503" t="s">
        <v>409</v>
      </c>
      <c r="E67" s="503" t="s">
        <v>57</v>
      </c>
      <c r="F67" s="503" t="s">
        <v>58</v>
      </c>
      <c r="G67" s="503" t="s">
        <v>410</v>
      </c>
      <c r="H67" s="503" t="s">
        <v>252</v>
      </c>
      <c r="I67" s="503" t="s">
        <v>1435</v>
      </c>
      <c r="J67" s="504" t="n">
        <v>28870</v>
      </c>
      <c r="K67" s="504" t="n">
        <v>15420</v>
      </c>
      <c r="L67" s="505" t="n">
        <v>18</v>
      </c>
      <c r="M67" s="504" t="n">
        <v>13450</v>
      </c>
      <c r="N67" s="504" t="n">
        <v>11029</v>
      </c>
      <c r="O67" s="504" t="s">
        <v>417</v>
      </c>
      <c r="P67" s="508" t="n">
        <v>144</v>
      </c>
      <c r="Q67" s="506" t="n">
        <v>45811</v>
      </c>
      <c r="R67" s="507" t="n">
        <v>0.966666666666667</v>
      </c>
    </row>
    <row r="68" customFormat="false" ht="35.05" hidden="false" customHeight="false" outlineLevel="0" collapsed="false">
      <c r="A68" s="503" t="s">
        <v>2490</v>
      </c>
      <c r="B68" s="0" t="n">
        <v>192</v>
      </c>
      <c r="C68" s="503" t="n">
        <v>65941</v>
      </c>
      <c r="D68" s="503" t="s">
        <v>409</v>
      </c>
      <c r="E68" s="503" t="s">
        <v>457</v>
      </c>
      <c r="F68" s="503" t="s">
        <v>366</v>
      </c>
      <c r="G68" s="503" t="s">
        <v>410</v>
      </c>
      <c r="H68" s="503" t="s">
        <v>252</v>
      </c>
      <c r="I68" s="503" t="s">
        <v>1435</v>
      </c>
      <c r="J68" s="504" t="n">
        <v>28210</v>
      </c>
      <c r="K68" s="504" t="n">
        <v>14770</v>
      </c>
      <c r="L68" s="505" t="n">
        <v>18.5</v>
      </c>
      <c r="M68" s="504" t="n">
        <v>13440</v>
      </c>
      <c r="N68" s="504" t="n">
        <v>10953.6</v>
      </c>
      <c r="O68" s="504" t="s">
        <v>417</v>
      </c>
      <c r="P68" s="508" t="n">
        <v>145</v>
      </c>
      <c r="Q68" s="506" t="n">
        <v>45811</v>
      </c>
      <c r="R68" s="507" t="n">
        <v>0.994479166666667</v>
      </c>
    </row>
    <row r="69" customFormat="false" ht="35.05" hidden="false" customHeight="false" outlineLevel="0" collapsed="false">
      <c r="A69" s="503" t="s">
        <v>2491</v>
      </c>
      <c r="B69" s="0" t="n">
        <v>194</v>
      </c>
      <c r="C69" s="503" t="n">
        <v>65930</v>
      </c>
      <c r="D69" s="503" t="s">
        <v>409</v>
      </c>
      <c r="E69" s="503" t="s">
        <v>519</v>
      </c>
      <c r="F69" s="503" t="s">
        <v>523</v>
      </c>
      <c r="G69" s="503" t="s">
        <v>410</v>
      </c>
      <c r="H69" s="503" t="s">
        <v>252</v>
      </c>
      <c r="I69" s="503" t="s">
        <v>1435</v>
      </c>
      <c r="J69" s="504" t="n">
        <v>29090</v>
      </c>
      <c r="K69" s="504" t="n">
        <v>15650</v>
      </c>
      <c r="L69" s="505" t="n">
        <v>22</v>
      </c>
      <c r="M69" s="504" t="n">
        <v>13440</v>
      </c>
      <c r="N69" s="504" t="n">
        <v>10483.2</v>
      </c>
      <c r="O69" s="504" t="s">
        <v>417</v>
      </c>
      <c r="P69" s="508" t="n">
        <v>146</v>
      </c>
      <c r="Q69" s="506" t="n">
        <v>45812</v>
      </c>
      <c r="R69" s="507" t="n">
        <v>0.0929976851851852</v>
      </c>
    </row>
    <row r="70" customFormat="false" ht="35.05" hidden="false" customHeight="false" outlineLevel="0" collapsed="false">
      <c r="A70" s="503" t="s">
        <v>2492</v>
      </c>
      <c r="B70" s="0" t="n">
        <v>195</v>
      </c>
      <c r="C70" s="503" t="n">
        <v>65942</v>
      </c>
      <c r="D70" s="503" t="s">
        <v>409</v>
      </c>
      <c r="E70" s="503" t="s">
        <v>55</v>
      </c>
      <c r="F70" s="503" t="s">
        <v>56</v>
      </c>
      <c r="G70" s="503" t="s">
        <v>410</v>
      </c>
      <c r="H70" s="503" t="s">
        <v>252</v>
      </c>
      <c r="I70" s="503" t="s">
        <v>1435</v>
      </c>
      <c r="J70" s="504" t="n">
        <v>28130</v>
      </c>
      <c r="K70" s="504" t="n">
        <v>14690</v>
      </c>
      <c r="L70" s="505" t="n">
        <v>15.5</v>
      </c>
      <c r="M70" s="504" t="n">
        <v>13440</v>
      </c>
      <c r="N70" s="504" t="n">
        <v>11356.8</v>
      </c>
      <c r="O70" s="504" t="s">
        <v>417</v>
      </c>
      <c r="P70" s="508" t="n">
        <v>147</v>
      </c>
      <c r="Q70" s="506" t="n">
        <v>45812</v>
      </c>
      <c r="R70" s="507" t="n">
        <v>0.170046296296296</v>
      </c>
    </row>
    <row r="71" customFormat="false" ht="35.05" hidden="false" customHeight="false" outlineLevel="0" collapsed="false">
      <c r="A71" s="503" t="s">
        <v>2493</v>
      </c>
      <c r="B71" s="0" t="n">
        <v>196</v>
      </c>
      <c r="C71" s="503" t="n">
        <v>65943</v>
      </c>
      <c r="D71" s="503" t="s">
        <v>409</v>
      </c>
      <c r="E71" s="503" t="s">
        <v>547</v>
      </c>
      <c r="F71" s="503" t="s">
        <v>551</v>
      </c>
      <c r="G71" s="503" t="s">
        <v>410</v>
      </c>
      <c r="H71" s="503" t="s">
        <v>252</v>
      </c>
      <c r="I71" s="503" t="s">
        <v>1435</v>
      </c>
      <c r="J71" s="504" t="n">
        <v>28070</v>
      </c>
      <c r="K71" s="504" t="n">
        <v>14680</v>
      </c>
      <c r="L71" s="505" t="n">
        <v>20.5</v>
      </c>
      <c r="M71" s="504" t="n">
        <v>13390</v>
      </c>
      <c r="N71" s="504" t="n">
        <v>10645</v>
      </c>
      <c r="O71" s="504" t="s">
        <v>417</v>
      </c>
      <c r="P71" s="508" t="n">
        <v>148</v>
      </c>
      <c r="Q71" s="506" t="n">
        <v>45812</v>
      </c>
      <c r="R71" s="507" t="n">
        <v>0.191412037037037</v>
      </c>
    </row>
    <row r="72" customFormat="false" ht="35.05" hidden="false" customHeight="false" outlineLevel="0" collapsed="false">
      <c r="A72" s="503" t="s">
        <v>2494</v>
      </c>
      <c r="B72" s="0" t="n">
        <v>197</v>
      </c>
      <c r="C72" s="503" t="n">
        <v>34</v>
      </c>
      <c r="D72" s="503" t="s">
        <v>422</v>
      </c>
      <c r="E72" s="503" t="s">
        <v>411</v>
      </c>
      <c r="F72" s="503" t="s">
        <v>381</v>
      </c>
      <c r="G72" s="503" t="s">
        <v>628</v>
      </c>
      <c r="H72" s="503" t="s">
        <v>423</v>
      </c>
      <c r="I72" s="503" t="s">
        <v>1435</v>
      </c>
      <c r="J72" s="504" t="n">
        <v>16470</v>
      </c>
      <c r="K72" s="504" t="n">
        <v>9450</v>
      </c>
      <c r="L72" s="505" t="n">
        <v>21</v>
      </c>
      <c r="M72" s="504" t="n">
        <v>7020</v>
      </c>
      <c r="N72" s="504" t="n">
        <v>5545.8</v>
      </c>
      <c r="O72" s="504" t="s">
        <v>417</v>
      </c>
      <c r="P72" s="508" t="n">
        <v>149</v>
      </c>
      <c r="Q72" s="506" t="n">
        <v>45812</v>
      </c>
      <c r="R72" s="507" t="n">
        <v>0.227962962962963</v>
      </c>
    </row>
    <row r="73" customFormat="false" ht="35.05" hidden="false" customHeight="false" outlineLevel="0" collapsed="false">
      <c r="A73" s="503" t="s">
        <v>2495</v>
      </c>
      <c r="B73" s="0" t="n">
        <v>198</v>
      </c>
      <c r="C73" s="503" t="n">
        <v>65947</v>
      </c>
      <c r="D73" s="503" t="s">
        <v>409</v>
      </c>
      <c r="E73" s="503" t="s">
        <v>553</v>
      </c>
      <c r="F73" s="503" t="s">
        <v>557</v>
      </c>
      <c r="G73" s="503" t="s">
        <v>410</v>
      </c>
      <c r="H73" s="503" t="s">
        <v>252</v>
      </c>
      <c r="I73" s="503" t="s">
        <v>1435</v>
      </c>
      <c r="J73" s="504" t="n">
        <v>28240</v>
      </c>
      <c r="K73" s="504" t="n">
        <v>14870</v>
      </c>
      <c r="L73" s="505" t="n">
        <v>17.5</v>
      </c>
      <c r="M73" s="504" t="n">
        <v>13370</v>
      </c>
      <c r="N73" s="504" t="n">
        <v>11030.2</v>
      </c>
      <c r="O73" s="504" t="s">
        <v>417</v>
      </c>
      <c r="P73" s="508" t="n">
        <v>150</v>
      </c>
      <c r="Q73" s="506" t="n">
        <v>45812</v>
      </c>
      <c r="R73" s="507" t="n">
        <v>0.285335648148148</v>
      </c>
    </row>
    <row r="74" customFormat="false" ht="46.25" hidden="false" customHeight="false" outlineLevel="0" collapsed="false">
      <c r="A74" s="503" t="s">
        <v>2496</v>
      </c>
      <c r="B74" s="0" t="n">
        <v>171</v>
      </c>
      <c r="C74" s="503" t="s">
        <v>684</v>
      </c>
      <c r="D74" s="503" t="s">
        <v>422</v>
      </c>
      <c r="E74" s="503" t="s">
        <v>677</v>
      </c>
      <c r="F74" s="503" t="s">
        <v>681</v>
      </c>
      <c r="G74" s="503" t="s">
        <v>133</v>
      </c>
      <c r="H74" s="503" t="s">
        <v>423</v>
      </c>
      <c r="I74" s="503" t="s">
        <v>1435</v>
      </c>
      <c r="J74" s="504" t="n">
        <v>28790</v>
      </c>
      <c r="K74" s="504" t="n">
        <v>16660</v>
      </c>
      <c r="L74" s="505" t="n">
        <v>15.5</v>
      </c>
      <c r="M74" s="504" t="n">
        <v>12130</v>
      </c>
      <c r="N74" s="504" t="n">
        <v>10251</v>
      </c>
      <c r="O74" s="504" t="s">
        <v>417</v>
      </c>
      <c r="P74" s="508" t="n">
        <v>151</v>
      </c>
      <c r="Q74" s="506" t="n">
        <v>45811</v>
      </c>
      <c r="R74" s="507" t="n">
        <v>0.0906944444444444</v>
      </c>
    </row>
    <row r="75" customFormat="false" ht="35.05" hidden="false" customHeight="false" outlineLevel="0" collapsed="false">
      <c r="A75" s="503" t="s">
        <v>2497</v>
      </c>
      <c r="B75" s="0" t="n">
        <v>174</v>
      </c>
      <c r="C75" s="503" t="s">
        <v>691</v>
      </c>
      <c r="D75" s="503" t="s">
        <v>422</v>
      </c>
      <c r="E75" s="503" t="s">
        <v>685</v>
      </c>
      <c r="F75" s="503" t="s">
        <v>689</v>
      </c>
      <c r="G75" s="503" t="s">
        <v>628</v>
      </c>
      <c r="H75" s="503" t="s">
        <v>423</v>
      </c>
      <c r="I75" s="503" t="s">
        <v>1435</v>
      </c>
      <c r="J75" s="504" t="n">
        <v>32620</v>
      </c>
      <c r="K75" s="504" t="n">
        <v>18780</v>
      </c>
      <c r="L75" s="505" t="n">
        <v>15.4</v>
      </c>
      <c r="M75" s="504" t="n">
        <v>13840</v>
      </c>
      <c r="N75" s="504" t="n">
        <v>11709.8</v>
      </c>
      <c r="O75" s="504" t="s">
        <v>417</v>
      </c>
      <c r="P75" s="508" t="n">
        <v>152</v>
      </c>
      <c r="Q75" s="506" t="n">
        <v>45811</v>
      </c>
      <c r="R75" s="507" t="n">
        <v>0.255636574074074</v>
      </c>
    </row>
    <row r="76" customFormat="false" ht="35.05" hidden="false" customHeight="false" outlineLevel="0" collapsed="false">
      <c r="A76" s="503" t="s">
        <v>2498</v>
      </c>
      <c r="B76" s="0" t="n">
        <v>173</v>
      </c>
      <c r="C76" s="503" t="s">
        <v>695</v>
      </c>
      <c r="D76" s="503" t="s">
        <v>422</v>
      </c>
      <c r="E76" s="503" t="s">
        <v>602</v>
      </c>
      <c r="F76" s="503" t="s">
        <v>606</v>
      </c>
      <c r="G76" s="503" t="s">
        <v>628</v>
      </c>
      <c r="H76" s="503" t="s">
        <v>423</v>
      </c>
      <c r="I76" s="503" t="s">
        <v>1435</v>
      </c>
      <c r="J76" s="504" t="n">
        <v>31130</v>
      </c>
      <c r="K76" s="504" t="n">
        <v>17880</v>
      </c>
      <c r="L76" s="505" t="n">
        <v>11.6</v>
      </c>
      <c r="M76" s="504" t="n">
        <v>13250</v>
      </c>
      <c r="N76" s="504" t="n">
        <v>11713</v>
      </c>
      <c r="O76" s="504" t="s">
        <v>417</v>
      </c>
      <c r="P76" s="508" t="n">
        <v>153</v>
      </c>
      <c r="Q76" s="506" t="n">
        <v>45811</v>
      </c>
      <c r="R76" s="507" t="n">
        <v>0.241921296296296</v>
      </c>
    </row>
    <row r="77" customFormat="false" ht="35.05" hidden="false" customHeight="false" outlineLevel="0" collapsed="false">
      <c r="A77" s="503" t="s">
        <v>2499</v>
      </c>
      <c r="B77" s="0" t="n">
        <v>175</v>
      </c>
      <c r="C77" s="503" t="s">
        <v>700</v>
      </c>
      <c r="D77" s="503" t="s">
        <v>422</v>
      </c>
      <c r="E77" s="503" t="s">
        <v>610</v>
      </c>
      <c r="F77" s="503" t="s">
        <v>614</v>
      </c>
      <c r="G77" s="503" t="s">
        <v>628</v>
      </c>
      <c r="H77" s="503" t="s">
        <v>423</v>
      </c>
      <c r="I77" s="503" t="s">
        <v>1435</v>
      </c>
      <c r="J77" s="504" t="n">
        <v>30790</v>
      </c>
      <c r="K77" s="504" t="n">
        <v>16990</v>
      </c>
      <c r="L77" s="505" t="n">
        <v>26.7</v>
      </c>
      <c r="M77" s="504" t="n">
        <v>13800</v>
      </c>
      <c r="N77" s="504" t="n">
        <v>10115.4</v>
      </c>
      <c r="O77" s="504" t="s">
        <v>417</v>
      </c>
      <c r="P77" s="508" t="n">
        <v>154</v>
      </c>
      <c r="Q77" s="506" t="n">
        <v>45811</v>
      </c>
      <c r="R77" s="507" t="n">
        <v>0.258680555555556</v>
      </c>
    </row>
    <row r="78" customFormat="false" ht="35.05" hidden="false" customHeight="false" outlineLevel="0" collapsed="false">
      <c r="A78" s="503" t="s">
        <v>2500</v>
      </c>
      <c r="B78" s="0" t="n">
        <v>201</v>
      </c>
      <c r="C78" s="503" t="n">
        <v>65950</v>
      </c>
      <c r="D78" s="503" t="s">
        <v>409</v>
      </c>
      <c r="E78" s="503" t="s">
        <v>542</v>
      </c>
      <c r="F78" s="503" t="s">
        <v>704</v>
      </c>
      <c r="G78" s="503" t="s">
        <v>410</v>
      </c>
      <c r="H78" s="503" t="s">
        <v>252</v>
      </c>
      <c r="I78" s="503" t="s">
        <v>1435</v>
      </c>
      <c r="J78" s="504" t="n">
        <v>27790</v>
      </c>
      <c r="K78" s="504" t="n">
        <v>14630</v>
      </c>
      <c r="L78" s="505" t="n">
        <v>12.5</v>
      </c>
      <c r="M78" s="504" t="n">
        <v>13160</v>
      </c>
      <c r="N78" s="504" t="n">
        <v>11515</v>
      </c>
      <c r="O78" s="504" t="s">
        <v>417</v>
      </c>
      <c r="P78" s="508" t="n">
        <v>155</v>
      </c>
      <c r="Q78" s="506" t="n">
        <v>45812</v>
      </c>
      <c r="R78" s="507" t="n">
        <v>0.509907407407407</v>
      </c>
    </row>
    <row r="79" customFormat="false" ht="35.05" hidden="false" customHeight="false" outlineLevel="0" collapsed="false">
      <c r="A79" s="503" t="s">
        <v>2501</v>
      </c>
      <c r="B79" s="0" t="n">
        <v>199</v>
      </c>
      <c r="C79" s="503" t="n">
        <v>65948</v>
      </c>
      <c r="D79" s="503" t="s">
        <v>409</v>
      </c>
      <c r="E79" s="503" t="s">
        <v>363</v>
      </c>
      <c r="F79" s="503" t="s">
        <v>364</v>
      </c>
      <c r="G79" s="503" t="s">
        <v>410</v>
      </c>
      <c r="H79" s="503" t="s">
        <v>252</v>
      </c>
      <c r="I79" s="503" t="s">
        <v>1435</v>
      </c>
      <c r="J79" s="504" t="n">
        <v>27800</v>
      </c>
      <c r="K79" s="504" t="n">
        <v>14550</v>
      </c>
      <c r="L79" s="505" t="n">
        <v>12.5</v>
      </c>
      <c r="M79" s="504" t="n">
        <v>13250</v>
      </c>
      <c r="N79" s="504" t="n">
        <v>11593.7</v>
      </c>
      <c r="O79" s="504" t="s">
        <v>417</v>
      </c>
      <c r="P79" s="508" t="n">
        <v>156</v>
      </c>
      <c r="Q79" s="506" t="n">
        <v>45812</v>
      </c>
      <c r="R79" s="507" t="n">
        <v>0.514606481481482</v>
      </c>
    </row>
    <row r="80" customFormat="false" ht="35.05" hidden="false" customHeight="false" outlineLevel="0" collapsed="false">
      <c r="A80" s="503" t="s">
        <v>2502</v>
      </c>
      <c r="B80" s="0" t="n">
        <v>202</v>
      </c>
      <c r="C80" s="503" t="n">
        <v>130776</v>
      </c>
      <c r="D80" s="503" t="s">
        <v>409</v>
      </c>
      <c r="E80" s="503" t="s">
        <v>537</v>
      </c>
      <c r="F80" s="503" t="s">
        <v>541</v>
      </c>
      <c r="G80" s="503" t="s">
        <v>410</v>
      </c>
      <c r="H80" s="503" t="s">
        <v>252</v>
      </c>
      <c r="I80" s="503" t="s">
        <v>1435</v>
      </c>
      <c r="J80" s="504" t="n">
        <v>28330</v>
      </c>
      <c r="K80" s="504" t="n">
        <v>15030</v>
      </c>
      <c r="L80" s="505" t="n">
        <v>11.2</v>
      </c>
      <c r="M80" s="504" t="n">
        <v>13300</v>
      </c>
      <c r="N80" s="504" t="n">
        <v>11810.4</v>
      </c>
      <c r="O80" s="504" t="s">
        <v>417</v>
      </c>
      <c r="P80" s="508" t="n">
        <v>176</v>
      </c>
      <c r="Q80" s="506" t="n">
        <v>45812</v>
      </c>
      <c r="R80" s="507" t="n">
        <v>0.703738425925926</v>
      </c>
    </row>
    <row r="81" customFormat="false" ht="35.05" hidden="false" customHeight="false" outlineLevel="0" collapsed="false">
      <c r="A81" s="503" t="s">
        <v>2503</v>
      </c>
      <c r="B81" s="0" t="n">
        <v>206</v>
      </c>
      <c r="C81" s="503" t="n">
        <v>130777</v>
      </c>
      <c r="D81" s="503" t="s">
        <v>409</v>
      </c>
      <c r="E81" s="503" t="s">
        <v>445</v>
      </c>
      <c r="F81" s="503" t="s">
        <v>449</v>
      </c>
      <c r="G81" s="503" t="s">
        <v>410</v>
      </c>
      <c r="H81" s="503" t="s">
        <v>252</v>
      </c>
      <c r="I81" s="503" t="s">
        <v>1435</v>
      </c>
      <c r="J81" s="504" t="n">
        <v>29200</v>
      </c>
      <c r="K81" s="504" t="n">
        <v>15700</v>
      </c>
      <c r="L81" s="505" t="n">
        <v>14.5</v>
      </c>
      <c r="M81" s="504" t="n">
        <v>13500</v>
      </c>
      <c r="N81" s="504" t="n">
        <v>11542.5</v>
      </c>
      <c r="O81" s="504" t="s">
        <v>417</v>
      </c>
      <c r="P81" s="508" t="n">
        <v>177</v>
      </c>
      <c r="Q81" s="506" t="n">
        <v>45812</v>
      </c>
      <c r="R81" s="507" t="n">
        <v>0.706747685185185</v>
      </c>
    </row>
    <row r="82" customFormat="false" ht="35.05" hidden="false" customHeight="false" outlineLevel="0" collapsed="false">
      <c r="A82" s="503" t="s">
        <v>2504</v>
      </c>
      <c r="B82" s="0" t="n">
        <v>208</v>
      </c>
      <c r="C82" s="503" t="n">
        <v>130778</v>
      </c>
      <c r="D82" s="503" t="s">
        <v>409</v>
      </c>
      <c r="E82" s="503" t="s">
        <v>451</v>
      </c>
      <c r="F82" s="503" t="s">
        <v>455</v>
      </c>
      <c r="G82" s="503" t="s">
        <v>410</v>
      </c>
      <c r="H82" s="503" t="s">
        <v>252</v>
      </c>
      <c r="I82" s="503" t="s">
        <v>1435</v>
      </c>
      <c r="J82" s="504" t="n">
        <v>28280</v>
      </c>
      <c r="K82" s="504" t="n">
        <v>15050</v>
      </c>
      <c r="L82" s="505" t="n">
        <v>12.5</v>
      </c>
      <c r="M82" s="504" t="n">
        <v>13230</v>
      </c>
      <c r="N82" s="504" t="n">
        <v>11576.2</v>
      </c>
      <c r="O82" s="504" t="s">
        <v>417</v>
      </c>
      <c r="P82" s="508" t="n">
        <v>178</v>
      </c>
      <c r="Q82" s="506" t="n">
        <v>45812</v>
      </c>
      <c r="R82" s="507" t="n">
        <v>0.724456018518519</v>
      </c>
    </row>
    <row r="83" customFormat="false" ht="35.05" hidden="false" customHeight="false" outlineLevel="0" collapsed="false">
      <c r="A83" s="503" t="s">
        <v>2505</v>
      </c>
      <c r="B83" s="0" t="n">
        <v>209</v>
      </c>
      <c r="C83" s="503" t="n">
        <v>130781</v>
      </c>
      <c r="D83" s="503" t="s">
        <v>409</v>
      </c>
      <c r="E83" s="503" t="s">
        <v>371</v>
      </c>
      <c r="F83" s="503" t="s">
        <v>372</v>
      </c>
      <c r="G83" s="503" t="s">
        <v>410</v>
      </c>
      <c r="H83" s="503" t="s">
        <v>584</v>
      </c>
      <c r="I83" s="503" t="s">
        <v>1435</v>
      </c>
      <c r="J83" s="504" t="n">
        <v>28130</v>
      </c>
      <c r="K83" s="504" t="n">
        <v>14940</v>
      </c>
      <c r="L83" s="505" t="n">
        <v>13.5</v>
      </c>
      <c r="M83" s="504" t="n">
        <v>13190</v>
      </c>
      <c r="N83" s="504" t="n">
        <v>11409.3</v>
      </c>
      <c r="O83" s="504" t="s">
        <v>417</v>
      </c>
      <c r="P83" s="508" t="n">
        <v>179</v>
      </c>
      <c r="Q83" s="506" t="n">
        <v>45812</v>
      </c>
      <c r="R83" s="507" t="n">
        <v>0.739930555555556</v>
      </c>
    </row>
    <row r="84" customFormat="false" ht="35.05" hidden="false" customHeight="false" outlineLevel="0" collapsed="false">
      <c r="A84" s="503" t="s">
        <v>2506</v>
      </c>
      <c r="B84" s="0" t="n">
        <v>210</v>
      </c>
      <c r="C84" s="503" t="n">
        <v>130782</v>
      </c>
      <c r="D84" s="503" t="s">
        <v>409</v>
      </c>
      <c r="E84" s="503" t="s">
        <v>365</v>
      </c>
      <c r="F84" s="503" t="s">
        <v>373</v>
      </c>
      <c r="G84" s="503" t="s">
        <v>410</v>
      </c>
      <c r="H84" s="503" t="s">
        <v>252</v>
      </c>
      <c r="I84" s="503" t="s">
        <v>1435</v>
      </c>
      <c r="J84" s="504" t="n">
        <v>34410</v>
      </c>
      <c r="K84" s="504" t="n">
        <v>18690</v>
      </c>
      <c r="L84" s="505" t="n">
        <v>12.5</v>
      </c>
      <c r="M84" s="504" t="n">
        <v>15720</v>
      </c>
      <c r="N84" s="504" t="n">
        <v>13755</v>
      </c>
      <c r="O84" s="504" t="s">
        <v>417</v>
      </c>
      <c r="P84" s="508" t="n">
        <v>180</v>
      </c>
      <c r="Q84" s="506" t="n">
        <v>45812</v>
      </c>
      <c r="R84" s="507" t="n">
        <v>0.836736111111111</v>
      </c>
    </row>
    <row r="85" customFormat="false" ht="35.05" hidden="false" customHeight="false" outlineLevel="0" collapsed="false">
      <c r="A85" s="503" t="s">
        <v>2507</v>
      </c>
      <c r="B85" s="0" t="n">
        <v>211</v>
      </c>
      <c r="C85" s="503" t="n">
        <v>130783</v>
      </c>
      <c r="D85" s="503" t="s">
        <v>409</v>
      </c>
      <c r="E85" s="503" t="s">
        <v>384</v>
      </c>
      <c r="F85" s="503" t="s">
        <v>385</v>
      </c>
      <c r="G85" s="503" t="s">
        <v>410</v>
      </c>
      <c r="H85" s="503" t="s">
        <v>252</v>
      </c>
      <c r="I85" s="503" t="s">
        <v>1435</v>
      </c>
      <c r="J85" s="504" t="n">
        <v>27680</v>
      </c>
      <c r="K85" s="504" t="n">
        <v>14390</v>
      </c>
      <c r="L85" s="505" t="n">
        <v>13.5</v>
      </c>
      <c r="M85" s="504" t="n">
        <v>13290</v>
      </c>
      <c r="N85" s="504" t="n">
        <v>11495.8</v>
      </c>
      <c r="O85" s="504" t="s">
        <v>417</v>
      </c>
      <c r="P85" s="508" t="n">
        <v>181</v>
      </c>
      <c r="Q85" s="506" t="n">
        <v>45812</v>
      </c>
      <c r="R85" s="507" t="n">
        <v>0.86130787037037</v>
      </c>
    </row>
    <row r="86" customFormat="false" ht="35.05" hidden="false" customHeight="false" outlineLevel="0" collapsed="false">
      <c r="A86" s="503" t="s">
        <v>2508</v>
      </c>
      <c r="B86" s="0" t="n">
        <v>213</v>
      </c>
      <c r="C86" s="503" t="n">
        <v>37</v>
      </c>
      <c r="D86" s="503" t="s">
        <v>422</v>
      </c>
      <c r="E86" s="503" t="s">
        <v>376</v>
      </c>
      <c r="F86" s="503" t="s">
        <v>377</v>
      </c>
      <c r="G86" s="503" t="s">
        <v>730</v>
      </c>
      <c r="H86" s="503" t="s">
        <v>47</v>
      </c>
      <c r="I86" s="503" t="s">
        <v>1435</v>
      </c>
      <c r="J86" s="504" t="n">
        <v>11950</v>
      </c>
      <c r="K86" s="504" t="n">
        <v>9730</v>
      </c>
      <c r="L86" s="505" t="n">
        <v>15.5</v>
      </c>
      <c r="M86" s="504" t="n">
        <v>2220</v>
      </c>
      <c r="N86" s="504" t="n">
        <v>1875.9</v>
      </c>
      <c r="O86" s="504" t="s">
        <v>417</v>
      </c>
      <c r="P86" s="508" t="n">
        <v>182</v>
      </c>
      <c r="Q86" s="506" t="n">
        <v>45812</v>
      </c>
      <c r="R86" s="507" t="n">
        <v>0.894918981481482</v>
      </c>
    </row>
    <row r="87" customFormat="false" ht="35.05" hidden="false" customHeight="false" outlineLevel="0" collapsed="false">
      <c r="A87" s="503" t="s">
        <v>2509</v>
      </c>
      <c r="B87" s="0" t="n">
        <v>212</v>
      </c>
      <c r="C87" s="503" t="n">
        <v>130784</v>
      </c>
      <c r="D87" s="503" t="s">
        <v>409</v>
      </c>
      <c r="E87" s="503" t="s">
        <v>361</v>
      </c>
      <c r="F87" s="503" t="s">
        <v>362</v>
      </c>
      <c r="G87" s="503" t="s">
        <v>410</v>
      </c>
      <c r="H87" s="503" t="s">
        <v>252</v>
      </c>
      <c r="I87" s="503" t="s">
        <v>1435</v>
      </c>
      <c r="J87" s="504" t="n">
        <v>28130</v>
      </c>
      <c r="K87" s="504" t="n">
        <v>14780</v>
      </c>
      <c r="L87" s="505" t="n">
        <v>10.5</v>
      </c>
      <c r="M87" s="504" t="n">
        <v>13350</v>
      </c>
      <c r="N87" s="504" t="n">
        <v>11948.2</v>
      </c>
      <c r="O87" s="504" t="s">
        <v>417</v>
      </c>
      <c r="P87" s="508" t="n">
        <v>183</v>
      </c>
      <c r="Q87" s="506" t="n">
        <v>45812</v>
      </c>
      <c r="R87" s="507" t="n">
        <v>0.92875</v>
      </c>
    </row>
    <row r="88" customFormat="false" ht="35.05" hidden="false" customHeight="false" outlineLevel="0" collapsed="false">
      <c r="A88" s="503" t="s">
        <v>2510</v>
      </c>
      <c r="B88" s="0" t="n">
        <v>216</v>
      </c>
      <c r="C88" s="503" t="n">
        <v>130786</v>
      </c>
      <c r="D88" s="503" t="s">
        <v>409</v>
      </c>
      <c r="E88" s="503" t="s">
        <v>427</v>
      </c>
      <c r="F88" s="503" t="s">
        <v>431</v>
      </c>
      <c r="G88" s="503" t="s">
        <v>410</v>
      </c>
      <c r="H88" s="503" t="s">
        <v>252</v>
      </c>
      <c r="I88" s="503" t="s">
        <v>1435</v>
      </c>
      <c r="J88" s="504" t="n">
        <v>36430</v>
      </c>
      <c r="K88" s="504" t="n">
        <v>21070</v>
      </c>
      <c r="L88" s="505" t="n">
        <v>14</v>
      </c>
      <c r="M88" s="504" t="n">
        <v>15360</v>
      </c>
      <c r="N88" s="504" t="n">
        <v>13209.6</v>
      </c>
      <c r="O88" s="504" t="s">
        <v>417</v>
      </c>
      <c r="P88" s="508" t="n">
        <v>184</v>
      </c>
      <c r="Q88" s="506" t="n">
        <v>45812</v>
      </c>
      <c r="R88" s="507" t="n">
        <v>0.98818287037037</v>
      </c>
    </row>
    <row r="89" customFormat="false" ht="35.05" hidden="false" customHeight="false" outlineLevel="0" collapsed="false">
      <c r="A89" s="503" t="s">
        <v>2511</v>
      </c>
      <c r="B89" s="0" t="n">
        <v>217</v>
      </c>
      <c r="C89" s="503" t="n">
        <v>130787</v>
      </c>
      <c r="D89" s="503" t="s">
        <v>409</v>
      </c>
      <c r="E89" s="503" t="s">
        <v>433</v>
      </c>
      <c r="F89" s="503" t="s">
        <v>437</v>
      </c>
      <c r="G89" s="503" t="s">
        <v>410</v>
      </c>
      <c r="H89" s="503" t="s">
        <v>252</v>
      </c>
      <c r="I89" s="503" t="s">
        <v>1435</v>
      </c>
      <c r="J89" s="504" t="n">
        <v>28110</v>
      </c>
      <c r="K89" s="504" t="n">
        <v>14880</v>
      </c>
      <c r="L89" s="505" t="n">
        <v>8.5</v>
      </c>
      <c r="M89" s="504" t="n">
        <v>13230</v>
      </c>
      <c r="N89" s="504" t="n">
        <v>12105.4</v>
      </c>
      <c r="O89" s="504" t="s">
        <v>417</v>
      </c>
      <c r="P89" s="508" t="n">
        <v>185</v>
      </c>
      <c r="Q89" s="506" t="n">
        <v>45812</v>
      </c>
      <c r="R89" s="507" t="n">
        <v>0.991608796296296</v>
      </c>
    </row>
    <row r="90" customFormat="false" ht="35.05" hidden="false" customHeight="false" outlineLevel="0" collapsed="false">
      <c r="A90" s="503" t="s">
        <v>2512</v>
      </c>
      <c r="B90" s="0" t="n">
        <v>218</v>
      </c>
      <c r="C90" s="503" t="n">
        <v>39</v>
      </c>
      <c r="D90" s="503" t="s">
        <v>422</v>
      </c>
      <c r="E90" s="503" t="s">
        <v>376</v>
      </c>
      <c r="F90" s="503" t="s">
        <v>377</v>
      </c>
      <c r="G90" s="503" t="s">
        <v>628</v>
      </c>
      <c r="H90" s="503" t="s">
        <v>423</v>
      </c>
      <c r="I90" s="503" t="s">
        <v>1435</v>
      </c>
      <c r="J90" s="504" t="n">
        <v>14600</v>
      </c>
      <c r="K90" s="504" t="n">
        <v>9720</v>
      </c>
      <c r="L90" s="505" t="n">
        <v>18</v>
      </c>
      <c r="M90" s="504" t="n">
        <v>4880</v>
      </c>
      <c r="N90" s="504" t="n">
        <v>4001.6</v>
      </c>
      <c r="O90" s="504" t="s">
        <v>417</v>
      </c>
      <c r="P90" s="508" t="n">
        <v>186</v>
      </c>
      <c r="Q90" s="506" t="n">
        <v>45812</v>
      </c>
      <c r="R90" s="507" t="n">
        <v>0.057662037037037</v>
      </c>
    </row>
    <row r="91" customFormat="false" ht="35.05" hidden="false" customHeight="false" outlineLevel="0" collapsed="false">
      <c r="A91" s="503" t="s">
        <v>2513</v>
      </c>
      <c r="B91" s="0" t="n">
        <v>220</v>
      </c>
      <c r="C91" s="503" t="n">
        <v>40</v>
      </c>
      <c r="D91" s="503" t="s">
        <v>422</v>
      </c>
      <c r="E91" s="503" t="s">
        <v>376</v>
      </c>
      <c r="F91" s="503" t="s">
        <v>377</v>
      </c>
      <c r="G91" s="503" t="s">
        <v>628</v>
      </c>
      <c r="H91" s="503" t="s">
        <v>423</v>
      </c>
      <c r="I91" s="503" t="s">
        <v>1435</v>
      </c>
      <c r="J91" s="504" t="n">
        <v>14600</v>
      </c>
      <c r="K91" s="504" t="n">
        <v>9710</v>
      </c>
      <c r="L91" s="505" t="n">
        <v>17</v>
      </c>
      <c r="M91" s="504" t="n">
        <v>4890</v>
      </c>
      <c r="N91" s="504" t="n">
        <v>4058.7</v>
      </c>
      <c r="O91" s="504" t="s">
        <v>746</v>
      </c>
      <c r="P91" s="508" t="n">
        <v>187</v>
      </c>
      <c r="Q91" s="506" t="n">
        <v>45813</v>
      </c>
      <c r="R91" s="507" t="n">
        <v>0.123449074074074</v>
      </c>
    </row>
    <row r="92" customFormat="false" ht="35.05" hidden="false" customHeight="false" outlineLevel="0" collapsed="false">
      <c r="A92" s="503" t="s">
        <v>2514</v>
      </c>
      <c r="B92" s="0" t="n">
        <v>221</v>
      </c>
      <c r="C92" s="503" t="n">
        <v>130788</v>
      </c>
      <c r="D92" s="503" t="s">
        <v>409</v>
      </c>
      <c r="E92" s="503" t="s">
        <v>439</v>
      </c>
      <c r="F92" s="503" t="s">
        <v>443</v>
      </c>
      <c r="G92" s="503" t="s">
        <v>410</v>
      </c>
      <c r="H92" s="503" t="s">
        <v>252</v>
      </c>
      <c r="I92" s="503" t="s">
        <v>1435</v>
      </c>
      <c r="J92" s="504" t="n">
        <v>37550</v>
      </c>
      <c r="K92" s="504" t="n">
        <v>24020</v>
      </c>
      <c r="L92" s="505" t="n">
        <v>8.5</v>
      </c>
      <c r="M92" s="504" t="n">
        <v>13530</v>
      </c>
      <c r="N92" s="504" t="n">
        <v>12379.9</v>
      </c>
      <c r="O92" s="504" t="s">
        <v>417</v>
      </c>
      <c r="P92" s="508" t="n">
        <v>188</v>
      </c>
      <c r="Q92" s="506" t="n">
        <v>45813</v>
      </c>
      <c r="R92" s="507" t="n">
        <v>0.131550925925926</v>
      </c>
    </row>
    <row r="93" customFormat="false" ht="35.05" hidden="false" customHeight="false" outlineLevel="0" collapsed="false">
      <c r="A93" s="503" t="s">
        <v>2515</v>
      </c>
      <c r="B93" s="0" t="n">
        <v>222</v>
      </c>
      <c r="C93" s="503" t="n">
        <v>41</v>
      </c>
      <c r="D93" s="503" t="s">
        <v>422</v>
      </c>
      <c r="E93" s="503" t="s">
        <v>376</v>
      </c>
      <c r="F93" s="503" t="s">
        <v>377</v>
      </c>
      <c r="G93" s="503" t="s">
        <v>628</v>
      </c>
      <c r="H93" s="503" t="s">
        <v>423</v>
      </c>
      <c r="I93" s="503" t="s">
        <v>1435</v>
      </c>
      <c r="J93" s="504" t="n">
        <v>14640</v>
      </c>
      <c r="K93" s="504" t="n">
        <v>9700</v>
      </c>
      <c r="L93" s="505" t="n">
        <v>16</v>
      </c>
      <c r="M93" s="504" t="n">
        <v>4940</v>
      </c>
      <c r="N93" s="504" t="n">
        <v>4149.6</v>
      </c>
      <c r="O93" s="504" t="s">
        <v>746</v>
      </c>
      <c r="P93" s="508" t="n">
        <v>189</v>
      </c>
      <c r="Q93" s="506" t="n">
        <v>45813</v>
      </c>
      <c r="R93" s="507" t="n">
        <v>0.150231481481482</v>
      </c>
    </row>
    <row r="94" customFormat="false" ht="35.05" hidden="false" customHeight="false" outlineLevel="0" collapsed="false">
      <c r="A94" s="503" t="s">
        <v>2516</v>
      </c>
      <c r="B94" s="0" t="n">
        <v>225</v>
      </c>
      <c r="C94" s="503" t="n">
        <v>42</v>
      </c>
      <c r="D94" s="503" t="s">
        <v>422</v>
      </c>
      <c r="E94" s="503" t="s">
        <v>376</v>
      </c>
      <c r="F94" s="503" t="s">
        <v>377</v>
      </c>
      <c r="G94" s="503" t="s">
        <v>628</v>
      </c>
      <c r="H94" s="503" t="s">
        <v>423</v>
      </c>
      <c r="I94" s="503" t="s">
        <v>1435</v>
      </c>
      <c r="J94" s="504" t="n">
        <v>14670</v>
      </c>
      <c r="K94" s="504" t="n">
        <v>9690</v>
      </c>
      <c r="L94" s="505" t="n">
        <v>14</v>
      </c>
      <c r="M94" s="504" t="n">
        <v>4980</v>
      </c>
      <c r="N94" s="504" t="n">
        <v>4282.8</v>
      </c>
      <c r="O94" s="504" t="s">
        <v>417</v>
      </c>
      <c r="P94" s="508" t="n">
        <v>190</v>
      </c>
      <c r="Q94" s="506" t="n">
        <v>45813</v>
      </c>
      <c r="R94" s="507" t="n">
        <v>0.218483796296296</v>
      </c>
    </row>
    <row r="95" customFormat="false" ht="35.05" hidden="false" customHeight="false" outlineLevel="0" collapsed="false">
      <c r="A95" s="503" t="s">
        <v>2517</v>
      </c>
      <c r="B95" s="0" t="n">
        <v>223</v>
      </c>
      <c r="C95" s="503" t="n">
        <v>130790</v>
      </c>
      <c r="D95" s="503" t="s">
        <v>409</v>
      </c>
      <c r="E95" s="503" t="s">
        <v>57</v>
      </c>
      <c r="F95" s="503" t="s">
        <v>58</v>
      </c>
      <c r="G95" s="503" t="s">
        <v>410</v>
      </c>
      <c r="H95" s="503" t="s">
        <v>252</v>
      </c>
      <c r="I95" s="503" t="s">
        <v>1435</v>
      </c>
      <c r="J95" s="504" t="n">
        <v>28860</v>
      </c>
      <c r="K95" s="504" t="n">
        <v>15560</v>
      </c>
      <c r="L95" s="505" t="n">
        <v>11</v>
      </c>
      <c r="M95" s="504" t="n">
        <v>13300</v>
      </c>
      <c r="N95" s="504" t="n">
        <v>11837</v>
      </c>
      <c r="O95" s="504" t="s">
        <v>417</v>
      </c>
      <c r="P95" s="508" t="n">
        <v>191</v>
      </c>
      <c r="Q95" s="506" t="n">
        <v>45813</v>
      </c>
      <c r="R95" s="507" t="n">
        <v>0.228275462962963</v>
      </c>
    </row>
    <row r="96" customFormat="false" ht="46.25" hidden="false" customHeight="false" outlineLevel="0" collapsed="false">
      <c r="A96" s="503" t="s">
        <v>2518</v>
      </c>
      <c r="B96" s="0" t="n">
        <v>204</v>
      </c>
      <c r="C96" s="503" t="s">
        <v>760</v>
      </c>
      <c r="D96" s="503" t="s">
        <v>422</v>
      </c>
      <c r="E96" s="503" t="s">
        <v>685</v>
      </c>
      <c r="F96" s="503" t="s">
        <v>689</v>
      </c>
      <c r="G96" s="503" t="s">
        <v>628</v>
      </c>
      <c r="H96" s="503" t="s">
        <v>423</v>
      </c>
      <c r="I96" s="503" t="s">
        <v>1435</v>
      </c>
      <c r="J96" s="504" t="n">
        <v>33490</v>
      </c>
      <c r="K96" s="504" t="n">
        <v>18770</v>
      </c>
      <c r="L96" s="505" t="n">
        <v>16.9</v>
      </c>
      <c r="M96" s="504" t="n">
        <v>14720</v>
      </c>
      <c r="N96" s="504" t="n">
        <v>12230.4</v>
      </c>
      <c r="O96" s="504" t="s">
        <v>417</v>
      </c>
      <c r="P96" s="508" t="n">
        <v>192</v>
      </c>
      <c r="Q96" s="506" t="n">
        <v>45812</v>
      </c>
      <c r="R96" s="507" t="n">
        <v>0.393344907407407</v>
      </c>
    </row>
    <row r="97" customFormat="false" ht="57.45" hidden="false" customHeight="false" outlineLevel="0" collapsed="false">
      <c r="A97" s="503" t="s">
        <v>2519</v>
      </c>
      <c r="B97" s="0" t="n">
        <v>200</v>
      </c>
      <c r="C97" s="503" t="s">
        <v>765</v>
      </c>
      <c r="D97" s="503" t="s">
        <v>761</v>
      </c>
      <c r="E97" s="503" t="s">
        <v>617</v>
      </c>
      <c r="F97" s="503" t="s">
        <v>621</v>
      </c>
      <c r="G97" s="503" t="s">
        <v>628</v>
      </c>
      <c r="H97" s="503" t="s">
        <v>423</v>
      </c>
      <c r="I97" s="503" t="s">
        <v>1435</v>
      </c>
      <c r="J97" s="504" t="n">
        <v>32100</v>
      </c>
      <c r="K97" s="504" t="n">
        <v>17620</v>
      </c>
      <c r="L97" s="505" t="n">
        <v>23.7</v>
      </c>
      <c r="M97" s="504" t="n">
        <v>14480</v>
      </c>
      <c r="N97" s="504" t="n">
        <v>11044.8</v>
      </c>
      <c r="O97" s="504" t="s">
        <v>417</v>
      </c>
      <c r="P97" s="508" t="n">
        <v>193</v>
      </c>
      <c r="Q97" s="506" t="n">
        <v>45812</v>
      </c>
      <c r="R97" s="507" t="n">
        <v>0.305787037037037</v>
      </c>
    </row>
    <row r="98" customFormat="false" ht="46.25" hidden="false" customHeight="false" outlineLevel="0" collapsed="false">
      <c r="A98" s="503" t="s">
        <v>2520</v>
      </c>
      <c r="B98" s="0" t="n">
        <v>193</v>
      </c>
      <c r="C98" s="503" t="s">
        <v>769</v>
      </c>
      <c r="D98" s="503" t="s">
        <v>422</v>
      </c>
      <c r="E98" s="503" t="s">
        <v>677</v>
      </c>
      <c r="F98" s="503" t="s">
        <v>681</v>
      </c>
      <c r="G98" s="503" t="s">
        <v>628</v>
      </c>
      <c r="H98" s="503" t="s">
        <v>423</v>
      </c>
      <c r="I98" s="503" t="s">
        <v>1435</v>
      </c>
      <c r="J98" s="504" t="n">
        <v>30820</v>
      </c>
      <c r="K98" s="504" t="n">
        <v>16480</v>
      </c>
      <c r="L98" s="505" t="n">
        <v>31.8</v>
      </c>
      <c r="M98" s="504" t="n">
        <v>14340</v>
      </c>
      <c r="N98" s="504" t="n">
        <v>9785</v>
      </c>
      <c r="O98" s="504" t="s">
        <v>417</v>
      </c>
      <c r="P98" s="508" t="n">
        <v>194</v>
      </c>
      <c r="Q98" s="506" t="n">
        <v>45812</v>
      </c>
      <c r="R98" s="507" t="n">
        <v>0.0131365740740741</v>
      </c>
    </row>
    <row r="99" customFormat="false" ht="35.05" hidden="false" customHeight="false" outlineLevel="0" collapsed="false">
      <c r="A99" s="503" t="s">
        <v>2521</v>
      </c>
      <c r="B99" s="0" t="n">
        <v>214</v>
      </c>
      <c r="C99" s="503" t="s">
        <v>773</v>
      </c>
      <c r="D99" s="503" t="s">
        <v>761</v>
      </c>
      <c r="E99" s="503" t="s">
        <v>602</v>
      </c>
      <c r="F99" s="503" t="s">
        <v>606</v>
      </c>
      <c r="G99" s="503" t="s">
        <v>628</v>
      </c>
      <c r="H99" s="503" t="s">
        <v>423</v>
      </c>
      <c r="I99" s="503" t="s">
        <v>1435</v>
      </c>
      <c r="J99" s="504" t="n">
        <v>32190</v>
      </c>
      <c r="K99" s="504" t="n">
        <v>17740</v>
      </c>
      <c r="L99" s="505" t="n">
        <v>12</v>
      </c>
      <c r="M99" s="504" t="n">
        <v>14450</v>
      </c>
      <c r="N99" s="504" t="n">
        <v>12716</v>
      </c>
      <c r="O99" s="504" t="s">
        <v>417</v>
      </c>
      <c r="P99" s="508" t="n">
        <v>195</v>
      </c>
      <c r="Q99" s="506" t="n">
        <v>45812</v>
      </c>
      <c r="R99" s="507" t="n">
        <v>0.811689814814815</v>
      </c>
    </row>
    <row r="100" customFormat="false" ht="35.05" hidden="false" customHeight="false" outlineLevel="0" collapsed="false">
      <c r="A100" s="503" t="s">
        <v>2522</v>
      </c>
      <c r="B100" s="0" t="n">
        <v>224</v>
      </c>
      <c r="C100" s="503" t="n">
        <v>130791</v>
      </c>
      <c r="D100" s="503" t="s">
        <v>409</v>
      </c>
      <c r="E100" s="503" t="s">
        <v>547</v>
      </c>
      <c r="F100" s="503" t="s">
        <v>551</v>
      </c>
      <c r="G100" s="503" t="s">
        <v>410</v>
      </c>
      <c r="H100" s="503" t="s">
        <v>252</v>
      </c>
      <c r="I100" s="503" t="s">
        <v>1435</v>
      </c>
      <c r="J100" s="504" t="n">
        <v>28060</v>
      </c>
      <c r="K100" s="504" t="n">
        <v>14730</v>
      </c>
      <c r="L100" s="505" t="n">
        <v>11.5</v>
      </c>
      <c r="M100" s="504" t="n">
        <v>13330</v>
      </c>
      <c r="N100" s="504" t="n">
        <v>11797</v>
      </c>
      <c r="O100" s="504" t="s">
        <v>417</v>
      </c>
      <c r="P100" s="508" t="n">
        <v>196</v>
      </c>
      <c r="Q100" s="506" t="n">
        <v>45813</v>
      </c>
      <c r="R100" s="507" t="n">
        <v>0.45337962962963</v>
      </c>
    </row>
    <row r="101" customFormat="false" ht="35.05" hidden="false" customHeight="false" outlineLevel="0" collapsed="false">
      <c r="A101" s="503" t="s">
        <v>2523</v>
      </c>
      <c r="C101" s="503" t="s">
        <v>780</v>
      </c>
      <c r="D101" s="503" t="s">
        <v>409</v>
      </c>
      <c r="E101" s="503" t="s">
        <v>777</v>
      </c>
      <c r="F101" s="503" t="s">
        <v>779</v>
      </c>
      <c r="G101" s="503" t="s">
        <v>410</v>
      </c>
      <c r="H101" s="503" t="s">
        <v>252</v>
      </c>
      <c r="I101" s="503" t="s">
        <v>1435</v>
      </c>
      <c r="J101" s="504" t="n">
        <v>32800</v>
      </c>
      <c r="K101" s="504" t="n">
        <v>14500</v>
      </c>
      <c r="L101" s="505" t="n">
        <v>6.5</v>
      </c>
      <c r="M101" s="504" t="n">
        <v>18300</v>
      </c>
      <c r="N101" s="504" t="n">
        <v>17110</v>
      </c>
      <c r="O101" s="504" t="s">
        <v>417</v>
      </c>
      <c r="P101" s="508" t="n">
        <v>197</v>
      </c>
      <c r="Q101" s="506" t="n">
        <v>45811</v>
      </c>
      <c r="R101" s="507" t="n">
        <v>0.994490740740741</v>
      </c>
      <c r="XEQ101" s="503"/>
    </row>
    <row r="102" customFormat="false" ht="35.05" hidden="false" customHeight="false" outlineLevel="0" collapsed="false">
      <c r="A102" s="503" t="s">
        <v>2524</v>
      </c>
      <c r="B102" s="0" t="n">
        <v>226</v>
      </c>
      <c r="C102" s="503" t="n">
        <v>130792</v>
      </c>
      <c r="D102" s="503" t="s">
        <v>409</v>
      </c>
      <c r="E102" s="503" t="s">
        <v>553</v>
      </c>
      <c r="F102" s="503" t="s">
        <v>557</v>
      </c>
      <c r="G102" s="503" t="s">
        <v>781</v>
      </c>
      <c r="H102" s="503" t="s">
        <v>252</v>
      </c>
      <c r="I102" s="503" t="s">
        <v>1435</v>
      </c>
      <c r="J102" s="504" t="n">
        <v>29030</v>
      </c>
      <c r="K102" s="504" t="n">
        <v>22250</v>
      </c>
      <c r="L102" s="505"/>
      <c r="M102" s="504" t="n">
        <v>14170</v>
      </c>
      <c r="N102" s="504" t="n">
        <v>12728.9</v>
      </c>
      <c r="O102" s="504" t="s">
        <v>417</v>
      </c>
      <c r="P102" s="508" t="n">
        <v>198</v>
      </c>
      <c r="Q102" s="506" t="n">
        <v>45813</v>
      </c>
      <c r="R102" s="507" t="n">
        <v>0.469988425925926</v>
      </c>
    </row>
    <row r="103" customFormat="false" ht="35.05" hidden="false" customHeight="false" outlineLevel="0" collapsed="false">
      <c r="A103" s="503" t="s">
        <v>2525</v>
      </c>
      <c r="B103" s="0" t="n">
        <v>228</v>
      </c>
      <c r="C103" s="503" t="n">
        <v>130793</v>
      </c>
      <c r="D103" s="503" t="s">
        <v>409</v>
      </c>
      <c r="E103" s="503" t="s">
        <v>55</v>
      </c>
      <c r="F103" s="503" t="s">
        <v>56</v>
      </c>
      <c r="G103" s="503" t="s">
        <v>781</v>
      </c>
      <c r="H103" s="503" t="s">
        <v>252</v>
      </c>
      <c r="I103" s="503" t="s">
        <v>1435</v>
      </c>
      <c r="J103" s="504" t="n">
        <v>28060</v>
      </c>
      <c r="K103" s="504" t="n">
        <v>14580</v>
      </c>
      <c r="L103" s="505" t="n">
        <v>20.5</v>
      </c>
      <c r="M103" s="504" t="n">
        <v>13480</v>
      </c>
      <c r="N103" s="504" t="n">
        <v>10716.6</v>
      </c>
      <c r="O103" s="504" t="s">
        <v>417</v>
      </c>
      <c r="P103" s="508" t="n">
        <v>199</v>
      </c>
      <c r="Q103" s="506" t="n">
        <v>45813</v>
      </c>
      <c r="R103" s="507" t="n">
        <v>0.525636574074074</v>
      </c>
    </row>
    <row r="104" customFormat="false" ht="35.05" hidden="false" customHeight="false" outlineLevel="0" collapsed="false">
      <c r="A104" s="503" t="s">
        <v>2526</v>
      </c>
      <c r="B104" s="0" t="n">
        <v>230</v>
      </c>
      <c r="C104" s="503" t="n">
        <v>130794</v>
      </c>
      <c r="D104" s="503" t="s">
        <v>409</v>
      </c>
      <c r="E104" s="503" t="s">
        <v>457</v>
      </c>
      <c r="F104" s="503" t="s">
        <v>366</v>
      </c>
      <c r="G104" s="503" t="s">
        <v>781</v>
      </c>
      <c r="H104" s="503" t="s">
        <v>252</v>
      </c>
      <c r="I104" s="503" t="s">
        <v>1435</v>
      </c>
      <c r="J104" s="504" t="n">
        <v>28080</v>
      </c>
      <c r="K104" s="504" t="n">
        <v>14850</v>
      </c>
      <c r="L104" s="505" t="n">
        <v>22.5</v>
      </c>
      <c r="M104" s="504" t="n">
        <v>13230</v>
      </c>
      <c r="N104" s="504" t="n">
        <v>10253.2</v>
      </c>
      <c r="O104" s="504" t="s">
        <v>417</v>
      </c>
      <c r="P104" s="508" t="n">
        <v>200</v>
      </c>
      <c r="Q104" s="506" t="n">
        <v>45813</v>
      </c>
      <c r="R104" s="507" t="n">
        <v>0.534837962962963</v>
      </c>
    </row>
    <row r="105" customFormat="false" ht="46.25" hidden="false" customHeight="false" outlineLevel="0" collapsed="false">
      <c r="A105" s="503" t="s">
        <v>2527</v>
      </c>
      <c r="C105" s="503" t="s">
        <v>794</v>
      </c>
      <c r="D105" s="503" t="s">
        <v>409</v>
      </c>
      <c r="E105" s="503" t="s">
        <v>792</v>
      </c>
      <c r="F105" s="503" t="s">
        <v>793</v>
      </c>
      <c r="G105" s="503" t="s">
        <v>410</v>
      </c>
      <c r="H105" s="503" t="s">
        <v>252</v>
      </c>
      <c r="I105" s="503" t="s">
        <v>1435</v>
      </c>
      <c r="J105" s="504" t="n">
        <v>33040</v>
      </c>
      <c r="K105" s="504" t="n">
        <v>17140</v>
      </c>
      <c r="L105" s="505" t="n">
        <v>14.8</v>
      </c>
      <c r="M105" s="504" t="n">
        <v>15900</v>
      </c>
      <c r="N105" s="504" t="n">
        <v>13550.6</v>
      </c>
      <c r="O105" s="504" t="s">
        <v>417</v>
      </c>
      <c r="P105" s="508" t="n">
        <v>201</v>
      </c>
      <c r="Q105" s="506" t="n">
        <v>45812</v>
      </c>
      <c r="R105" s="507" t="n">
        <v>0.99162037037037</v>
      </c>
    </row>
    <row r="106" customFormat="false" ht="46.25" hidden="false" customHeight="false" outlineLevel="0" collapsed="false">
      <c r="A106" s="503" t="s">
        <v>2528</v>
      </c>
      <c r="C106" s="503" t="s">
        <v>797</v>
      </c>
      <c r="D106" s="503" t="s">
        <v>409</v>
      </c>
      <c r="E106" s="503" t="s">
        <v>795</v>
      </c>
      <c r="F106" s="503" t="s">
        <v>796</v>
      </c>
      <c r="G106" s="503" t="s">
        <v>410</v>
      </c>
      <c r="H106" s="503" t="s">
        <v>252</v>
      </c>
      <c r="I106" s="503" t="s">
        <v>1435</v>
      </c>
      <c r="J106" s="504" t="n">
        <v>34180</v>
      </c>
      <c r="K106" s="504" t="n">
        <v>18360</v>
      </c>
      <c r="L106" s="505" t="n">
        <v>13.5</v>
      </c>
      <c r="M106" s="504" t="n">
        <v>15820</v>
      </c>
      <c r="N106" s="504" t="n">
        <v>13692.1</v>
      </c>
      <c r="O106" s="504" t="s">
        <v>417</v>
      </c>
      <c r="P106" s="508" t="n">
        <v>202</v>
      </c>
      <c r="Q106" s="506" t="n">
        <v>45812</v>
      </c>
      <c r="R106" s="507" t="n">
        <v>0.991631944444445</v>
      </c>
    </row>
    <row r="107" customFormat="false" ht="46.25" hidden="false" customHeight="false" outlineLevel="0" collapsed="false">
      <c r="A107" s="503" t="s">
        <v>2529</v>
      </c>
      <c r="C107" s="503" t="s">
        <v>798</v>
      </c>
      <c r="D107" s="503" t="s">
        <v>409</v>
      </c>
      <c r="E107" s="503" t="s">
        <v>792</v>
      </c>
      <c r="F107" s="503" t="s">
        <v>793</v>
      </c>
      <c r="G107" s="503" t="s">
        <v>410</v>
      </c>
      <c r="H107" s="503" t="s">
        <v>252</v>
      </c>
      <c r="I107" s="503" t="s">
        <v>1435</v>
      </c>
      <c r="J107" s="504" t="n">
        <v>32580</v>
      </c>
      <c r="K107" s="504" t="n">
        <v>17040</v>
      </c>
      <c r="L107" s="505" t="n">
        <v>12.7</v>
      </c>
      <c r="M107" s="504" t="n">
        <v>15540</v>
      </c>
      <c r="N107" s="504" t="n">
        <v>13560.5</v>
      </c>
      <c r="O107" s="504" t="s">
        <v>417</v>
      </c>
      <c r="P107" s="508" t="n">
        <v>203</v>
      </c>
      <c r="Q107" s="506" t="n">
        <v>45812</v>
      </c>
      <c r="R107" s="507" t="n">
        <v>0.991643518518519</v>
      </c>
    </row>
    <row r="108" customFormat="false" ht="46.25" hidden="false" customHeight="false" outlineLevel="0" collapsed="false">
      <c r="A108" s="503" t="s">
        <v>2530</v>
      </c>
      <c r="C108" s="503" t="s">
        <v>801</v>
      </c>
      <c r="D108" s="503" t="s">
        <v>409</v>
      </c>
      <c r="E108" s="503" t="s">
        <v>799</v>
      </c>
      <c r="F108" s="503" t="s">
        <v>800</v>
      </c>
      <c r="G108" s="503" t="s">
        <v>410</v>
      </c>
      <c r="H108" s="503" t="s">
        <v>252</v>
      </c>
      <c r="I108" s="503" t="s">
        <v>1435</v>
      </c>
      <c r="J108" s="504" t="n">
        <v>32040</v>
      </c>
      <c r="K108" s="504" t="n">
        <v>16120</v>
      </c>
      <c r="L108" s="505" t="n">
        <v>14.4</v>
      </c>
      <c r="M108" s="504" t="n">
        <v>15920</v>
      </c>
      <c r="N108" s="504" t="n">
        <v>13632.4</v>
      </c>
      <c r="O108" s="504" t="s">
        <v>417</v>
      </c>
      <c r="P108" s="508" t="n">
        <v>204</v>
      </c>
      <c r="Q108" s="506" t="n">
        <v>45812</v>
      </c>
      <c r="R108" s="507" t="n">
        <v>0.991655092592593</v>
      </c>
    </row>
    <row r="109" customFormat="false" ht="35.05" hidden="false" customHeight="false" outlineLevel="0" collapsed="false">
      <c r="A109" s="503" t="s">
        <v>2531</v>
      </c>
      <c r="B109" s="0" t="n">
        <v>233</v>
      </c>
      <c r="C109" s="503" t="n">
        <v>45</v>
      </c>
      <c r="D109" s="503" t="s">
        <v>422</v>
      </c>
      <c r="E109" s="503" t="s">
        <v>411</v>
      </c>
      <c r="F109" s="503" t="s">
        <v>381</v>
      </c>
      <c r="G109" s="503" t="s">
        <v>730</v>
      </c>
      <c r="H109" s="503" t="s">
        <v>47</v>
      </c>
      <c r="I109" s="503" t="s">
        <v>1435</v>
      </c>
      <c r="J109" s="504" t="n">
        <v>14400</v>
      </c>
      <c r="K109" s="504" t="n">
        <v>9480</v>
      </c>
      <c r="L109" s="505" t="n">
        <v>17.5</v>
      </c>
      <c r="M109" s="504" t="n">
        <v>4920</v>
      </c>
      <c r="N109" s="504" t="n">
        <v>4059</v>
      </c>
      <c r="O109" s="504" t="s">
        <v>417</v>
      </c>
      <c r="P109" s="508" t="n">
        <v>205</v>
      </c>
      <c r="Q109" s="506" t="n">
        <v>45813</v>
      </c>
      <c r="R109" s="507" t="n">
        <v>0.563865740740741</v>
      </c>
    </row>
    <row r="110" customFormat="false" ht="35.05" hidden="false" customHeight="false" outlineLevel="0" collapsed="false">
      <c r="A110" s="503" t="s">
        <v>2532</v>
      </c>
      <c r="B110" s="0" t="n">
        <v>234</v>
      </c>
      <c r="C110" s="503" t="n">
        <v>130796</v>
      </c>
      <c r="D110" s="503" t="s">
        <v>409</v>
      </c>
      <c r="E110" s="503" t="s">
        <v>363</v>
      </c>
      <c r="F110" s="503" t="s">
        <v>364</v>
      </c>
      <c r="G110" s="503" t="s">
        <v>781</v>
      </c>
      <c r="H110" s="503" t="s">
        <v>252</v>
      </c>
      <c r="I110" s="503" t="s">
        <v>1435</v>
      </c>
      <c r="J110" s="504" t="n">
        <v>28060</v>
      </c>
      <c r="K110" s="504" t="n">
        <v>14540</v>
      </c>
      <c r="L110" s="505" t="n">
        <v>17.5</v>
      </c>
      <c r="M110" s="504" t="n">
        <v>13520</v>
      </c>
      <c r="N110" s="504" t="n">
        <v>11154</v>
      </c>
      <c r="O110" s="504" t="s">
        <v>417</v>
      </c>
      <c r="P110" s="508" t="n">
        <v>206</v>
      </c>
      <c r="Q110" s="506" t="n">
        <v>45813</v>
      </c>
      <c r="R110" s="507" t="n">
        <v>0.600914351851852</v>
      </c>
    </row>
    <row r="111" customFormat="false" ht="35.05" hidden="false" customHeight="false" outlineLevel="0" collapsed="false">
      <c r="A111" s="503" t="s">
        <v>2533</v>
      </c>
      <c r="B111" s="0" t="n">
        <v>213</v>
      </c>
      <c r="C111" s="503" t="n">
        <v>37</v>
      </c>
      <c r="D111" s="503" t="s">
        <v>422</v>
      </c>
      <c r="E111" s="503" t="s">
        <v>376</v>
      </c>
      <c r="F111" s="503" t="s">
        <v>377</v>
      </c>
      <c r="G111" s="503" t="s">
        <v>730</v>
      </c>
      <c r="H111" s="503" t="s">
        <v>47</v>
      </c>
      <c r="I111" s="503" t="s">
        <v>1435</v>
      </c>
      <c r="J111" s="504"/>
      <c r="K111" s="504"/>
      <c r="L111" s="505"/>
      <c r="M111" s="504"/>
      <c r="N111" s="504"/>
      <c r="O111" s="504"/>
      <c r="P111" s="508" t="n">
        <v>207</v>
      </c>
      <c r="Q111" s="506" t="n">
        <v>45812</v>
      </c>
      <c r="R111" s="507" t="n">
        <v>0.805092592592593</v>
      </c>
    </row>
    <row r="112" customFormat="false" ht="35.05" hidden="false" customHeight="false" outlineLevel="0" collapsed="false">
      <c r="A112" s="503" t="s">
        <v>2534</v>
      </c>
      <c r="B112" s="0" t="n">
        <v>235</v>
      </c>
      <c r="C112" s="503" t="n">
        <v>130797</v>
      </c>
      <c r="D112" s="503" t="s">
        <v>409</v>
      </c>
      <c r="E112" s="503" t="s">
        <v>537</v>
      </c>
      <c r="F112" s="503" t="s">
        <v>541</v>
      </c>
      <c r="G112" s="503" t="s">
        <v>781</v>
      </c>
      <c r="H112" s="503" t="s">
        <v>252</v>
      </c>
      <c r="I112" s="503" t="s">
        <v>1435</v>
      </c>
      <c r="J112" s="504" t="n">
        <v>28680</v>
      </c>
      <c r="K112" s="504" t="n">
        <v>15170</v>
      </c>
      <c r="L112" s="505" t="n">
        <v>19.5</v>
      </c>
      <c r="M112" s="504" t="n">
        <v>13510</v>
      </c>
      <c r="N112" s="504" t="n">
        <v>10875.5</v>
      </c>
      <c r="O112" s="504" t="s">
        <v>417</v>
      </c>
      <c r="P112" s="508" t="n">
        <v>208</v>
      </c>
      <c r="Q112" s="506" t="n">
        <v>45813</v>
      </c>
      <c r="R112" s="507" t="n">
        <v>0.669178240740741</v>
      </c>
    </row>
    <row r="113" customFormat="false" ht="35.05" hidden="false" customHeight="false" outlineLevel="0" collapsed="false">
      <c r="A113" s="503" t="s">
        <v>2535</v>
      </c>
      <c r="B113" s="0" t="n">
        <v>237</v>
      </c>
      <c r="C113" s="503" t="n">
        <v>130798</v>
      </c>
      <c r="D113" s="503" t="s">
        <v>409</v>
      </c>
      <c r="E113" s="503" t="s">
        <v>445</v>
      </c>
      <c r="F113" s="503" t="s">
        <v>449</v>
      </c>
      <c r="G113" s="503" t="s">
        <v>781</v>
      </c>
      <c r="H113" s="503" t="s">
        <v>252</v>
      </c>
      <c r="I113" s="503" t="s">
        <v>1435</v>
      </c>
      <c r="J113" s="504" t="n">
        <v>29330</v>
      </c>
      <c r="K113" s="504" t="n">
        <v>15640</v>
      </c>
      <c r="L113" s="505" t="n">
        <v>16.5</v>
      </c>
      <c r="M113" s="504" t="n">
        <v>13690</v>
      </c>
      <c r="N113" s="504" t="n">
        <v>11431.1</v>
      </c>
      <c r="O113" s="504" t="s">
        <v>417</v>
      </c>
      <c r="P113" s="508" t="n">
        <v>209</v>
      </c>
      <c r="Q113" s="506" t="n">
        <v>45813</v>
      </c>
      <c r="R113" s="507" t="n">
        <v>0.689247685185185</v>
      </c>
    </row>
    <row r="114" customFormat="false" ht="35.05" hidden="false" customHeight="false" outlineLevel="0" collapsed="false">
      <c r="A114" s="503" t="s">
        <v>2536</v>
      </c>
      <c r="B114" s="0" t="n">
        <v>238</v>
      </c>
      <c r="C114" s="503" t="n">
        <v>130799</v>
      </c>
      <c r="D114" s="503" t="s">
        <v>409</v>
      </c>
      <c r="E114" s="503" t="s">
        <v>451</v>
      </c>
      <c r="F114" s="503" t="s">
        <v>455</v>
      </c>
      <c r="G114" s="503" t="s">
        <v>781</v>
      </c>
      <c r="H114" s="503" t="s">
        <v>252</v>
      </c>
      <c r="I114" s="503" t="s">
        <v>1435</v>
      </c>
      <c r="J114" s="504" t="n">
        <v>28640</v>
      </c>
      <c r="K114" s="504" t="n">
        <v>14910</v>
      </c>
      <c r="L114" s="505" t="n">
        <v>20.5</v>
      </c>
      <c r="M114" s="504" t="n">
        <v>13730</v>
      </c>
      <c r="N114" s="504" t="n">
        <v>10915.3</v>
      </c>
      <c r="O114" s="504" t="s">
        <v>417</v>
      </c>
      <c r="P114" s="508" t="n">
        <v>210</v>
      </c>
      <c r="Q114" s="506" t="n">
        <v>45813</v>
      </c>
      <c r="R114" s="507" t="n">
        <v>0.752349537037037</v>
      </c>
    </row>
    <row r="115" customFormat="false" ht="35.05" hidden="false" customHeight="false" outlineLevel="0" collapsed="false">
      <c r="A115" s="503" t="s">
        <v>2537</v>
      </c>
      <c r="B115" s="0" t="n">
        <v>239</v>
      </c>
      <c r="C115" s="503" t="n">
        <v>130800</v>
      </c>
      <c r="D115" s="503" t="s">
        <v>409</v>
      </c>
      <c r="E115" s="503" t="s">
        <v>371</v>
      </c>
      <c r="F115" s="503" t="s">
        <v>372</v>
      </c>
      <c r="G115" s="503" t="s">
        <v>781</v>
      </c>
      <c r="H115" s="503" t="s">
        <v>252</v>
      </c>
      <c r="I115" s="503" t="s">
        <v>1435</v>
      </c>
      <c r="J115" s="504" t="n">
        <v>28760</v>
      </c>
      <c r="K115" s="504" t="n">
        <v>14940</v>
      </c>
      <c r="L115" s="505" t="n">
        <v>18.5</v>
      </c>
      <c r="M115" s="504" t="n">
        <v>13820</v>
      </c>
      <c r="N115" s="504" t="n">
        <v>11263.3</v>
      </c>
      <c r="O115" s="504" t="s">
        <v>417</v>
      </c>
      <c r="P115" s="508" t="n">
        <v>211</v>
      </c>
      <c r="Q115" s="506" t="n">
        <v>45813</v>
      </c>
      <c r="R115" s="507" t="n">
        <v>0.791759259259259</v>
      </c>
    </row>
    <row r="116" customFormat="false" ht="35.05" hidden="false" customHeight="false" outlineLevel="0" collapsed="false">
      <c r="A116" s="503" t="s">
        <v>2538</v>
      </c>
      <c r="B116" s="0" t="n">
        <v>240</v>
      </c>
      <c r="C116" s="503" t="n">
        <v>130751</v>
      </c>
      <c r="D116" s="503" t="s">
        <v>409</v>
      </c>
      <c r="E116" s="503" t="s">
        <v>365</v>
      </c>
      <c r="F116" s="503" t="s">
        <v>373</v>
      </c>
      <c r="G116" s="503" t="s">
        <v>781</v>
      </c>
      <c r="H116" s="503" t="s">
        <v>252</v>
      </c>
      <c r="I116" s="503" t="s">
        <v>1435</v>
      </c>
      <c r="J116" s="504" t="n">
        <v>32460</v>
      </c>
      <c r="K116" s="504" t="n">
        <v>18700</v>
      </c>
      <c r="L116" s="505" t="n">
        <v>16.5</v>
      </c>
      <c r="M116" s="504" t="n">
        <v>13760</v>
      </c>
      <c r="N116" s="504" t="n">
        <v>11489.6</v>
      </c>
      <c r="O116" s="504" t="s">
        <v>417</v>
      </c>
      <c r="P116" s="508" t="n">
        <v>212</v>
      </c>
      <c r="Q116" s="506" t="n">
        <v>45813</v>
      </c>
      <c r="R116" s="507" t="n">
        <v>0.928912037037037</v>
      </c>
    </row>
    <row r="117" customFormat="false" ht="35.05" hidden="false" customHeight="false" outlineLevel="0" collapsed="false">
      <c r="A117" s="503" t="s">
        <v>2539</v>
      </c>
      <c r="B117" s="0" t="n">
        <v>242</v>
      </c>
      <c r="C117" s="503" t="n">
        <v>130752</v>
      </c>
      <c r="D117" s="503" t="s">
        <v>409</v>
      </c>
      <c r="E117" s="503" t="s">
        <v>384</v>
      </c>
      <c r="F117" s="503" t="s">
        <v>385</v>
      </c>
      <c r="G117" s="503" t="s">
        <v>781</v>
      </c>
      <c r="H117" s="503" t="s">
        <v>252</v>
      </c>
      <c r="I117" s="503" t="s">
        <v>1435</v>
      </c>
      <c r="J117" s="504" t="n">
        <v>28200</v>
      </c>
      <c r="K117" s="504" t="n">
        <v>14390</v>
      </c>
      <c r="L117" s="505" t="n">
        <v>17.5</v>
      </c>
      <c r="M117" s="504" t="n">
        <v>13810</v>
      </c>
      <c r="N117" s="504" t="n">
        <v>11393.2</v>
      </c>
      <c r="O117" s="504" t="s">
        <v>417</v>
      </c>
      <c r="P117" s="508" t="n">
        <v>213</v>
      </c>
      <c r="Q117" s="506" t="n">
        <v>45813</v>
      </c>
      <c r="R117" s="507" t="n">
        <v>0.935648148148148</v>
      </c>
    </row>
    <row r="118" customFormat="false" ht="35.05" hidden="false" customHeight="false" outlineLevel="0" collapsed="false">
      <c r="A118" s="503" t="s">
        <v>2540</v>
      </c>
      <c r="B118" s="0" t="n">
        <v>241</v>
      </c>
      <c r="C118" s="503" t="n">
        <v>47</v>
      </c>
      <c r="D118" s="503" t="s">
        <v>422</v>
      </c>
      <c r="E118" s="503" t="s">
        <v>411</v>
      </c>
      <c r="F118" s="503" t="s">
        <v>381</v>
      </c>
      <c r="G118" s="503" t="s">
        <v>730</v>
      </c>
      <c r="H118" s="503" t="s">
        <v>47</v>
      </c>
      <c r="I118" s="503" t="s">
        <v>1435</v>
      </c>
      <c r="J118" s="504" t="n">
        <v>16370</v>
      </c>
      <c r="K118" s="504" t="n">
        <v>9470</v>
      </c>
      <c r="L118" s="505" t="n">
        <v>22.5</v>
      </c>
      <c r="M118" s="504" t="n">
        <v>6900</v>
      </c>
      <c r="N118" s="504" t="n">
        <v>5347.5</v>
      </c>
      <c r="O118" s="504" t="s">
        <v>417</v>
      </c>
      <c r="P118" s="508" t="n">
        <v>214</v>
      </c>
      <c r="Q118" s="506" t="n">
        <v>45813</v>
      </c>
      <c r="R118" s="507" t="n">
        <v>0.729930555555556</v>
      </c>
    </row>
    <row r="119" customFormat="false" ht="35.05" hidden="false" customHeight="false" outlineLevel="0" collapsed="false">
      <c r="A119" s="503" t="s">
        <v>2541</v>
      </c>
      <c r="B119" s="0" t="n">
        <v>244</v>
      </c>
      <c r="C119" s="503" t="n">
        <v>130753</v>
      </c>
      <c r="D119" s="503" t="s">
        <v>409</v>
      </c>
      <c r="E119" s="503" t="s">
        <v>361</v>
      </c>
      <c r="F119" s="503" t="s">
        <v>362</v>
      </c>
      <c r="G119" s="503" t="s">
        <v>781</v>
      </c>
      <c r="H119" s="503" t="s">
        <v>252</v>
      </c>
      <c r="I119" s="503" t="s">
        <v>1435</v>
      </c>
      <c r="J119" s="504" t="n">
        <v>28130</v>
      </c>
      <c r="K119" s="504" t="n">
        <v>14680</v>
      </c>
      <c r="L119" s="505" t="n">
        <v>15.5</v>
      </c>
      <c r="M119" s="504" t="n">
        <v>13450</v>
      </c>
      <c r="N119" s="504" t="n">
        <v>11365.2</v>
      </c>
      <c r="O119" s="504" t="s">
        <v>417</v>
      </c>
      <c r="P119" s="508" t="n">
        <v>215</v>
      </c>
      <c r="Q119" s="506" t="n">
        <v>45813</v>
      </c>
      <c r="R119" s="507" t="n">
        <v>0.817048611111111</v>
      </c>
    </row>
    <row r="120" customFormat="false" ht="35.05" hidden="false" customHeight="false" outlineLevel="0" collapsed="false">
      <c r="A120" s="503" t="s">
        <v>2542</v>
      </c>
      <c r="B120" s="0" t="n">
        <v>245</v>
      </c>
      <c r="C120" s="503" t="n">
        <v>130756</v>
      </c>
      <c r="D120" s="503" t="s">
        <v>409</v>
      </c>
      <c r="E120" s="503" t="s">
        <v>427</v>
      </c>
      <c r="F120" s="503" t="s">
        <v>431</v>
      </c>
      <c r="G120" s="503" t="s">
        <v>781</v>
      </c>
      <c r="H120" s="503" t="s">
        <v>252</v>
      </c>
      <c r="I120" s="503" t="s">
        <v>1435</v>
      </c>
      <c r="J120" s="504" t="n">
        <v>34520</v>
      </c>
      <c r="K120" s="504" t="n">
        <v>20910</v>
      </c>
      <c r="L120" s="505" t="n">
        <v>18.5</v>
      </c>
      <c r="M120" s="504" t="n">
        <v>13610</v>
      </c>
      <c r="N120" s="504" t="n">
        <v>11092.1</v>
      </c>
      <c r="O120" s="504" t="s">
        <v>417</v>
      </c>
      <c r="P120" s="508" t="n">
        <v>216</v>
      </c>
      <c r="Q120" s="506" t="n">
        <v>45813</v>
      </c>
      <c r="R120" s="507" t="n">
        <v>0.876863425925926</v>
      </c>
    </row>
    <row r="121" customFormat="false" ht="35.05" hidden="false" customHeight="false" outlineLevel="0" collapsed="false">
      <c r="A121" s="503" t="s">
        <v>2543</v>
      </c>
      <c r="B121" s="0" t="n">
        <v>246</v>
      </c>
      <c r="C121" s="503" t="n">
        <v>130755</v>
      </c>
      <c r="D121" s="503" t="s">
        <v>409</v>
      </c>
      <c r="E121" s="503" t="s">
        <v>433</v>
      </c>
      <c r="F121" s="503" t="s">
        <v>437</v>
      </c>
      <c r="G121" s="503" t="s">
        <v>781</v>
      </c>
      <c r="H121" s="503" t="s">
        <v>252</v>
      </c>
      <c r="I121" s="503" t="s">
        <v>1435</v>
      </c>
      <c r="J121" s="504" t="n">
        <v>28420</v>
      </c>
      <c r="K121" s="504" t="n">
        <v>14860</v>
      </c>
      <c r="L121" s="505" t="n">
        <v>15.5</v>
      </c>
      <c r="M121" s="504" t="n">
        <v>13560</v>
      </c>
      <c r="N121" s="504" t="n">
        <v>11458.2</v>
      </c>
      <c r="O121" s="504" t="s">
        <v>417</v>
      </c>
      <c r="P121" s="508" t="n">
        <v>217</v>
      </c>
      <c r="Q121" s="506" t="n">
        <v>45813</v>
      </c>
      <c r="R121" s="507" t="n">
        <v>0.908159722222222</v>
      </c>
    </row>
    <row r="122" customFormat="false" ht="35.05" hidden="false" customHeight="false" outlineLevel="0" collapsed="false">
      <c r="A122" s="503" t="s">
        <v>2544</v>
      </c>
      <c r="B122" s="0" t="n">
        <v>248</v>
      </c>
      <c r="C122" s="503" t="n">
        <v>130754</v>
      </c>
      <c r="D122" s="503" t="s">
        <v>409</v>
      </c>
      <c r="E122" s="503" t="s">
        <v>439</v>
      </c>
      <c r="F122" s="503" t="s">
        <v>443</v>
      </c>
      <c r="G122" s="503" t="s">
        <v>781</v>
      </c>
      <c r="H122" s="503" t="s">
        <v>252</v>
      </c>
      <c r="I122" s="503" t="s">
        <v>1435</v>
      </c>
      <c r="J122" s="504" t="n">
        <v>37580</v>
      </c>
      <c r="K122" s="504" t="n">
        <v>24010</v>
      </c>
      <c r="L122" s="505" t="n">
        <v>13.5</v>
      </c>
      <c r="M122" s="504" t="n">
        <v>13570</v>
      </c>
      <c r="N122" s="504" t="n">
        <v>11738</v>
      </c>
      <c r="O122" s="504" t="s">
        <v>417</v>
      </c>
      <c r="P122" s="508" t="n">
        <v>218</v>
      </c>
      <c r="Q122" s="506" t="n">
        <v>45813</v>
      </c>
      <c r="R122" s="507" t="n">
        <v>0.943634259259259</v>
      </c>
    </row>
    <row r="123" customFormat="false" ht="35.05" hidden="false" customHeight="false" outlineLevel="0" collapsed="false">
      <c r="A123" s="503" t="s">
        <v>2545</v>
      </c>
      <c r="B123" s="0" t="n">
        <v>250</v>
      </c>
      <c r="C123" s="503" t="n">
        <v>130757</v>
      </c>
      <c r="D123" s="503" t="s">
        <v>409</v>
      </c>
      <c r="E123" s="503" t="s">
        <v>359</v>
      </c>
      <c r="F123" s="503" t="s">
        <v>426</v>
      </c>
      <c r="G123" s="503" t="s">
        <v>841</v>
      </c>
      <c r="H123" s="503" t="s">
        <v>252</v>
      </c>
      <c r="I123" s="503" t="s">
        <v>1435</v>
      </c>
      <c r="J123" s="504" t="n">
        <v>27270</v>
      </c>
      <c r="K123" s="504" t="n">
        <v>13760</v>
      </c>
      <c r="L123" s="505" t="n">
        <v>13.5</v>
      </c>
      <c r="M123" s="504" t="n">
        <v>13510</v>
      </c>
      <c r="N123" s="504" t="n">
        <v>11686.1</v>
      </c>
      <c r="O123" s="504" t="s">
        <v>417</v>
      </c>
      <c r="P123" s="508" t="n">
        <v>219</v>
      </c>
      <c r="Q123" s="506" t="n">
        <v>45814</v>
      </c>
      <c r="R123" s="507" t="n">
        <v>0.252685185185185</v>
      </c>
    </row>
    <row r="124" customFormat="false" ht="35.05" hidden="false" customHeight="false" outlineLevel="0" collapsed="false">
      <c r="A124" s="503" t="s">
        <v>2546</v>
      </c>
      <c r="B124" s="0" t="n">
        <v>219</v>
      </c>
      <c r="C124" s="503" t="s">
        <v>848</v>
      </c>
      <c r="D124" s="503" t="s">
        <v>761</v>
      </c>
      <c r="E124" s="503" t="s">
        <v>610</v>
      </c>
      <c r="F124" s="503" t="s">
        <v>614</v>
      </c>
      <c r="G124" s="503" t="s">
        <v>628</v>
      </c>
      <c r="H124" s="503" t="s">
        <v>423</v>
      </c>
      <c r="I124" s="503" t="s">
        <v>1435</v>
      </c>
      <c r="J124" s="504" t="n">
        <v>31040</v>
      </c>
      <c r="K124" s="504" t="n">
        <v>17100</v>
      </c>
      <c r="L124" s="505" t="n">
        <v>25.3</v>
      </c>
      <c r="M124" s="504" t="n">
        <v>13940</v>
      </c>
      <c r="N124" s="504" t="n">
        <v>10413.2</v>
      </c>
      <c r="O124" s="504" t="s">
        <v>417</v>
      </c>
      <c r="P124" s="508" t="n">
        <v>220</v>
      </c>
      <c r="Q124" s="506" t="n">
        <v>45813</v>
      </c>
      <c r="R124" s="507" t="n">
        <v>0.0211689814814815</v>
      </c>
    </row>
    <row r="125" customFormat="false" ht="35.05" hidden="false" customHeight="false" outlineLevel="0" collapsed="false">
      <c r="A125" s="503" t="s">
        <v>2547</v>
      </c>
      <c r="B125" s="0" t="n">
        <v>215</v>
      </c>
      <c r="C125" s="503" t="s">
        <v>852</v>
      </c>
      <c r="D125" s="503" t="s">
        <v>422</v>
      </c>
      <c r="E125" s="503" t="s">
        <v>677</v>
      </c>
      <c r="F125" s="503" t="s">
        <v>681</v>
      </c>
      <c r="G125" s="503" t="s">
        <v>730</v>
      </c>
      <c r="H125" s="503" t="s">
        <v>47</v>
      </c>
      <c r="I125" s="503" t="s">
        <v>1435</v>
      </c>
      <c r="J125" s="504" t="n">
        <v>26090</v>
      </c>
      <c r="K125" s="504" t="n">
        <v>16540</v>
      </c>
      <c r="L125" s="505" t="n">
        <v>17</v>
      </c>
      <c r="M125" s="504" t="n">
        <v>9550</v>
      </c>
      <c r="N125" s="504" t="n">
        <v>7928.2</v>
      </c>
      <c r="O125" s="504" t="s">
        <v>417</v>
      </c>
      <c r="P125" s="508" t="n">
        <v>221</v>
      </c>
      <c r="Q125" s="506" t="n">
        <v>45813</v>
      </c>
      <c r="R125" s="507" t="n">
        <v>0.904548611111111</v>
      </c>
    </row>
    <row r="126" customFormat="false" ht="35.05" hidden="false" customHeight="false" outlineLevel="0" collapsed="false">
      <c r="A126" s="503" t="s">
        <v>2548</v>
      </c>
      <c r="B126" s="0" t="n">
        <v>232</v>
      </c>
      <c r="C126" s="503" t="s">
        <v>856</v>
      </c>
      <c r="D126" s="503" t="s">
        <v>422</v>
      </c>
      <c r="E126" s="503" t="s">
        <v>685</v>
      </c>
      <c r="F126" s="503" t="s">
        <v>689</v>
      </c>
      <c r="G126" s="503" t="s">
        <v>730</v>
      </c>
      <c r="H126" s="503" t="s">
        <v>423</v>
      </c>
      <c r="I126" s="503" t="s">
        <v>1435</v>
      </c>
      <c r="J126" s="504" t="n">
        <v>33080</v>
      </c>
      <c r="K126" s="504" t="n">
        <v>18790</v>
      </c>
      <c r="L126" s="505" t="n">
        <v>10.9</v>
      </c>
      <c r="M126" s="504" t="n">
        <v>14290</v>
      </c>
      <c r="N126" s="504" t="n">
        <v>12725.4</v>
      </c>
      <c r="O126" s="504" t="s">
        <v>417</v>
      </c>
      <c r="P126" s="508" t="n">
        <v>222</v>
      </c>
      <c r="Q126" s="506" t="n">
        <v>45813</v>
      </c>
      <c r="R126" s="507" t="n">
        <v>0.428865740740741</v>
      </c>
    </row>
    <row r="127" customFormat="false" ht="35.05" hidden="false" customHeight="false" outlineLevel="0" collapsed="false">
      <c r="A127" s="503" t="s">
        <v>2549</v>
      </c>
      <c r="B127" s="0" t="n">
        <v>227</v>
      </c>
      <c r="C127" s="503" t="s">
        <v>860</v>
      </c>
      <c r="D127" s="503" t="s">
        <v>761</v>
      </c>
      <c r="E127" s="503" t="s">
        <v>617</v>
      </c>
      <c r="F127" s="503" t="s">
        <v>621</v>
      </c>
      <c r="G127" s="503" t="s">
        <v>730</v>
      </c>
      <c r="H127" s="503" t="s">
        <v>47</v>
      </c>
      <c r="I127" s="503" t="s">
        <v>1435</v>
      </c>
      <c r="J127" s="504" t="n">
        <v>31650</v>
      </c>
      <c r="K127" s="504" t="n">
        <v>17790</v>
      </c>
      <c r="L127" s="505" t="n">
        <v>17.4</v>
      </c>
      <c r="M127" s="504" t="n">
        <v>13860</v>
      </c>
      <c r="N127" s="504" t="n">
        <v>11448.4</v>
      </c>
      <c r="O127" s="504" t="s">
        <v>417</v>
      </c>
      <c r="P127" s="508" t="n">
        <v>223</v>
      </c>
      <c r="Q127" s="506" t="n">
        <v>45813</v>
      </c>
      <c r="R127" s="507" t="n">
        <v>0.287731481481482</v>
      </c>
    </row>
    <row r="128" customFormat="false" ht="35.05" hidden="false" customHeight="false" outlineLevel="0" collapsed="false">
      <c r="A128" s="503" t="s">
        <v>2550</v>
      </c>
      <c r="B128" s="0" t="n">
        <v>251</v>
      </c>
      <c r="C128" s="503" t="n">
        <v>130758</v>
      </c>
      <c r="D128" s="503" t="s">
        <v>409</v>
      </c>
      <c r="E128" s="503" t="s">
        <v>542</v>
      </c>
      <c r="F128" s="503" t="s">
        <v>704</v>
      </c>
      <c r="G128" s="503" t="s">
        <v>841</v>
      </c>
      <c r="H128" s="503" t="s">
        <v>252</v>
      </c>
      <c r="I128" s="503" t="s">
        <v>1435</v>
      </c>
      <c r="J128" s="504" t="n">
        <v>28040</v>
      </c>
      <c r="K128" s="504" t="n">
        <v>14590</v>
      </c>
      <c r="L128" s="505" t="n">
        <v>12.5</v>
      </c>
      <c r="M128" s="504" t="n">
        <v>13450</v>
      </c>
      <c r="N128" s="504" t="n">
        <v>11768.7</v>
      </c>
      <c r="O128" s="504" t="s">
        <v>417</v>
      </c>
      <c r="P128" s="508" t="n">
        <v>224</v>
      </c>
      <c r="Q128" s="506" t="n">
        <v>45814</v>
      </c>
      <c r="R128" s="507" t="n">
        <v>0.42306712962963</v>
      </c>
    </row>
    <row r="129" customFormat="false" ht="35.05" hidden="false" customHeight="false" outlineLevel="0" collapsed="false">
      <c r="A129" s="503" t="s">
        <v>2551</v>
      </c>
      <c r="B129" s="0" t="n">
        <v>252</v>
      </c>
      <c r="C129" s="503" t="n">
        <v>130759</v>
      </c>
      <c r="D129" s="503" t="s">
        <v>409</v>
      </c>
      <c r="E129" s="503" t="s">
        <v>547</v>
      </c>
      <c r="F129" s="503" t="s">
        <v>551</v>
      </c>
      <c r="G129" s="503" t="s">
        <v>841</v>
      </c>
      <c r="H129" s="503" t="s">
        <v>252</v>
      </c>
      <c r="I129" s="503" t="s">
        <v>1435</v>
      </c>
      <c r="J129" s="504" t="n">
        <v>28180</v>
      </c>
      <c r="K129" s="504" t="n">
        <v>14740</v>
      </c>
      <c r="L129" s="505" t="n">
        <v>15.5</v>
      </c>
      <c r="M129" s="504" t="n">
        <v>13440</v>
      </c>
      <c r="N129" s="504" t="n">
        <v>11356.8</v>
      </c>
      <c r="O129" s="504" t="s">
        <v>417</v>
      </c>
      <c r="P129" s="508" t="n">
        <v>225</v>
      </c>
      <c r="Q129" s="506" t="n">
        <v>45814</v>
      </c>
      <c r="R129" s="507" t="n">
        <v>0.44806712962963</v>
      </c>
    </row>
    <row r="130" customFormat="false" ht="35.05" hidden="false" customHeight="false" outlineLevel="0" collapsed="false">
      <c r="A130" s="503" t="s">
        <v>2552</v>
      </c>
      <c r="B130" s="0" t="n">
        <v>253</v>
      </c>
      <c r="C130" s="503" t="n">
        <v>130760</v>
      </c>
      <c r="D130" s="503" t="s">
        <v>409</v>
      </c>
      <c r="E130" s="503" t="s">
        <v>553</v>
      </c>
      <c r="F130" s="503" t="s">
        <v>557</v>
      </c>
      <c r="G130" s="503" t="s">
        <v>841</v>
      </c>
      <c r="H130" s="503" t="s">
        <v>252</v>
      </c>
      <c r="I130" s="503" t="s">
        <v>1435</v>
      </c>
      <c r="J130" s="504" t="n">
        <v>28240</v>
      </c>
      <c r="K130" s="504" t="n">
        <v>14820</v>
      </c>
      <c r="L130" s="505" t="n">
        <v>14.5</v>
      </c>
      <c r="M130" s="504" t="n">
        <v>13420</v>
      </c>
      <c r="N130" s="504" t="n">
        <v>11474.1</v>
      </c>
      <c r="O130" s="504" t="s">
        <v>417</v>
      </c>
      <c r="P130" s="508" t="n">
        <v>226</v>
      </c>
      <c r="Q130" s="506" t="n">
        <v>45814</v>
      </c>
      <c r="R130" s="507" t="n">
        <v>0.489386574074074</v>
      </c>
    </row>
    <row r="131" customFormat="false" ht="35.05" hidden="false" customHeight="false" outlineLevel="0" collapsed="false">
      <c r="A131" s="503" t="s">
        <v>2553</v>
      </c>
      <c r="B131" s="0" t="n">
        <v>258</v>
      </c>
      <c r="C131" s="503" t="n">
        <v>51</v>
      </c>
      <c r="D131" s="503" t="s">
        <v>422</v>
      </c>
      <c r="E131" s="503" t="s">
        <v>374</v>
      </c>
      <c r="F131" s="503" t="s">
        <v>375</v>
      </c>
      <c r="G131" s="503" t="s">
        <v>730</v>
      </c>
      <c r="H131" s="503" t="s">
        <v>47</v>
      </c>
      <c r="I131" s="503" t="s">
        <v>1435</v>
      </c>
      <c r="J131" s="504" t="n">
        <v>9090</v>
      </c>
      <c r="K131" s="504" t="n">
        <v>4600</v>
      </c>
      <c r="L131" s="505" t="n">
        <v>13</v>
      </c>
      <c r="M131" s="504" t="n">
        <v>4490</v>
      </c>
      <c r="N131" s="504" t="n">
        <v>3906.3</v>
      </c>
      <c r="O131" s="504" t="s">
        <v>417</v>
      </c>
      <c r="P131" s="508" t="n">
        <v>227</v>
      </c>
      <c r="Q131" s="506" t="n">
        <v>45814</v>
      </c>
      <c r="R131" s="507" t="n">
        <v>0.500104166666667</v>
      </c>
    </row>
    <row r="132" customFormat="false" ht="35.05" hidden="false" customHeight="false" outlineLevel="0" collapsed="false">
      <c r="A132" s="503" t="s">
        <v>2554</v>
      </c>
      <c r="B132" s="0" t="n">
        <v>254</v>
      </c>
      <c r="C132" s="503" t="n">
        <v>130761</v>
      </c>
      <c r="D132" s="503" t="s">
        <v>409</v>
      </c>
      <c r="E132" s="503" t="s">
        <v>57</v>
      </c>
      <c r="F132" s="503" t="s">
        <v>58</v>
      </c>
      <c r="G132" s="503" t="s">
        <v>841</v>
      </c>
      <c r="H132" s="503" t="s">
        <v>252</v>
      </c>
      <c r="I132" s="503" t="s">
        <v>1435</v>
      </c>
      <c r="J132" s="504" t="n">
        <v>28880</v>
      </c>
      <c r="K132" s="504" t="n">
        <v>15440</v>
      </c>
      <c r="L132" s="505" t="n">
        <v>18.5</v>
      </c>
      <c r="M132" s="504" t="n">
        <v>13440</v>
      </c>
      <c r="N132" s="504" t="n">
        <v>10953.6</v>
      </c>
      <c r="O132" s="504" t="s">
        <v>417</v>
      </c>
      <c r="P132" s="508" t="n">
        <v>228</v>
      </c>
      <c r="Q132" s="506" t="n">
        <v>45814</v>
      </c>
      <c r="R132" s="507" t="n">
        <v>0.549699074074074</v>
      </c>
    </row>
    <row r="133" customFormat="false" ht="35.05" hidden="false" customHeight="false" outlineLevel="0" collapsed="false">
      <c r="A133" s="503" t="s">
        <v>2555</v>
      </c>
      <c r="B133" s="0" t="n">
        <v>255</v>
      </c>
      <c r="C133" s="503" t="n">
        <v>130762</v>
      </c>
      <c r="D133" s="503" t="s">
        <v>409</v>
      </c>
      <c r="E133" s="503" t="s">
        <v>457</v>
      </c>
      <c r="F133" s="503" t="s">
        <v>366</v>
      </c>
      <c r="G133" s="503" t="s">
        <v>841</v>
      </c>
      <c r="H133" s="503" t="s">
        <v>252</v>
      </c>
      <c r="I133" s="503" t="s">
        <v>1435</v>
      </c>
      <c r="J133" s="504" t="n">
        <v>28090</v>
      </c>
      <c r="K133" s="504" t="n">
        <v>14790</v>
      </c>
      <c r="L133" s="505" t="n">
        <v>17.5</v>
      </c>
      <c r="M133" s="504" t="n">
        <v>13300</v>
      </c>
      <c r="N133" s="504" t="n">
        <v>10972.5</v>
      </c>
      <c r="O133" s="504" t="s">
        <v>417</v>
      </c>
      <c r="P133" s="508" t="n">
        <v>229</v>
      </c>
      <c r="Q133" s="506" t="n">
        <v>45814</v>
      </c>
      <c r="R133" s="507" t="n">
        <v>0.710162037037037</v>
      </c>
    </row>
    <row r="134" customFormat="false" ht="35.05" hidden="false" customHeight="false" outlineLevel="0" collapsed="false">
      <c r="A134" s="503" t="s">
        <v>2556</v>
      </c>
      <c r="B134" s="0" t="n">
        <v>257</v>
      </c>
      <c r="C134" s="503" t="n">
        <v>130763</v>
      </c>
      <c r="D134" s="503" t="s">
        <v>409</v>
      </c>
      <c r="E134" s="503" t="s">
        <v>537</v>
      </c>
      <c r="F134" s="503" t="s">
        <v>541</v>
      </c>
      <c r="G134" s="503" t="s">
        <v>841</v>
      </c>
      <c r="H134" s="503" t="s">
        <v>252</v>
      </c>
      <c r="I134" s="503" t="s">
        <v>1435</v>
      </c>
      <c r="J134" s="504" t="n">
        <v>28290</v>
      </c>
      <c r="K134" s="504" t="n">
        <v>15060</v>
      </c>
      <c r="L134" s="505" t="n">
        <v>10.5</v>
      </c>
      <c r="M134" s="504" t="n">
        <v>13230</v>
      </c>
      <c r="N134" s="504" t="n">
        <v>11840.8</v>
      </c>
      <c r="O134" s="504" t="s">
        <v>417</v>
      </c>
      <c r="P134" s="508" t="n">
        <v>230</v>
      </c>
      <c r="Q134" s="506" t="n">
        <v>45814</v>
      </c>
      <c r="R134" s="507" t="n">
        <v>0.720983796296296</v>
      </c>
    </row>
    <row r="135" customFormat="false" ht="35.05" hidden="false" customHeight="false" outlineLevel="0" collapsed="false">
      <c r="A135" s="503" t="s">
        <v>2557</v>
      </c>
      <c r="B135" s="0" t="n">
        <v>259</v>
      </c>
      <c r="C135" s="503" t="n">
        <v>52</v>
      </c>
      <c r="D135" s="503" t="s">
        <v>422</v>
      </c>
      <c r="E135" s="503" t="s">
        <v>376</v>
      </c>
      <c r="F135" s="503" t="s">
        <v>377</v>
      </c>
      <c r="G135" s="503" t="s">
        <v>730</v>
      </c>
      <c r="H135" s="503" t="s">
        <v>47</v>
      </c>
      <c r="I135" s="503" t="s">
        <v>1435</v>
      </c>
      <c r="J135" s="504" t="n">
        <v>14210</v>
      </c>
      <c r="K135" s="504" t="n">
        <v>9720</v>
      </c>
      <c r="L135" s="505" t="n">
        <v>10.5</v>
      </c>
      <c r="M135" s="504" t="n">
        <v>4490</v>
      </c>
      <c r="N135" s="504" t="n">
        <v>4018.5</v>
      </c>
      <c r="O135" s="504" t="s">
        <v>417</v>
      </c>
      <c r="P135" s="508" t="n">
        <v>231</v>
      </c>
      <c r="Q135" s="506" t="n">
        <v>45814</v>
      </c>
      <c r="R135" s="507" t="n">
        <v>0.731875</v>
      </c>
    </row>
    <row r="136" customFormat="false" ht="35.05" hidden="false" customHeight="false" outlineLevel="0" collapsed="false">
      <c r="A136" s="503" t="s">
        <v>2558</v>
      </c>
      <c r="B136" s="0" t="n">
        <v>260</v>
      </c>
      <c r="C136" s="503" t="n">
        <v>130764</v>
      </c>
      <c r="D136" s="503" t="s">
        <v>409</v>
      </c>
      <c r="E136" s="503" t="s">
        <v>445</v>
      </c>
      <c r="F136" s="503" t="s">
        <v>449</v>
      </c>
      <c r="G136" s="503" t="s">
        <v>841</v>
      </c>
      <c r="H136" s="503" t="s">
        <v>252</v>
      </c>
      <c r="I136" s="503" t="s">
        <v>1435</v>
      </c>
      <c r="J136" s="504" t="n">
        <v>29310</v>
      </c>
      <c r="K136" s="504" t="n">
        <v>15640</v>
      </c>
      <c r="L136" s="505" t="n">
        <v>20</v>
      </c>
      <c r="M136" s="504" t="n">
        <v>13670</v>
      </c>
      <c r="N136" s="504" t="n">
        <v>10936</v>
      </c>
      <c r="O136" s="504" t="s">
        <v>417</v>
      </c>
      <c r="P136" s="508" t="n">
        <v>232</v>
      </c>
      <c r="Q136" s="506" t="n">
        <v>45814</v>
      </c>
      <c r="R136" s="507" t="n">
        <v>0.737083333333333</v>
      </c>
    </row>
    <row r="137" customFormat="false" ht="35.05" hidden="false" customHeight="false" outlineLevel="0" collapsed="false">
      <c r="A137" s="503" t="s">
        <v>2559</v>
      </c>
      <c r="B137" s="0" t="n">
        <v>266</v>
      </c>
      <c r="C137" s="503" t="n">
        <v>130765</v>
      </c>
      <c r="D137" s="503" t="s">
        <v>409</v>
      </c>
      <c r="E137" s="503" t="s">
        <v>451</v>
      </c>
      <c r="F137" s="503" t="s">
        <v>455</v>
      </c>
      <c r="G137" s="503" t="s">
        <v>841</v>
      </c>
      <c r="H137" s="503" t="s">
        <v>252</v>
      </c>
      <c r="I137" s="503" t="s">
        <v>1435</v>
      </c>
      <c r="J137" s="504" t="n">
        <v>28580</v>
      </c>
      <c r="K137" s="504" t="n">
        <v>14910</v>
      </c>
      <c r="L137" s="505" t="n">
        <v>19.5</v>
      </c>
      <c r="M137" s="504" t="n">
        <v>13670</v>
      </c>
      <c r="N137" s="504" t="n">
        <v>11004.3</v>
      </c>
      <c r="O137" s="504" t="s">
        <v>417</v>
      </c>
      <c r="P137" s="508" t="n">
        <v>233</v>
      </c>
      <c r="Q137" s="506" t="n">
        <v>45814</v>
      </c>
      <c r="R137" s="507" t="n">
        <v>0.762372685185185</v>
      </c>
    </row>
    <row r="138" customFormat="false" ht="35.05" hidden="false" customHeight="false" outlineLevel="0" collapsed="false">
      <c r="A138" s="503" t="s">
        <v>2560</v>
      </c>
      <c r="B138" s="0" t="n">
        <v>263</v>
      </c>
      <c r="C138" s="503" t="n">
        <v>53</v>
      </c>
      <c r="D138" s="503" t="s">
        <v>422</v>
      </c>
      <c r="E138" s="503" t="s">
        <v>374</v>
      </c>
      <c r="F138" s="503" t="s">
        <v>375</v>
      </c>
      <c r="G138" s="503" t="s">
        <v>157</v>
      </c>
      <c r="H138" s="503" t="s">
        <v>68</v>
      </c>
      <c r="I138" s="503" t="s">
        <v>1435</v>
      </c>
      <c r="J138" s="504" t="n">
        <v>6920</v>
      </c>
      <c r="K138" s="504" t="n">
        <v>4600</v>
      </c>
      <c r="L138" s="505" t="n">
        <v>12.5</v>
      </c>
      <c r="M138" s="504" t="n">
        <v>2320</v>
      </c>
      <c r="N138" s="504" t="n">
        <v>2030</v>
      </c>
      <c r="O138" s="504" t="s">
        <v>417</v>
      </c>
      <c r="P138" s="508" t="n">
        <v>234</v>
      </c>
      <c r="Q138" s="506" t="n">
        <v>45814</v>
      </c>
      <c r="R138" s="507" t="n">
        <v>0.803761574074074</v>
      </c>
    </row>
    <row r="139" customFormat="false" ht="35.05" hidden="false" customHeight="false" outlineLevel="0" collapsed="false">
      <c r="A139" s="503" t="s">
        <v>2561</v>
      </c>
      <c r="B139" s="0" t="n">
        <v>270</v>
      </c>
      <c r="C139" s="503" t="n">
        <v>130767</v>
      </c>
      <c r="D139" s="503" t="s">
        <v>409</v>
      </c>
      <c r="E139" s="503" t="s">
        <v>48</v>
      </c>
      <c r="F139" s="503" t="s">
        <v>49</v>
      </c>
      <c r="G139" s="503" t="s">
        <v>841</v>
      </c>
      <c r="H139" s="503" t="s">
        <v>252</v>
      </c>
      <c r="I139" s="503" t="s">
        <v>1435</v>
      </c>
      <c r="J139" s="504" t="n">
        <v>28770</v>
      </c>
      <c r="K139" s="504" t="n">
        <v>14930</v>
      </c>
      <c r="L139" s="505" t="n">
        <v>16.5</v>
      </c>
      <c r="M139" s="504" t="n">
        <v>13840</v>
      </c>
      <c r="N139" s="504" t="n">
        <v>11556.4</v>
      </c>
      <c r="O139" s="504" t="s">
        <v>417</v>
      </c>
      <c r="P139" s="508" t="n">
        <v>235</v>
      </c>
      <c r="Q139" s="506" t="n">
        <v>45814</v>
      </c>
      <c r="R139" s="507" t="n">
        <v>0.877604166666667</v>
      </c>
    </row>
    <row r="140" customFormat="false" ht="35.05" hidden="false" customHeight="false" outlineLevel="0" collapsed="false">
      <c r="A140" s="503" t="s">
        <v>2562</v>
      </c>
      <c r="B140" s="0" t="n">
        <v>268</v>
      </c>
      <c r="C140" s="503" t="n">
        <v>130766</v>
      </c>
      <c r="D140" s="503" t="s">
        <v>409</v>
      </c>
      <c r="E140" s="503" t="s">
        <v>466</v>
      </c>
      <c r="F140" s="503" t="s">
        <v>470</v>
      </c>
      <c r="G140" s="503" t="s">
        <v>841</v>
      </c>
      <c r="H140" s="503" t="s">
        <v>252</v>
      </c>
      <c r="I140" s="503" t="s">
        <v>1435</v>
      </c>
      <c r="J140" s="504" t="n">
        <v>28260</v>
      </c>
      <c r="K140" s="504" t="n">
        <v>14630</v>
      </c>
      <c r="L140" s="505" t="n">
        <v>17.5</v>
      </c>
      <c r="M140" s="504" t="n">
        <v>13630</v>
      </c>
      <c r="N140" s="504" t="n">
        <v>11244.7</v>
      </c>
      <c r="O140" s="504" t="s">
        <v>417</v>
      </c>
      <c r="P140" s="508" t="n">
        <v>236</v>
      </c>
      <c r="Q140" s="506" t="n">
        <v>45814</v>
      </c>
      <c r="R140" s="507" t="n">
        <v>0.915694444444445</v>
      </c>
    </row>
    <row r="141" customFormat="false" ht="35.05" hidden="false" customHeight="false" outlineLevel="0" collapsed="false">
      <c r="A141" s="503" t="s">
        <v>2563</v>
      </c>
      <c r="B141" s="0" t="n">
        <v>271</v>
      </c>
      <c r="C141" s="503" t="n">
        <v>130768</v>
      </c>
      <c r="D141" s="503" t="s">
        <v>409</v>
      </c>
      <c r="E141" s="503" t="s">
        <v>472</v>
      </c>
      <c r="F141" s="503" t="s">
        <v>476</v>
      </c>
      <c r="G141" s="503" t="s">
        <v>841</v>
      </c>
      <c r="H141" s="503" t="s">
        <v>252</v>
      </c>
      <c r="I141" s="503" t="s">
        <v>1435</v>
      </c>
      <c r="J141" s="504" t="n">
        <v>29270</v>
      </c>
      <c r="K141" s="504" t="n">
        <v>15360</v>
      </c>
      <c r="L141" s="505" t="n">
        <v>18.5</v>
      </c>
      <c r="M141" s="504" t="n">
        <v>13910</v>
      </c>
      <c r="N141" s="504" t="n">
        <v>11336.6</v>
      </c>
      <c r="O141" s="504" t="s">
        <v>417</v>
      </c>
      <c r="P141" s="508" t="n">
        <v>237</v>
      </c>
      <c r="Q141" s="506" t="n">
        <v>45814</v>
      </c>
      <c r="R141" s="507" t="n">
        <v>0.968981481481481</v>
      </c>
    </row>
    <row r="142" customFormat="false" ht="35.05" hidden="false" customHeight="false" outlineLevel="0" collapsed="false">
      <c r="A142" s="503" t="s">
        <v>2564</v>
      </c>
      <c r="B142" s="0" t="n">
        <v>272</v>
      </c>
      <c r="C142" s="503" t="n">
        <v>130770</v>
      </c>
      <c r="D142" s="503" t="s">
        <v>409</v>
      </c>
      <c r="E142" s="503" t="s">
        <v>371</v>
      </c>
      <c r="F142" s="503" t="s">
        <v>372</v>
      </c>
      <c r="G142" s="503" t="s">
        <v>841</v>
      </c>
      <c r="H142" s="503" t="s">
        <v>252</v>
      </c>
      <c r="I142" s="503" t="s">
        <v>1435</v>
      </c>
      <c r="J142" s="504" t="n">
        <v>28690</v>
      </c>
      <c r="K142" s="504" t="n">
        <v>14960</v>
      </c>
      <c r="L142" s="505" t="n">
        <v>17.5</v>
      </c>
      <c r="M142" s="504" t="n">
        <v>13730</v>
      </c>
      <c r="N142" s="504" t="n">
        <v>11327.2</v>
      </c>
      <c r="O142" s="504" t="s">
        <v>417</v>
      </c>
      <c r="P142" s="508" t="n">
        <v>238</v>
      </c>
      <c r="Q142" s="506" t="n">
        <v>45814</v>
      </c>
      <c r="R142" s="507" t="n">
        <v>0.938668981481482</v>
      </c>
    </row>
    <row r="143" customFormat="false" ht="35.05" hidden="false" customHeight="false" outlineLevel="0" collapsed="false">
      <c r="A143" s="503" t="s">
        <v>2565</v>
      </c>
      <c r="B143" s="0" t="n">
        <v>274</v>
      </c>
      <c r="C143" s="503" t="n">
        <v>130771</v>
      </c>
      <c r="D143" s="503" t="s">
        <v>409</v>
      </c>
      <c r="E143" s="503" t="s">
        <v>365</v>
      </c>
      <c r="F143" s="503" t="s">
        <v>373</v>
      </c>
      <c r="G143" s="503" t="s">
        <v>841</v>
      </c>
      <c r="H143" s="503" t="s">
        <v>252</v>
      </c>
      <c r="I143" s="503" t="s">
        <v>1435</v>
      </c>
      <c r="J143" s="504" t="n">
        <v>32400</v>
      </c>
      <c r="K143" s="504" t="n">
        <v>18720</v>
      </c>
      <c r="L143" s="505" t="n">
        <v>18.5</v>
      </c>
      <c r="M143" s="504" t="n">
        <v>13680</v>
      </c>
      <c r="N143" s="504" t="n">
        <v>11149.2</v>
      </c>
      <c r="O143" s="504" t="s">
        <v>417</v>
      </c>
      <c r="P143" s="508" t="n">
        <v>239</v>
      </c>
      <c r="Q143" s="506" t="n">
        <v>45815</v>
      </c>
      <c r="R143" s="507" t="n">
        <v>0.342418981481482</v>
      </c>
    </row>
    <row r="144" customFormat="false" ht="35.05" hidden="false" customHeight="false" outlineLevel="0" collapsed="false">
      <c r="A144" s="503" t="s">
        <v>2566</v>
      </c>
      <c r="B144" s="0" t="n">
        <v>275</v>
      </c>
      <c r="C144" s="503" t="n">
        <v>59</v>
      </c>
      <c r="D144" s="503" t="s">
        <v>422</v>
      </c>
      <c r="E144" s="503" t="s">
        <v>376</v>
      </c>
      <c r="F144" s="503" t="s">
        <v>377</v>
      </c>
      <c r="G144" s="503" t="s">
        <v>865</v>
      </c>
      <c r="H144" s="503" t="s">
        <v>252</v>
      </c>
      <c r="I144" s="503" t="s">
        <v>1435</v>
      </c>
      <c r="J144" s="504" t="n">
        <v>28010</v>
      </c>
      <c r="K144" s="504" t="n">
        <v>14400</v>
      </c>
      <c r="L144" s="505" t="n">
        <v>13.5</v>
      </c>
      <c r="M144" s="504" t="n">
        <v>13610</v>
      </c>
      <c r="N144" s="504" t="n">
        <v>11772.6</v>
      </c>
      <c r="O144" s="504" t="s">
        <v>417</v>
      </c>
      <c r="P144" s="508" t="n">
        <v>240</v>
      </c>
      <c r="Q144" s="506" t="n">
        <v>45815</v>
      </c>
      <c r="R144" s="507" t="n">
        <v>0.350486111111111</v>
      </c>
    </row>
    <row r="145" customFormat="false" ht="35.05" hidden="false" customHeight="false" outlineLevel="0" collapsed="false">
      <c r="A145" s="503" t="s">
        <v>2567</v>
      </c>
      <c r="B145" s="0" t="n">
        <v>276</v>
      </c>
      <c r="C145" s="503" t="n">
        <v>60</v>
      </c>
      <c r="D145" s="503" t="s">
        <v>867</v>
      </c>
      <c r="E145" s="503" t="s">
        <v>374</v>
      </c>
      <c r="F145" s="503" t="s">
        <v>375</v>
      </c>
      <c r="G145" s="503" t="s">
        <v>865</v>
      </c>
      <c r="H145" s="503" t="s">
        <v>252</v>
      </c>
      <c r="I145" s="503" t="s">
        <v>1435</v>
      </c>
      <c r="J145" s="504" t="n">
        <v>9050</v>
      </c>
      <c r="K145" s="504" t="n">
        <v>4580</v>
      </c>
      <c r="L145" s="505" t="n">
        <v>11.5</v>
      </c>
      <c r="M145" s="504" t="n">
        <v>4470</v>
      </c>
      <c r="N145" s="504" t="n">
        <v>3955.9</v>
      </c>
      <c r="O145" s="504" t="s">
        <v>417</v>
      </c>
      <c r="P145" s="508" t="n">
        <v>241</v>
      </c>
      <c r="Q145" s="506" t="n">
        <v>45815</v>
      </c>
      <c r="R145" s="507" t="n">
        <v>0.454803240740741</v>
      </c>
    </row>
    <row r="146" customFormat="false" ht="35.05" hidden="false" customHeight="false" outlineLevel="0" collapsed="false">
      <c r="A146" s="503" t="s">
        <v>2568</v>
      </c>
      <c r="B146" s="0" t="n">
        <v>277</v>
      </c>
      <c r="C146" s="503" t="n">
        <v>130775</v>
      </c>
      <c r="D146" s="503" t="s">
        <v>409</v>
      </c>
      <c r="E146" s="503" t="s">
        <v>361</v>
      </c>
      <c r="F146" s="503" t="s">
        <v>362</v>
      </c>
      <c r="G146" s="503" t="s">
        <v>841</v>
      </c>
      <c r="H146" s="503" t="s">
        <v>252</v>
      </c>
      <c r="I146" s="503" t="s">
        <v>1435</v>
      </c>
      <c r="J146" s="504" t="n">
        <v>28430</v>
      </c>
      <c r="K146" s="504" t="n">
        <v>14730</v>
      </c>
      <c r="L146" s="505" t="n">
        <v>18.5</v>
      </c>
      <c r="M146" s="504" t="n">
        <v>13700</v>
      </c>
      <c r="N146" s="504" t="n">
        <v>11165.5</v>
      </c>
      <c r="O146" s="504" t="s">
        <v>417</v>
      </c>
      <c r="P146" s="508" t="n">
        <v>242</v>
      </c>
      <c r="Q146" s="506" t="n">
        <v>45815</v>
      </c>
      <c r="R146" s="507" t="n">
        <v>0.459884259259259</v>
      </c>
    </row>
    <row r="147" customFormat="false" ht="35.05" hidden="false" customHeight="false" outlineLevel="0" collapsed="false">
      <c r="A147" s="503" t="s">
        <v>2569</v>
      </c>
      <c r="B147" s="0" t="n">
        <v>278</v>
      </c>
      <c r="C147" s="503" t="n">
        <v>130773</v>
      </c>
      <c r="D147" s="503" t="s">
        <v>409</v>
      </c>
      <c r="E147" s="503" t="s">
        <v>395</v>
      </c>
      <c r="F147" s="503" t="s">
        <v>566</v>
      </c>
      <c r="G147" s="503" t="s">
        <v>841</v>
      </c>
      <c r="H147" s="503" t="s">
        <v>252</v>
      </c>
      <c r="I147" s="503" t="s">
        <v>1435</v>
      </c>
      <c r="J147" s="504" t="n">
        <v>28030</v>
      </c>
      <c r="K147" s="504" t="n">
        <v>14280</v>
      </c>
      <c r="L147" s="505" t="n">
        <v>11.5</v>
      </c>
      <c r="M147" s="504" t="n">
        <v>13750</v>
      </c>
      <c r="N147" s="504" t="n">
        <v>12168.7</v>
      </c>
      <c r="O147" s="504" t="s">
        <v>417</v>
      </c>
      <c r="P147" s="508" t="n">
        <v>243</v>
      </c>
      <c r="Q147" s="506" t="n">
        <v>45815</v>
      </c>
      <c r="R147" s="507" t="n">
        <v>0.463090277777778</v>
      </c>
    </row>
    <row r="148" customFormat="false" ht="35.05" hidden="false" customHeight="false" outlineLevel="0" collapsed="false">
      <c r="A148" s="503" t="s">
        <v>2570</v>
      </c>
      <c r="B148" s="0" t="n">
        <v>279</v>
      </c>
      <c r="C148" s="503" t="n">
        <v>130774</v>
      </c>
      <c r="D148" s="503" t="s">
        <v>409</v>
      </c>
      <c r="E148" s="503" t="s">
        <v>386</v>
      </c>
      <c r="F148" s="503" t="s">
        <v>387</v>
      </c>
      <c r="G148" s="503" t="s">
        <v>841</v>
      </c>
      <c r="H148" s="503" t="s">
        <v>252</v>
      </c>
      <c r="I148" s="503" t="s">
        <v>1435</v>
      </c>
      <c r="J148" s="504" t="n">
        <v>28730</v>
      </c>
      <c r="K148" s="504" t="n">
        <v>15080</v>
      </c>
      <c r="L148" s="505" t="n">
        <v>16.5</v>
      </c>
      <c r="M148" s="504" t="n">
        <v>13650</v>
      </c>
      <c r="N148" s="504" t="n">
        <v>11397.7</v>
      </c>
      <c r="O148" s="504" t="s">
        <v>417</v>
      </c>
      <c r="P148" s="508" t="n">
        <v>244</v>
      </c>
      <c r="Q148" s="506" t="n">
        <v>45815</v>
      </c>
      <c r="R148" s="507" t="n">
        <v>0.470497685185185</v>
      </c>
    </row>
    <row r="149" customFormat="false" ht="35.05" hidden="false" customHeight="false" outlineLevel="0" collapsed="false">
      <c r="A149" s="503" t="s">
        <v>2571</v>
      </c>
      <c r="B149" s="0" t="n">
        <v>281</v>
      </c>
      <c r="C149" s="503" t="n">
        <v>83501</v>
      </c>
      <c r="D149" s="503" t="s">
        <v>409</v>
      </c>
      <c r="E149" s="503" t="s">
        <v>439</v>
      </c>
      <c r="F149" s="503" t="s">
        <v>443</v>
      </c>
      <c r="G149" s="503" t="s">
        <v>841</v>
      </c>
      <c r="H149" s="503" t="s">
        <v>252</v>
      </c>
      <c r="I149" s="503" t="s">
        <v>1435</v>
      </c>
      <c r="J149" s="504" t="n">
        <v>37850</v>
      </c>
      <c r="K149" s="504" t="n">
        <v>23900</v>
      </c>
      <c r="L149" s="505" t="n">
        <v>19.5</v>
      </c>
      <c r="M149" s="504" t="n">
        <v>13950</v>
      </c>
      <c r="N149" s="504" t="n">
        <v>11229.7</v>
      </c>
      <c r="O149" s="504" t="s">
        <v>417</v>
      </c>
      <c r="P149" s="505" t="n">
        <v>245</v>
      </c>
      <c r="Q149" s="506" t="n">
        <v>45815</v>
      </c>
      <c r="R149" s="507" t="n">
        <v>0.478472222222222</v>
      </c>
    </row>
    <row r="150" customFormat="false" ht="35.05" hidden="false" customHeight="false" outlineLevel="0" collapsed="false">
      <c r="A150" s="503" t="s">
        <v>2572</v>
      </c>
      <c r="B150" s="0" t="n">
        <v>285</v>
      </c>
      <c r="C150" s="503" t="n">
        <v>65</v>
      </c>
      <c r="D150" s="503" t="s">
        <v>422</v>
      </c>
      <c r="E150" s="503" t="s">
        <v>411</v>
      </c>
      <c r="F150" s="503" t="s">
        <v>381</v>
      </c>
      <c r="G150" s="503" t="s">
        <v>865</v>
      </c>
      <c r="H150" s="503" t="s">
        <v>252</v>
      </c>
      <c r="I150" s="503" t="s">
        <v>1435</v>
      </c>
      <c r="J150" s="504" t="n">
        <v>23240</v>
      </c>
      <c r="K150" s="504" t="n">
        <v>14120</v>
      </c>
      <c r="L150" s="505" t="n">
        <v>11</v>
      </c>
      <c r="M150" s="504" t="n">
        <v>9120</v>
      </c>
      <c r="N150" s="504" t="n">
        <v>8116.8</v>
      </c>
      <c r="O150" s="504" t="s">
        <v>417</v>
      </c>
      <c r="P150" s="505" t="n">
        <v>246</v>
      </c>
      <c r="Q150" s="506" t="n">
        <v>45815</v>
      </c>
      <c r="R150" s="507" t="n">
        <v>0.496597222222222</v>
      </c>
    </row>
    <row r="151" customFormat="false" ht="35.05" hidden="false" customHeight="false" outlineLevel="0" collapsed="false">
      <c r="A151" s="503" t="s">
        <v>2573</v>
      </c>
      <c r="B151" s="0" t="n">
        <v>286</v>
      </c>
      <c r="C151" s="503" t="n">
        <v>66</v>
      </c>
      <c r="D151" s="503" t="s">
        <v>422</v>
      </c>
      <c r="E151" s="503" t="s">
        <v>378</v>
      </c>
      <c r="F151" s="503" t="s">
        <v>379</v>
      </c>
      <c r="G151" s="503" t="s">
        <v>865</v>
      </c>
      <c r="H151" s="503" t="s">
        <v>252</v>
      </c>
      <c r="I151" s="503" t="s">
        <v>1435</v>
      </c>
      <c r="J151" s="504" t="n">
        <v>8900</v>
      </c>
      <c r="K151" s="504" t="n">
        <v>4630</v>
      </c>
      <c r="L151" s="505" t="n">
        <v>8.5</v>
      </c>
      <c r="M151" s="504" t="n">
        <v>4270</v>
      </c>
      <c r="N151" s="504" t="n">
        <v>3907</v>
      </c>
      <c r="O151" s="504" t="s">
        <v>417</v>
      </c>
      <c r="P151" s="505" t="n">
        <v>247</v>
      </c>
      <c r="Q151" s="506" t="n">
        <v>45815</v>
      </c>
      <c r="R151" s="507" t="n">
        <v>0.525173611111111</v>
      </c>
    </row>
    <row r="152" customFormat="false" ht="35.05" hidden="false" customHeight="false" outlineLevel="0" collapsed="false">
      <c r="A152" s="503" t="s">
        <v>2574</v>
      </c>
      <c r="B152" s="0" t="n">
        <v>288</v>
      </c>
      <c r="C152" s="503" t="n">
        <v>67</v>
      </c>
      <c r="D152" s="503" t="s">
        <v>422</v>
      </c>
      <c r="E152" s="503" t="s">
        <v>384</v>
      </c>
      <c r="F152" s="503" t="s">
        <v>385</v>
      </c>
      <c r="G152" s="503" t="s">
        <v>865</v>
      </c>
      <c r="H152" s="503" t="s">
        <v>252</v>
      </c>
      <c r="I152" s="503" t="s">
        <v>1435</v>
      </c>
      <c r="J152" s="504" t="n">
        <v>27260</v>
      </c>
      <c r="K152" s="504" t="n">
        <v>14480</v>
      </c>
      <c r="L152" s="505" t="n">
        <v>16</v>
      </c>
      <c r="M152" s="504" t="n">
        <v>12780</v>
      </c>
      <c r="N152" s="504" t="n">
        <v>10735.2</v>
      </c>
      <c r="O152" s="504" t="s">
        <v>417</v>
      </c>
      <c r="P152" s="505" t="n">
        <v>248</v>
      </c>
      <c r="Q152" s="506" t="n">
        <v>45815</v>
      </c>
      <c r="R152" s="507" t="n">
        <v>0.569652777777778</v>
      </c>
    </row>
    <row r="153" customFormat="false" ht="35.05" hidden="false" customHeight="false" outlineLevel="0" collapsed="false">
      <c r="A153" s="503" t="s">
        <v>2575</v>
      </c>
      <c r="B153" s="0" t="n">
        <v>289</v>
      </c>
      <c r="C153" s="503" t="n">
        <v>68</v>
      </c>
      <c r="D153" s="503" t="s">
        <v>422</v>
      </c>
      <c r="E153" s="503" t="s">
        <v>48</v>
      </c>
      <c r="F153" s="503" t="s">
        <v>49</v>
      </c>
      <c r="G153" s="503" t="s">
        <v>865</v>
      </c>
      <c r="H153" s="503" t="s">
        <v>252</v>
      </c>
      <c r="I153" s="503" t="s">
        <v>1435</v>
      </c>
      <c r="J153" s="504" t="n">
        <v>24210</v>
      </c>
      <c r="K153" s="504" t="n">
        <v>14880</v>
      </c>
      <c r="L153" s="505" t="n">
        <v>15</v>
      </c>
      <c r="M153" s="504" t="n">
        <v>9330</v>
      </c>
      <c r="N153" s="504" t="n">
        <v>7930.5</v>
      </c>
      <c r="O153" s="504" t="s">
        <v>417</v>
      </c>
      <c r="P153" s="505" t="n">
        <v>249</v>
      </c>
      <c r="Q153" s="506" t="n">
        <v>45815</v>
      </c>
      <c r="R153" s="507" t="n">
        <v>0.636805555555556</v>
      </c>
    </row>
    <row r="154" customFormat="false" ht="35.05" hidden="false" customHeight="false" outlineLevel="0" collapsed="false">
      <c r="A154" s="503" t="s">
        <v>2576</v>
      </c>
      <c r="B154" s="0" t="n">
        <v>290</v>
      </c>
      <c r="C154" s="503" t="n">
        <v>69</v>
      </c>
      <c r="D154" s="503" t="s">
        <v>422</v>
      </c>
      <c r="E154" s="503" t="s">
        <v>411</v>
      </c>
      <c r="F154" s="503" t="s">
        <v>868</v>
      </c>
      <c r="G154" s="503" t="s">
        <v>865</v>
      </c>
      <c r="H154" s="503" t="s">
        <v>252</v>
      </c>
      <c r="I154" s="503" t="s">
        <v>1435</v>
      </c>
      <c r="J154" s="504" t="n">
        <v>23310</v>
      </c>
      <c r="K154" s="504" t="n">
        <v>14100</v>
      </c>
      <c r="L154" s="505" t="n">
        <v>18.5</v>
      </c>
      <c r="M154" s="504" t="n">
        <v>9210</v>
      </c>
      <c r="N154" s="504" t="n">
        <v>7506.1</v>
      </c>
      <c r="O154" s="504" t="s">
        <v>417</v>
      </c>
      <c r="P154" s="505" t="n">
        <v>250</v>
      </c>
      <c r="Q154" s="506" t="n">
        <v>45815</v>
      </c>
      <c r="R154" s="507" t="n">
        <v>0.771516203703704</v>
      </c>
    </row>
    <row r="155" customFormat="false" ht="35.05" hidden="false" customHeight="false" outlineLevel="0" collapsed="false">
      <c r="A155" s="503" t="s">
        <v>2577</v>
      </c>
      <c r="B155" s="0" t="n">
        <v>291</v>
      </c>
      <c r="C155" s="503" t="n">
        <v>70</v>
      </c>
      <c r="D155" s="503" t="s">
        <v>422</v>
      </c>
      <c r="E155" s="503" t="s">
        <v>378</v>
      </c>
      <c r="F155" s="503" t="s">
        <v>379</v>
      </c>
      <c r="G155" s="503" t="s">
        <v>865</v>
      </c>
      <c r="H155" s="503" t="s">
        <v>252</v>
      </c>
      <c r="I155" s="503" t="s">
        <v>1435</v>
      </c>
      <c r="J155" s="504" t="n">
        <v>9180</v>
      </c>
      <c r="K155" s="504" t="n">
        <v>4620</v>
      </c>
      <c r="L155" s="505" t="n">
        <v>15.5</v>
      </c>
      <c r="M155" s="504" t="n">
        <v>4560</v>
      </c>
      <c r="N155" s="504" t="n">
        <v>3853.2</v>
      </c>
      <c r="O155" s="504" t="s">
        <v>417</v>
      </c>
      <c r="P155" s="505" t="n">
        <v>251</v>
      </c>
      <c r="Q155" s="506" t="n">
        <v>45815</v>
      </c>
      <c r="R155" s="507" t="n">
        <v>0.776828703703704</v>
      </c>
    </row>
    <row r="156" customFormat="false" ht="35.05" hidden="false" customHeight="false" outlineLevel="0" collapsed="false">
      <c r="A156" s="503" t="s">
        <v>2578</v>
      </c>
      <c r="B156" s="0" t="n">
        <v>293</v>
      </c>
      <c r="C156" s="503" t="n">
        <v>71</v>
      </c>
      <c r="D156" s="503" t="s">
        <v>422</v>
      </c>
      <c r="E156" s="503" t="s">
        <v>384</v>
      </c>
      <c r="F156" s="503" t="s">
        <v>385</v>
      </c>
      <c r="G156" s="503" t="s">
        <v>865</v>
      </c>
      <c r="H156" s="503" t="s">
        <v>252</v>
      </c>
      <c r="I156" s="503" t="s">
        <v>1435</v>
      </c>
      <c r="J156" s="504" t="n">
        <v>31060</v>
      </c>
      <c r="K156" s="504" t="n">
        <v>14460</v>
      </c>
      <c r="L156" s="505" t="n">
        <v>14</v>
      </c>
      <c r="M156" s="504" t="n">
        <v>16600</v>
      </c>
      <c r="N156" s="504" t="n">
        <v>14276</v>
      </c>
      <c r="O156" s="504" t="s">
        <v>417</v>
      </c>
      <c r="P156" s="505" t="n">
        <v>252</v>
      </c>
      <c r="Q156" s="506" t="n">
        <v>45815</v>
      </c>
      <c r="R156" s="507" t="n">
        <v>0.77869212962963</v>
      </c>
    </row>
    <row r="157" customFormat="false" ht="35.05" hidden="false" customHeight="false" outlineLevel="0" collapsed="false">
      <c r="A157" s="503" t="s">
        <v>2579</v>
      </c>
      <c r="B157" s="0" t="n">
        <v>294</v>
      </c>
      <c r="C157" s="503" t="n">
        <v>72</v>
      </c>
      <c r="D157" s="503" t="s">
        <v>422</v>
      </c>
      <c r="E157" s="503" t="s">
        <v>48</v>
      </c>
      <c r="F157" s="503" t="s">
        <v>49</v>
      </c>
      <c r="G157" s="503" t="s">
        <v>870</v>
      </c>
      <c r="H157" s="503" t="s">
        <v>869</v>
      </c>
      <c r="I157" s="503" t="s">
        <v>1435</v>
      </c>
      <c r="J157" s="504" t="n">
        <v>28630</v>
      </c>
      <c r="K157" s="504" t="n">
        <v>14990</v>
      </c>
      <c r="L157" s="505" t="n">
        <v>12</v>
      </c>
      <c r="M157" s="504" t="n">
        <v>13640</v>
      </c>
      <c r="N157" s="504" t="n">
        <v>12003.2</v>
      </c>
      <c r="O157" s="504" t="s">
        <v>417</v>
      </c>
      <c r="P157" s="505" t="n">
        <v>253</v>
      </c>
      <c r="Q157" s="506" t="n">
        <v>45815</v>
      </c>
      <c r="R157" s="507" t="n">
        <v>0.822465277777778</v>
      </c>
    </row>
    <row r="158" customFormat="false" ht="35.05" hidden="false" customHeight="false" outlineLevel="0" collapsed="false">
      <c r="A158" s="503" t="s">
        <v>2580</v>
      </c>
      <c r="B158" s="0" t="n">
        <v>295</v>
      </c>
      <c r="C158" s="503" t="n">
        <v>73</v>
      </c>
      <c r="D158" s="503" t="s">
        <v>422</v>
      </c>
      <c r="E158" s="503" t="s">
        <v>411</v>
      </c>
      <c r="F158" s="503" t="s">
        <v>381</v>
      </c>
      <c r="G158" s="503" t="s">
        <v>870</v>
      </c>
      <c r="H158" s="503" t="s">
        <v>869</v>
      </c>
      <c r="I158" s="503" t="s">
        <v>1435</v>
      </c>
      <c r="J158" s="504" t="n">
        <v>27400</v>
      </c>
      <c r="K158" s="504" t="n">
        <v>14090</v>
      </c>
      <c r="L158" s="505" t="n">
        <v>15</v>
      </c>
      <c r="M158" s="504" t="n">
        <v>13310</v>
      </c>
      <c r="N158" s="504" t="n">
        <v>11313.5</v>
      </c>
      <c r="O158" s="504" t="s">
        <v>417</v>
      </c>
      <c r="P158" s="505" t="n">
        <v>254</v>
      </c>
      <c r="Q158" s="506" t="n">
        <v>45815</v>
      </c>
      <c r="R158" s="507" t="n">
        <v>0.936921296296296</v>
      </c>
    </row>
    <row r="159" customFormat="false" ht="35.05" hidden="false" customHeight="false" outlineLevel="0" collapsed="false">
      <c r="A159" s="503" t="s">
        <v>2581</v>
      </c>
      <c r="B159" s="0" t="n">
        <v>296</v>
      </c>
      <c r="C159" s="503" t="n">
        <v>74</v>
      </c>
      <c r="D159" s="503" t="s">
        <v>422</v>
      </c>
      <c r="E159" s="503" t="s">
        <v>378</v>
      </c>
      <c r="F159" s="503" t="s">
        <v>379</v>
      </c>
      <c r="G159" s="503" t="s">
        <v>870</v>
      </c>
      <c r="H159" s="503" t="s">
        <v>869</v>
      </c>
      <c r="I159" s="503" t="s">
        <v>1435</v>
      </c>
      <c r="J159" s="504" t="n">
        <v>8620</v>
      </c>
      <c r="K159" s="504" t="n">
        <v>4610</v>
      </c>
      <c r="L159" s="505" t="n">
        <v>16.5</v>
      </c>
      <c r="M159" s="504" t="n">
        <v>4010</v>
      </c>
      <c r="N159" s="504" t="n">
        <v>3348.3</v>
      </c>
      <c r="O159" s="504" t="s">
        <v>746</v>
      </c>
      <c r="P159" s="505" t="n">
        <v>255</v>
      </c>
      <c r="Q159" s="506" t="n">
        <v>45815</v>
      </c>
      <c r="R159" s="507" t="n">
        <v>0.943055555555556</v>
      </c>
    </row>
    <row r="160" customFormat="false" ht="35.05" hidden="false" customHeight="false" outlineLevel="0" collapsed="false">
      <c r="A160" s="503" t="s">
        <v>2582</v>
      </c>
      <c r="B160" s="0" t="n">
        <v>297</v>
      </c>
      <c r="C160" s="503" t="n">
        <v>75</v>
      </c>
      <c r="D160" s="503" t="s">
        <v>422</v>
      </c>
      <c r="E160" s="503" t="s">
        <v>384</v>
      </c>
      <c r="F160" s="503" t="s">
        <v>385</v>
      </c>
      <c r="G160" s="503" t="s">
        <v>870</v>
      </c>
      <c r="H160" s="503" t="s">
        <v>869</v>
      </c>
      <c r="I160" s="503" t="s">
        <v>1435</v>
      </c>
      <c r="J160" s="504" t="n">
        <v>31480</v>
      </c>
      <c r="K160" s="504" t="n">
        <v>14460</v>
      </c>
      <c r="L160" s="505" t="n">
        <v>12</v>
      </c>
      <c r="M160" s="504" t="n">
        <v>17020</v>
      </c>
      <c r="N160" s="504" t="n">
        <v>14977.6</v>
      </c>
      <c r="O160" s="504" t="s">
        <v>746</v>
      </c>
      <c r="P160" s="505" t="n">
        <v>256</v>
      </c>
      <c r="Q160" s="506" t="n">
        <v>45815</v>
      </c>
      <c r="R160" s="507" t="n">
        <v>0.950416666666667</v>
      </c>
    </row>
    <row r="161" customFormat="false" ht="35.05" hidden="false" customHeight="false" outlineLevel="0" collapsed="false">
      <c r="A161" s="503" t="s">
        <v>2583</v>
      </c>
      <c r="B161" s="0" t="n">
        <v>298</v>
      </c>
      <c r="C161" s="503" t="n">
        <v>76</v>
      </c>
      <c r="D161" s="503" t="s">
        <v>422</v>
      </c>
      <c r="E161" s="503" t="s">
        <v>48</v>
      </c>
      <c r="F161" s="503" t="s">
        <v>49</v>
      </c>
      <c r="G161" s="503" t="s">
        <v>870</v>
      </c>
      <c r="H161" s="503" t="s">
        <v>869</v>
      </c>
      <c r="I161" s="503" t="s">
        <v>1435</v>
      </c>
      <c r="J161" s="504" t="n">
        <v>28100</v>
      </c>
      <c r="K161" s="504" t="n">
        <v>14970</v>
      </c>
      <c r="L161" s="505" t="n">
        <v>17</v>
      </c>
      <c r="M161" s="504" t="n">
        <v>13130</v>
      </c>
      <c r="N161" s="504" t="n">
        <v>10897.9</v>
      </c>
      <c r="O161" s="504" t="s">
        <v>746</v>
      </c>
      <c r="P161" s="505" t="n">
        <v>257</v>
      </c>
      <c r="Q161" s="506" t="n">
        <v>45815</v>
      </c>
      <c r="R161" s="507" t="n">
        <v>0.980717592592593</v>
      </c>
    </row>
    <row r="162" customFormat="false" ht="35.05" hidden="false" customHeight="false" outlineLevel="0" collapsed="false">
      <c r="A162" s="503" t="s">
        <v>2584</v>
      </c>
      <c r="B162" s="0" t="n">
        <v>299</v>
      </c>
      <c r="C162" s="503" t="n">
        <v>77</v>
      </c>
      <c r="D162" s="503" t="s">
        <v>422</v>
      </c>
      <c r="E162" s="503" t="s">
        <v>411</v>
      </c>
      <c r="F162" s="503" t="s">
        <v>381</v>
      </c>
      <c r="G162" s="503" t="s">
        <v>870</v>
      </c>
      <c r="H162" s="503" t="s">
        <v>869</v>
      </c>
      <c r="I162" s="503" t="s">
        <v>1435</v>
      </c>
      <c r="J162" s="504" t="n">
        <v>27200</v>
      </c>
      <c r="K162" s="504" t="n">
        <v>14080</v>
      </c>
      <c r="L162" s="505" t="n">
        <v>11</v>
      </c>
      <c r="M162" s="504" t="n">
        <v>13120</v>
      </c>
      <c r="N162" s="504" t="n">
        <v>11676.8</v>
      </c>
      <c r="O162" s="504" t="s">
        <v>746</v>
      </c>
      <c r="P162" s="505" t="n">
        <v>258</v>
      </c>
      <c r="Q162" s="506" t="n">
        <v>45816</v>
      </c>
      <c r="R162" s="507" t="n">
        <v>0.0845717592592593</v>
      </c>
    </row>
    <row r="163" customFormat="false" ht="35.05" hidden="false" customHeight="false" outlineLevel="0" collapsed="false">
      <c r="A163" s="503" t="s">
        <v>2585</v>
      </c>
      <c r="B163" s="0" t="n">
        <v>300</v>
      </c>
      <c r="C163" s="503" t="n">
        <v>78</v>
      </c>
      <c r="D163" s="503" t="s">
        <v>422</v>
      </c>
      <c r="E163" s="503" t="s">
        <v>378</v>
      </c>
      <c r="F163" s="503" t="s">
        <v>379</v>
      </c>
      <c r="G163" s="503" t="s">
        <v>870</v>
      </c>
      <c r="H163" s="503" t="s">
        <v>869</v>
      </c>
      <c r="I163" s="503" t="s">
        <v>1435</v>
      </c>
      <c r="J163" s="504" t="n">
        <v>9060</v>
      </c>
      <c r="K163" s="504" t="n">
        <v>4530</v>
      </c>
      <c r="L163" s="505" t="n">
        <v>9.5</v>
      </c>
      <c r="M163" s="504" t="n">
        <v>4530</v>
      </c>
      <c r="N163" s="504" t="n">
        <v>4099.6</v>
      </c>
      <c r="O163" s="504" t="s">
        <v>746</v>
      </c>
      <c r="P163" s="505" t="n">
        <v>259</v>
      </c>
      <c r="Q163" s="506" t="n">
        <v>45816</v>
      </c>
      <c r="R163" s="507" t="n">
        <v>0.113657407407407</v>
      </c>
    </row>
    <row r="164" customFormat="false" ht="35.05" hidden="false" customHeight="false" outlineLevel="0" collapsed="false">
      <c r="A164" s="503" t="s">
        <v>2586</v>
      </c>
      <c r="B164" s="0" t="n">
        <v>300</v>
      </c>
      <c r="C164" s="503" t="n">
        <v>78</v>
      </c>
      <c r="D164" s="503" t="s">
        <v>422</v>
      </c>
      <c r="E164" s="503" t="s">
        <v>378</v>
      </c>
      <c r="F164" s="503" t="s">
        <v>379</v>
      </c>
      <c r="G164" s="503" t="s">
        <v>870</v>
      </c>
      <c r="H164" s="503" t="s">
        <v>869</v>
      </c>
      <c r="I164" s="503" t="s">
        <v>1435</v>
      </c>
      <c r="J164" s="504"/>
      <c r="K164" s="504"/>
      <c r="L164" s="505"/>
      <c r="M164" s="504"/>
      <c r="N164" s="504"/>
      <c r="O164" s="504"/>
      <c r="P164" s="505" t="n">
        <v>260</v>
      </c>
      <c r="Q164" s="506" t="n">
        <v>45816</v>
      </c>
      <c r="R164" s="507" t="n">
        <v>0.0492361111111111</v>
      </c>
    </row>
    <row r="165" customFormat="false" ht="35.05" hidden="false" customHeight="false" outlineLevel="0" collapsed="false">
      <c r="A165" s="503" t="s">
        <v>2587</v>
      </c>
      <c r="B165" s="0" t="n">
        <v>302</v>
      </c>
      <c r="C165" s="503" t="n">
        <v>80</v>
      </c>
      <c r="D165" s="503" t="s">
        <v>422</v>
      </c>
      <c r="E165" s="503" t="s">
        <v>384</v>
      </c>
      <c r="F165" s="503" t="s">
        <v>385</v>
      </c>
      <c r="G165" s="503" t="s">
        <v>870</v>
      </c>
      <c r="H165" s="503" t="s">
        <v>869</v>
      </c>
      <c r="I165" s="503" t="s">
        <v>1435</v>
      </c>
      <c r="J165" s="504" t="n">
        <v>20660</v>
      </c>
      <c r="K165" s="504" t="n">
        <v>14450</v>
      </c>
      <c r="L165" s="505" t="n">
        <v>11.5</v>
      </c>
      <c r="M165" s="504" t="n">
        <v>6210</v>
      </c>
      <c r="N165" s="504" t="n">
        <v>5495.8</v>
      </c>
      <c r="O165" s="504" t="s">
        <v>746</v>
      </c>
      <c r="P165" s="505" t="n">
        <v>261</v>
      </c>
      <c r="Q165" s="506" t="n">
        <v>45816</v>
      </c>
      <c r="R165" s="507" t="n">
        <v>0.182314814814815</v>
      </c>
    </row>
    <row r="166" customFormat="false" ht="35.05" hidden="false" customHeight="false" outlineLevel="0" collapsed="false">
      <c r="A166" s="503" t="s">
        <v>2588</v>
      </c>
      <c r="B166" s="0" t="n">
        <v>301</v>
      </c>
      <c r="C166" s="503" t="n">
        <v>79</v>
      </c>
      <c r="D166" s="503" t="s">
        <v>422</v>
      </c>
      <c r="E166" s="503" t="s">
        <v>384</v>
      </c>
      <c r="F166" s="503" t="s">
        <v>385</v>
      </c>
      <c r="G166" s="503" t="s">
        <v>730</v>
      </c>
      <c r="H166" s="503" t="s">
        <v>66</v>
      </c>
      <c r="I166" s="503" t="s">
        <v>1435</v>
      </c>
      <c r="J166" s="504" t="n">
        <v>27510</v>
      </c>
      <c r="K166" s="504" t="n">
        <v>20660</v>
      </c>
      <c r="L166" s="505" t="n">
        <v>13.5</v>
      </c>
      <c r="M166" s="504" t="n">
        <v>6850</v>
      </c>
      <c r="N166" s="504" t="n">
        <v>5925.2</v>
      </c>
      <c r="O166" s="504" t="s">
        <v>417</v>
      </c>
      <c r="P166" s="505" t="n">
        <v>262</v>
      </c>
      <c r="Q166" s="506" t="n">
        <v>45816</v>
      </c>
      <c r="R166" s="507" t="n">
        <v>0.350590277777778</v>
      </c>
    </row>
    <row r="167" customFormat="false" ht="35.05" hidden="false" customHeight="false" outlineLevel="0" collapsed="false">
      <c r="A167" s="503" t="s">
        <v>2589</v>
      </c>
      <c r="B167" s="0" t="n">
        <v>303</v>
      </c>
      <c r="C167" s="503" t="n">
        <v>81</v>
      </c>
      <c r="D167" s="503" t="s">
        <v>422</v>
      </c>
      <c r="E167" s="503" t="s">
        <v>48</v>
      </c>
      <c r="F167" s="503" t="s">
        <v>49</v>
      </c>
      <c r="G167" s="503" t="s">
        <v>730</v>
      </c>
      <c r="H167" s="503" t="s">
        <v>66</v>
      </c>
      <c r="I167" s="503" t="s">
        <v>1435</v>
      </c>
      <c r="J167" s="504" t="n">
        <v>28740</v>
      </c>
      <c r="K167" s="504" t="n">
        <v>14970</v>
      </c>
      <c r="L167" s="505" t="n">
        <v>16</v>
      </c>
      <c r="M167" s="504" t="n">
        <v>13770</v>
      </c>
      <c r="N167" s="504" t="n">
        <v>11566.8</v>
      </c>
      <c r="O167" s="504" t="s">
        <v>417</v>
      </c>
      <c r="P167" s="505" t="n">
        <v>263</v>
      </c>
      <c r="Q167" s="506" t="n">
        <v>45816</v>
      </c>
      <c r="R167" s="507" t="n">
        <v>0.351168981481481</v>
      </c>
    </row>
    <row r="168" customFormat="false" ht="35.05" hidden="false" customHeight="false" outlineLevel="0" collapsed="false">
      <c r="A168" s="503" t="s">
        <v>2590</v>
      </c>
      <c r="B168" s="0" t="n">
        <v>292</v>
      </c>
      <c r="C168" s="503" t="n">
        <v>65</v>
      </c>
      <c r="D168" s="503" t="s">
        <v>422</v>
      </c>
      <c r="E168" s="503" t="s">
        <v>411</v>
      </c>
      <c r="F168" s="503" t="s">
        <v>381</v>
      </c>
      <c r="G168" s="503"/>
      <c r="H168" s="503" t="s">
        <v>252</v>
      </c>
      <c r="I168" s="503" t="s">
        <v>1435</v>
      </c>
      <c r="J168" s="504"/>
      <c r="K168" s="504"/>
      <c r="L168" s="505"/>
      <c r="M168" s="504"/>
      <c r="N168" s="504"/>
      <c r="O168" s="504"/>
      <c r="P168" s="505" t="n">
        <v>264</v>
      </c>
      <c r="Q168" s="506" t="n">
        <v>45815</v>
      </c>
      <c r="R168" s="507" t="n">
        <v>0.700636574074074</v>
      </c>
    </row>
    <row r="169" customFormat="false" ht="35.05" hidden="false" customHeight="false" outlineLevel="0" collapsed="false">
      <c r="A169" s="503" t="s">
        <v>2591</v>
      </c>
      <c r="B169" s="0" t="n">
        <v>304</v>
      </c>
      <c r="C169" s="503" t="n">
        <v>82</v>
      </c>
      <c r="D169" s="503" t="s">
        <v>422</v>
      </c>
      <c r="E169" s="503" t="s">
        <v>411</v>
      </c>
      <c r="F169" s="503" t="s">
        <v>381</v>
      </c>
      <c r="G169" s="503" t="s">
        <v>730</v>
      </c>
      <c r="H169" s="503" t="s">
        <v>66</v>
      </c>
      <c r="I169" s="503" t="s">
        <v>1435</v>
      </c>
      <c r="J169" s="504" t="n">
        <v>27790</v>
      </c>
      <c r="K169" s="504" t="n">
        <v>14070</v>
      </c>
      <c r="L169" s="505" t="n">
        <v>9</v>
      </c>
      <c r="M169" s="504" t="n">
        <v>13720</v>
      </c>
      <c r="N169" s="504" t="n">
        <v>12485.2</v>
      </c>
      <c r="O169" s="504" t="s">
        <v>417</v>
      </c>
      <c r="P169" s="505" t="n">
        <v>265</v>
      </c>
      <c r="Q169" s="506" t="n">
        <v>45816</v>
      </c>
      <c r="R169" s="507" t="n">
        <v>0.352638888888889</v>
      </c>
    </row>
    <row r="170" customFormat="false" ht="35.05" hidden="false" customHeight="false" outlineLevel="0" collapsed="false">
      <c r="A170" s="503" t="s">
        <v>2592</v>
      </c>
      <c r="B170" s="0" t="n">
        <v>305</v>
      </c>
      <c r="C170" s="503" t="n">
        <v>83</v>
      </c>
      <c r="D170" s="503" t="s">
        <v>422</v>
      </c>
      <c r="E170" s="503" t="s">
        <v>378</v>
      </c>
      <c r="F170" s="503" t="s">
        <v>379</v>
      </c>
      <c r="G170" s="503" t="s">
        <v>730</v>
      </c>
      <c r="H170" s="503" t="s">
        <v>66</v>
      </c>
      <c r="I170" s="503" t="s">
        <v>1435</v>
      </c>
      <c r="J170" s="504" t="n">
        <v>9040</v>
      </c>
      <c r="K170" s="504" t="n">
        <v>4520</v>
      </c>
      <c r="L170" s="505" t="n">
        <v>7.5</v>
      </c>
      <c r="M170" s="504" t="n">
        <v>4520</v>
      </c>
      <c r="N170" s="504" t="n">
        <v>4181</v>
      </c>
      <c r="O170" s="504" t="s">
        <v>417</v>
      </c>
      <c r="P170" s="505" t="n">
        <v>266</v>
      </c>
      <c r="Q170" s="506" t="n">
        <v>45816</v>
      </c>
      <c r="R170" s="507" t="n">
        <v>0.35380787037037</v>
      </c>
    </row>
    <row r="171" customFormat="false" ht="35.05" hidden="false" customHeight="false" outlineLevel="0" collapsed="false">
      <c r="A171" s="503" t="s">
        <v>2593</v>
      </c>
      <c r="B171" s="0" t="n">
        <v>306</v>
      </c>
      <c r="C171" s="503" t="n">
        <v>84</v>
      </c>
      <c r="D171" s="503" t="s">
        <v>422</v>
      </c>
      <c r="E171" s="503" t="s">
        <v>384</v>
      </c>
      <c r="F171" s="503" t="s">
        <v>385</v>
      </c>
      <c r="G171" s="503" t="s">
        <v>730</v>
      </c>
      <c r="H171" s="503" t="s">
        <v>66</v>
      </c>
      <c r="I171" s="503" t="s">
        <v>1435</v>
      </c>
      <c r="J171" s="504" t="n">
        <v>27630</v>
      </c>
      <c r="K171" s="504" t="n">
        <v>14440</v>
      </c>
      <c r="L171" s="505" t="n">
        <v>9.5</v>
      </c>
      <c r="M171" s="504" t="n">
        <v>13190</v>
      </c>
      <c r="N171" s="504" t="n">
        <v>11936.9</v>
      </c>
      <c r="O171" s="504" t="s">
        <v>417</v>
      </c>
      <c r="P171" s="505" t="n">
        <v>267</v>
      </c>
      <c r="Q171" s="506" t="n">
        <v>45816</v>
      </c>
      <c r="R171" s="507" t="n">
        <v>0.357048611111111</v>
      </c>
    </row>
    <row r="172" customFormat="false" ht="35.05" hidden="false" customHeight="false" outlineLevel="0" collapsed="false">
      <c r="A172" s="503" t="s">
        <v>2594</v>
      </c>
      <c r="B172" s="0" t="n">
        <v>307</v>
      </c>
      <c r="C172" s="503" t="n">
        <v>85</v>
      </c>
      <c r="D172" s="503" t="s">
        <v>422</v>
      </c>
      <c r="E172" s="503" t="s">
        <v>48</v>
      </c>
      <c r="F172" s="503" t="s">
        <v>49</v>
      </c>
      <c r="G172" s="503" t="s">
        <v>730</v>
      </c>
      <c r="H172" s="503" t="s">
        <v>66</v>
      </c>
      <c r="I172" s="503" t="s">
        <v>1435</v>
      </c>
      <c r="J172" s="504" t="n">
        <v>28590</v>
      </c>
      <c r="K172" s="504" t="n">
        <v>14950</v>
      </c>
      <c r="L172" s="505" t="n">
        <v>9.5</v>
      </c>
      <c r="M172" s="504" t="n">
        <v>13640</v>
      </c>
      <c r="N172" s="504" t="n">
        <v>12344.2</v>
      </c>
      <c r="O172" s="504" t="s">
        <v>417</v>
      </c>
      <c r="P172" s="505" t="n">
        <v>268</v>
      </c>
      <c r="Q172" s="506" t="n">
        <v>45816</v>
      </c>
      <c r="R172" s="507" t="n">
        <v>0.462453703703704</v>
      </c>
    </row>
    <row r="173" customFormat="false" ht="35.05" hidden="false" customHeight="false" outlineLevel="0" collapsed="false">
      <c r="A173" s="503" t="s">
        <v>2595</v>
      </c>
      <c r="B173" s="0" t="n">
        <v>309</v>
      </c>
      <c r="C173" s="503" t="n">
        <v>86</v>
      </c>
      <c r="D173" s="503" t="s">
        <v>422</v>
      </c>
      <c r="E173" s="503" t="s">
        <v>872</v>
      </c>
      <c r="F173" s="503" t="s">
        <v>364</v>
      </c>
      <c r="G173" s="503" t="s">
        <v>730</v>
      </c>
      <c r="H173" s="503" t="s">
        <v>66</v>
      </c>
      <c r="I173" s="503" t="s">
        <v>1435</v>
      </c>
      <c r="J173" s="504" t="n">
        <v>27300</v>
      </c>
      <c r="K173" s="504" t="n">
        <v>14610</v>
      </c>
      <c r="L173" s="505" t="n">
        <v>10.5</v>
      </c>
      <c r="M173" s="504" t="n">
        <v>12690</v>
      </c>
      <c r="N173" s="504" t="n">
        <v>11357.5</v>
      </c>
      <c r="O173" s="504" t="s">
        <v>417</v>
      </c>
      <c r="P173" s="505" t="n">
        <v>269</v>
      </c>
      <c r="Q173" s="506" t="n">
        <v>45816</v>
      </c>
      <c r="R173" s="507" t="n">
        <v>0.464039351851852</v>
      </c>
    </row>
    <row r="174" customFormat="false" ht="35.05" hidden="false" customHeight="false" outlineLevel="0" collapsed="false">
      <c r="A174" s="503" t="s">
        <v>2596</v>
      </c>
      <c r="B174" s="0" t="n">
        <v>310</v>
      </c>
      <c r="C174" s="503" t="n">
        <v>87</v>
      </c>
      <c r="D174" s="503" t="s">
        <v>867</v>
      </c>
      <c r="E174" s="503" t="s">
        <v>374</v>
      </c>
      <c r="F174" s="503" t="s">
        <v>375</v>
      </c>
      <c r="G174" s="503" t="s">
        <v>730</v>
      </c>
      <c r="H174" s="503" t="s">
        <v>66</v>
      </c>
      <c r="I174" s="503" t="s">
        <v>1435</v>
      </c>
      <c r="J174" s="504" t="n">
        <v>9060</v>
      </c>
      <c r="K174" s="504" t="n">
        <v>4570</v>
      </c>
      <c r="L174" s="505" t="n">
        <v>14</v>
      </c>
      <c r="M174" s="504" t="n">
        <v>4490</v>
      </c>
      <c r="N174" s="504" t="n">
        <v>3861.4</v>
      </c>
      <c r="O174" s="504" t="s">
        <v>417</v>
      </c>
      <c r="P174" s="505" t="n">
        <v>270</v>
      </c>
      <c r="Q174" s="506" t="n">
        <v>45816</v>
      </c>
      <c r="R174" s="507" t="n">
        <v>0.537627314814815</v>
      </c>
    </row>
    <row r="175" customFormat="false" ht="35.05" hidden="false" customHeight="false" outlineLevel="0" collapsed="false">
      <c r="A175" s="503" t="s">
        <v>2597</v>
      </c>
      <c r="B175" s="0" t="n">
        <v>311</v>
      </c>
      <c r="C175" s="503" t="n">
        <v>88</v>
      </c>
      <c r="D175" s="503" t="s">
        <v>422</v>
      </c>
      <c r="E175" s="503" t="s">
        <v>376</v>
      </c>
      <c r="F175" s="503" t="s">
        <v>377</v>
      </c>
      <c r="G175" s="503" t="s">
        <v>730</v>
      </c>
      <c r="H175" s="503" t="s">
        <v>66</v>
      </c>
      <c r="I175" s="503" t="s">
        <v>1435</v>
      </c>
      <c r="J175" s="504" t="n">
        <v>28280</v>
      </c>
      <c r="K175" s="504" t="n">
        <v>14320</v>
      </c>
      <c r="L175" s="505" t="n">
        <v>12.5</v>
      </c>
      <c r="M175" s="504" t="n">
        <v>13960</v>
      </c>
      <c r="N175" s="504" t="n">
        <v>12215</v>
      </c>
      <c r="O175" s="504" t="s">
        <v>417</v>
      </c>
      <c r="P175" s="505" t="n">
        <v>271</v>
      </c>
      <c r="Q175" s="506" t="n">
        <v>45816</v>
      </c>
      <c r="R175" s="507" t="n">
        <v>0.549733796296296</v>
      </c>
    </row>
    <row r="176" customFormat="false" ht="35.05" hidden="false" customHeight="false" outlineLevel="0" collapsed="false">
      <c r="A176" s="503" t="s">
        <v>2598</v>
      </c>
      <c r="B176" s="0" t="n">
        <v>313</v>
      </c>
      <c r="C176" s="503" t="n">
        <v>89</v>
      </c>
      <c r="D176" s="503" t="s">
        <v>422</v>
      </c>
      <c r="E176" s="503" t="s">
        <v>371</v>
      </c>
      <c r="F176" s="503" t="s">
        <v>372</v>
      </c>
      <c r="G176" s="503" t="s">
        <v>730</v>
      </c>
      <c r="H176" s="503" t="s">
        <v>66</v>
      </c>
      <c r="I176" s="503" t="s">
        <v>1435</v>
      </c>
      <c r="J176" s="504" t="n">
        <v>28870</v>
      </c>
      <c r="K176" s="504" t="n">
        <v>14930</v>
      </c>
      <c r="L176" s="505" t="n">
        <v>11</v>
      </c>
      <c r="M176" s="504" t="n">
        <v>13940</v>
      </c>
      <c r="N176" s="504" t="n">
        <v>12406.6</v>
      </c>
      <c r="O176" s="504" t="s">
        <v>746</v>
      </c>
      <c r="P176" s="505" t="n">
        <v>272</v>
      </c>
      <c r="Q176" s="506" t="n">
        <v>45816</v>
      </c>
      <c r="R176" s="507" t="n">
        <v>0.611747685185185</v>
      </c>
    </row>
    <row r="177" customFormat="false" ht="35.05" hidden="false" customHeight="false" outlineLevel="0" collapsed="false">
      <c r="A177" s="503" t="s">
        <v>2599</v>
      </c>
      <c r="B177" s="0" t="n">
        <v>314</v>
      </c>
      <c r="C177" s="503" t="n">
        <v>90</v>
      </c>
      <c r="D177" s="503" t="s">
        <v>422</v>
      </c>
      <c r="E177" s="503" t="s">
        <v>457</v>
      </c>
      <c r="F177" s="503" t="s">
        <v>366</v>
      </c>
      <c r="G177" s="503" t="s">
        <v>730</v>
      </c>
      <c r="H177" s="503" t="s">
        <v>66</v>
      </c>
      <c r="I177" s="503" t="s">
        <v>1435</v>
      </c>
      <c r="J177" s="504" t="n">
        <v>29020</v>
      </c>
      <c r="K177" s="504" t="n">
        <v>14980</v>
      </c>
      <c r="L177" s="505" t="n">
        <v>14</v>
      </c>
      <c r="M177" s="504" t="n">
        <v>14040</v>
      </c>
      <c r="N177" s="504" t="n">
        <v>12074.4</v>
      </c>
      <c r="O177" s="504" t="s">
        <v>746</v>
      </c>
      <c r="P177" s="505" t="n">
        <v>273</v>
      </c>
      <c r="Q177" s="506" t="n">
        <v>45816</v>
      </c>
      <c r="R177" s="507" t="n">
        <v>0.810104166666667</v>
      </c>
    </row>
    <row r="178" customFormat="false" ht="35.05" hidden="false" customHeight="false" outlineLevel="0" collapsed="false">
      <c r="A178" s="503" t="s">
        <v>2600</v>
      </c>
      <c r="B178" s="0" t="n">
        <v>316</v>
      </c>
      <c r="C178" s="503" t="n">
        <v>91</v>
      </c>
      <c r="D178" s="503" t="s">
        <v>867</v>
      </c>
      <c r="E178" s="503" t="s">
        <v>374</v>
      </c>
      <c r="F178" s="503" t="s">
        <v>375</v>
      </c>
      <c r="G178" s="503" t="s">
        <v>873</v>
      </c>
      <c r="H178" s="503" t="s">
        <v>66</v>
      </c>
      <c r="I178" s="503" t="s">
        <v>1435</v>
      </c>
      <c r="J178" s="504" t="n">
        <v>9360</v>
      </c>
      <c r="K178" s="504" t="n">
        <v>4590</v>
      </c>
      <c r="L178" s="505" t="n">
        <v>22</v>
      </c>
      <c r="M178" s="504" t="n">
        <v>4770</v>
      </c>
      <c r="N178" s="504" t="n">
        <v>3720.6</v>
      </c>
      <c r="O178" s="504" t="s">
        <v>417</v>
      </c>
      <c r="P178" s="505" t="n">
        <v>274</v>
      </c>
      <c r="Q178" s="506" t="n">
        <v>45816</v>
      </c>
      <c r="R178" s="507" t="n">
        <v>0.8115625</v>
      </c>
    </row>
    <row r="179" customFormat="false" ht="35.05" hidden="false" customHeight="false" outlineLevel="0" collapsed="false">
      <c r="A179" s="503" t="s">
        <v>2601</v>
      </c>
      <c r="B179" s="0" t="n">
        <v>317</v>
      </c>
      <c r="C179" s="503" t="n">
        <v>92</v>
      </c>
      <c r="D179" s="503" t="s">
        <v>422</v>
      </c>
      <c r="E179" s="503" t="s">
        <v>363</v>
      </c>
      <c r="F179" s="503" t="s">
        <v>364</v>
      </c>
      <c r="G179" s="503" t="s">
        <v>730</v>
      </c>
      <c r="H179" s="503" t="s">
        <v>66</v>
      </c>
      <c r="I179" s="503" t="s">
        <v>1435</v>
      </c>
      <c r="J179" s="504" t="n">
        <v>28500</v>
      </c>
      <c r="K179" s="504" t="n">
        <v>14590</v>
      </c>
      <c r="L179" s="505" t="n">
        <v>23</v>
      </c>
      <c r="M179" s="504" t="n">
        <v>13910</v>
      </c>
      <c r="N179" s="504" t="n">
        <v>10710.7</v>
      </c>
      <c r="O179" s="504" t="s">
        <v>746</v>
      </c>
      <c r="P179" s="505" t="n">
        <v>275</v>
      </c>
      <c r="Q179" s="506" t="n">
        <v>45816</v>
      </c>
      <c r="R179" s="507" t="n">
        <v>0.81412037037037</v>
      </c>
    </row>
    <row r="180" customFormat="false" ht="35.05" hidden="false" customHeight="false" outlineLevel="0" collapsed="false">
      <c r="A180" s="503" t="s">
        <v>2602</v>
      </c>
      <c r="B180" s="0" t="n">
        <v>318</v>
      </c>
      <c r="C180" s="503" t="n">
        <v>93</v>
      </c>
      <c r="D180" s="503" t="s">
        <v>422</v>
      </c>
      <c r="E180" s="503" t="s">
        <v>376</v>
      </c>
      <c r="F180" s="503" t="s">
        <v>875</v>
      </c>
      <c r="G180" s="503" t="s">
        <v>730</v>
      </c>
      <c r="H180" s="503" t="s">
        <v>66</v>
      </c>
      <c r="I180" s="503" t="s">
        <v>1435</v>
      </c>
      <c r="J180" s="504" t="n">
        <v>25680</v>
      </c>
      <c r="K180" s="504" t="n">
        <v>14310</v>
      </c>
      <c r="L180" s="505" t="n">
        <v>14</v>
      </c>
      <c r="M180" s="504" t="n">
        <v>11370</v>
      </c>
      <c r="N180" s="504" t="n">
        <v>9778.2</v>
      </c>
      <c r="O180" s="504" t="s">
        <v>746</v>
      </c>
      <c r="P180" s="505" t="n">
        <v>276</v>
      </c>
      <c r="Q180" s="506" t="n">
        <v>45816</v>
      </c>
      <c r="R180" s="507" t="n">
        <v>0.815625</v>
      </c>
    </row>
    <row r="181" customFormat="false" ht="35.05" hidden="false" customHeight="false" outlineLevel="0" collapsed="false">
      <c r="A181" s="503" t="s">
        <v>2603</v>
      </c>
      <c r="B181" s="0" t="n">
        <v>319</v>
      </c>
      <c r="C181" s="503" t="n">
        <v>94</v>
      </c>
      <c r="D181" s="503" t="s">
        <v>422</v>
      </c>
      <c r="E181" s="503" t="s">
        <v>374</v>
      </c>
      <c r="F181" s="503" t="s">
        <v>375</v>
      </c>
      <c r="G181" s="503" t="s">
        <v>873</v>
      </c>
      <c r="H181" s="503" t="s">
        <v>66</v>
      </c>
      <c r="I181" s="503" t="s">
        <v>1435</v>
      </c>
      <c r="J181" s="504" t="n">
        <v>9380</v>
      </c>
      <c r="K181" s="504" t="n">
        <v>4590</v>
      </c>
      <c r="L181" s="505" t="n">
        <v>17.5</v>
      </c>
      <c r="M181" s="504" t="n">
        <v>4790</v>
      </c>
      <c r="N181" s="504" t="n">
        <v>3951.7</v>
      </c>
      <c r="O181" s="504" t="s">
        <v>417</v>
      </c>
      <c r="P181" s="505" t="n">
        <v>277</v>
      </c>
      <c r="Q181" s="506" t="n">
        <v>45816</v>
      </c>
      <c r="R181" s="507" t="n">
        <v>0.819328703703704</v>
      </c>
    </row>
    <row r="182" customFormat="false" ht="35.05" hidden="false" customHeight="false" outlineLevel="0" collapsed="false">
      <c r="A182" s="503" t="s">
        <v>2604</v>
      </c>
      <c r="B182" s="0" t="n">
        <v>320</v>
      </c>
      <c r="C182" s="503" t="n">
        <v>95</v>
      </c>
      <c r="D182" s="503" t="s">
        <v>422</v>
      </c>
      <c r="E182" s="503" t="s">
        <v>371</v>
      </c>
      <c r="F182" s="503" t="s">
        <v>372</v>
      </c>
      <c r="G182" s="503" t="s">
        <v>730</v>
      </c>
      <c r="H182" s="503" t="s">
        <v>66</v>
      </c>
      <c r="I182" s="503" t="s">
        <v>1435</v>
      </c>
      <c r="J182" s="504" t="n">
        <v>28720</v>
      </c>
      <c r="K182" s="504" t="n">
        <v>14930</v>
      </c>
      <c r="L182" s="505" t="n">
        <v>8.5</v>
      </c>
      <c r="M182" s="504" t="n">
        <v>13790</v>
      </c>
      <c r="N182" s="504" t="n">
        <v>12617.8</v>
      </c>
      <c r="O182" s="504" t="s">
        <v>746</v>
      </c>
      <c r="P182" s="505" t="n">
        <v>278</v>
      </c>
      <c r="Q182" s="506" t="n">
        <v>45816</v>
      </c>
      <c r="R182" s="507" t="n">
        <v>0.866296296296296</v>
      </c>
    </row>
    <row r="183" customFormat="false" ht="35.05" hidden="false" customHeight="false" outlineLevel="0" collapsed="false">
      <c r="A183" s="503" t="s">
        <v>2605</v>
      </c>
      <c r="B183" s="0" t="n">
        <v>322</v>
      </c>
      <c r="C183" s="503" t="n">
        <v>97</v>
      </c>
      <c r="D183" s="503" t="s">
        <v>422</v>
      </c>
      <c r="E183" s="503" t="s">
        <v>457</v>
      </c>
      <c r="F183" s="503" t="s">
        <v>366</v>
      </c>
      <c r="G183" s="503" t="s">
        <v>865</v>
      </c>
      <c r="H183" s="503" t="s">
        <v>252</v>
      </c>
      <c r="I183" s="503" t="s">
        <v>1435</v>
      </c>
      <c r="J183" s="504" t="n">
        <v>29060</v>
      </c>
      <c r="K183" s="504" t="n">
        <v>22220</v>
      </c>
      <c r="L183" s="505" t="n">
        <v>8.5</v>
      </c>
      <c r="M183" s="504" t="n">
        <v>6840</v>
      </c>
      <c r="N183" s="504" t="n">
        <v>6258.6</v>
      </c>
      <c r="O183" s="504" t="s">
        <v>746</v>
      </c>
      <c r="P183" s="505" t="n">
        <v>279</v>
      </c>
      <c r="Q183" s="506" t="n">
        <v>45816</v>
      </c>
      <c r="R183" s="507" t="n">
        <v>0.95244212962963</v>
      </c>
    </row>
    <row r="184" customFormat="false" ht="35.05" hidden="false" customHeight="false" outlineLevel="0" collapsed="false">
      <c r="A184" s="503" t="s">
        <v>2606</v>
      </c>
      <c r="B184" s="0" t="n">
        <v>324</v>
      </c>
      <c r="C184" s="503" t="n">
        <v>97</v>
      </c>
      <c r="D184" s="503" t="s">
        <v>422</v>
      </c>
      <c r="E184" s="503" t="s">
        <v>457</v>
      </c>
      <c r="F184" s="503" t="s">
        <v>366</v>
      </c>
      <c r="G184" s="503" t="s">
        <v>730</v>
      </c>
      <c r="H184" s="503" t="s">
        <v>66</v>
      </c>
      <c r="I184" s="503" t="s">
        <v>1435</v>
      </c>
      <c r="J184" s="504" t="n">
        <v>22220</v>
      </c>
      <c r="K184" s="504" t="n">
        <v>14960</v>
      </c>
      <c r="L184" s="505" t="n">
        <v>10</v>
      </c>
      <c r="M184" s="504" t="n">
        <v>7260</v>
      </c>
      <c r="N184" s="504" t="n">
        <v>6534</v>
      </c>
      <c r="O184" s="504" t="s">
        <v>746</v>
      </c>
      <c r="P184" s="505" t="n">
        <v>280</v>
      </c>
      <c r="Q184" s="506" t="n">
        <v>45816</v>
      </c>
      <c r="R184" s="507" t="n">
        <v>0.954212962962963</v>
      </c>
    </row>
    <row r="185" customFormat="false" ht="35.05" hidden="false" customHeight="false" outlineLevel="0" collapsed="false">
      <c r="A185" s="503" t="s">
        <v>2607</v>
      </c>
      <c r="B185" s="0" t="n">
        <v>323</v>
      </c>
      <c r="C185" s="503" t="n">
        <v>96</v>
      </c>
      <c r="D185" s="503" t="s">
        <v>422</v>
      </c>
      <c r="E185" s="503" t="s">
        <v>363</v>
      </c>
      <c r="F185" s="503" t="s">
        <v>364</v>
      </c>
      <c r="G185" s="503" t="s">
        <v>873</v>
      </c>
      <c r="H185" s="503" t="s">
        <v>876</v>
      </c>
      <c r="I185" s="503" t="s">
        <v>1435</v>
      </c>
      <c r="J185" s="504" t="n">
        <v>29740</v>
      </c>
      <c r="K185" s="504" t="n">
        <v>22640</v>
      </c>
      <c r="L185" s="505" t="n">
        <v>14.5</v>
      </c>
      <c r="M185" s="504" t="n">
        <v>7100</v>
      </c>
      <c r="N185" s="504" t="n">
        <v>6070.5</v>
      </c>
      <c r="O185" s="504" t="s">
        <v>417</v>
      </c>
      <c r="P185" s="505" t="n">
        <v>281</v>
      </c>
      <c r="Q185" s="506" t="n">
        <v>45816</v>
      </c>
      <c r="R185" s="507" t="n">
        <v>0.991585648148148</v>
      </c>
    </row>
    <row r="186" customFormat="false" ht="35.05" hidden="false" customHeight="false" outlineLevel="0" collapsed="false">
      <c r="A186" s="503" t="s">
        <v>2608</v>
      </c>
      <c r="B186" s="0" t="n">
        <v>326</v>
      </c>
      <c r="C186" s="503" t="n">
        <v>96</v>
      </c>
      <c r="D186" s="503" t="s">
        <v>422</v>
      </c>
      <c r="E186" s="503" t="s">
        <v>363</v>
      </c>
      <c r="F186" s="503" t="s">
        <v>364</v>
      </c>
      <c r="G186" s="503" t="s">
        <v>873</v>
      </c>
      <c r="H186" s="503" t="s">
        <v>66</v>
      </c>
      <c r="I186" s="503" t="s">
        <v>1435</v>
      </c>
      <c r="J186" s="504" t="n">
        <v>22640</v>
      </c>
      <c r="K186" s="504" t="n">
        <v>14580</v>
      </c>
      <c r="L186" s="505" t="n">
        <v>14.5</v>
      </c>
      <c r="M186" s="504" t="n">
        <v>8060</v>
      </c>
      <c r="N186" s="504" t="n">
        <v>6891.3</v>
      </c>
      <c r="O186" s="504" t="s">
        <v>417</v>
      </c>
      <c r="P186" s="505" t="n">
        <v>282</v>
      </c>
      <c r="Q186" s="506" t="n">
        <v>45816</v>
      </c>
      <c r="R186" s="507" t="n">
        <v>0.994652777777778</v>
      </c>
    </row>
    <row r="187" customFormat="false" ht="35.05" hidden="false" customHeight="false" outlineLevel="0" collapsed="false">
      <c r="A187" s="503" t="s">
        <v>2609</v>
      </c>
      <c r="B187" s="0" t="n">
        <v>325</v>
      </c>
      <c r="C187" s="503" t="n">
        <v>98</v>
      </c>
      <c r="D187" s="503" t="s">
        <v>422</v>
      </c>
      <c r="E187" s="503" t="s">
        <v>374</v>
      </c>
      <c r="F187" s="503" t="s">
        <v>375</v>
      </c>
      <c r="G187" s="503" t="s">
        <v>873</v>
      </c>
      <c r="H187" s="503" t="s">
        <v>876</v>
      </c>
      <c r="I187" s="503" t="s">
        <v>1435</v>
      </c>
      <c r="J187" s="504" t="n">
        <v>9220</v>
      </c>
      <c r="K187" s="504" t="n">
        <v>4580</v>
      </c>
      <c r="L187" s="505" t="n">
        <v>14.5</v>
      </c>
      <c r="M187" s="504" t="n">
        <v>4640</v>
      </c>
      <c r="N187" s="504" t="n">
        <v>3967.2</v>
      </c>
      <c r="O187" s="504" t="s">
        <v>417</v>
      </c>
      <c r="P187" s="505" t="n">
        <v>283</v>
      </c>
      <c r="Q187" s="506" t="n">
        <v>45816</v>
      </c>
      <c r="R187" s="507" t="n">
        <v>0.9203125</v>
      </c>
    </row>
    <row r="188" customFormat="false" ht="35.05" hidden="false" customHeight="false" outlineLevel="0" collapsed="false">
      <c r="A188" s="503" t="s">
        <v>2610</v>
      </c>
      <c r="B188" s="0" t="n">
        <v>327</v>
      </c>
      <c r="C188" s="503" t="n">
        <v>99</v>
      </c>
      <c r="D188" s="503" t="s">
        <v>422</v>
      </c>
      <c r="E188" s="503" t="s">
        <v>376</v>
      </c>
      <c r="F188" s="503" t="s">
        <v>377</v>
      </c>
      <c r="G188" s="503" t="s">
        <v>865</v>
      </c>
      <c r="H188" s="503" t="s">
        <v>252</v>
      </c>
      <c r="I188" s="503" t="s">
        <v>1435</v>
      </c>
      <c r="J188" s="504" t="n">
        <v>27940</v>
      </c>
      <c r="K188" s="504" t="n">
        <v>14300</v>
      </c>
      <c r="L188" s="505" t="n">
        <v>11.5</v>
      </c>
      <c r="M188" s="504" t="n">
        <v>13640</v>
      </c>
      <c r="N188" s="504" t="n">
        <v>12071.4</v>
      </c>
      <c r="O188" s="504" t="s">
        <v>746</v>
      </c>
      <c r="P188" s="505" t="n">
        <v>284</v>
      </c>
      <c r="Q188" s="506" t="n">
        <v>45816</v>
      </c>
      <c r="R188" s="507" t="n">
        <v>0.997164351851852</v>
      </c>
    </row>
    <row r="189" customFormat="false" ht="35.05" hidden="false" customHeight="false" outlineLevel="0" collapsed="false">
      <c r="A189" s="503" t="s">
        <v>2611</v>
      </c>
      <c r="B189" s="0" t="n">
        <v>328</v>
      </c>
      <c r="C189" s="503" t="n">
        <v>100</v>
      </c>
      <c r="D189" s="503" t="s">
        <v>422</v>
      </c>
      <c r="E189" s="503" t="s">
        <v>371</v>
      </c>
      <c r="F189" s="503" t="s">
        <v>372</v>
      </c>
      <c r="G189" s="503" t="s">
        <v>865</v>
      </c>
      <c r="H189" s="503" t="s">
        <v>252</v>
      </c>
      <c r="I189" s="503" t="s">
        <v>1435</v>
      </c>
      <c r="J189" s="504" t="n">
        <v>28390</v>
      </c>
      <c r="K189" s="504" t="n">
        <v>14920</v>
      </c>
      <c r="L189" s="505" t="n">
        <v>14.5</v>
      </c>
      <c r="M189" s="504" t="n">
        <v>13470</v>
      </c>
      <c r="N189" s="504" t="n">
        <v>11516.8</v>
      </c>
      <c r="O189" s="504" t="s">
        <v>746</v>
      </c>
      <c r="P189" s="505" t="n">
        <v>285</v>
      </c>
      <c r="Q189" s="506" t="n">
        <v>45817</v>
      </c>
      <c r="R189" s="507" t="n">
        <v>0.106064814814815</v>
      </c>
    </row>
    <row r="190" customFormat="false" ht="35.05" hidden="false" customHeight="false" outlineLevel="0" collapsed="false">
      <c r="A190" s="503" t="s">
        <v>2612</v>
      </c>
      <c r="B190" s="0" t="n">
        <v>329</v>
      </c>
      <c r="C190" s="503" t="n">
        <v>101</v>
      </c>
      <c r="D190" s="503" t="s">
        <v>422</v>
      </c>
      <c r="E190" s="503" t="s">
        <v>363</v>
      </c>
      <c r="F190" s="503" t="s">
        <v>364</v>
      </c>
      <c r="G190" s="503" t="s">
        <v>865</v>
      </c>
      <c r="H190" s="503" t="s">
        <v>252</v>
      </c>
      <c r="I190" s="503" t="s">
        <v>1435</v>
      </c>
      <c r="J190" s="504" t="n">
        <v>28980</v>
      </c>
      <c r="K190" s="504" t="n">
        <v>20040</v>
      </c>
      <c r="L190" s="505" t="n">
        <v>26.5</v>
      </c>
      <c r="M190" s="504" t="n">
        <v>8940</v>
      </c>
      <c r="N190" s="504" t="n">
        <v>6570.9</v>
      </c>
      <c r="O190" s="504" t="s">
        <v>417</v>
      </c>
      <c r="P190" s="505" t="n">
        <v>286</v>
      </c>
      <c r="Q190" s="506" t="n">
        <v>45817</v>
      </c>
      <c r="R190" s="507" t="n">
        <v>0.193877314814815</v>
      </c>
    </row>
    <row r="191" customFormat="false" ht="35.05" hidden="false" customHeight="false" outlineLevel="0" collapsed="false">
      <c r="A191" s="503" t="s">
        <v>2613</v>
      </c>
      <c r="B191" s="0" t="n">
        <v>330</v>
      </c>
      <c r="C191" s="503" t="n">
        <v>101</v>
      </c>
      <c r="D191" s="503" t="s">
        <v>422</v>
      </c>
      <c r="E191" s="503" t="s">
        <v>363</v>
      </c>
      <c r="F191" s="503" t="s">
        <v>364</v>
      </c>
      <c r="G191" s="503" t="s">
        <v>873</v>
      </c>
      <c r="H191" s="503" t="s">
        <v>876</v>
      </c>
      <c r="I191" s="503" t="s">
        <v>1435</v>
      </c>
      <c r="J191" s="504" t="n">
        <v>20040</v>
      </c>
      <c r="K191" s="504" t="n">
        <v>14560</v>
      </c>
      <c r="L191" s="505" t="n">
        <v>15.5</v>
      </c>
      <c r="M191" s="504" t="n">
        <v>5480</v>
      </c>
      <c r="N191" s="504" t="n">
        <v>4630.6</v>
      </c>
      <c r="O191" s="504" t="s">
        <v>417</v>
      </c>
      <c r="P191" s="505" t="n">
        <v>287</v>
      </c>
      <c r="Q191" s="506" t="n">
        <v>45817</v>
      </c>
      <c r="R191" s="507" t="n">
        <v>0.195046296296296</v>
      </c>
    </row>
    <row r="192" customFormat="false" ht="35.05" hidden="false" customHeight="false" outlineLevel="0" collapsed="false">
      <c r="A192" s="503" t="s">
        <v>2614</v>
      </c>
      <c r="B192" s="0" t="n">
        <v>331</v>
      </c>
      <c r="C192" s="503" t="n">
        <v>102</v>
      </c>
      <c r="D192" s="503" t="s">
        <v>422</v>
      </c>
      <c r="E192" s="503" t="s">
        <v>457</v>
      </c>
      <c r="F192" s="503" t="s">
        <v>366</v>
      </c>
      <c r="G192" s="503" t="s">
        <v>865</v>
      </c>
      <c r="H192" s="503" t="s">
        <v>252</v>
      </c>
      <c r="I192" s="503" t="s">
        <v>1435</v>
      </c>
      <c r="J192" s="504" t="n">
        <v>29040</v>
      </c>
      <c r="K192" s="504" t="n">
        <v>14960</v>
      </c>
      <c r="L192" s="505" t="n">
        <v>27</v>
      </c>
      <c r="M192" s="504" t="n">
        <v>14080</v>
      </c>
      <c r="N192" s="504" t="n">
        <v>10278.4</v>
      </c>
      <c r="O192" s="504" t="s">
        <v>417</v>
      </c>
      <c r="P192" s="505" t="n">
        <v>288</v>
      </c>
      <c r="Q192" s="506" t="n">
        <v>45817</v>
      </c>
      <c r="R192" s="507" t="n">
        <v>0.235983796296296</v>
      </c>
    </row>
    <row r="193" customFormat="false" ht="35.05" hidden="false" customHeight="false" outlineLevel="0" collapsed="false">
      <c r="A193" s="503" t="s">
        <v>2615</v>
      </c>
      <c r="B193" s="0" t="n">
        <v>332</v>
      </c>
      <c r="C193" s="503" t="n">
        <v>103</v>
      </c>
      <c r="D193" s="503" t="s">
        <v>422</v>
      </c>
      <c r="E193" s="503" t="s">
        <v>374</v>
      </c>
      <c r="F193" s="503" t="s">
        <v>375</v>
      </c>
      <c r="G193" s="503" t="s">
        <v>865</v>
      </c>
      <c r="H193" s="503" t="s">
        <v>252</v>
      </c>
      <c r="I193" s="503" t="s">
        <v>1435</v>
      </c>
      <c r="J193" s="504" t="n">
        <v>7930</v>
      </c>
      <c r="K193" s="504" t="n">
        <v>4570</v>
      </c>
      <c r="L193" s="505" t="n">
        <v>11.5</v>
      </c>
      <c r="M193" s="504" t="n">
        <v>3360</v>
      </c>
      <c r="N193" s="504" t="n">
        <v>2973.6</v>
      </c>
      <c r="O193" s="504" t="s">
        <v>417</v>
      </c>
      <c r="P193" s="505" t="n">
        <v>289</v>
      </c>
      <c r="Q193" s="506" t="n">
        <v>45817</v>
      </c>
      <c r="R193" s="507" t="n">
        <v>0.300138888888889</v>
      </c>
    </row>
    <row r="194" customFormat="false" ht="35.05" hidden="false" customHeight="false" outlineLevel="0" collapsed="false">
      <c r="A194" s="503" t="s">
        <v>2616</v>
      </c>
      <c r="B194" s="0" t="n">
        <v>333</v>
      </c>
      <c r="C194" s="503" t="n">
        <v>104</v>
      </c>
      <c r="D194" s="503" t="s">
        <v>422</v>
      </c>
      <c r="E194" s="503" t="s">
        <v>376</v>
      </c>
      <c r="F194" s="503" t="s">
        <v>377</v>
      </c>
      <c r="G194" s="503" t="s">
        <v>865</v>
      </c>
      <c r="H194" s="503" t="s">
        <v>252</v>
      </c>
      <c r="I194" s="503" t="s">
        <v>1435</v>
      </c>
      <c r="J194" s="504" t="n">
        <v>29700</v>
      </c>
      <c r="K194" s="504" t="n">
        <v>14290</v>
      </c>
      <c r="L194" s="505" t="n">
        <v>13</v>
      </c>
      <c r="M194" s="504" t="n">
        <v>15410</v>
      </c>
      <c r="N194" s="504" t="n">
        <v>13406.7</v>
      </c>
      <c r="O194" s="504" t="s">
        <v>746</v>
      </c>
      <c r="P194" s="505" t="n">
        <v>290</v>
      </c>
      <c r="Q194" s="506" t="n">
        <v>45817</v>
      </c>
      <c r="R194" s="507" t="n">
        <v>0.349895833333333</v>
      </c>
    </row>
    <row r="195" customFormat="false" ht="57.45" hidden="false" customHeight="false" outlineLevel="0" collapsed="false">
      <c r="A195" s="503" t="s">
        <v>2617</v>
      </c>
      <c r="B195" s="0" t="n">
        <v>243</v>
      </c>
      <c r="C195" s="503" t="s">
        <v>878</v>
      </c>
      <c r="D195" s="503" t="s">
        <v>422</v>
      </c>
      <c r="E195" s="503" t="s">
        <v>602</v>
      </c>
      <c r="F195" s="503" t="s">
        <v>606</v>
      </c>
      <c r="G195" s="503" t="s">
        <v>730</v>
      </c>
      <c r="H195" s="503" t="s">
        <v>47</v>
      </c>
      <c r="I195" s="503" t="s">
        <v>1435</v>
      </c>
      <c r="J195" s="504" t="n">
        <v>31330</v>
      </c>
      <c r="K195" s="504" t="n">
        <v>17860</v>
      </c>
      <c r="L195" s="505" t="n">
        <v>17.6</v>
      </c>
      <c r="M195" s="504" t="n">
        <v>13470</v>
      </c>
      <c r="N195" s="504" t="n">
        <v>11105.4</v>
      </c>
      <c r="O195" s="504" t="s">
        <v>417</v>
      </c>
      <c r="P195" s="505" t="n">
        <v>291</v>
      </c>
      <c r="Q195" s="506" t="n">
        <v>45814</v>
      </c>
      <c r="R195" s="507" t="n">
        <v>0.810659722222222</v>
      </c>
    </row>
    <row r="196" customFormat="false" ht="46.25" hidden="false" customHeight="false" outlineLevel="0" collapsed="false">
      <c r="A196" s="503" t="s">
        <v>2618</v>
      </c>
      <c r="B196" s="0" t="n">
        <v>247</v>
      </c>
      <c r="C196" s="503" t="s">
        <v>879</v>
      </c>
      <c r="D196" s="503" t="s">
        <v>761</v>
      </c>
      <c r="E196" s="503" t="s">
        <v>610</v>
      </c>
      <c r="F196" s="503" t="s">
        <v>614</v>
      </c>
      <c r="G196" s="503" t="s">
        <v>730</v>
      </c>
      <c r="H196" s="503" t="s">
        <v>47</v>
      </c>
      <c r="I196" s="503" t="s">
        <v>1435</v>
      </c>
      <c r="J196" s="504" t="n">
        <v>30930</v>
      </c>
      <c r="K196" s="504" t="n">
        <v>16950</v>
      </c>
      <c r="L196" s="505" t="n">
        <v>17.1</v>
      </c>
      <c r="M196" s="504" t="n">
        <v>13980</v>
      </c>
      <c r="N196" s="504" t="n">
        <v>11587</v>
      </c>
      <c r="O196" s="504" t="s">
        <v>417</v>
      </c>
      <c r="P196" s="505" t="n">
        <v>292</v>
      </c>
      <c r="Q196" s="506" t="n">
        <v>45814</v>
      </c>
      <c r="R196" s="507" t="n">
        <v>0.911655092592593</v>
      </c>
    </row>
    <row r="197" customFormat="false" ht="46.25" hidden="false" customHeight="false" outlineLevel="0" collapsed="false">
      <c r="A197" s="503" t="s">
        <v>2619</v>
      </c>
      <c r="B197" s="0" t="n">
        <v>262</v>
      </c>
      <c r="C197" s="503" t="s">
        <v>880</v>
      </c>
      <c r="D197" s="503" t="s">
        <v>422</v>
      </c>
      <c r="E197" s="503" t="s">
        <v>677</v>
      </c>
      <c r="F197" s="503" t="s">
        <v>681</v>
      </c>
      <c r="G197" s="503" t="s">
        <v>730</v>
      </c>
      <c r="H197" s="503" t="s">
        <v>47</v>
      </c>
      <c r="I197" s="503" t="s">
        <v>1435</v>
      </c>
      <c r="J197" s="504" t="n">
        <v>32070</v>
      </c>
      <c r="K197" s="504" t="n">
        <v>16710</v>
      </c>
      <c r="L197" s="505" t="n">
        <v>18.3</v>
      </c>
      <c r="M197" s="504" t="n">
        <v>15360</v>
      </c>
      <c r="N197" s="504" t="n">
        <v>12544.9</v>
      </c>
      <c r="O197" s="504" t="s">
        <v>417</v>
      </c>
      <c r="P197" s="505" t="n">
        <v>293</v>
      </c>
      <c r="Q197" s="506" t="n">
        <v>45814</v>
      </c>
      <c r="R197" s="507" t="n">
        <v>0.589259259259259</v>
      </c>
    </row>
    <row r="198" customFormat="false" ht="46.25" hidden="false" customHeight="false" outlineLevel="0" collapsed="false">
      <c r="A198" s="503" t="s">
        <v>2620</v>
      </c>
      <c r="B198" s="0" t="n">
        <v>264</v>
      </c>
      <c r="C198" s="503" t="s">
        <v>881</v>
      </c>
      <c r="D198" s="503" t="s">
        <v>761</v>
      </c>
      <c r="E198" s="503" t="s">
        <v>617</v>
      </c>
      <c r="F198" s="503" t="s">
        <v>621</v>
      </c>
      <c r="G198" s="503" t="s">
        <v>730</v>
      </c>
      <c r="H198" s="503" t="s">
        <v>252</v>
      </c>
      <c r="I198" s="503" t="s">
        <v>1435</v>
      </c>
      <c r="J198" s="504" t="n">
        <v>30510</v>
      </c>
      <c r="K198" s="504" t="n">
        <v>17670</v>
      </c>
      <c r="L198" s="505" t="n">
        <v>16.7</v>
      </c>
      <c r="M198" s="504" t="n">
        <v>12840</v>
      </c>
      <c r="N198" s="504" t="n">
        <v>10697.5</v>
      </c>
      <c r="O198" s="504" t="s">
        <v>417</v>
      </c>
      <c r="P198" s="505" t="n">
        <v>294</v>
      </c>
      <c r="Q198" s="506" t="n">
        <v>45814</v>
      </c>
      <c r="R198" s="507" t="n">
        <v>0.605578703703704</v>
      </c>
    </row>
    <row r="199" customFormat="false" ht="46.25" hidden="false" customHeight="false" outlineLevel="0" collapsed="false">
      <c r="A199" s="503" t="s">
        <v>2621</v>
      </c>
      <c r="B199" s="0" t="n">
        <v>261</v>
      </c>
      <c r="C199" s="503" t="s">
        <v>882</v>
      </c>
      <c r="D199" s="503" t="s">
        <v>422</v>
      </c>
      <c r="E199" s="503" t="s">
        <v>685</v>
      </c>
      <c r="F199" s="503" t="s">
        <v>689</v>
      </c>
      <c r="G199" s="503" t="s">
        <v>865</v>
      </c>
      <c r="H199" s="503" t="s">
        <v>252</v>
      </c>
      <c r="I199" s="503" t="s">
        <v>1435</v>
      </c>
      <c r="J199" s="504" t="n">
        <v>35150</v>
      </c>
      <c r="K199" s="504" t="n">
        <v>18810</v>
      </c>
      <c r="L199" s="505" t="n">
        <v>13.5</v>
      </c>
      <c r="M199" s="504" t="n">
        <v>16340</v>
      </c>
      <c r="N199" s="504" t="n">
        <v>14133.1</v>
      </c>
      <c r="O199" s="504" t="s">
        <v>417</v>
      </c>
      <c r="P199" s="505" t="n">
        <v>295</v>
      </c>
      <c r="Q199" s="506" t="n">
        <v>45814</v>
      </c>
      <c r="R199" s="507" t="n">
        <v>0.58744212962963</v>
      </c>
    </row>
    <row r="200" customFormat="false" ht="35.05" hidden="false" customHeight="false" outlineLevel="0" collapsed="false">
      <c r="A200" s="503" t="s">
        <v>2622</v>
      </c>
      <c r="B200" s="0" t="n">
        <v>337</v>
      </c>
      <c r="C200" s="503" t="n">
        <v>64</v>
      </c>
      <c r="D200" s="503" t="s">
        <v>422</v>
      </c>
      <c r="E200" s="503" t="s">
        <v>48</v>
      </c>
      <c r="F200" s="503" t="s">
        <v>49</v>
      </c>
      <c r="G200" s="503" t="s">
        <v>865</v>
      </c>
      <c r="H200" s="503" t="s">
        <v>252</v>
      </c>
      <c r="I200" s="503" t="s">
        <v>1435</v>
      </c>
      <c r="J200" s="504" t="n">
        <v>23850</v>
      </c>
      <c r="K200" s="504" t="n">
        <v>14890</v>
      </c>
      <c r="L200" s="505" t="n">
        <v>16</v>
      </c>
      <c r="M200" s="504" t="n">
        <v>8960</v>
      </c>
      <c r="N200" s="504" t="n">
        <v>7526.4</v>
      </c>
      <c r="O200" s="504" t="s">
        <v>417</v>
      </c>
      <c r="P200" s="505" t="n">
        <v>296</v>
      </c>
      <c r="Q200" s="506" t="n">
        <v>45815</v>
      </c>
      <c r="R200" s="507" t="n">
        <v>0.464398148148148</v>
      </c>
    </row>
    <row r="201" customFormat="false" ht="57.45" hidden="false" customHeight="false" outlineLevel="0" collapsed="false">
      <c r="A201" s="503" t="s">
        <v>2623</v>
      </c>
      <c r="B201" s="0" t="n">
        <v>280</v>
      </c>
      <c r="C201" s="503" t="s">
        <v>883</v>
      </c>
      <c r="D201" s="503" t="s">
        <v>422</v>
      </c>
      <c r="E201" s="503" t="s">
        <v>792</v>
      </c>
      <c r="F201" s="503" t="s">
        <v>793</v>
      </c>
      <c r="G201" s="503" t="s">
        <v>865</v>
      </c>
      <c r="H201" s="503" t="s">
        <v>252</v>
      </c>
      <c r="I201" s="503" t="s">
        <v>1435</v>
      </c>
      <c r="J201" s="504" t="n">
        <v>31050</v>
      </c>
      <c r="K201" s="504" t="n">
        <v>17130</v>
      </c>
      <c r="L201" s="505" t="n">
        <v>19</v>
      </c>
      <c r="M201" s="504" t="n">
        <v>13920</v>
      </c>
      <c r="N201" s="504" t="n">
        <v>11279.6</v>
      </c>
      <c r="O201" s="504" t="s">
        <v>417</v>
      </c>
      <c r="P201" s="505" t="n">
        <v>297</v>
      </c>
      <c r="Q201" s="506" t="n">
        <v>45815</v>
      </c>
      <c r="R201" s="507" t="n">
        <v>0.176018518518519</v>
      </c>
    </row>
    <row r="202" customFormat="false" ht="57.45" hidden="false" customHeight="false" outlineLevel="0" collapsed="false">
      <c r="A202" s="503" t="s">
        <v>2624</v>
      </c>
      <c r="B202" s="0" t="n">
        <v>269</v>
      </c>
      <c r="C202" s="503" t="s">
        <v>884</v>
      </c>
      <c r="D202" s="503" t="s">
        <v>422</v>
      </c>
      <c r="E202" s="503" t="s">
        <v>799</v>
      </c>
      <c r="F202" s="503" t="s">
        <v>800</v>
      </c>
      <c r="G202" s="503" t="s">
        <v>865</v>
      </c>
      <c r="H202" s="503" t="s">
        <v>252</v>
      </c>
      <c r="I202" s="503" t="s">
        <v>1435</v>
      </c>
      <c r="J202" s="504" t="n">
        <v>32130</v>
      </c>
      <c r="K202" s="504" t="n">
        <v>16130</v>
      </c>
      <c r="L202" s="505" t="n">
        <v>18.9</v>
      </c>
      <c r="M202" s="504" t="n">
        <v>16000</v>
      </c>
      <c r="N202" s="504" t="n">
        <v>12975.8</v>
      </c>
      <c r="O202" s="504" t="s">
        <v>417</v>
      </c>
      <c r="P202" s="505" t="n">
        <v>298</v>
      </c>
      <c r="Q202" s="506" t="n">
        <v>45815</v>
      </c>
      <c r="R202" s="507" t="n">
        <v>0.768113425925926</v>
      </c>
    </row>
    <row r="203" customFormat="false" ht="35.05" hidden="false" customHeight="false" outlineLevel="0" collapsed="false">
      <c r="A203" s="503" t="s">
        <v>2625</v>
      </c>
      <c r="B203" s="0" t="n">
        <v>336</v>
      </c>
      <c r="C203" s="503" t="n">
        <v>105</v>
      </c>
      <c r="D203" s="503" t="s">
        <v>422</v>
      </c>
      <c r="E203" s="503" t="s">
        <v>359</v>
      </c>
      <c r="F203" s="503" t="s">
        <v>426</v>
      </c>
      <c r="G203" s="503" t="s">
        <v>885</v>
      </c>
      <c r="H203" s="503" t="s">
        <v>47</v>
      </c>
      <c r="I203" s="503" t="s">
        <v>1435</v>
      </c>
      <c r="J203" s="504" t="n">
        <v>22920</v>
      </c>
      <c r="K203" s="504" t="n">
        <v>13920</v>
      </c>
      <c r="L203" s="505" t="n">
        <v>12</v>
      </c>
      <c r="M203" s="504" t="n">
        <v>9000</v>
      </c>
      <c r="N203" s="504" t="n">
        <v>7920</v>
      </c>
      <c r="O203" s="504" t="s">
        <v>886</v>
      </c>
      <c r="P203" s="508" t="n">
        <v>299</v>
      </c>
      <c r="Q203" s="506" t="n">
        <v>45817</v>
      </c>
      <c r="R203" s="507" t="n">
        <v>0.530578703703704</v>
      </c>
    </row>
    <row r="204" customFormat="false" ht="35.05" hidden="false" customHeight="false" outlineLevel="0" collapsed="false">
      <c r="A204" s="503" t="s">
        <v>2626</v>
      </c>
      <c r="B204" s="0" t="n">
        <v>338</v>
      </c>
      <c r="C204" s="503" t="n">
        <v>106</v>
      </c>
      <c r="D204" s="503" t="s">
        <v>422</v>
      </c>
      <c r="E204" s="503" t="s">
        <v>55</v>
      </c>
      <c r="F204" s="503" t="s">
        <v>56</v>
      </c>
      <c r="G204" s="503" t="s">
        <v>865</v>
      </c>
      <c r="H204" s="503" t="s">
        <v>252</v>
      </c>
      <c r="I204" s="503" t="s">
        <v>1435</v>
      </c>
      <c r="J204" s="504" t="n">
        <v>27980</v>
      </c>
      <c r="K204" s="504" t="n">
        <v>14750</v>
      </c>
      <c r="L204" s="505" t="n">
        <v>16</v>
      </c>
      <c r="M204" s="504" t="n">
        <v>13230</v>
      </c>
      <c r="N204" s="504" t="n">
        <v>11113.2</v>
      </c>
      <c r="O204" s="504" t="s">
        <v>746</v>
      </c>
      <c r="P204" s="508" t="n">
        <v>300</v>
      </c>
      <c r="Q204" s="506" t="n">
        <v>45817</v>
      </c>
      <c r="R204" s="507" t="n">
        <v>0.533113425925926</v>
      </c>
    </row>
    <row r="205" customFormat="false" ht="35.05" hidden="false" customHeight="false" outlineLevel="0" collapsed="false">
      <c r="A205" s="503" t="s">
        <v>2627</v>
      </c>
      <c r="B205" s="0" t="n">
        <v>339</v>
      </c>
      <c r="C205" s="503" t="n">
        <v>107</v>
      </c>
      <c r="D205" s="503" t="s">
        <v>422</v>
      </c>
      <c r="E205" s="503" t="s">
        <v>411</v>
      </c>
      <c r="F205" s="503" t="s">
        <v>887</v>
      </c>
      <c r="G205" s="503" t="s">
        <v>885</v>
      </c>
      <c r="H205" s="503" t="s">
        <v>47</v>
      </c>
      <c r="I205" s="503" t="s">
        <v>1435</v>
      </c>
      <c r="J205" s="504" t="n">
        <v>23280</v>
      </c>
      <c r="K205" s="504" t="n">
        <v>14180</v>
      </c>
      <c r="L205" s="505" t="n">
        <v>14.5</v>
      </c>
      <c r="M205" s="504" t="n">
        <v>9100</v>
      </c>
      <c r="N205" s="504" t="n">
        <v>7780.5</v>
      </c>
      <c r="O205" s="504" t="s">
        <v>746</v>
      </c>
      <c r="P205" s="508" t="n">
        <v>301</v>
      </c>
      <c r="Q205" s="506" t="n">
        <v>45817</v>
      </c>
      <c r="R205" s="507" t="n">
        <v>0.535104166666667</v>
      </c>
    </row>
    <row r="206" customFormat="false" ht="35.05" hidden="false" customHeight="false" outlineLevel="0" collapsed="false">
      <c r="A206" s="503" t="s">
        <v>2628</v>
      </c>
      <c r="B206" s="0" t="n">
        <v>340</v>
      </c>
      <c r="C206" s="503" t="n">
        <v>108</v>
      </c>
      <c r="D206" s="503" t="s">
        <v>422</v>
      </c>
      <c r="E206" s="503" t="s">
        <v>378</v>
      </c>
      <c r="F206" s="503" t="s">
        <v>379</v>
      </c>
      <c r="G206" s="503" t="s">
        <v>865</v>
      </c>
      <c r="H206" s="503" t="s">
        <v>252</v>
      </c>
      <c r="I206" s="503" t="s">
        <v>1435</v>
      </c>
      <c r="J206" s="504" t="n">
        <v>9270</v>
      </c>
      <c r="K206" s="504" t="n">
        <v>4600</v>
      </c>
      <c r="L206" s="505" t="n">
        <v>20.5</v>
      </c>
      <c r="M206" s="504" t="n">
        <v>4670</v>
      </c>
      <c r="N206" s="504" t="n">
        <v>3712.6</v>
      </c>
      <c r="O206" s="504" t="s">
        <v>746</v>
      </c>
      <c r="P206" s="508" t="n">
        <v>302</v>
      </c>
      <c r="Q206" s="506" t="n">
        <v>45817</v>
      </c>
      <c r="R206" s="507" t="n">
        <v>0.536574074074074</v>
      </c>
    </row>
    <row r="207" customFormat="false" ht="35.05" hidden="false" customHeight="false" outlineLevel="0" collapsed="false">
      <c r="A207" s="503" t="s">
        <v>2629</v>
      </c>
      <c r="B207" s="0" t="n">
        <v>341</v>
      </c>
      <c r="C207" s="503" t="n">
        <v>109</v>
      </c>
      <c r="D207" s="503" t="s">
        <v>422</v>
      </c>
      <c r="E207" s="503" t="s">
        <v>359</v>
      </c>
      <c r="F207" s="503" t="s">
        <v>426</v>
      </c>
      <c r="G207" s="503" t="s">
        <v>885</v>
      </c>
      <c r="H207" s="503" t="s">
        <v>47</v>
      </c>
      <c r="I207" s="503" t="s">
        <v>1435</v>
      </c>
      <c r="J207" s="504" t="n">
        <v>22650</v>
      </c>
      <c r="K207" s="504" t="n">
        <v>13900</v>
      </c>
      <c r="L207" s="505" t="n">
        <v>15.5</v>
      </c>
      <c r="M207" s="504" t="n">
        <v>8750</v>
      </c>
      <c r="N207" s="504" t="n">
        <v>7393.7</v>
      </c>
      <c r="O207" s="504" t="s">
        <v>886</v>
      </c>
      <c r="P207" s="508" t="n">
        <v>303</v>
      </c>
      <c r="Q207" s="506" t="n">
        <v>45817</v>
      </c>
      <c r="R207" s="507" t="n">
        <v>0.566030092592593</v>
      </c>
    </row>
    <row r="208" customFormat="false" ht="46.25" hidden="false" customHeight="false" outlineLevel="0" collapsed="false">
      <c r="A208" s="503" t="s">
        <v>2630</v>
      </c>
      <c r="C208" s="503" t="s">
        <v>889</v>
      </c>
      <c r="D208" s="503" t="s">
        <v>409</v>
      </c>
      <c r="E208" s="503" t="s">
        <v>888</v>
      </c>
      <c r="F208" s="503" t="s">
        <v>796</v>
      </c>
      <c r="G208" s="503" t="s">
        <v>781</v>
      </c>
      <c r="H208" s="503" t="s">
        <v>252</v>
      </c>
      <c r="I208" s="503" t="s">
        <v>1435</v>
      </c>
      <c r="J208" s="504" t="n">
        <v>34840</v>
      </c>
      <c r="K208" s="504" t="n">
        <v>18500</v>
      </c>
      <c r="L208" s="505" t="n">
        <v>21.4</v>
      </c>
      <c r="M208" s="504" t="n">
        <v>16340</v>
      </c>
      <c r="N208" s="504" t="n">
        <v>12845.4</v>
      </c>
      <c r="O208" s="504" t="s">
        <v>417</v>
      </c>
      <c r="P208" s="508" t="n">
        <v>304</v>
      </c>
      <c r="Q208" s="506" t="n">
        <v>45814</v>
      </c>
      <c r="R208" s="507" t="n">
        <v>0.968993055555556</v>
      </c>
    </row>
    <row r="209" customFormat="false" ht="46.25" hidden="false" customHeight="false" outlineLevel="0" collapsed="false">
      <c r="A209" s="503" t="s">
        <v>2631</v>
      </c>
      <c r="C209" s="503" t="s">
        <v>891</v>
      </c>
      <c r="D209" s="503" t="s">
        <v>409</v>
      </c>
      <c r="E209" s="503" t="s">
        <v>799</v>
      </c>
      <c r="F209" s="503" t="s">
        <v>890</v>
      </c>
      <c r="G209" s="503" t="s">
        <v>781</v>
      </c>
      <c r="H209" s="503" t="s">
        <v>252</v>
      </c>
      <c r="I209" s="503" t="s">
        <v>1435</v>
      </c>
      <c r="J209" s="504" t="n">
        <v>31840</v>
      </c>
      <c r="K209" s="504" t="n">
        <v>16000</v>
      </c>
      <c r="L209" s="505" t="n">
        <v>19</v>
      </c>
      <c r="M209" s="504" t="n">
        <v>15840</v>
      </c>
      <c r="N209" s="504" t="n">
        <v>12823.2</v>
      </c>
      <c r="O209" s="504" t="s">
        <v>417</v>
      </c>
      <c r="P209" s="508" t="n">
        <v>305</v>
      </c>
      <c r="Q209" s="506" t="n">
        <v>45814</v>
      </c>
      <c r="R209" s="507" t="n">
        <v>0.571273148148148</v>
      </c>
    </row>
    <row r="210" customFormat="false" ht="35.05" hidden="false" customHeight="false" outlineLevel="0" collapsed="false">
      <c r="A210" s="503" t="s">
        <v>2632</v>
      </c>
      <c r="B210" s="0" t="n">
        <v>343</v>
      </c>
      <c r="C210" s="503" t="n">
        <v>110</v>
      </c>
      <c r="D210" s="503" t="s">
        <v>422</v>
      </c>
      <c r="E210" s="503" t="s">
        <v>48</v>
      </c>
      <c r="F210" s="503" t="s">
        <v>49</v>
      </c>
      <c r="G210" s="503" t="s">
        <v>865</v>
      </c>
      <c r="H210" s="503" t="s">
        <v>252</v>
      </c>
      <c r="I210" s="503" t="s">
        <v>1435</v>
      </c>
      <c r="J210" s="504" t="n">
        <v>28400</v>
      </c>
      <c r="K210" s="504" t="n">
        <v>14930</v>
      </c>
      <c r="L210" s="505" t="n">
        <v>15.5</v>
      </c>
      <c r="M210" s="504" t="n">
        <v>13470</v>
      </c>
      <c r="N210" s="504" t="n">
        <v>11382.1</v>
      </c>
      <c r="O210" s="504" t="s">
        <v>746</v>
      </c>
      <c r="P210" s="508" t="n">
        <v>306</v>
      </c>
      <c r="Q210" s="506" t="n">
        <v>45817</v>
      </c>
      <c r="R210" s="507" t="n">
        <v>0.699259259259259</v>
      </c>
    </row>
    <row r="211" customFormat="false" ht="35.05" hidden="false" customHeight="false" outlineLevel="0" collapsed="false">
      <c r="A211" s="503" t="s">
        <v>2633</v>
      </c>
      <c r="B211" s="0" t="n">
        <v>344</v>
      </c>
      <c r="C211" s="503" t="n">
        <v>111</v>
      </c>
      <c r="D211" s="503" t="s">
        <v>422</v>
      </c>
      <c r="E211" s="503" t="s">
        <v>411</v>
      </c>
      <c r="F211" s="503" t="s">
        <v>381</v>
      </c>
      <c r="G211" s="503" t="s">
        <v>885</v>
      </c>
      <c r="H211" s="503" t="s">
        <v>47</v>
      </c>
      <c r="I211" s="503" t="s">
        <v>1435</v>
      </c>
      <c r="J211" s="504" t="n">
        <v>23630</v>
      </c>
      <c r="K211" s="504" t="n">
        <v>14160</v>
      </c>
      <c r="L211" s="505" t="n">
        <v>14.5</v>
      </c>
      <c r="M211" s="504" t="n">
        <v>9470</v>
      </c>
      <c r="N211" s="504" t="n">
        <v>8096.8</v>
      </c>
      <c r="O211" s="504" t="s">
        <v>746</v>
      </c>
      <c r="P211" s="508" t="n">
        <v>307</v>
      </c>
      <c r="Q211" s="506" t="n">
        <v>45817</v>
      </c>
      <c r="R211" s="507" t="n">
        <v>0.701018518518519</v>
      </c>
    </row>
    <row r="212" customFormat="false" ht="35.05" hidden="false" customHeight="false" outlineLevel="0" collapsed="false">
      <c r="A212" s="503" t="s">
        <v>2634</v>
      </c>
      <c r="B212" s="0" t="n">
        <v>346</v>
      </c>
      <c r="C212" s="503" t="n">
        <v>112</v>
      </c>
      <c r="D212" s="503" t="s">
        <v>422</v>
      </c>
      <c r="E212" s="503" t="s">
        <v>359</v>
      </c>
      <c r="F212" s="503" t="s">
        <v>426</v>
      </c>
      <c r="G212" s="503" t="s">
        <v>885</v>
      </c>
      <c r="H212" s="503" t="s">
        <v>47</v>
      </c>
      <c r="I212" s="503" t="s">
        <v>1435</v>
      </c>
      <c r="J212" s="504" t="n">
        <v>24450</v>
      </c>
      <c r="K212" s="504" t="n">
        <v>13910</v>
      </c>
      <c r="L212" s="505" t="n">
        <v>11.5</v>
      </c>
      <c r="M212" s="504" t="n">
        <v>10540</v>
      </c>
      <c r="N212" s="504" t="n">
        <v>9327.9</v>
      </c>
      <c r="O212" s="504" t="s">
        <v>886</v>
      </c>
      <c r="P212" s="508" t="n">
        <v>308</v>
      </c>
      <c r="Q212" s="506" t="n">
        <v>45817</v>
      </c>
      <c r="R212" s="507" t="n">
        <v>0.724247685185185</v>
      </c>
    </row>
    <row r="213" customFormat="false" ht="35.05" hidden="false" customHeight="false" outlineLevel="0" collapsed="false">
      <c r="A213" s="503" t="s">
        <v>2635</v>
      </c>
      <c r="B213" s="0" t="n">
        <v>347</v>
      </c>
      <c r="C213" s="503" t="n">
        <v>106</v>
      </c>
      <c r="D213" s="503" t="s">
        <v>422</v>
      </c>
      <c r="E213" s="503" t="s">
        <v>55</v>
      </c>
      <c r="F213" s="503" t="s">
        <v>56</v>
      </c>
      <c r="G213" s="503" t="s">
        <v>865</v>
      </c>
      <c r="H213" s="503" t="s">
        <v>252</v>
      </c>
      <c r="I213" s="503" t="s">
        <v>1435</v>
      </c>
      <c r="J213" s="504" t="n">
        <v>28260</v>
      </c>
      <c r="K213" s="504" t="n">
        <v>14720</v>
      </c>
      <c r="L213" s="505" t="n">
        <v>18.5</v>
      </c>
      <c r="M213" s="504" t="n">
        <v>13540</v>
      </c>
      <c r="N213" s="504" t="n">
        <v>11035.1</v>
      </c>
      <c r="O213" s="504" t="s">
        <v>746</v>
      </c>
      <c r="P213" s="508" t="n">
        <v>309</v>
      </c>
      <c r="Q213" s="506" t="n">
        <v>45817</v>
      </c>
      <c r="R213" s="507" t="n">
        <v>0.813125</v>
      </c>
    </row>
    <row r="214" customFormat="false" ht="35.05" hidden="false" customHeight="false" outlineLevel="0" collapsed="false">
      <c r="A214" s="503" t="s">
        <v>2636</v>
      </c>
      <c r="B214" s="0" t="n">
        <v>348</v>
      </c>
      <c r="C214" s="503" t="n">
        <v>114</v>
      </c>
      <c r="D214" s="503" t="s">
        <v>422</v>
      </c>
      <c r="E214" s="503" t="s">
        <v>384</v>
      </c>
      <c r="F214" s="503" t="s">
        <v>385</v>
      </c>
      <c r="G214" s="503" t="s">
        <v>870</v>
      </c>
      <c r="H214" s="503" t="s">
        <v>252</v>
      </c>
      <c r="I214" s="503" t="s">
        <v>1435</v>
      </c>
      <c r="J214" s="504" t="n">
        <v>31620</v>
      </c>
      <c r="K214" s="504" t="n">
        <v>14480</v>
      </c>
      <c r="L214" s="505" t="n">
        <v>12</v>
      </c>
      <c r="M214" s="504" t="n">
        <v>17140</v>
      </c>
      <c r="N214" s="504" t="n">
        <v>15083.2</v>
      </c>
      <c r="O214" s="504" t="s">
        <v>746</v>
      </c>
      <c r="P214" s="508" t="n">
        <v>310</v>
      </c>
      <c r="Q214" s="506" t="n">
        <v>45818</v>
      </c>
      <c r="R214" s="507" t="n">
        <v>0.307418981481482</v>
      </c>
    </row>
    <row r="215" customFormat="false" ht="35.05" hidden="false" customHeight="false" outlineLevel="0" collapsed="false">
      <c r="A215" s="503" t="s">
        <v>2637</v>
      </c>
      <c r="B215" s="0" t="n">
        <v>349</v>
      </c>
      <c r="C215" s="503" t="n">
        <v>115</v>
      </c>
      <c r="D215" s="503" t="s">
        <v>422</v>
      </c>
      <c r="E215" s="503" t="s">
        <v>361</v>
      </c>
      <c r="F215" s="503" t="s">
        <v>362</v>
      </c>
      <c r="G215" s="503" t="s">
        <v>873</v>
      </c>
      <c r="H215" s="503" t="s">
        <v>893</v>
      </c>
      <c r="I215" s="503" t="s">
        <v>1435</v>
      </c>
      <c r="J215" s="504" t="n">
        <v>32670</v>
      </c>
      <c r="K215" s="504" t="n">
        <v>14700</v>
      </c>
      <c r="L215" s="505" t="n">
        <v>16</v>
      </c>
      <c r="M215" s="504" t="n">
        <v>17970</v>
      </c>
      <c r="N215" s="504" t="n">
        <v>15094.8</v>
      </c>
      <c r="O215" s="504" t="s">
        <v>417</v>
      </c>
      <c r="P215" s="508" t="n">
        <v>311</v>
      </c>
      <c r="Q215" s="506" t="n">
        <v>45818</v>
      </c>
      <c r="R215" s="507" t="n">
        <v>0.477951388888889</v>
      </c>
    </row>
    <row r="216" customFormat="false" ht="35.05" hidden="false" customHeight="false" outlineLevel="0" collapsed="false">
      <c r="A216" s="503" t="s">
        <v>2638</v>
      </c>
      <c r="B216" s="0" t="n">
        <v>351</v>
      </c>
      <c r="C216" s="503" t="n">
        <v>116</v>
      </c>
      <c r="D216" s="503" t="s">
        <v>422</v>
      </c>
      <c r="E216" s="503" t="s">
        <v>384</v>
      </c>
      <c r="F216" s="503" t="s">
        <v>385</v>
      </c>
      <c r="G216" s="503" t="s">
        <v>870</v>
      </c>
      <c r="H216" s="503" t="s">
        <v>252</v>
      </c>
      <c r="I216" s="503" t="s">
        <v>1435</v>
      </c>
      <c r="J216" s="504" t="n">
        <v>24440</v>
      </c>
      <c r="K216" s="504" t="n">
        <v>14460</v>
      </c>
      <c r="L216" s="505" t="n">
        <v>8.5</v>
      </c>
      <c r="M216" s="504" t="n">
        <v>9980</v>
      </c>
      <c r="N216" s="504" t="n">
        <v>9131.7</v>
      </c>
      <c r="O216" s="504" t="s">
        <v>746</v>
      </c>
      <c r="P216" s="508" t="n">
        <v>312</v>
      </c>
      <c r="Q216" s="506" t="n">
        <v>45818</v>
      </c>
      <c r="R216" s="507" t="n">
        <v>0.497766203703704</v>
      </c>
    </row>
    <row r="217" customFormat="false" ht="35.05" hidden="false" customHeight="false" outlineLevel="0" collapsed="false">
      <c r="A217" s="503" t="s">
        <v>2639</v>
      </c>
      <c r="B217" s="0" t="n">
        <v>352</v>
      </c>
      <c r="C217" s="503" t="n">
        <v>117</v>
      </c>
      <c r="D217" s="503" t="s">
        <v>422</v>
      </c>
      <c r="E217" s="503" t="s">
        <v>382</v>
      </c>
      <c r="F217" s="503" t="s">
        <v>383</v>
      </c>
      <c r="G217" s="503" t="s">
        <v>873</v>
      </c>
      <c r="H217" s="503" t="s">
        <v>894</v>
      </c>
      <c r="I217" s="503" t="s">
        <v>1435</v>
      </c>
      <c r="J217" s="504" t="n">
        <v>25900</v>
      </c>
      <c r="K217" s="504" t="n">
        <v>14860</v>
      </c>
      <c r="L217" s="505" t="n">
        <v>20.5</v>
      </c>
      <c r="M217" s="504" t="n">
        <v>11040</v>
      </c>
      <c r="N217" s="504" t="n">
        <v>8776.8</v>
      </c>
      <c r="O217" s="504" t="s">
        <v>417</v>
      </c>
      <c r="P217" s="508" t="n">
        <v>313</v>
      </c>
      <c r="Q217" s="506" t="n">
        <v>45818</v>
      </c>
      <c r="R217" s="507" t="n">
        <v>0.561064814814815</v>
      </c>
    </row>
    <row r="218" customFormat="false" ht="35.05" hidden="false" customHeight="false" outlineLevel="0" collapsed="false">
      <c r="A218" s="503" t="s">
        <v>2640</v>
      </c>
      <c r="B218" s="0" t="n">
        <v>353</v>
      </c>
      <c r="C218" s="503" t="n">
        <v>118</v>
      </c>
      <c r="D218" s="503" t="s">
        <v>422</v>
      </c>
      <c r="E218" s="503" t="s">
        <v>376</v>
      </c>
      <c r="F218" s="503" t="s">
        <v>377</v>
      </c>
      <c r="G218" s="503" t="s">
        <v>873</v>
      </c>
      <c r="H218" s="503" t="s">
        <v>895</v>
      </c>
      <c r="I218" s="503" t="s">
        <v>1435</v>
      </c>
      <c r="J218" s="504" t="n">
        <v>23280</v>
      </c>
      <c r="K218" s="504" t="n">
        <v>18880</v>
      </c>
      <c r="L218" s="505" t="n">
        <v>12.5</v>
      </c>
      <c r="M218" s="504" t="n">
        <v>4400</v>
      </c>
      <c r="N218" s="504" t="n">
        <v>3850</v>
      </c>
      <c r="O218" s="504" t="s">
        <v>417</v>
      </c>
      <c r="P218" s="508" t="n">
        <v>314</v>
      </c>
      <c r="Q218" s="506" t="n">
        <v>45818</v>
      </c>
      <c r="R218" s="507" t="n">
        <v>0.574143518518519</v>
      </c>
    </row>
    <row r="219" customFormat="false" ht="35.05" hidden="false" customHeight="false" outlineLevel="0" collapsed="false">
      <c r="A219" s="503" t="s">
        <v>2641</v>
      </c>
      <c r="B219" s="0" t="n">
        <v>354</v>
      </c>
      <c r="C219" s="503" t="n">
        <v>118</v>
      </c>
      <c r="D219" s="503" t="s">
        <v>422</v>
      </c>
      <c r="E219" s="503" t="s">
        <v>376</v>
      </c>
      <c r="F219" s="503" t="s">
        <v>377</v>
      </c>
      <c r="G219" s="503" t="s">
        <v>873</v>
      </c>
      <c r="H219" s="503" t="s">
        <v>894</v>
      </c>
      <c r="I219" s="503" t="s">
        <v>1435</v>
      </c>
      <c r="J219" s="504" t="n">
        <v>18880</v>
      </c>
      <c r="K219" s="504" t="n">
        <v>14290</v>
      </c>
      <c r="L219" s="505" t="n">
        <v>29.5</v>
      </c>
      <c r="M219" s="504" t="n">
        <v>4590</v>
      </c>
      <c r="N219" s="504" t="n">
        <v>3235.9</v>
      </c>
      <c r="O219" s="504" t="s">
        <v>417</v>
      </c>
      <c r="P219" s="508" t="n">
        <v>315</v>
      </c>
      <c r="Q219" s="506" t="n">
        <v>45818</v>
      </c>
      <c r="R219" s="507" t="n">
        <v>0.579733796296296</v>
      </c>
    </row>
    <row r="220" customFormat="false" ht="35.05" hidden="false" customHeight="false" outlineLevel="0" collapsed="false">
      <c r="A220" s="503" t="s">
        <v>2642</v>
      </c>
      <c r="B220" s="0" t="n">
        <v>356</v>
      </c>
      <c r="C220" s="503" t="n">
        <v>119</v>
      </c>
      <c r="D220" s="503" t="s">
        <v>422</v>
      </c>
      <c r="E220" s="503" t="s">
        <v>361</v>
      </c>
      <c r="F220" s="503" t="s">
        <v>362</v>
      </c>
      <c r="G220" s="503" t="s">
        <v>896</v>
      </c>
      <c r="H220" s="503" t="s">
        <v>68</v>
      </c>
      <c r="I220" s="503" t="s">
        <v>1435</v>
      </c>
      <c r="J220" s="504" t="n">
        <v>28700</v>
      </c>
      <c r="K220" s="504" t="n">
        <v>14680</v>
      </c>
      <c r="L220" s="505" t="n">
        <v>10</v>
      </c>
      <c r="M220" s="504" t="n">
        <v>14020</v>
      </c>
      <c r="N220" s="504" t="n">
        <v>12618</v>
      </c>
      <c r="O220" s="504" t="s">
        <v>746</v>
      </c>
      <c r="P220" s="508" t="n">
        <v>316</v>
      </c>
      <c r="Q220" s="506" t="n">
        <v>45818</v>
      </c>
      <c r="R220" s="507" t="n">
        <v>0.692025462962963</v>
      </c>
    </row>
    <row r="221" customFormat="false" ht="35.05" hidden="false" customHeight="false" outlineLevel="0" collapsed="false">
      <c r="A221" s="503" t="s">
        <v>2643</v>
      </c>
      <c r="B221" s="0" t="n">
        <v>357</v>
      </c>
      <c r="C221" s="503" t="n">
        <v>120</v>
      </c>
      <c r="D221" s="503" t="s">
        <v>422</v>
      </c>
      <c r="E221" s="503" t="s">
        <v>384</v>
      </c>
      <c r="F221" s="503" t="s">
        <v>385</v>
      </c>
      <c r="G221" s="503" t="s">
        <v>873</v>
      </c>
      <c r="H221" s="503" t="s">
        <v>897</v>
      </c>
      <c r="I221" s="503" t="s">
        <v>1435</v>
      </c>
      <c r="J221" s="504" t="n">
        <v>25050</v>
      </c>
      <c r="K221" s="504" t="n">
        <v>20660</v>
      </c>
      <c r="L221" s="505" t="n">
        <v>29.5</v>
      </c>
      <c r="M221" s="504" t="n">
        <v>4390</v>
      </c>
      <c r="N221" s="504" t="n">
        <v>3094.9</v>
      </c>
      <c r="O221" s="504" t="s">
        <v>417</v>
      </c>
      <c r="P221" s="508" t="n">
        <v>317</v>
      </c>
      <c r="Q221" s="506" t="n">
        <v>45818</v>
      </c>
      <c r="R221" s="507" t="n">
        <v>0.794409722222222</v>
      </c>
    </row>
    <row r="222" customFormat="false" ht="35.05" hidden="false" customHeight="false" outlineLevel="0" collapsed="false">
      <c r="A222" s="503" t="s">
        <v>2644</v>
      </c>
      <c r="B222" s="0" t="n">
        <v>358</v>
      </c>
      <c r="C222" s="503" t="n">
        <v>120</v>
      </c>
      <c r="D222" s="503" t="s">
        <v>422</v>
      </c>
      <c r="E222" s="503" t="s">
        <v>384</v>
      </c>
      <c r="F222" s="503" t="s">
        <v>385</v>
      </c>
      <c r="G222" s="503" t="s">
        <v>873</v>
      </c>
      <c r="H222" s="503" t="s">
        <v>898</v>
      </c>
      <c r="I222" s="503" t="s">
        <v>1435</v>
      </c>
      <c r="J222" s="504" t="n">
        <v>20660</v>
      </c>
      <c r="K222" s="504" t="n">
        <v>14480</v>
      </c>
      <c r="L222" s="505" t="n">
        <v>21.5</v>
      </c>
      <c r="M222" s="504" t="n">
        <v>6180</v>
      </c>
      <c r="N222" s="504" t="n">
        <v>4851.3</v>
      </c>
      <c r="O222" s="504" t="s">
        <v>417</v>
      </c>
      <c r="P222" s="508" t="n">
        <v>318</v>
      </c>
      <c r="Q222" s="506" t="n">
        <v>45818</v>
      </c>
      <c r="R222" s="507" t="n">
        <v>0.801736111111111</v>
      </c>
    </row>
    <row r="223" customFormat="false" ht="35.05" hidden="false" customHeight="false" outlineLevel="0" collapsed="false">
      <c r="A223" s="503" t="s">
        <v>2645</v>
      </c>
      <c r="B223" s="0" t="n">
        <v>359</v>
      </c>
      <c r="C223" s="503" t="n">
        <v>121</v>
      </c>
      <c r="D223" s="503" t="s">
        <v>422</v>
      </c>
      <c r="E223" s="503" t="s">
        <v>382</v>
      </c>
      <c r="F223" s="503" t="s">
        <v>383</v>
      </c>
      <c r="G223" s="503" t="s">
        <v>896</v>
      </c>
      <c r="H223" s="503" t="s">
        <v>47</v>
      </c>
      <c r="I223" s="503" t="s">
        <v>1435</v>
      </c>
      <c r="J223" s="504" t="n">
        <v>30340</v>
      </c>
      <c r="K223" s="504" t="n">
        <v>23450</v>
      </c>
      <c r="L223" s="505" t="n">
        <v>6.5</v>
      </c>
      <c r="M223" s="504" t="n">
        <v>6890</v>
      </c>
      <c r="N223" s="504" t="n">
        <v>6442.1</v>
      </c>
      <c r="O223" s="504" t="s">
        <v>746</v>
      </c>
      <c r="P223" s="508" t="n">
        <v>319</v>
      </c>
      <c r="Q223" s="506" t="n">
        <v>45818</v>
      </c>
      <c r="R223" s="507" t="n">
        <v>0.80744212962963</v>
      </c>
    </row>
    <row r="224" customFormat="false" ht="35.05" hidden="false" customHeight="false" outlineLevel="0" collapsed="false">
      <c r="A224" s="503" t="s">
        <v>2646</v>
      </c>
      <c r="B224" s="0" t="n">
        <v>361</v>
      </c>
      <c r="C224" s="503" t="n">
        <v>121</v>
      </c>
      <c r="D224" s="503" t="s">
        <v>422</v>
      </c>
      <c r="E224" s="503" t="s">
        <v>382</v>
      </c>
      <c r="F224" s="503" t="s">
        <v>383</v>
      </c>
      <c r="G224" s="503" t="s">
        <v>896</v>
      </c>
      <c r="H224" s="503" t="s">
        <v>68</v>
      </c>
      <c r="I224" s="503" t="s">
        <v>1435</v>
      </c>
      <c r="J224" s="504" t="n">
        <v>23450</v>
      </c>
      <c r="K224" s="504" t="n">
        <v>14840</v>
      </c>
      <c r="L224" s="505" t="n">
        <v>8.5</v>
      </c>
      <c r="M224" s="504" t="n">
        <v>8610</v>
      </c>
      <c r="N224" s="504" t="n">
        <v>7878.1</v>
      </c>
      <c r="O224" s="504" t="s">
        <v>746</v>
      </c>
      <c r="P224" s="508" t="n">
        <v>320</v>
      </c>
      <c r="Q224" s="506" t="n">
        <v>45818</v>
      </c>
      <c r="R224" s="507" t="n">
        <v>0.816354166666667</v>
      </c>
    </row>
    <row r="225" customFormat="false" ht="35.05" hidden="false" customHeight="false" outlineLevel="0" collapsed="false">
      <c r="A225" s="503" t="s">
        <v>2647</v>
      </c>
      <c r="B225" s="0" t="n">
        <v>362</v>
      </c>
      <c r="C225" s="503" t="n">
        <v>28</v>
      </c>
      <c r="D225" s="503" t="s">
        <v>899</v>
      </c>
      <c r="E225" s="503" t="s">
        <v>374</v>
      </c>
      <c r="F225" s="503" t="s">
        <v>375</v>
      </c>
      <c r="G225" s="503" t="s">
        <v>901</v>
      </c>
      <c r="H225" s="503" t="s">
        <v>900</v>
      </c>
      <c r="I225" s="503" t="s">
        <v>1435</v>
      </c>
      <c r="J225" s="504" t="n">
        <v>6240</v>
      </c>
      <c r="K225" s="504" t="n">
        <v>4560</v>
      </c>
      <c r="L225" s="505" t="n">
        <v>12</v>
      </c>
      <c r="M225" s="504" t="n">
        <v>1680</v>
      </c>
      <c r="N225" s="504" t="n">
        <v>1478.4</v>
      </c>
      <c r="O225" s="504" t="s">
        <v>417</v>
      </c>
      <c r="P225" s="508" t="n">
        <v>321</v>
      </c>
      <c r="Q225" s="506" t="n">
        <v>45818</v>
      </c>
      <c r="R225" s="507" t="n">
        <v>0.819733796296296</v>
      </c>
    </row>
    <row r="226" customFormat="false" ht="35.05" hidden="false" customHeight="false" outlineLevel="0" collapsed="false">
      <c r="A226" s="503" t="s">
        <v>2648</v>
      </c>
      <c r="B226" s="0" t="n">
        <v>363</v>
      </c>
      <c r="C226" s="503" t="n">
        <v>123</v>
      </c>
      <c r="D226" s="503" t="s">
        <v>422</v>
      </c>
      <c r="E226" s="503" t="s">
        <v>384</v>
      </c>
      <c r="F226" s="503" t="s">
        <v>385</v>
      </c>
      <c r="G226" s="503" t="s">
        <v>873</v>
      </c>
      <c r="H226" s="503" t="s">
        <v>68</v>
      </c>
      <c r="I226" s="503" t="s">
        <v>1435</v>
      </c>
      <c r="J226" s="504" t="n">
        <v>27420</v>
      </c>
      <c r="K226" s="504" t="n">
        <v>14450</v>
      </c>
      <c r="L226" s="505" t="n">
        <v>13.5</v>
      </c>
      <c r="M226" s="504" t="n">
        <v>12970</v>
      </c>
      <c r="N226" s="504" t="n">
        <v>11219</v>
      </c>
      <c r="O226" s="504" t="s">
        <v>886</v>
      </c>
      <c r="P226" s="508" t="n">
        <v>322</v>
      </c>
      <c r="Q226" s="506" t="n">
        <v>45818</v>
      </c>
      <c r="R226" s="507" t="n">
        <v>0.868356481481482</v>
      </c>
    </row>
    <row r="227" customFormat="false" ht="35.05" hidden="false" customHeight="false" outlineLevel="0" collapsed="false">
      <c r="A227" s="503" t="s">
        <v>2649</v>
      </c>
      <c r="B227" s="0" t="n">
        <v>364</v>
      </c>
      <c r="C227" s="503" t="n">
        <v>124</v>
      </c>
      <c r="D227" s="503" t="s">
        <v>422</v>
      </c>
      <c r="E227" s="503" t="s">
        <v>361</v>
      </c>
      <c r="F227" s="503" t="s">
        <v>362</v>
      </c>
      <c r="G227" s="503" t="s">
        <v>896</v>
      </c>
      <c r="H227" s="503" t="s">
        <v>47</v>
      </c>
      <c r="I227" s="503" t="s">
        <v>1435</v>
      </c>
      <c r="J227" s="504" t="n">
        <v>28620</v>
      </c>
      <c r="K227" s="504" t="n">
        <v>14660</v>
      </c>
      <c r="L227" s="505" t="n">
        <v>13.5</v>
      </c>
      <c r="M227" s="504" t="n">
        <v>13960</v>
      </c>
      <c r="N227" s="504" t="n">
        <v>12075.4</v>
      </c>
      <c r="O227" s="504" t="s">
        <v>886</v>
      </c>
      <c r="P227" s="508" t="n">
        <v>323</v>
      </c>
      <c r="Q227" s="506" t="n">
        <v>45818</v>
      </c>
      <c r="R227" s="507" t="n">
        <v>0.99599537037037</v>
      </c>
    </row>
    <row r="228" customFormat="false" ht="35.05" hidden="false" customHeight="false" outlineLevel="0" collapsed="false">
      <c r="A228" s="503" t="s">
        <v>2650</v>
      </c>
      <c r="B228" s="0" t="n">
        <v>365</v>
      </c>
      <c r="C228" s="503" t="n">
        <v>125</v>
      </c>
      <c r="D228" s="503" t="s">
        <v>422</v>
      </c>
      <c r="E228" s="503" t="s">
        <v>376</v>
      </c>
      <c r="F228" s="503" t="s">
        <v>377</v>
      </c>
      <c r="G228" s="503" t="s">
        <v>873</v>
      </c>
      <c r="H228" s="503" t="s">
        <v>68</v>
      </c>
      <c r="I228" s="503" t="s">
        <v>1435</v>
      </c>
      <c r="J228" s="504" t="n">
        <v>27130</v>
      </c>
      <c r="K228" s="504" t="n">
        <v>14260</v>
      </c>
      <c r="L228" s="505" t="n">
        <v>10.5</v>
      </c>
      <c r="M228" s="504" t="n">
        <v>12870</v>
      </c>
      <c r="N228" s="504" t="n">
        <v>11518.6</v>
      </c>
      <c r="O228" s="504" t="s">
        <v>746</v>
      </c>
      <c r="P228" s="508" t="n">
        <v>324</v>
      </c>
      <c r="Q228" s="506" t="n">
        <v>45818</v>
      </c>
      <c r="R228" s="507" t="n">
        <v>0.905219907407407</v>
      </c>
    </row>
    <row r="229" customFormat="false" ht="35.05" hidden="false" customHeight="false" outlineLevel="0" collapsed="false">
      <c r="A229" s="503" t="s">
        <v>2651</v>
      </c>
      <c r="B229" s="0" t="n">
        <v>366</v>
      </c>
      <c r="C229" s="503" t="n">
        <v>126</v>
      </c>
      <c r="D229" s="503" t="s">
        <v>422</v>
      </c>
      <c r="E229" s="503" t="s">
        <v>374</v>
      </c>
      <c r="F229" s="503" t="s">
        <v>375</v>
      </c>
      <c r="G229" s="503" t="s">
        <v>873</v>
      </c>
      <c r="H229" s="503" t="s">
        <v>68</v>
      </c>
      <c r="I229" s="503" t="s">
        <v>1435</v>
      </c>
      <c r="J229" s="504" t="n">
        <v>8820</v>
      </c>
      <c r="K229" s="504" t="n">
        <v>4560</v>
      </c>
      <c r="L229" s="505" t="n">
        <v>10.5</v>
      </c>
      <c r="M229" s="504" t="n">
        <v>4260</v>
      </c>
      <c r="N229" s="504" t="n">
        <v>3812.7</v>
      </c>
      <c r="O229" s="504" t="s">
        <v>746</v>
      </c>
      <c r="P229" s="508" t="n">
        <v>325</v>
      </c>
      <c r="Q229" s="506" t="n">
        <v>45818</v>
      </c>
      <c r="R229" s="507" t="n">
        <v>0.924826388888889</v>
      </c>
    </row>
    <row r="230" customFormat="false" ht="35.05" hidden="false" customHeight="false" outlineLevel="0" collapsed="false">
      <c r="A230" s="503" t="s">
        <v>2652</v>
      </c>
      <c r="B230" s="0" t="n">
        <v>367</v>
      </c>
      <c r="C230" s="503" t="n">
        <v>127</v>
      </c>
      <c r="D230" s="503" t="s">
        <v>422</v>
      </c>
      <c r="E230" s="503" t="s">
        <v>382</v>
      </c>
      <c r="F230" s="503" t="s">
        <v>383</v>
      </c>
      <c r="G230" s="503" t="s">
        <v>896</v>
      </c>
      <c r="H230" s="503" t="s">
        <v>47</v>
      </c>
      <c r="I230" s="503" t="s">
        <v>1435</v>
      </c>
      <c r="J230" s="504" t="n">
        <v>28410</v>
      </c>
      <c r="K230" s="504" t="n">
        <v>14850</v>
      </c>
      <c r="L230" s="505" t="n">
        <v>13.5</v>
      </c>
      <c r="M230" s="504" t="n">
        <v>13560</v>
      </c>
      <c r="N230" s="504" t="n">
        <v>11729.4</v>
      </c>
      <c r="O230" s="504" t="s">
        <v>886</v>
      </c>
      <c r="P230" s="508" t="n">
        <v>326</v>
      </c>
      <c r="Q230" s="506" t="n">
        <v>45818</v>
      </c>
      <c r="R230" s="507" t="n">
        <v>0.928784722222222</v>
      </c>
    </row>
    <row r="231" customFormat="false" ht="35.05" hidden="false" customHeight="false" outlineLevel="0" collapsed="false">
      <c r="A231" s="503" t="s">
        <v>2653</v>
      </c>
      <c r="B231" s="0" t="n">
        <v>368</v>
      </c>
      <c r="C231" s="503" t="n">
        <v>128</v>
      </c>
      <c r="D231" s="503" t="s">
        <v>422</v>
      </c>
      <c r="E231" s="503" t="s">
        <v>384</v>
      </c>
      <c r="F231" s="503" t="s">
        <v>385</v>
      </c>
      <c r="G231" s="503" t="s">
        <v>873</v>
      </c>
      <c r="H231" s="503" t="s">
        <v>68</v>
      </c>
      <c r="I231" s="503" t="s">
        <v>1435</v>
      </c>
      <c r="J231" s="504" t="n">
        <v>27150</v>
      </c>
      <c r="K231" s="504" t="n">
        <v>14430</v>
      </c>
      <c r="L231" s="505" t="n">
        <v>11.5</v>
      </c>
      <c r="M231" s="504" t="n">
        <v>12720</v>
      </c>
      <c r="N231" s="504" t="n">
        <v>11257.2</v>
      </c>
      <c r="O231" s="504" t="s">
        <v>746</v>
      </c>
      <c r="P231" s="508" t="n">
        <v>327</v>
      </c>
      <c r="Q231" s="506" t="n">
        <v>45818</v>
      </c>
      <c r="R231" s="507" t="n">
        <v>0.974930555555556</v>
      </c>
    </row>
    <row r="232" customFormat="false" ht="35.05" hidden="false" customHeight="false" outlineLevel="0" collapsed="false">
      <c r="A232" s="503" t="s">
        <v>2654</v>
      </c>
      <c r="B232" s="0" t="n">
        <v>369</v>
      </c>
      <c r="C232" s="503" t="n">
        <v>129</v>
      </c>
      <c r="D232" s="503" t="s">
        <v>422</v>
      </c>
      <c r="E232" s="503" t="s">
        <v>361</v>
      </c>
      <c r="F232" s="503" t="s">
        <v>362</v>
      </c>
      <c r="G232" s="503" t="s">
        <v>896</v>
      </c>
      <c r="H232" s="503" t="s">
        <v>47</v>
      </c>
      <c r="I232" s="503" t="s">
        <v>1435</v>
      </c>
      <c r="J232" s="504" t="n">
        <v>28490</v>
      </c>
      <c r="K232" s="504" t="n">
        <v>14640</v>
      </c>
      <c r="L232" s="505" t="n">
        <v>12</v>
      </c>
      <c r="M232" s="504" t="n">
        <v>13850</v>
      </c>
      <c r="N232" s="504" t="n">
        <v>12188</v>
      </c>
      <c r="O232" s="504" t="s">
        <v>746</v>
      </c>
      <c r="P232" s="508" t="n">
        <v>328</v>
      </c>
      <c r="Q232" s="506" t="n">
        <v>45819</v>
      </c>
      <c r="R232" s="507" t="n">
        <v>0.184259259259259</v>
      </c>
    </row>
    <row r="233" customFormat="false" ht="35.05" hidden="false" customHeight="false" outlineLevel="0" collapsed="false">
      <c r="A233" s="503" t="s">
        <v>2655</v>
      </c>
      <c r="B233" s="0" t="n">
        <v>371</v>
      </c>
      <c r="C233" s="503" t="n">
        <v>131</v>
      </c>
      <c r="D233" s="503" t="s">
        <v>422</v>
      </c>
      <c r="E233" s="503" t="s">
        <v>374</v>
      </c>
      <c r="F233" s="503" t="s">
        <v>375</v>
      </c>
      <c r="G233" s="503" t="s">
        <v>873</v>
      </c>
      <c r="H233" s="503" t="s">
        <v>68</v>
      </c>
      <c r="I233" s="503" t="s">
        <v>1435</v>
      </c>
      <c r="J233" s="504" t="n">
        <v>8840</v>
      </c>
      <c r="K233" s="504" t="n">
        <v>4550</v>
      </c>
      <c r="L233" s="505" t="n">
        <v>7</v>
      </c>
      <c r="M233" s="504" t="n">
        <v>4290</v>
      </c>
      <c r="N233" s="504" t="n">
        <v>3989.7</v>
      </c>
      <c r="O233" s="504" t="s">
        <v>746</v>
      </c>
      <c r="P233" s="508" t="n">
        <v>329</v>
      </c>
      <c r="Q233" s="506" t="n">
        <v>45819</v>
      </c>
      <c r="R233" s="507" t="n">
        <v>0.1859375</v>
      </c>
    </row>
    <row r="234" customFormat="false" ht="35.05" hidden="false" customHeight="false" outlineLevel="0" collapsed="false">
      <c r="A234" s="503" t="s">
        <v>2656</v>
      </c>
      <c r="B234" s="0" t="n">
        <v>370</v>
      </c>
      <c r="C234" s="503" t="n">
        <v>130</v>
      </c>
      <c r="D234" s="503" t="s">
        <v>422</v>
      </c>
      <c r="E234" s="503" t="s">
        <v>376</v>
      </c>
      <c r="F234" s="503" t="s">
        <v>377</v>
      </c>
      <c r="G234" s="503" t="s">
        <v>873</v>
      </c>
      <c r="H234" s="503" t="s">
        <v>68</v>
      </c>
      <c r="I234" s="503" t="s">
        <v>1435</v>
      </c>
      <c r="J234" s="504" t="n">
        <v>27160</v>
      </c>
      <c r="K234" s="504" t="n">
        <v>14250</v>
      </c>
      <c r="L234" s="505" t="n">
        <v>10.5</v>
      </c>
      <c r="M234" s="504" t="n">
        <v>12910</v>
      </c>
      <c r="N234" s="504" t="n">
        <v>11554.4</v>
      </c>
      <c r="O234" s="504" t="s">
        <v>746</v>
      </c>
      <c r="P234" s="508" t="n">
        <v>330</v>
      </c>
      <c r="Q234" s="506" t="n">
        <v>45819</v>
      </c>
      <c r="R234" s="507" t="n">
        <v>0.243125</v>
      </c>
    </row>
    <row r="235" customFormat="false" ht="35.05" hidden="false" customHeight="false" outlineLevel="0" collapsed="false">
      <c r="A235" s="503" t="s">
        <v>2657</v>
      </c>
      <c r="B235" s="0" t="n">
        <v>360</v>
      </c>
      <c r="C235" s="503" t="n">
        <v>122</v>
      </c>
      <c r="D235" s="503" t="s">
        <v>422</v>
      </c>
      <c r="E235" s="503" t="s">
        <v>376</v>
      </c>
      <c r="F235" s="503" t="s">
        <v>377</v>
      </c>
      <c r="G235" s="503" t="s">
        <v>873</v>
      </c>
      <c r="H235" s="503" t="s">
        <v>897</v>
      </c>
      <c r="I235" s="503" t="s">
        <v>1435</v>
      </c>
      <c r="J235" s="504" t="n">
        <v>22670</v>
      </c>
      <c r="K235" s="504" t="n">
        <v>14280</v>
      </c>
      <c r="L235" s="505" t="n">
        <v>19</v>
      </c>
      <c r="M235" s="504" t="n">
        <v>8390</v>
      </c>
      <c r="N235" s="504" t="n">
        <v>6795.9</v>
      </c>
      <c r="O235" s="504" t="s">
        <v>417</v>
      </c>
      <c r="P235" s="508" t="n">
        <v>331</v>
      </c>
      <c r="Q235" s="506" t="n">
        <v>45818</v>
      </c>
      <c r="R235" s="507" t="n">
        <v>0.712546296296296</v>
      </c>
    </row>
    <row r="236" customFormat="false" ht="35.05" hidden="false" customHeight="false" outlineLevel="0" collapsed="false">
      <c r="A236" s="503" t="s">
        <v>2658</v>
      </c>
      <c r="B236" s="0" t="n">
        <v>372</v>
      </c>
      <c r="C236" s="503" t="n">
        <v>132</v>
      </c>
      <c r="D236" s="503" t="s">
        <v>422</v>
      </c>
      <c r="E236" s="503" t="s">
        <v>382</v>
      </c>
      <c r="F236" s="503" t="s">
        <v>383</v>
      </c>
      <c r="G236" s="503" t="s">
        <v>885</v>
      </c>
      <c r="H236" s="503" t="s">
        <v>47</v>
      </c>
      <c r="I236" s="503" t="s">
        <v>1435</v>
      </c>
      <c r="J236" s="504" t="n">
        <v>28460</v>
      </c>
      <c r="K236" s="504" t="n">
        <v>14840</v>
      </c>
      <c r="L236" s="505" t="n">
        <v>9.5</v>
      </c>
      <c r="M236" s="504" t="n">
        <v>13620</v>
      </c>
      <c r="N236" s="504" t="n">
        <v>12326.1</v>
      </c>
      <c r="O236" s="504" t="s">
        <v>746</v>
      </c>
      <c r="P236" s="508" t="n">
        <v>332</v>
      </c>
      <c r="Q236" s="506" t="n">
        <v>45819</v>
      </c>
      <c r="R236" s="507" t="n">
        <v>0.371701388888889</v>
      </c>
    </row>
    <row r="237" customFormat="false" ht="35.05" hidden="false" customHeight="false" outlineLevel="0" collapsed="false">
      <c r="A237" s="503" t="s">
        <v>2659</v>
      </c>
      <c r="B237" s="0" t="n">
        <v>373</v>
      </c>
      <c r="C237" s="503" t="n">
        <v>133</v>
      </c>
      <c r="D237" s="503" t="s">
        <v>422</v>
      </c>
      <c r="E237" s="503" t="s">
        <v>361</v>
      </c>
      <c r="F237" s="503" t="s">
        <v>362</v>
      </c>
      <c r="G237" s="503" t="s">
        <v>873</v>
      </c>
      <c r="H237" s="503" t="s">
        <v>68</v>
      </c>
      <c r="I237" s="503" t="s">
        <v>1435</v>
      </c>
      <c r="J237" s="504" t="n">
        <v>27930</v>
      </c>
      <c r="K237" s="504" t="n">
        <v>14640</v>
      </c>
      <c r="L237" s="505" t="n">
        <v>10</v>
      </c>
      <c r="M237" s="504" t="n">
        <v>13290</v>
      </c>
      <c r="N237" s="504" t="n">
        <v>11961</v>
      </c>
      <c r="O237" s="504" t="s">
        <v>746</v>
      </c>
      <c r="P237" s="508" t="n">
        <v>333</v>
      </c>
      <c r="Q237" s="506" t="n">
        <v>45819</v>
      </c>
      <c r="R237" s="507" t="n">
        <v>0.40662037037037</v>
      </c>
    </row>
    <row r="238" customFormat="false" ht="35.05" hidden="false" customHeight="false" outlineLevel="0" collapsed="false">
      <c r="A238" s="503" t="s">
        <v>2660</v>
      </c>
      <c r="B238" s="0" t="n">
        <v>375</v>
      </c>
      <c r="C238" s="503" t="n">
        <v>134</v>
      </c>
      <c r="D238" s="503" t="s">
        <v>422</v>
      </c>
      <c r="E238" s="503" t="s">
        <v>457</v>
      </c>
      <c r="F238" s="503" t="s">
        <v>366</v>
      </c>
      <c r="G238" s="503" t="s">
        <v>873</v>
      </c>
      <c r="H238" s="503" t="s">
        <v>68</v>
      </c>
      <c r="I238" s="503" t="s">
        <v>1435</v>
      </c>
      <c r="J238" s="504" t="n">
        <v>25280</v>
      </c>
      <c r="K238" s="504" t="n">
        <v>14940</v>
      </c>
      <c r="L238" s="505" t="n">
        <v>5</v>
      </c>
      <c r="M238" s="504" t="n">
        <v>10340</v>
      </c>
      <c r="N238" s="504" t="n">
        <v>9823</v>
      </c>
      <c r="O238" s="504" t="s">
        <v>886</v>
      </c>
      <c r="P238" s="508" t="n">
        <v>334</v>
      </c>
      <c r="Q238" s="506" t="n">
        <v>45819</v>
      </c>
      <c r="R238" s="507" t="n">
        <v>0.497905092592593</v>
      </c>
    </row>
    <row r="239" customFormat="false" ht="35.05" hidden="false" customHeight="false" outlineLevel="0" collapsed="false">
      <c r="A239" s="503" t="s">
        <v>2661</v>
      </c>
      <c r="B239" s="0" t="n">
        <v>377</v>
      </c>
      <c r="C239" s="503" t="n">
        <v>135</v>
      </c>
      <c r="D239" s="503" t="s">
        <v>422</v>
      </c>
      <c r="E239" s="503" t="s">
        <v>371</v>
      </c>
      <c r="F239" s="503" t="s">
        <v>372</v>
      </c>
      <c r="G239" s="503" t="s">
        <v>873</v>
      </c>
      <c r="H239" s="503" t="s">
        <v>68</v>
      </c>
      <c r="I239" s="503" t="s">
        <v>1435</v>
      </c>
      <c r="J239" s="504" t="n">
        <v>25720</v>
      </c>
      <c r="K239" s="504" t="n">
        <v>15020</v>
      </c>
      <c r="L239" s="505" t="n">
        <v>6.5</v>
      </c>
      <c r="M239" s="504" t="n">
        <v>10700</v>
      </c>
      <c r="N239" s="504" t="n">
        <v>10004.5</v>
      </c>
      <c r="O239" s="504" t="s">
        <v>886</v>
      </c>
      <c r="P239" s="508" t="n">
        <v>335</v>
      </c>
      <c r="Q239" s="506" t="n">
        <v>45819</v>
      </c>
      <c r="R239" s="507" t="n">
        <v>0.556516203703704</v>
      </c>
    </row>
    <row r="240" customFormat="false" ht="35.05" hidden="false" customHeight="false" outlineLevel="0" collapsed="false">
      <c r="A240" s="503" t="s">
        <v>2662</v>
      </c>
      <c r="B240" s="0" t="n">
        <v>378</v>
      </c>
      <c r="C240" s="503" t="n">
        <v>3</v>
      </c>
      <c r="D240" s="503" t="s">
        <v>899</v>
      </c>
      <c r="E240" s="503" t="s">
        <v>378</v>
      </c>
      <c r="F240" s="503" t="s">
        <v>379</v>
      </c>
      <c r="G240" s="503" t="s">
        <v>903</v>
      </c>
      <c r="H240" s="503" t="s">
        <v>900</v>
      </c>
      <c r="I240" s="503" t="s">
        <v>1435</v>
      </c>
      <c r="J240" s="504" t="n">
        <v>8800</v>
      </c>
      <c r="K240" s="504" t="n">
        <v>4600</v>
      </c>
      <c r="L240" s="505" t="n">
        <v>7</v>
      </c>
      <c r="M240" s="504" t="n">
        <v>4200</v>
      </c>
      <c r="N240" s="504" t="n">
        <v>3906</v>
      </c>
      <c r="O240" s="504" t="s">
        <v>746</v>
      </c>
      <c r="P240" s="508" t="n">
        <v>336</v>
      </c>
      <c r="Q240" s="506" t="n">
        <v>45819</v>
      </c>
      <c r="R240" s="507" t="n">
        <v>0.5665625</v>
      </c>
    </row>
    <row r="241" customFormat="false" ht="35.05" hidden="false" customHeight="false" outlineLevel="0" collapsed="false">
      <c r="A241" s="503" t="s">
        <v>2663</v>
      </c>
      <c r="B241" s="0" t="n">
        <v>380</v>
      </c>
      <c r="C241" s="503" t="n">
        <v>1</v>
      </c>
      <c r="D241" s="503" t="s">
        <v>899</v>
      </c>
      <c r="E241" s="503" t="s">
        <v>553</v>
      </c>
      <c r="F241" s="503" t="s">
        <v>557</v>
      </c>
      <c r="G241" s="503" t="s">
        <v>903</v>
      </c>
      <c r="H241" s="503" t="s">
        <v>900</v>
      </c>
      <c r="I241" s="503" t="s">
        <v>1435</v>
      </c>
      <c r="J241" s="504" t="n">
        <v>27810</v>
      </c>
      <c r="K241" s="504" t="n">
        <v>14980</v>
      </c>
      <c r="L241" s="505" t="n">
        <v>9.5</v>
      </c>
      <c r="M241" s="504" t="n">
        <v>12830</v>
      </c>
      <c r="N241" s="504" t="n">
        <v>11611.1</v>
      </c>
      <c r="O241" s="504" t="s">
        <v>746</v>
      </c>
      <c r="P241" s="508" t="n">
        <v>337</v>
      </c>
      <c r="Q241" s="506" t="n">
        <v>45819</v>
      </c>
      <c r="R241" s="507" t="n">
        <v>0.694641203703704</v>
      </c>
    </row>
    <row r="242" customFormat="false" ht="35.05" hidden="false" customHeight="false" outlineLevel="0" collapsed="false">
      <c r="A242" s="503" t="s">
        <v>2664</v>
      </c>
      <c r="B242" s="0" t="n">
        <v>381</v>
      </c>
      <c r="C242" s="503" t="n">
        <v>2</v>
      </c>
      <c r="D242" s="503" t="s">
        <v>899</v>
      </c>
      <c r="E242" s="503" t="s">
        <v>547</v>
      </c>
      <c r="F242" s="503" t="s">
        <v>551</v>
      </c>
      <c r="G242" s="503" t="s">
        <v>903</v>
      </c>
      <c r="H242" s="503" t="s">
        <v>900</v>
      </c>
      <c r="I242" s="503" t="s">
        <v>1435</v>
      </c>
      <c r="J242" s="504" t="n">
        <v>27520</v>
      </c>
      <c r="K242" s="504" t="n">
        <v>14770</v>
      </c>
      <c r="L242" s="505" t="n">
        <v>5</v>
      </c>
      <c r="M242" s="504" t="n">
        <v>12750</v>
      </c>
      <c r="N242" s="504" t="n">
        <v>12112.5</v>
      </c>
      <c r="O242" s="504" t="s">
        <v>746</v>
      </c>
      <c r="P242" s="508" t="n">
        <v>338</v>
      </c>
      <c r="Q242" s="506" t="n">
        <v>45819</v>
      </c>
      <c r="R242" s="507" t="n">
        <v>0.695740740740741</v>
      </c>
    </row>
    <row r="243" customFormat="false" ht="35.05" hidden="false" customHeight="false" outlineLevel="0" collapsed="false">
      <c r="A243" s="503" t="s">
        <v>2665</v>
      </c>
      <c r="B243" s="0" t="n">
        <v>382</v>
      </c>
      <c r="C243" s="503" t="n">
        <v>4</v>
      </c>
      <c r="D243" s="503" t="s">
        <v>899</v>
      </c>
      <c r="E243" s="503" t="s">
        <v>363</v>
      </c>
      <c r="F243" s="503" t="s">
        <v>364</v>
      </c>
      <c r="G243" s="503" t="s">
        <v>903</v>
      </c>
      <c r="H243" s="503" t="s">
        <v>900</v>
      </c>
      <c r="I243" s="503" t="s">
        <v>1435</v>
      </c>
      <c r="J243" s="504" t="n">
        <v>27190</v>
      </c>
      <c r="K243" s="504" t="n">
        <v>14530</v>
      </c>
      <c r="L243" s="505" t="n">
        <v>8</v>
      </c>
      <c r="M243" s="504" t="n">
        <v>12660</v>
      </c>
      <c r="N243" s="504" t="n">
        <v>11647.2</v>
      </c>
      <c r="O243" s="504" t="s">
        <v>746</v>
      </c>
      <c r="P243" s="508" t="n">
        <v>339</v>
      </c>
      <c r="Q243" s="506" t="n">
        <v>45819</v>
      </c>
      <c r="R243" s="507" t="n">
        <v>0.744965277777778</v>
      </c>
    </row>
    <row r="244" customFormat="false" ht="35.05" hidden="false" customHeight="false" outlineLevel="0" collapsed="false">
      <c r="A244" s="503" t="s">
        <v>2666</v>
      </c>
      <c r="B244" s="0" t="n">
        <v>383</v>
      </c>
      <c r="C244" s="503" t="n">
        <v>5</v>
      </c>
      <c r="D244" s="503" t="s">
        <v>899</v>
      </c>
      <c r="E244" s="503" t="s">
        <v>55</v>
      </c>
      <c r="F244" s="503" t="s">
        <v>56</v>
      </c>
      <c r="G244" s="503" t="s">
        <v>903</v>
      </c>
      <c r="H244" s="503" t="s">
        <v>900</v>
      </c>
      <c r="I244" s="503" t="s">
        <v>1435</v>
      </c>
      <c r="J244" s="504" t="n">
        <v>27620</v>
      </c>
      <c r="K244" s="504" t="n">
        <v>14630</v>
      </c>
      <c r="L244" s="505" t="n">
        <v>7</v>
      </c>
      <c r="M244" s="504" t="n">
        <v>12990</v>
      </c>
      <c r="N244" s="504" t="n">
        <v>12080.7</v>
      </c>
      <c r="O244" s="504" t="s">
        <v>746</v>
      </c>
      <c r="P244" s="508" t="n">
        <v>340</v>
      </c>
      <c r="Q244" s="506" t="n">
        <v>45819</v>
      </c>
      <c r="R244" s="507" t="n">
        <v>0.784618055555556</v>
      </c>
    </row>
    <row r="245" customFormat="false" ht="35.05" hidden="false" customHeight="false" outlineLevel="0" collapsed="false">
      <c r="A245" s="503" t="s">
        <v>2667</v>
      </c>
      <c r="B245" s="0" t="n">
        <v>384</v>
      </c>
      <c r="C245" s="503" t="n">
        <v>7</v>
      </c>
      <c r="D245" s="503" t="s">
        <v>899</v>
      </c>
      <c r="E245" s="503" t="s">
        <v>451</v>
      </c>
      <c r="F245" s="503" t="s">
        <v>455</v>
      </c>
      <c r="G245" s="503" t="n">
        <v>40</v>
      </c>
      <c r="H245" s="503" t="s">
        <v>900</v>
      </c>
      <c r="I245" s="503" t="s">
        <v>1435</v>
      </c>
      <c r="J245" s="504" t="n">
        <v>27430</v>
      </c>
      <c r="K245" s="504" t="n">
        <v>15070</v>
      </c>
      <c r="L245" s="505" t="n">
        <v>6</v>
      </c>
      <c r="M245" s="504" t="n">
        <v>12360</v>
      </c>
      <c r="N245" s="504" t="n">
        <v>11618.4</v>
      </c>
      <c r="O245" s="504" t="s">
        <v>746</v>
      </c>
      <c r="P245" s="508" t="n">
        <v>341</v>
      </c>
      <c r="Q245" s="506" t="n">
        <v>45819</v>
      </c>
      <c r="R245" s="507" t="n">
        <v>0.889675925925926</v>
      </c>
    </row>
    <row r="246" customFormat="false" ht="35.05" hidden="false" customHeight="false" outlineLevel="0" collapsed="false">
      <c r="A246" s="503" t="s">
        <v>2668</v>
      </c>
      <c r="B246" s="0" t="n">
        <v>385</v>
      </c>
      <c r="C246" s="503" t="n">
        <v>6</v>
      </c>
      <c r="D246" s="503" t="s">
        <v>899</v>
      </c>
      <c r="E246" s="503" t="s">
        <v>445</v>
      </c>
      <c r="F246" s="503" t="s">
        <v>449</v>
      </c>
      <c r="G246" s="503" t="n">
        <v>40</v>
      </c>
      <c r="H246" s="503" t="s">
        <v>900</v>
      </c>
      <c r="I246" s="503" t="s">
        <v>1435</v>
      </c>
      <c r="J246" s="504" t="n">
        <v>28580</v>
      </c>
      <c r="K246" s="504" t="n">
        <v>15740</v>
      </c>
      <c r="L246" s="505" t="n">
        <v>7</v>
      </c>
      <c r="M246" s="504" t="n">
        <v>12840</v>
      </c>
      <c r="N246" s="504" t="n">
        <v>11941.2</v>
      </c>
      <c r="O246" s="504" t="s">
        <v>746</v>
      </c>
      <c r="P246" s="508" t="n">
        <v>342</v>
      </c>
      <c r="Q246" s="506" t="n">
        <v>45819</v>
      </c>
      <c r="R246" s="507" t="n">
        <v>0.910381944444444</v>
      </c>
    </row>
    <row r="247" customFormat="false" ht="35.05" hidden="false" customHeight="false" outlineLevel="0" collapsed="false">
      <c r="A247" s="503" t="s">
        <v>2669</v>
      </c>
      <c r="B247" s="0" t="n">
        <v>386</v>
      </c>
      <c r="C247" s="503" t="s">
        <v>906</v>
      </c>
      <c r="D247" s="503" t="s">
        <v>899</v>
      </c>
      <c r="E247" s="503" t="s">
        <v>361</v>
      </c>
      <c r="F247" s="503" t="s">
        <v>362</v>
      </c>
      <c r="G247" s="503" t="n">
        <v>45</v>
      </c>
      <c r="H247" s="503" t="s">
        <v>904</v>
      </c>
      <c r="I247" s="503" t="s">
        <v>1435</v>
      </c>
      <c r="J247" s="504" t="n">
        <v>27660</v>
      </c>
      <c r="K247" s="504" t="n">
        <v>14730</v>
      </c>
      <c r="L247" s="505" t="n">
        <v>18.5</v>
      </c>
      <c r="M247" s="504" t="n">
        <v>12930</v>
      </c>
      <c r="N247" s="504" t="n">
        <v>10537.9</v>
      </c>
      <c r="O247" s="504" t="s">
        <v>417</v>
      </c>
      <c r="P247" s="508" t="n">
        <v>343</v>
      </c>
      <c r="Q247" s="506" t="n">
        <v>45820</v>
      </c>
      <c r="R247" s="507" t="n">
        <v>0.0394907407407407</v>
      </c>
    </row>
    <row r="248" customFormat="false" ht="35.05" hidden="false" customHeight="false" outlineLevel="0" collapsed="false">
      <c r="A248" s="503" t="s">
        <v>2670</v>
      </c>
      <c r="B248" s="0" t="n">
        <v>387</v>
      </c>
      <c r="C248" s="503" t="s">
        <v>906</v>
      </c>
      <c r="D248" s="503" t="s">
        <v>899</v>
      </c>
      <c r="E248" s="503" t="s">
        <v>472</v>
      </c>
      <c r="F248" s="503" t="s">
        <v>476</v>
      </c>
      <c r="G248" s="503" t="n">
        <v>45</v>
      </c>
      <c r="H248" s="503" t="s">
        <v>904</v>
      </c>
      <c r="I248" s="503" t="s">
        <v>1435</v>
      </c>
      <c r="J248" s="504" t="n">
        <v>28780</v>
      </c>
      <c r="K248" s="504" t="n">
        <v>15390</v>
      </c>
      <c r="L248" s="505" t="n">
        <v>12.5</v>
      </c>
      <c r="M248" s="504" t="n">
        <v>13390</v>
      </c>
      <c r="N248" s="504" t="n">
        <v>11716.2</v>
      </c>
      <c r="O248" s="504" t="s">
        <v>417</v>
      </c>
      <c r="P248" s="508" t="n">
        <v>344</v>
      </c>
      <c r="Q248" s="506" t="n">
        <v>45820</v>
      </c>
      <c r="R248" s="507" t="n">
        <v>0.0958217592592593</v>
      </c>
    </row>
    <row r="249" customFormat="false" ht="35.05" hidden="false" customHeight="false" outlineLevel="0" collapsed="false">
      <c r="A249" s="503" t="s">
        <v>2671</v>
      </c>
      <c r="B249" s="0" t="n">
        <v>388</v>
      </c>
      <c r="C249" s="503" t="s">
        <v>906</v>
      </c>
      <c r="D249" s="503" t="s">
        <v>899</v>
      </c>
      <c r="E249" s="503" t="s">
        <v>57</v>
      </c>
      <c r="F249" s="503" t="s">
        <v>58</v>
      </c>
      <c r="G249" s="503" t="n">
        <v>45</v>
      </c>
      <c r="H249" s="503" t="s">
        <v>904</v>
      </c>
      <c r="I249" s="503" t="s">
        <v>1435</v>
      </c>
      <c r="J249" s="504" t="n">
        <v>28770</v>
      </c>
      <c r="K249" s="504" t="n">
        <v>15590</v>
      </c>
      <c r="L249" s="505" t="n">
        <v>20.5</v>
      </c>
      <c r="M249" s="504" t="n">
        <v>13180</v>
      </c>
      <c r="N249" s="504" t="n">
        <v>10478.1</v>
      </c>
      <c r="O249" s="504" t="s">
        <v>417</v>
      </c>
      <c r="P249" s="508" t="n">
        <v>345</v>
      </c>
      <c r="Q249" s="506" t="n">
        <v>45820</v>
      </c>
      <c r="R249" s="507" t="n">
        <v>0.138900462962963</v>
      </c>
    </row>
    <row r="250" customFormat="false" ht="35.05" hidden="false" customHeight="false" outlineLevel="0" collapsed="false">
      <c r="A250" s="503" t="s">
        <v>2672</v>
      </c>
      <c r="B250" s="0" t="n">
        <v>389</v>
      </c>
      <c r="C250" s="503" t="s">
        <v>906</v>
      </c>
      <c r="D250" s="503" t="s">
        <v>899</v>
      </c>
      <c r="E250" s="503" t="s">
        <v>427</v>
      </c>
      <c r="F250" s="503" t="s">
        <v>431</v>
      </c>
      <c r="G250" s="503" t="n">
        <v>45</v>
      </c>
      <c r="H250" s="503" t="s">
        <v>904</v>
      </c>
      <c r="I250" s="503" t="s">
        <v>1435</v>
      </c>
      <c r="J250" s="504" t="n">
        <v>34210</v>
      </c>
      <c r="K250" s="504" t="n">
        <v>21060</v>
      </c>
      <c r="L250" s="505" t="n">
        <v>16</v>
      </c>
      <c r="M250" s="504" t="n">
        <v>13150</v>
      </c>
      <c r="N250" s="504" t="n">
        <v>11046</v>
      </c>
      <c r="O250" s="504" t="s">
        <v>417</v>
      </c>
      <c r="P250" s="508" t="n">
        <v>346</v>
      </c>
      <c r="Q250" s="506" t="n">
        <v>45820</v>
      </c>
      <c r="R250" s="507" t="n">
        <v>0.238576388888889</v>
      </c>
    </row>
    <row r="251" customFormat="false" ht="35.05" hidden="false" customHeight="false" outlineLevel="0" collapsed="false">
      <c r="A251" s="503" t="s">
        <v>2673</v>
      </c>
      <c r="B251" s="0" t="n">
        <v>390</v>
      </c>
      <c r="C251" s="503" t="s">
        <v>906</v>
      </c>
      <c r="D251" s="503" t="s">
        <v>899</v>
      </c>
      <c r="E251" s="503" t="s">
        <v>439</v>
      </c>
      <c r="F251" s="503" t="s">
        <v>443</v>
      </c>
      <c r="G251" s="503" t="n">
        <v>45</v>
      </c>
      <c r="H251" s="503" t="s">
        <v>904</v>
      </c>
      <c r="I251" s="503" t="s">
        <v>1435</v>
      </c>
      <c r="J251" s="504" t="n">
        <v>37250</v>
      </c>
      <c r="K251" s="504" t="n">
        <v>24020</v>
      </c>
      <c r="L251" s="505" t="n">
        <v>12.5</v>
      </c>
      <c r="M251" s="504" t="n">
        <v>13230</v>
      </c>
      <c r="N251" s="504" t="n">
        <v>11576.2</v>
      </c>
      <c r="O251" s="504" t="s">
        <v>417</v>
      </c>
      <c r="P251" s="508" t="n">
        <v>347</v>
      </c>
      <c r="Q251" s="506" t="n">
        <v>45820</v>
      </c>
      <c r="R251" s="507" t="n">
        <v>0.462094907407407</v>
      </c>
    </row>
    <row r="252" customFormat="false" ht="35.05" hidden="false" customHeight="false" outlineLevel="0" collapsed="false">
      <c r="A252" s="503" t="s">
        <v>2674</v>
      </c>
      <c r="B252" s="0" t="n">
        <v>391</v>
      </c>
      <c r="C252" s="503" t="s">
        <v>906</v>
      </c>
      <c r="D252" s="503" t="s">
        <v>899</v>
      </c>
      <c r="E252" s="503" t="s">
        <v>433</v>
      </c>
      <c r="F252" s="503" t="s">
        <v>437</v>
      </c>
      <c r="G252" s="503" t="n">
        <v>45</v>
      </c>
      <c r="H252" s="503" t="s">
        <v>904</v>
      </c>
      <c r="I252" s="503" t="s">
        <v>1435</v>
      </c>
      <c r="J252" s="504" t="n">
        <v>27970</v>
      </c>
      <c r="K252" s="504" t="n">
        <v>14910</v>
      </c>
      <c r="L252" s="505" t="n">
        <v>14.5</v>
      </c>
      <c r="M252" s="504" t="n">
        <v>13060</v>
      </c>
      <c r="N252" s="504" t="n">
        <v>11166.3</v>
      </c>
      <c r="O252" s="504" t="s">
        <v>417</v>
      </c>
      <c r="P252" s="508" t="n">
        <v>348</v>
      </c>
      <c r="Q252" s="506" t="n">
        <v>45820</v>
      </c>
      <c r="R252" s="507" t="n">
        <v>0.471018518518519</v>
      </c>
    </row>
    <row r="253" customFormat="false" ht="35.05" hidden="false" customHeight="false" outlineLevel="0" collapsed="false">
      <c r="A253" s="503" t="s">
        <v>2675</v>
      </c>
      <c r="B253" s="0" t="n">
        <v>392</v>
      </c>
      <c r="C253" s="503" t="s">
        <v>906</v>
      </c>
      <c r="D253" s="503" t="s">
        <v>899</v>
      </c>
      <c r="E253" s="503" t="s">
        <v>365</v>
      </c>
      <c r="F253" s="503" t="s">
        <v>373</v>
      </c>
      <c r="G253" s="503" t="n">
        <v>45</v>
      </c>
      <c r="H253" s="503" t="s">
        <v>904</v>
      </c>
      <c r="I253" s="503" t="s">
        <v>1435</v>
      </c>
      <c r="J253" s="504" t="n">
        <v>31920</v>
      </c>
      <c r="K253" s="504" t="n">
        <v>18730</v>
      </c>
      <c r="L253" s="505" t="n">
        <v>8.5</v>
      </c>
      <c r="M253" s="504" t="n">
        <v>13190</v>
      </c>
      <c r="N253" s="504" t="n">
        <v>12068.8</v>
      </c>
      <c r="O253" s="504" t="s">
        <v>417</v>
      </c>
      <c r="P253" s="508" t="n">
        <v>349</v>
      </c>
      <c r="Q253" s="506" t="n">
        <v>45820</v>
      </c>
      <c r="R253" s="507" t="n">
        <v>0.525671296296296</v>
      </c>
    </row>
    <row r="254" customFormat="false" ht="35.05" hidden="false" customHeight="false" outlineLevel="0" collapsed="false">
      <c r="A254" s="503" t="s">
        <v>2676</v>
      </c>
      <c r="B254" s="0" t="n">
        <v>393</v>
      </c>
      <c r="C254" s="503" t="s">
        <v>906</v>
      </c>
      <c r="D254" s="503" t="s">
        <v>899</v>
      </c>
      <c r="E254" s="503" t="s">
        <v>457</v>
      </c>
      <c r="F254" s="503" t="s">
        <v>366</v>
      </c>
      <c r="G254" s="503" t="n">
        <v>45</v>
      </c>
      <c r="H254" s="503" t="s">
        <v>904</v>
      </c>
      <c r="I254" s="503" t="s">
        <v>1435</v>
      </c>
      <c r="J254" s="504" t="n">
        <v>28050</v>
      </c>
      <c r="K254" s="504" t="n">
        <v>14910</v>
      </c>
      <c r="L254" s="505" t="n">
        <v>14.5</v>
      </c>
      <c r="M254" s="504" t="n">
        <v>13140</v>
      </c>
      <c r="N254" s="504" t="n">
        <v>11234.7</v>
      </c>
      <c r="O254" s="504" t="s">
        <v>417</v>
      </c>
      <c r="P254" s="508" t="n">
        <v>350</v>
      </c>
      <c r="Q254" s="506" t="n">
        <v>45820</v>
      </c>
      <c r="R254" s="507" t="n">
        <v>0.563009259259259</v>
      </c>
    </row>
    <row r="255" customFormat="false" ht="35.05" hidden="false" customHeight="false" outlineLevel="0" collapsed="false">
      <c r="A255" s="503" t="s">
        <v>2677</v>
      </c>
      <c r="B255" s="0" t="n">
        <v>394</v>
      </c>
      <c r="C255" s="503" t="s">
        <v>906</v>
      </c>
      <c r="D255" s="503" t="s">
        <v>899</v>
      </c>
      <c r="E255" s="503" t="s">
        <v>359</v>
      </c>
      <c r="F255" s="503" t="s">
        <v>426</v>
      </c>
      <c r="G255" s="503" t="n">
        <v>45</v>
      </c>
      <c r="H255" s="503" t="s">
        <v>904</v>
      </c>
      <c r="I255" s="503" t="s">
        <v>1435</v>
      </c>
      <c r="J255" s="504" t="n">
        <v>28480</v>
      </c>
      <c r="K255" s="504" t="n">
        <v>13810</v>
      </c>
      <c r="L255" s="505" t="n">
        <v>10.5</v>
      </c>
      <c r="M255" s="504" t="n">
        <v>14670</v>
      </c>
      <c r="N255" s="504" t="n">
        <v>13129.6</v>
      </c>
      <c r="O255" s="504" t="s">
        <v>417</v>
      </c>
      <c r="P255" s="508" t="n">
        <v>351</v>
      </c>
      <c r="Q255" s="506" t="n">
        <v>45820</v>
      </c>
      <c r="R255" s="507" t="n">
        <v>0.619513888888889</v>
      </c>
    </row>
    <row r="256" customFormat="false" ht="35.05" hidden="false" customHeight="false" outlineLevel="0" collapsed="false">
      <c r="A256" s="503" t="s">
        <v>2678</v>
      </c>
      <c r="B256" s="0" t="n">
        <v>395</v>
      </c>
      <c r="C256" s="503" t="s">
        <v>906</v>
      </c>
      <c r="D256" s="503" t="s">
        <v>899</v>
      </c>
      <c r="E256" s="503" t="s">
        <v>553</v>
      </c>
      <c r="F256" s="503" t="s">
        <v>557</v>
      </c>
      <c r="G256" s="503" t="n">
        <v>45</v>
      </c>
      <c r="H256" s="503" t="s">
        <v>904</v>
      </c>
      <c r="I256" s="503" t="s">
        <v>1435</v>
      </c>
      <c r="J256" s="504" t="n">
        <v>28580</v>
      </c>
      <c r="K256" s="504" t="n">
        <v>14940</v>
      </c>
      <c r="L256" s="505" t="n">
        <v>12</v>
      </c>
      <c r="M256" s="504" t="n">
        <v>13640</v>
      </c>
      <c r="N256" s="504" t="n">
        <v>12003.2</v>
      </c>
      <c r="O256" s="504" t="s">
        <v>417</v>
      </c>
      <c r="P256" s="508" t="n">
        <v>352</v>
      </c>
      <c r="Q256" s="506" t="n">
        <v>45820</v>
      </c>
      <c r="R256" s="507" t="n">
        <v>0.668344907407407</v>
      </c>
    </row>
    <row r="257" customFormat="false" ht="35.05" hidden="false" customHeight="false" outlineLevel="0" collapsed="false">
      <c r="A257" s="503" t="s">
        <v>2679</v>
      </c>
      <c r="B257" s="0" t="n">
        <v>397</v>
      </c>
      <c r="C257" s="503" t="s">
        <v>906</v>
      </c>
      <c r="D257" s="503" t="s">
        <v>899</v>
      </c>
      <c r="E257" s="503" t="s">
        <v>547</v>
      </c>
      <c r="F257" s="503" t="s">
        <v>551</v>
      </c>
      <c r="G257" s="503" t="n">
        <v>45</v>
      </c>
      <c r="H257" s="503" t="s">
        <v>904</v>
      </c>
      <c r="I257" s="503" t="s">
        <v>1435</v>
      </c>
      <c r="J257" s="504" t="n">
        <v>28480</v>
      </c>
      <c r="K257" s="504" t="n">
        <v>14720</v>
      </c>
      <c r="L257" s="505" t="n">
        <v>14.5</v>
      </c>
      <c r="M257" s="504" t="n">
        <v>13760</v>
      </c>
      <c r="N257" s="504" t="n">
        <v>11764.8</v>
      </c>
      <c r="O257" s="504" t="s">
        <v>417</v>
      </c>
      <c r="P257" s="508" t="n">
        <v>353</v>
      </c>
      <c r="Q257" s="506" t="n">
        <v>45820</v>
      </c>
      <c r="R257" s="507" t="n">
        <v>0.74318287037037</v>
      </c>
    </row>
    <row r="258" customFormat="false" ht="35.05" hidden="false" customHeight="false" outlineLevel="0" collapsed="false">
      <c r="A258" s="503" t="s">
        <v>2680</v>
      </c>
      <c r="B258" s="0" t="n">
        <v>398</v>
      </c>
      <c r="C258" s="503"/>
      <c r="D258" s="503" t="s">
        <v>899</v>
      </c>
      <c r="E258" s="503" t="s">
        <v>363</v>
      </c>
      <c r="F258" s="503" t="s">
        <v>364</v>
      </c>
      <c r="G258" s="503" t="n">
        <v>45</v>
      </c>
      <c r="H258" s="503" t="s">
        <v>904</v>
      </c>
      <c r="I258" s="503" t="s">
        <v>1435</v>
      </c>
      <c r="J258" s="504" t="n">
        <v>28360</v>
      </c>
      <c r="K258" s="504" t="n">
        <v>14550</v>
      </c>
      <c r="L258" s="505" t="n">
        <v>13.5</v>
      </c>
      <c r="M258" s="504" t="n">
        <v>13810</v>
      </c>
      <c r="N258" s="504" t="n">
        <v>11945.6</v>
      </c>
      <c r="O258" s="504" t="s">
        <v>417</v>
      </c>
      <c r="P258" s="508" t="n">
        <v>354</v>
      </c>
      <c r="Q258" s="506" t="n">
        <v>45820</v>
      </c>
      <c r="R258" s="507" t="n">
        <v>0.781377314814815</v>
      </c>
    </row>
    <row r="259" customFormat="false" ht="35.05" hidden="false" customHeight="false" outlineLevel="0" collapsed="false">
      <c r="A259" s="503" t="s">
        <v>2681</v>
      </c>
      <c r="B259" s="0" t="n">
        <v>399</v>
      </c>
      <c r="C259" s="503" t="s">
        <v>906</v>
      </c>
      <c r="D259" s="503" t="s">
        <v>899</v>
      </c>
      <c r="E259" s="503" t="s">
        <v>55</v>
      </c>
      <c r="F259" s="503" t="s">
        <v>56</v>
      </c>
      <c r="G259" s="503" t="n">
        <v>45</v>
      </c>
      <c r="H259" s="503" t="s">
        <v>904</v>
      </c>
      <c r="I259" s="503" t="s">
        <v>1435</v>
      </c>
      <c r="J259" s="504" t="n">
        <v>28180</v>
      </c>
      <c r="K259" s="504" t="n">
        <v>14660</v>
      </c>
      <c r="L259" s="505" t="n">
        <v>13</v>
      </c>
      <c r="M259" s="504" t="n">
        <v>13520</v>
      </c>
      <c r="N259" s="504" t="n">
        <v>11762.4</v>
      </c>
      <c r="O259" s="504" t="s">
        <v>417</v>
      </c>
      <c r="P259" s="508" t="n">
        <v>355</v>
      </c>
      <c r="Q259" s="506" t="n">
        <v>45820</v>
      </c>
      <c r="R259" s="507" t="n">
        <v>0.834814814814815</v>
      </c>
    </row>
    <row r="260" customFormat="false" ht="35.05" hidden="false" customHeight="false" outlineLevel="0" collapsed="false">
      <c r="A260" s="503" t="s">
        <v>2682</v>
      </c>
      <c r="B260" s="0" t="n">
        <v>400</v>
      </c>
      <c r="C260" s="503" t="s">
        <v>906</v>
      </c>
      <c r="D260" s="503" t="s">
        <v>899</v>
      </c>
      <c r="E260" s="503" t="s">
        <v>445</v>
      </c>
      <c r="F260" s="503" t="s">
        <v>449</v>
      </c>
      <c r="G260" s="503" t="s">
        <v>907</v>
      </c>
      <c r="H260" s="503" t="s">
        <v>904</v>
      </c>
      <c r="I260" s="503" t="s">
        <v>1435</v>
      </c>
      <c r="J260" s="504" t="n">
        <v>29060</v>
      </c>
      <c r="K260" s="504" t="n">
        <v>15720</v>
      </c>
      <c r="L260" s="505" t="n">
        <v>11.5</v>
      </c>
      <c r="M260" s="504" t="n">
        <v>13340</v>
      </c>
      <c r="N260" s="504" t="n">
        <v>11805.9</v>
      </c>
      <c r="O260" s="504" t="s">
        <v>746</v>
      </c>
      <c r="P260" s="508" t="n">
        <v>356</v>
      </c>
      <c r="Q260" s="506" t="n">
        <v>45820</v>
      </c>
      <c r="R260" s="507" t="n">
        <v>0.888275462962963</v>
      </c>
    </row>
    <row r="261" customFormat="false" ht="35.05" hidden="false" customHeight="false" outlineLevel="0" collapsed="false">
      <c r="A261" s="503" t="s">
        <v>2683</v>
      </c>
      <c r="B261" s="0" t="n">
        <v>401</v>
      </c>
      <c r="C261" s="503" t="s">
        <v>906</v>
      </c>
      <c r="D261" s="503" t="s">
        <v>899</v>
      </c>
      <c r="E261" s="503" t="s">
        <v>451</v>
      </c>
      <c r="F261" s="503" t="s">
        <v>455</v>
      </c>
      <c r="G261" s="503" t="s">
        <v>907</v>
      </c>
      <c r="H261" s="503" t="s">
        <v>904</v>
      </c>
      <c r="I261" s="503" t="s">
        <v>1435</v>
      </c>
      <c r="J261" s="504" t="n">
        <v>28460</v>
      </c>
      <c r="K261" s="504" t="n">
        <v>15050</v>
      </c>
      <c r="L261" s="505" t="n">
        <v>12</v>
      </c>
      <c r="M261" s="504" t="n">
        <v>13410</v>
      </c>
      <c r="N261" s="504" t="n">
        <v>11800.8</v>
      </c>
      <c r="O261" s="504" t="s">
        <v>417</v>
      </c>
      <c r="P261" s="508" t="n">
        <v>357</v>
      </c>
      <c r="Q261" s="506" t="n">
        <v>45820</v>
      </c>
      <c r="R261" s="507" t="n">
        <v>0.944305555555556</v>
      </c>
    </row>
    <row r="262" customFormat="false" ht="35.05" hidden="false" customHeight="false" outlineLevel="0" collapsed="false">
      <c r="A262" s="503" t="s">
        <v>2684</v>
      </c>
      <c r="B262" s="0" t="n">
        <v>402</v>
      </c>
      <c r="C262" s="503" t="s">
        <v>906</v>
      </c>
      <c r="D262" s="503" t="s">
        <v>899</v>
      </c>
      <c r="E262" s="503" t="s">
        <v>361</v>
      </c>
      <c r="F262" s="503" t="s">
        <v>362</v>
      </c>
      <c r="G262" s="503" t="s">
        <v>907</v>
      </c>
      <c r="H262" s="503" t="s">
        <v>904</v>
      </c>
      <c r="I262" s="503" t="s">
        <v>1435</v>
      </c>
      <c r="J262" s="504" t="n">
        <v>28070</v>
      </c>
      <c r="K262" s="504" t="n">
        <v>14720</v>
      </c>
      <c r="L262" s="505" t="n">
        <v>12.5</v>
      </c>
      <c r="M262" s="504" t="n">
        <v>13350</v>
      </c>
      <c r="N262" s="504" t="n">
        <v>11681.2</v>
      </c>
      <c r="O262" s="504" t="s">
        <v>417</v>
      </c>
      <c r="P262" s="508" t="n">
        <v>358</v>
      </c>
      <c r="Q262" s="506" t="n">
        <v>45820</v>
      </c>
      <c r="R262" s="507" t="n">
        <v>0.948912037037037</v>
      </c>
    </row>
    <row r="263" customFormat="false" ht="35.05" hidden="false" customHeight="false" outlineLevel="0" collapsed="false">
      <c r="A263" s="503" t="s">
        <v>2685</v>
      </c>
      <c r="B263" s="0" t="n">
        <v>403</v>
      </c>
      <c r="C263" s="503" t="s">
        <v>906</v>
      </c>
      <c r="D263" s="503" t="s">
        <v>899</v>
      </c>
      <c r="E263" s="503" t="s">
        <v>57</v>
      </c>
      <c r="F263" s="503" t="s">
        <v>58</v>
      </c>
      <c r="G263" s="503" t="s">
        <v>907</v>
      </c>
      <c r="H263" s="503" t="s">
        <v>904</v>
      </c>
      <c r="I263" s="503" t="s">
        <v>1435</v>
      </c>
      <c r="J263" s="504" t="n">
        <v>28930</v>
      </c>
      <c r="K263" s="504" t="n">
        <v>15520</v>
      </c>
      <c r="L263" s="505" t="n">
        <v>12.5</v>
      </c>
      <c r="M263" s="504" t="n">
        <v>13410</v>
      </c>
      <c r="N263" s="504" t="n">
        <v>11733.7</v>
      </c>
      <c r="O263" s="504" t="s">
        <v>417</v>
      </c>
      <c r="P263" s="508" t="n">
        <v>359</v>
      </c>
      <c r="Q263" s="506" t="n">
        <v>45820</v>
      </c>
      <c r="R263" s="507" t="n">
        <v>0.902731481481482</v>
      </c>
    </row>
    <row r="264" customFormat="false" ht="35.05" hidden="false" customHeight="false" outlineLevel="0" collapsed="false">
      <c r="A264" s="503" t="s">
        <v>2686</v>
      </c>
      <c r="B264" s="0" t="n">
        <v>404</v>
      </c>
      <c r="C264" s="503" t="s">
        <v>906</v>
      </c>
      <c r="D264" s="503" t="s">
        <v>899</v>
      </c>
      <c r="E264" s="503" t="s">
        <v>472</v>
      </c>
      <c r="F264" s="503" t="s">
        <v>476</v>
      </c>
      <c r="G264" s="503" t="s">
        <v>907</v>
      </c>
      <c r="H264" s="503" t="s">
        <v>904</v>
      </c>
      <c r="I264" s="503" t="s">
        <v>1435</v>
      </c>
      <c r="J264" s="504" t="n">
        <v>28570</v>
      </c>
      <c r="K264" s="504" t="n">
        <v>15350</v>
      </c>
      <c r="L264" s="505" t="n">
        <v>9.5</v>
      </c>
      <c r="M264" s="504" t="n">
        <v>13220</v>
      </c>
      <c r="N264" s="504" t="n">
        <v>11964.1</v>
      </c>
      <c r="O264" s="504" t="s">
        <v>417</v>
      </c>
      <c r="P264" s="508" t="n">
        <v>360</v>
      </c>
      <c r="Q264" s="506" t="n">
        <v>45820</v>
      </c>
      <c r="R264" s="507" t="n">
        <v>0.911458333333333</v>
      </c>
    </row>
    <row r="265" customFormat="false" ht="35.05" hidden="false" customHeight="false" outlineLevel="0" collapsed="false">
      <c r="A265" s="503" t="s">
        <v>2687</v>
      </c>
      <c r="B265" s="0" t="n">
        <v>406</v>
      </c>
      <c r="C265" s="503" t="n">
        <v>26</v>
      </c>
      <c r="D265" s="503" t="s">
        <v>899</v>
      </c>
      <c r="E265" s="503" t="s">
        <v>395</v>
      </c>
      <c r="F265" s="503" t="s">
        <v>566</v>
      </c>
      <c r="G265" s="503" t="s">
        <v>907</v>
      </c>
      <c r="H265" s="503" t="s">
        <v>904</v>
      </c>
      <c r="I265" s="503" t="s">
        <v>1435</v>
      </c>
      <c r="J265" s="504" t="n">
        <v>27890</v>
      </c>
      <c r="K265" s="504" t="n">
        <v>14420</v>
      </c>
      <c r="L265" s="505" t="n">
        <v>13.5</v>
      </c>
      <c r="M265" s="504" t="n">
        <v>13470</v>
      </c>
      <c r="N265" s="504" t="n">
        <v>11651.5</v>
      </c>
      <c r="O265" s="504" t="s">
        <v>417</v>
      </c>
      <c r="P265" s="508" t="n">
        <v>361</v>
      </c>
      <c r="Q265" s="506" t="n">
        <v>45820</v>
      </c>
      <c r="R265" s="507" t="n">
        <v>0.147962962962963</v>
      </c>
    </row>
    <row r="266" customFormat="false" ht="35.05" hidden="false" customHeight="false" outlineLevel="0" collapsed="false">
      <c r="A266" s="503" t="s">
        <v>2688</v>
      </c>
      <c r="B266" s="0" t="n">
        <v>408</v>
      </c>
      <c r="C266" s="503" t="s">
        <v>906</v>
      </c>
      <c r="D266" s="503" t="s">
        <v>899</v>
      </c>
      <c r="E266" s="503" t="s">
        <v>386</v>
      </c>
      <c r="F266" s="503" t="s">
        <v>387</v>
      </c>
      <c r="G266" s="503" t="s">
        <v>907</v>
      </c>
      <c r="H266" s="503" t="s">
        <v>904</v>
      </c>
      <c r="I266" s="503" t="s">
        <v>1435</v>
      </c>
      <c r="J266" s="504" t="n">
        <v>23210</v>
      </c>
      <c r="K266" s="504" t="n">
        <v>15130</v>
      </c>
      <c r="L266" s="505" t="n">
        <v>21</v>
      </c>
      <c r="M266" s="504" t="n">
        <v>8080</v>
      </c>
      <c r="N266" s="504" t="n">
        <v>6383.2</v>
      </c>
      <c r="O266" s="504" t="s">
        <v>417</v>
      </c>
      <c r="P266" s="508" t="n">
        <v>362</v>
      </c>
      <c r="Q266" s="506" t="n">
        <v>45820</v>
      </c>
      <c r="R266" s="507" t="n">
        <v>0.211678240740741</v>
      </c>
    </row>
    <row r="267" customFormat="false" ht="35.05" hidden="false" customHeight="false" outlineLevel="0" collapsed="false">
      <c r="A267" s="503" t="s">
        <v>2689</v>
      </c>
      <c r="B267" s="0" t="n">
        <v>407</v>
      </c>
      <c r="C267" s="503" t="n">
        <v>28</v>
      </c>
      <c r="D267" s="503" t="s">
        <v>899</v>
      </c>
      <c r="E267" s="503" t="s">
        <v>384</v>
      </c>
      <c r="F267" s="503" t="s">
        <v>385</v>
      </c>
      <c r="G267" s="503" t="s">
        <v>901</v>
      </c>
      <c r="H267" s="503" t="s">
        <v>900</v>
      </c>
      <c r="I267" s="503" t="s">
        <v>1435</v>
      </c>
      <c r="J267" s="504" t="n">
        <v>27530</v>
      </c>
      <c r="K267" s="504" t="n">
        <v>14450</v>
      </c>
      <c r="L267" s="505" t="n">
        <v>17</v>
      </c>
      <c r="M267" s="504" t="n">
        <v>13080</v>
      </c>
      <c r="N267" s="504" t="n">
        <v>10856.4</v>
      </c>
      <c r="O267" s="504" t="s">
        <v>417</v>
      </c>
      <c r="P267" s="508" t="n">
        <v>363</v>
      </c>
      <c r="Q267" s="506" t="n">
        <v>45821</v>
      </c>
      <c r="R267" s="507" t="n">
        <v>0.227962962962963</v>
      </c>
    </row>
    <row r="268" customFormat="false" ht="35.05" hidden="false" customHeight="false" outlineLevel="0" collapsed="false">
      <c r="A268" s="503" t="s">
        <v>2690</v>
      </c>
      <c r="B268" s="0" t="n">
        <v>409</v>
      </c>
      <c r="C268" s="503" t="n">
        <v>29</v>
      </c>
      <c r="D268" s="503" t="s">
        <v>899</v>
      </c>
      <c r="E268" s="503" t="s">
        <v>382</v>
      </c>
      <c r="F268" s="503" t="s">
        <v>383</v>
      </c>
      <c r="G268" s="503" t="s">
        <v>901</v>
      </c>
      <c r="H268" s="503" t="s">
        <v>900</v>
      </c>
      <c r="I268" s="503" t="s">
        <v>1435</v>
      </c>
      <c r="J268" s="504" t="n">
        <v>28900</v>
      </c>
      <c r="K268" s="504" t="n">
        <v>14890</v>
      </c>
      <c r="L268" s="505" t="n">
        <v>13.5</v>
      </c>
      <c r="M268" s="504" t="n">
        <v>14010</v>
      </c>
      <c r="N268" s="504" t="n">
        <v>12118.6</v>
      </c>
      <c r="O268" s="504" t="s">
        <v>417</v>
      </c>
      <c r="P268" s="508" t="n">
        <v>364</v>
      </c>
      <c r="Q268" s="506" t="n">
        <v>45821</v>
      </c>
      <c r="R268" s="507" t="n">
        <v>0.279606481481482</v>
      </c>
    </row>
    <row r="269" customFormat="false" ht="35.05" hidden="false" customHeight="false" outlineLevel="0" collapsed="false">
      <c r="A269" s="503" t="s">
        <v>2691</v>
      </c>
      <c r="B269" s="0" t="n">
        <v>405</v>
      </c>
      <c r="C269" s="503" t="s">
        <v>906</v>
      </c>
      <c r="D269" s="503" t="s">
        <v>899</v>
      </c>
      <c r="E269" s="503" t="s">
        <v>386</v>
      </c>
      <c r="F269" s="503" t="s">
        <v>387</v>
      </c>
      <c r="G269" s="503" t="s">
        <v>901</v>
      </c>
      <c r="H269" s="503" t="s">
        <v>900</v>
      </c>
      <c r="I269" s="503" t="s">
        <v>1435</v>
      </c>
      <c r="J269" s="504" t="n">
        <v>29840</v>
      </c>
      <c r="K269" s="504" t="n">
        <v>23210</v>
      </c>
      <c r="L269" s="505" t="n">
        <v>14.5</v>
      </c>
      <c r="M269" s="504" t="n">
        <v>6630</v>
      </c>
      <c r="N269" s="504" t="n">
        <v>5668.6</v>
      </c>
      <c r="O269" s="504" t="s">
        <v>417</v>
      </c>
      <c r="P269" s="508" t="n">
        <v>365</v>
      </c>
      <c r="Q269" s="506" t="n">
        <v>45820</v>
      </c>
      <c r="R269" s="507" t="n">
        <v>0.32474537037037</v>
      </c>
    </row>
    <row r="270" customFormat="false" ht="35.05" hidden="false" customHeight="false" outlineLevel="0" collapsed="false">
      <c r="A270" s="503" t="s">
        <v>2692</v>
      </c>
      <c r="B270" s="0" t="n">
        <v>410</v>
      </c>
      <c r="C270" s="503" t="n">
        <v>30</v>
      </c>
      <c r="D270" s="503" t="s">
        <v>899</v>
      </c>
      <c r="E270" s="503" t="s">
        <v>427</v>
      </c>
      <c r="F270" s="503" t="s">
        <v>431</v>
      </c>
      <c r="G270" s="503" t="s">
        <v>901</v>
      </c>
      <c r="H270" s="503" t="s">
        <v>904</v>
      </c>
      <c r="I270" s="503" t="s">
        <v>1435</v>
      </c>
      <c r="J270" s="504" t="n">
        <v>36780</v>
      </c>
      <c r="K270" s="504" t="n">
        <v>20960</v>
      </c>
      <c r="L270" s="505" t="n">
        <v>14.8</v>
      </c>
      <c r="M270" s="504" t="n">
        <v>15820</v>
      </c>
      <c r="N270" s="504" t="n">
        <v>13482.7</v>
      </c>
      <c r="O270" s="504" t="s">
        <v>417</v>
      </c>
      <c r="P270" s="508" t="n">
        <v>366</v>
      </c>
      <c r="Q270" s="506" t="n">
        <v>45821</v>
      </c>
      <c r="R270" s="507" t="n">
        <v>0.439224537037037</v>
      </c>
    </row>
    <row r="271" customFormat="false" ht="35.05" hidden="false" customHeight="false" outlineLevel="0" collapsed="false">
      <c r="A271" s="503" t="s">
        <v>2693</v>
      </c>
      <c r="B271" s="509" t="n">
        <v>411</v>
      </c>
      <c r="C271" s="510" t="n">
        <v>31</v>
      </c>
      <c r="D271" s="503" t="s">
        <v>899</v>
      </c>
      <c r="E271" s="503" t="s">
        <v>365</v>
      </c>
      <c r="F271" s="503" t="s">
        <v>373</v>
      </c>
      <c r="G271" s="503" t="s">
        <v>628</v>
      </c>
      <c r="H271" s="503" t="s">
        <v>904</v>
      </c>
      <c r="I271" s="503" t="s">
        <v>1435</v>
      </c>
      <c r="J271" s="504" t="n">
        <v>34890</v>
      </c>
      <c r="K271" s="504" t="n">
        <v>18650</v>
      </c>
      <c r="L271" s="511" t="n">
        <v>9.5</v>
      </c>
      <c r="M271" s="504" t="n">
        <v>16240</v>
      </c>
      <c r="N271" s="504" t="n">
        <v>14697.2</v>
      </c>
      <c r="O271" s="504" t="s">
        <v>417</v>
      </c>
      <c r="P271" s="505" t="n">
        <v>367</v>
      </c>
      <c r="Q271" s="506" t="n">
        <v>45821</v>
      </c>
      <c r="R271" s="507" t="n">
        <v>0.440590277777778</v>
      </c>
    </row>
    <row r="272" customFormat="false" ht="35.05" hidden="false" customHeight="false" outlineLevel="0" collapsed="false">
      <c r="A272" s="503" t="s">
        <v>2694</v>
      </c>
      <c r="B272" s="509" t="n">
        <v>414</v>
      </c>
      <c r="C272" s="510" t="n">
        <v>32</v>
      </c>
      <c r="D272" s="503" t="s">
        <v>899</v>
      </c>
      <c r="E272" s="503" t="s">
        <v>457</v>
      </c>
      <c r="F272" s="503" t="s">
        <v>366</v>
      </c>
      <c r="G272" s="503" t="s">
        <v>628</v>
      </c>
      <c r="H272" s="503" t="s">
        <v>904</v>
      </c>
      <c r="I272" s="503" t="s">
        <v>1435</v>
      </c>
      <c r="J272" s="504" t="n">
        <v>28220</v>
      </c>
      <c r="K272" s="504" t="n">
        <v>14820</v>
      </c>
      <c r="L272" s="511" t="n">
        <v>12.5</v>
      </c>
      <c r="M272" s="504" t="n">
        <v>13400</v>
      </c>
      <c r="N272" s="504" t="n">
        <v>11725</v>
      </c>
      <c r="O272" s="504" t="s">
        <v>417</v>
      </c>
      <c r="P272" s="505" t="n">
        <v>368</v>
      </c>
      <c r="Q272" s="506" t="n">
        <v>45821</v>
      </c>
      <c r="R272" s="507" t="n">
        <v>0.51681712962963</v>
      </c>
    </row>
    <row r="273" customFormat="false" ht="35.05" hidden="false" customHeight="false" outlineLevel="0" collapsed="false">
      <c r="A273" s="503" t="s">
        <v>2695</v>
      </c>
      <c r="B273" s="509" t="n">
        <v>415</v>
      </c>
      <c r="C273" s="510" t="n">
        <v>34</v>
      </c>
      <c r="D273" s="503" t="s">
        <v>899</v>
      </c>
      <c r="E273" s="503" t="s">
        <v>433</v>
      </c>
      <c r="F273" s="503" t="s">
        <v>437</v>
      </c>
      <c r="G273" s="503" t="s">
        <v>628</v>
      </c>
      <c r="H273" s="503" t="s">
        <v>904</v>
      </c>
      <c r="I273" s="503" t="s">
        <v>1435</v>
      </c>
      <c r="J273" s="504" t="n">
        <v>28150</v>
      </c>
      <c r="K273" s="504" t="n">
        <v>14910</v>
      </c>
      <c r="L273" s="511" t="n">
        <v>8.5</v>
      </c>
      <c r="M273" s="504" t="n">
        <v>13240</v>
      </c>
      <c r="N273" s="504" t="n">
        <v>12114.6</v>
      </c>
      <c r="O273" s="504" t="s">
        <v>417</v>
      </c>
      <c r="P273" s="505" t="n">
        <v>369</v>
      </c>
      <c r="Q273" s="506" t="n">
        <v>45821</v>
      </c>
      <c r="R273" s="507" t="n">
        <v>0.53630787037037</v>
      </c>
    </row>
    <row r="274" customFormat="false" ht="35.05" hidden="false" customHeight="false" outlineLevel="0" collapsed="false">
      <c r="A274" s="503" t="s">
        <v>2696</v>
      </c>
      <c r="B274" s="509" t="n">
        <v>418</v>
      </c>
      <c r="C274" s="510" t="n">
        <v>33</v>
      </c>
      <c r="D274" s="503" t="s">
        <v>899</v>
      </c>
      <c r="E274" s="503" t="s">
        <v>439</v>
      </c>
      <c r="F274" s="503" t="s">
        <v>443</v>
      </c>
      <c r="G274" s="503" t="s">
        <v>628</v>
      </c>
      <c r="H274" s="503" t="s">
        <v>904</v>
      </c>
      <c r="I274" s="503" t="s">
        <v>1435</v>
      </c>
      <c r="J274" s="504" t="n">
        <v>37170</v>
      </c>
      <c r="K274" s="504" t="n">
        <v>23840</v>
      </c>
      <c r="L274" s="511" t="n">
        <v>13.5</v>
      </c>
      <c r="M274" s="504" t="n">
        <v>13330</v>
      </c>
      <c r="N274" s="504" t="n">
        <v>11530.4</v>
      </c>
      <c r="O274" s="504" t="s">
        <v>417</v>
      </c>
      <c r="P274" s="505" t="n">
        <v>370</v>
      </c>
      <c r="Q274" s="506" t="n">
        <v>45821</v>
      </c>
      <c r="R274" s="507" t="n">
        <v>0.596365740740741</v>
      </c>
    </row>
    <row r="275" customFormat="false" ht="35.05" hidden="false" customHeight="false" outlineLevel="0" collapsed="false">
      <c r="A275" s="503" t="s">
        <v>2697</v>
      </c>
      <c r="B275" s="509" t="n">
        <v>420</v>
      </c>
      <c r="C275" s="510" t="s">
        <v>906</v>
      </c>
      <c r="D275" s="503" t="s">
        <v>908</v>
      </c>
      <c r="E275" s="503" t="s">
        <v>378</v>
      </c>
      <c r="F275" s="503" t="s">
        <v>379</v>
      </c>
      <c r="G275" s="503" t="n">
        <v>16</v>
      </c>
      <c r="H275" s="503" t="s">
        <v>904</v>
      </c>
      <c r="I275" s="503" t="s">
        <v>1435</v>
      </c>
      <c r="J275" s="504" t="n">
        <v>8910</v>
      </c>
      <c r="K275" s="504" t="n">
        <v>4610</v>
      </c>
      <c r="L275" s="511" t="n">
        <v>27.5</v>
      </c>
      <c r="M275" s="504" t="n">
        <v>4300</v>
      </c>
      <c r="N275" s="504" t="n">
        <v>3117.5</v>
      </c>
      <c r="O275" s="504" t="s">
        <v>417</v>
      </c>
      <c r="P275" s="505" t="n">
        <v>371</v>
      </c>
      <c r="Q275" s="506" t="n">
        <v>45821</v>
      </c>
      <c r="R275" s="507" t="n">
        <v>0.644236111111111</v>
      </c>
    </row>
    <row r="276" customFormat="false" ht="35.05" hidden="false" customHeight="false" outlineLevel="0" collapsed="false">
      <c r="A276" s="503" t="s">
        <v>2698</v>
      </c>
      <c r="B276" s="509" t="n">
        <v>421</v>
      </c>
      <c r="C276" s="510" t="n">
        <v>35</v>
      </c>
      <c r="D276" s="503" t="s">
        <v>899</v>
      </c>
      <c r="E276" s="503" t="s">
        <v>359</v>
      </c>
      <c r="F276" s="503" t="s">
        <v>426</v>
      </c>
      <c r="G276" s="503" t="s">
        <v>628</v>
      </c>
      <c r="H276" s="503" t="s">
        <v>904</v>
      </c>
      <c r="I276" s="503" t="s">
        <v>1435</v>
      </c>
      <c r="J276" s="504" t="n">
        <v>28520</v>
      </c>
      <c r="K276" s="504" t="n">
        <v>13780</v>
      </c>
      <c r="L276" s="511" t="n">
        <v>23.5</v>
      </c>
      <c r="M276" s="504" t="n">
        <v>14740</v>
      </c>
      <c r="N276" s="504" t="n">
        <v>11276.1</v>
      </c>
      <c r="O276" s="504" t="s">
        <v>417</v>
      </c>
      <c r="P276" s="505" t="n">
        <v>372</v>
      </c>
      <c r="Q276" s="506" t="n">
        <v>45821</v>
      </c>
      <c r="R276" s="507" t="n">
        <v>0.645578703703704</v>
      </c>
    </row>
    <row r="277" customFormat="false" ht="35.05" hidden="false" customHeight="false" outlineLevel="0" collapsed="false">
      <c r="A277" s="503" t="s">
        <v>2699</v>
      </c>
      <c r="B277" s="509" t="n">
        <v>422</v>
      </c>
      <c r="C277" s="510" t="s">
        <v>906</v>
      </c>
      <c r="D277" s="503" t="s">
        <v>908</v>
      </c>
      <c r="E277" s="503" t="s">
        <v>374</v>
      </c>
      <c r="F277" s="503" t="s">
        <v>375</v>
      </c>
      <c r="G277" s="503" t="n">
        <v>16</v>
      </c>
      <c r="H277" s="503" t="s">
        <v>904</v>
      </c>
      <c r="I277" s="503" t="s">
        <v>1435</v>
      </c>
      <c r="J277" s="504" t="n">
        <v>8780</v>
      </c>
      <c r="K277" s="504" t="n">
        <v>4590</v>
      </c>
      <c r="L277" s="511" t="n">
        <v>17.5</v>
      </c>
      <c r="M277" s="504" t="n">
        <v>4190</v>
      </c>
      <c r="N277" s="504" t="n">
        <v>3456.7</v>
      </c>
      <c r="O277" s="504" t="s">
        <v>417</v>
      </c>
      <c r="P277" s="505" t="n">
        <v>373</v>
      </c>
      <c r="Q277" s="506" t="n">
        <v>45821</v>
      </c>
      <c r="R277" s="507" t="n">
        <v>0.753842592592593</v>
      </c>
    </row>
    <row r="278" customFormat="false" ht="35.05" hidden="false" customHeight="false" outlineLevel="0" collapsed="false">
      <c r="A278" s="503" t="s">
        <v>2700</v>
      </c>
      <c r="B278" s="509" t="n">
        <v>423</v>
      </c>
      <c r="C278" s="510" t="n">
        <v>36</v>
      </c>
      <c r="D278" s="503" t="s">
        <v>899</v>
      </c>
      <c r="E278" s="503" t="s">
        <v>553</v>
      </c>
      <c r="F278" s="503" t="s">
        <v>557</v>
      </c>
      <c r="G278" s="503" t="s">
        <v>628</v>
      </c>
      <c r="H278" s="503" t="s">
        <v>904</v>
      </c>
      <c r="I278" s="503" t="s">
        <v>1435</v>
      </c>
      <c r="J278" s="504" t="n">
        <v>28660</v>
      </c>
      <c r="K278" s="504" t="n">
        <v>14850</v>
      </c>
      <c r="L278" s="511" t="n">
        <v>20.5</v>
      </c>
      <c r="M278" s="504" t="n">
        <v>13810</v>
      </c>
      <c r="N278" s="504" t="n">
        <v>10978.9</v>
      </c>
      <c r="O278" s="504" t="s">
        <v>417</v>
      </c>
      <c r="P278" s="505" t="n">
        <v>374</v>
      </c>
      <c r="Q278" s="506" t="n">
        <v>45821</v>
      </c>
      <c r="R278" s="507" t="n">
        <v>0.75537037037037</v>
      </c>
    </row>
    <row r="279" customFormat="false" ht="35.05" hidden="false" customHeight="false" outlineLevel="0" collapsed="false">
      <c r="A279" s="503" t="s">
        <v>2701</v>
      </c>
      <c r="B279" s="509" t="n">
        <v>424</v>
      </c>
      <c r="C279" s="510" t="n">
        <v>37</v>
      </c>
      <c r="D279" s="503" t="s">
        <v>899</v>
      </c>
      <c r="E279" s="503" t="s">
        <v>547</v>
      </c>
      <c r="F279" s="503" t="s">
        <v>551</v>
      </c>
      <c r="G279" s="503" t="s">
        <v>901</v>
      </c>
      <c r="H279" s="503" t="s">
        <v>904</v>
      </c>
      <c r="I279" s="503" t="s">
        <v>1435</v>
      </c>
      <c r="J279" s="504" t="n">
        <v>28160</v>
      </c>
      <c r="K279" s="504" t="n">
        <v>14620</v>
      </c>
      <c r="L279" s="511" t="n">
        <v>13.5</v>
      </c>
      <c r="M279" s="504" t="n">
        <v>13540</v>
      </c>
      <c r="N279" s="504" t="n">
        <v>11712.1</v>
      </c>
      <c r="O279" s="504" t="s">
        <v>417</v>
      </c>
      <c r="P279" s="505" t="n">
        <v>375</v>
      </c>
      <c r="Q279" s="506" t="n">
        <v>45821</v>
      </c>
      <c r="R279" s="507" t="n">
        <v>0.767905092592593</v>
      </c>
    </row>
    <row r="280" customFormat="false" ht="35.05" hidden="false" customHeight="false" outlineLevel="0" collapsed="false">
      <c r="A280" s="503" t="s">
        <v>2702</v>
      </c>
      <c r="B280" s="509" t="n">
        <v>426</v>
      </c>
      <c r="C280" s="510" t="s">
        <v>906</v>
      </c>
      <c r="D280" s="503" t="s">
        <v>908</v>
      </c>
      <c r="E280" s="503" t="s">
        <v>378</v>
      </c>
      <c r="F280" s="503" t="s">
        <v>379</v>
      </c>
      <c r="G280" s="503" t="n">
        <v>16</v>
      </c>
      <c r="H280" s="503" t="s">
        <v>904</v>
      </c>
      <c r="I280" s="503" t="s">
        <v>1435</v>
      </c>
      <c r="J280" s="504" t="n">
        <v>9430</v>
      </c>
      <c r="K280" s="504" t="n">
        <v>4590</v>
      </c>
      <c r="L280" s="511" t="n">
        <v>20.5</v>
      </c>
      <c r="M280" s="504" t="n">
        <v>4840</v>
      </c>
      <c r="N280" s="504" t="n">
        <v>3847.8</v>
      </c>
      <c r="O280" s="504" t="s">
        <v>417</v>
      </c>
      <c r="P280" s="505" t="n">
        <v>376</v>
      </c>
      <c r="Q280" s="506" t="n">
        <v>45821</v>
      </c>
      <c r="R280" s="507" t="n">
        <v>0.850300925925926</v>
      </c>
    </row>
    <row r="281" customFormat="false" ht="35.05" hidden="false" customHeight="false" outlineLevel="0" collapsed="false">
      <c r="A281" s="503" t="s">
        <v>2703</v>
      </c>
      <c r="B281" s="509" t="n">
        <v>425</v>
      </c>
      <c r="C281" s="510" t="n">
        <v>38</v>
      </c>
      <c r="D281" s="503" t="s">
        <v>899</v>
      </c>
      <c r="E281" s="503" t="s">
        <v>363</v>
      </c>
      <c r="F281" s="503" t="s">
        <v>364</v>
      </c>
      <c r="G281" s="503" t="s">
        <v>628</v>
      </c>
      <c r="H281" s="503" t="s">
        <v>904</v>
      </c>
      <c r="I281" s="503" t="s">
        <v>1435</v>
      </c>
      <c r="J281" s="504" t="n">
        <v>28330</v>
      </c>
      <c r="K281" s="504" t="n">
        <v>14590</v>
      </c>
      <c r="L281" s="511" t="n">
        <v>10.5</v>
      </c>
      <c r="M281" s="504" t="n">
        <v>13740</v>
      </c>
      <c r="N281" s="504" t="n">
        <v>12297.3</v>
      </c>
      <c r="O281" s="504" t="s">
        <v>417</v>
      </c>
      <c r="P281" s="505" t="n">
        <v>377</v>
      </c>
      <c r="Q281" s="506" t="n">
        <v>45821</v>
      </c>
      <c r="R281" s="507" t="n">
        <v>0.90474537037037</v>
      </c>
    </row>
    <row r="282" customFormat="false" ht="35.05" hidden="false" customHeight="false" outlineLevel="0" collapsed="false">
      <c r="A282" s="503" t="s">
        <v>2704</v>
      </c>
      <c r="B282" s="509" t="n">
        <v>427</v>
      </c>
      <c r="C282" s="510" t="s">
        <v>906</v>
      </c>
      <c r="D282" s="503" t="s">
        <v>908</v>
      </c>
      <c r="E282" s="503" t="s">
        <v>374</v>
      </c>
      <c r="F282" s="503" t="s">
        <v>375</v>
      </c>
      <c r="G282" s="503" t="n">
        <v>16</v>
      </c>
      <c r="H282" s="503" t="s">
        <v>904</v>
      </c>
      <c r="I282" s="503" t="s">
        <v>1435</v>
      </c>
      <c r="J282" s="504" t="n">
        <v>9160</v>
      </c>
      <c r="K282" s="504" t="n">
        <v>4560</v>
      </c>
      <c r="L282" s="511" t="n">
        <v>18.5</v>
      </c>
      <c r="M282" s="504" t="n">
        <v>4600</v>
      </c>
      <c r="N282" s="504" t="n">
        <v>3749</v>
      </c>
      <c r="O282" s="504" t="s">
        <v>417</v>
      </c>
      <c r="P282" s="505" t="n">
        <v>378</v>
      </c>
      <c r="Q282" s="506" t="n">
        <v>45821</v>
      </c>
      <c r="R282" s="507" t="n">
        <v>0.919756944444444</v>
      </c>
    </row>
    <row r="283" customFormat="false" ht="35.05" hidden="false" customHeight="false" outlineLevel="0" collapsed="false">
      <c r="A283" s="503" t="s">
        <v>2705</v>
      </c>
      <c r="B283" s="509" t="n">
        <v>428</v>
      </c>
      <c r="C283" s="510" t="n">
        <v>40</v>
      </c>
      <c r="D283" s="503" t="s">
        <v>899</v>
      </c>
      <c r="E283" s="503" t="s">
        <v>451</v>
      </c>
      <c r="F283" s="503" t="s">
        <v>455</v>
      </c>
      <c r="G283" s="503" t="s">
        <v>628</v>
      </c>
      <c r="H283" s="503" t="s">
        <v>904</v>
      </c>
      <c r="I283" s="503" t="s">
        <v>1435</v>
      </c>
      <c r="J283" s="504" t="n">
        <v>28610</v>
      </c>
      <c r="K283" s="504" t="n">
        <v>14940</v>
      </c>
      <c r="L283" s="511" t="n">
        <v>9</v>
      </c>
      <c r="M283" s="504" t="n">
        <v>13670</v>
      </c>
      <c r="N283" s="504" t="n">
        <v>12439.7</v>
      </c>
      <c r="O283" s="504" t="s">
        <v>746</v>
      </c>
      <c r="P283" s="505" t="n">
        <v>379</v>
      </c>
      <c r="Q283" s="506" t="n">
        <v>45821</v>
      </c>
      <c r="R283" s="507" t="n">
        <v>0.990243055555556</v>
      </c>
    </row>
    <row r="284" customFormat="false" ht="35.05" hidden="false" customHeight="false" outlineLevel="0" collapsed="false">
      <c r="A284" s="503" t="s">
        <v>2706</v>
      </c>
      <c r="B284" s="509" t="n">
        <v>430</v>
      </c>
      <c r="C284" s="510" t="n">
        <v>41</v>
      </c>
      <c r="D284" s="503" t="s">
        <v>899</v>
      </c>
      <c r="E284" s="503" t="s">
        <v>361</v>
      </c>
      <c r="F284" s="503" t="s">
        <v>362</v>
      </c>
      <c r="G284" s="503" t="s">
        <v>628</v>
      </c>
      <c r="H284" s="503" t="s">
        <v>904</v>
      </c>
      <c r="I284" s="503" t="s">
        <v>1435</v>
      </c>
      <c r="J284" s="504" t="n">
        <v>28710</v>
      </c>
      <c r="K284" s="504" t="n">
        <v>14780</v>
      </c>
      <c r="L284" s="511" t="n">
        <v>20</v>
      </c>
      <c r="M284" s="504" t="n">
        <v>13930</v>
      </c>
      <c r="N284" s="504" t="n">
        <v>11144</v>
      </c>
      <c r="O284" s="504" t="s">
        <v>417</v>
      </c>
      <c r="P284" s="505" t="n">
        <v>380</v>
      </c>
      <c r="Q284" s="506" t="n">
        <v>45821</v>
      </c>
      <c r="R284" s="507" t="n">
        <v>0.966168981481481</v>
      </c>
    </row>
    <row r="285" customFormat="false" ht="35.05" hidden="false" customHeight="false" outlineLevel="0" collapsed="false">
      <c r="A285" s="503" t="s">
        <v>2707</v>
      </c>
      <c r="B285" s="509" t="n">
        <v>431</v>
      </c>
      <c r="C285" s="510" t="s">
        <v>906</v>
      </c>
      <c r="D285" s="503" t="s">
        <v>908</v>
      </c>
      <c r="E285" s="503" t="s">
        <v>378</v>
      </c>
      <c r="F285" s="503" t="s">
        <v>379</v>
      </c>
      <c r="G285" s="503" t="n">
        <v>16</v>
      </c>
      <c r="H285" s="503" t="s">
        <v>904</v>
      </c>
      <c r="I285" s="503" t="s">
        <v>1435</v>
      </c>
      <c r="J285" s="504" t="n">
        <v>8810</v>
      </c>
      <c r="K285" s="504" t="n">
        <v>4590</v>
      </c>
      <c r="L285" s="511" t="n">
        <v>20.5</v>
      </c>
      <c r="M285" s="504" t="n">
        <v>4220</v>
      </c>
      <c r="N285" s="504" t="n">
        <v>3354.9</v>
      </c>
      <c r="O285" s="504" t="s">
        <v>417</v>
      </c>
      <c r="P285" s="505" t="n">
        <v>381</v>
      </c>
      <c r="Q285" s="506" t="n">
        <v>45822</v>
      </c>
      <c r="R285" s="507" t="n">
        <v>0.0537268518518519</v>
      </c>
    </row>
    <row r="286" customFormat="false" ht="35.05" hidden="false" customHeight="false" outlineLevel="0" collapsed="false">
      <c r="A286" s="503" t="s">
        <v>2708</v>
      </c>
      <c r="B286" s="509" t="n">
        <v>429</v>
      </c>
      <c r="C286" s="510" t="n">
        <v>39</v>
      </c>
      <c r="D286" s="503" t="s">
        <v>899</v>
      </c>
      <c r="E286" s="503" t="s">
        <v>445</v>
      </c>
      <c r="F286" s="503" t="s">
        <v>449</v>
      </c>
      <c r="G286" s="503" t="s">
        <v>628</v>
      </c>
      <c r="H286" s="503" t="s">
        <v>904</v>
      </c>
      <c r="I286" s="503" t="s">
        <v>1435</v>
      </c>
      <c r="J286" s="504" t="n">
        <v>29140</v>
      </c>
      <c r="K286" s="504" t="n">
        <v>15600</v>
      </c>
      <c r="L286" s="511" t="n">
        <v>9</v>
      </c>
      <c r="M286" s="504" t="n">
        <v>13540</v>
      </c>
      <c r="N286" s="504" t="n">
        <v>12321.4</v>
      </c>
      <c r="O286" s="504" t="s">
        <v>746</v>
      </c>
      <c r="P286" s="505" t="n">
        <v>382</v>
      </c>
      <c r="Q286" s="506" t="n">
        <v>45821</v>
      </c>
      <c r="R286" s="507" t="n">
        <v>0.934155092592593</v>
      </c>
    </row>
    <row r="287" customFormat="false" ht="35.05" hidden="false" customHeight="false" outlineLevel="0" collapsed="false">
      <c r="A287" s="503" t="s">
        <v>2709</v>
      </c>
      <c r="B287" s="509" t="n">
        <v>432</v>
      </c>
      <c r="C287" s="510" t="n">
        <v>42</v>
      </c>
      <c r="D287" s="503" t="s">
        <v>899</v>
      </c>
      <c r="E287" s="503" t="s">
        <v>55</v>
      </c>
      <c r="F287" s="503" t="s">
        <v>56</v>
      </c>
      <c r="G287" s="503" t="s">
        <v>628</v>
      </c>
      <c r="H287" s="503" t="s">
        <v>904</v>
      </c>
      <c r="I287" s="503" t="s">
        <v>1435</v>
      </c>
      <c r="J287" s="504" t="n">
        <v>28150</v>
      </c>
      <c r="K287" s="504" t="n">
        <v>14560</v>
      </c>
      <c r="L287" s="511" t="n">
        <v>17.5</v>
      </c>
      <c r="M287" s="504" t="n">
        <v>13590</v>
      </c>
      <c r="N287" s="504" t="n">
        <v>11211.7</v>
      </c>
      <c r="O287" s="504" t="s">
        <v>417</v>
      </c>
      <c r="P287" s="505" t="n">
        <v>383</v>
      </c>
      <c r="Q287" s="506" t="n">
        <v>45822</v>
      </c>
      <c r="R287" s="507" t="n">
        <v>0.195405092592593</v>
      </c>
    </row>
    <row r="288" customFormat="false" ht="35.05" hidden="false" customHeight="false" outlineLevel="0" collapsed="false">
      <c r="A288" s="503" t="s">
        <v>2710</v>
      </c>
      <c r="B288" s="509" t="n">
        <v>433</v>
      </c>
      <c r="C288" s="510" t="s">
        <v>906</v>
      </c>
      <c r="D288" s="503" t="s">
        <v>899</v>
      </c>
      <c r="E288" s="503" t="s">
        <v>57</v>
      </c>
      <c r="F288" s="503" t="s">
        <v>58</v>
      </c>
      <c r="G288" s="503" t="s">
        <v>907</v>
      </c>
      <c r="H288" s="503" t="s">
        <v>904</v>
      </c>
      <c r="I288" s="503" t="s">
        <v>1435</v>
      </c>
      <c r="J288" s="504" t="n">
        <v>28620</v>
      </c>
      <c r="K288" s="504" t="n">
        <v>15420</v>
      </c>
      <c r="L288" s="511" t="n">
        <v>19.5</v>
      </c>
      <c r="M288" s="504" t="n">
        <v>13200</v>
      </c>
      <c r="N288" s="504" t="n">
        <v>10626</v>
      </c>
      <c r="O288" s="504" t="s">
        <v>417</v>
      </c>
      <c r="P288" s="505" t="n">
        <v>384</v>
      </c>
      <c r="Q288" s="506" t="n">
        <v>45822</v>
      </c>
      <c r="R288" s="507" t="n">
        <v>0.229907407407407</v>
      </c>
    </row>
    <row r="289" customFormat="false" ht="35.05" hidden="false" customHeight="false" outlineLevel="0" collapsed="false">
      <c r="A289" s="503" t="s">
        <v>2711</v>
      </c>
      <c r="B289" s="509" t="n">
        <v>434</v>
      </c>
      <c r="C289" s="510" t="s">
        <v>906</v>
      </c>
      <c r="D289" s="503" t="s">
        <v>899</v>
      </c>
      <c r="E289" s="503" t="s">
        <v>48</v>
      </c>
      <c r="F289" s="503" t="s">
        <v>49</v>
      </c>
      <c r="G289" s="503" t="n">
        <v>43</v>
      </c>
      <c r="H289" s="503" t="s">
        <v>909</v>
      </c>
      <c r="I289" s="503" t="s">
        <v>1435</v>
      </c>
      <c r="J289" s="504" t="n">
        <v>27970</v>
      </c>
      <c r="K289" s="504" t="n">
        <v>14950</v>
      </c>
      <c r="L289" s="511" t="n">
        <v>14.5</v>
      </c>
      <c r="M289" s="504" t="n">
        <v>13020</v>
      </c>
      <c r="N289" s="504" t="n">
        <v>11132.1</v>
      </c>
      <c r="O289" s="504" t="s">
        <v>746</v>
      </c>
      <c r="P289" s="505" t="n">
        <v>385</v>
      </c>
      <c r="Q289" s="506" t="n">
        <v>45822</v>
      </c>
      <c r="R289" s="507" t="n">
        <v>0.249328703703704</v>
      </c>
    </row>
    <row r="290" customFormat="false" ht="35.05" hidden="false" customHeight="false" outlineLevel="0" collapsed="false">
      <c r="A290" s="503" t="s">
        <v>2712</v>
      </c>
      <c r="B290" s="509" t="n">
        <v>440</v>
      </c>
      <c r="C290" s="510" t="s">
        <v>910</v>
      </c>
      <c r="D290" s="503" t="s">
        <v>899</v>
      </c>
      <c r="E290" s="503" t="s">
        <v>427</v>
      </c>
      <c r="F290" s="503" t="s">
        <v>431</v>
      </c>
      <c r="G290" s="503" t="n">
        <v>43</v>
      </c>
      <c r="H290" s="503" t="s">
        <v>909</v>
      </c>
      <c r="I290" s="503" t="s">
        <v>1435</v>
      </c>
      <c r="J290" s="504" t="n">
        <v>27650</v>
      </c>
      <c r="K290" s="504" t="n">
        <v>21060</v>
      </c>
      <c r="L290" s="511" t="n">
        <v>6.5</v>
      </c>
      <c r="M290" s="504" t="n">
        <v>6590</v>
      </c>
      <c r="N290" s="504" t="n">
        <v>6161.6</v>
      </c>
      <c r="O290" s="504" t="s">
        <v>746</v>
      </c>
      <c r="P290" s="505" t="n">
        <v>386</v>
      </c>
      <c r="Q290" s="506" t="n">
        <v>45822</v>
      </c>
      <c r="R290" s="507" t="n">
        <v>0.406886574074074</v>
      </c>
    </row>
    <row r="291" customFormat="false" ht="35.05" hidden="false" customHeight="false" outlineLevel="0" collapsed="false">
      <c r="A291" s="503" t="s">
        <v>2713</v>
      </c>
      <c r="B291" s="509" t="n">
        <v>435</v>
      </c>
      <c r="C291" s="510" t="s">
        <v>906</v>
      </c>
      <c r="D291" s="503" t="s">
        <v>899</v>
      </c>
      <c r="E291" s="503" t="s">
        <v>365</v>
      </c>
      <c r="F291" s="503" t="s">
        <v>373</v>
      </c>
      <c r="G291" s="503" t="n">
        <v>43</v>
      </c>
      <c r="H291" s="503" t="s">
        <v>909</v>
      </c>
      <c r="I291" s="503" t="s">
        <v>1435</v>
      </c>
      <c r="J291" s="504" t="n">
        <v>31950</v>
      </c>
      <c r="K291" s="504" t="n">
        <v>18710</v>
      </c>
      <c r="L291" s="511" t="n">
        <v>9.5</v>
      </c>
      <c r="M291" s="504" t="n">
        <v>13240</v>
      </c>
      <c r="N291" s="504" t="n">
        <v>11982.2</v>
      </c>
      <c r="O291" s="504" t="s">
        <v>746</v>
      </c>
      <c r="P291" s="505" t="n">
        <v>387</v>
      </c>
      <c r="Q291" s="506" t="n">
        <v>45822</v>
      </c>
      <c r="R291" s="507" t="n">
        <v>0.458101851851852</v>
      </c>
    </row>
    <row r="292" customFormat="false" ht="35.05" hidden="false" customHeight="false" outlineLevel="0" collapsed="false">
      <c r="A292" s="503" t="s">
        <v>2714</v>
      </c>
      <c r="B292" s="509" t="n">
        <v>436</v>
      </c>
      <c r="C292" s="510" t="s">
        <v>906</v>
      </c>
      <c r="D292" s="503" t="s">
        <v>899</v>
      </c>
      <c r="E292" s="503" t="s">
        <v>371</v>
      </c>
      <c r="F292" s="503" t="s">
        <v>372</v>
      </c>
      <c r="G292" s="503" t="n">
        <v>43</v>
      </c>
      <c r="H292" s="503" t="s">
        <v>909</v>
      </c>
      <c r="I292" s="503" t="s">
        <v>1435</v>
      </c>
      <c r="J292" s="504" t="n">
        <v>28170</v>
      </c>
      <c r="K292" s="504" t="n">
        <v>14970</v>
      </c>
      <c r="L292" s="511" t="n">
        <v>6.5</v>
      </c>
      <c r="M292" s="504" t="n">
        <v>13200</v>
      </c>
      <c r="N292" s="504" t="n">
        <v>12342</v>
      </c>
      <c r="O292" s="504" t="s">
        <v>746</v>
      </c>
      <c r="P292" s="505" t="n">
        <v>388</v>
      </c>
      <c r="Q292" s="506" t="n">
        <v>45822</v>
      </c>
      <c r="R292" s="507" t="n">
        <v>0.506736111111111</v>
      </c>
    </row>
    <row r="293" customFormat="false" ht="35.05" hidden="false" customHeight="false" outlineLevel="0" collapsed="false">
      <c r="A293" s="503" t="s">
        <v>2715</v>
      </c>
      <c r="B293" s="509" t="n">
        <v>438</v>
      </c>
      <c r="C293" s="510" t="s">
        <v>906</v>
      </c>
      <c r="D293" s="503" t="s">
        <v>899</v>
      </c>
      <c r="E293" s="503" t="s">
        <v>439</v>
      </c>
      <c r="F293" s="503" t="s">
        <v>443</v>
      </c>
      <c r="G293" s="503" t="n">
        <v>43</v>
      </c>
      <c r="H293" s="503" t="s">
        <v>909</v>
      </c>
      <c r="I293" s="503" t="s">
        <v>1435</v>
      </c>
      <c r="J293" s="504" t="n">
        <v>37310</v>
      </c>
      <c r="K293" s="504" t="n">
        <v>24000</v>
      </c>
      <c r="L293" s="511" t="n">
        <v>6.5</v>
      </c>
      <c r="M293" s="504" t="n">
        <v>13310</v>
      </c>
      <c r="N293" s="504" t="n">
        <v>12444.8</v>
      </c>
      <c r="O293" s="504" t="s">
        <v>746</v>
      </c>
      <c r="P293" s="505" t="n">
        <v>389</v>
      </c>
      <c r="Q293" s="506" t="n">
        <v>45822</v>
      </c>
      <c r="R293" s="507" t="n">
        <v>0.515243055555556</v>
      </c>
    </row>
    <row r="294" customFormat="false" ht="35.05" hidden="false" customHeight="false" outlineLevel="0" collapsed="false">
      <c r="A294" s="503" t="s">
        <v>2716</v>
      </c>
      <c r="B294" s="509" t="n">
        <v>437</v>
      </c>
      <c r="C294" s="510" t="s">
        <v>910</v>
      </c>
      <c r="D294" s="503" t="s">
        <v>899</v>
      </c>
      <c r="E294" s="503" t="s">
        <v>427</v>
      </c>
      <c r="F294" s="503" t="s">
        <v>431</v>
      </c>
      <c r="G294" s="503" t="n">
        <v>46</v>
      </c>
      <c r="H294" s="503" t="s">
        <v>904</v>
      </c>
      <c r="I294" s="503" t="s">
        <v>1435</v>
      </c>
      <c r="J294" s="504" t="n">
        <v>34940</v>
      </c>
      <c r="K294" s="504" t="n">
        <v>27670</v>
      </c>
      <c r="L294" s="511" t="n">
        <v>18.5</v>
      </c>
      <c r="M294" s="504" t="n">
        <v>7270</v>
      </c>
      <c r="N294" s="504" t="n">
        <v>5925</v>
      </c>
      <c r="O294" s="504" t="s">
        <v>417</v>
      </c>
      <c r="P294" s="505" t="n">
        <v>390</v>
      </c>
      <c r="Q294" s="506" t="n">
        <v>45822</v>
      </c>
      <c r="R294" s="507" t="n">
        <v>0.324907407407407</v>
      </c>
    </row>
    <row r="295" customFormat="false" ht="35.05" hidden="false" customHeight="false" outlineLevel="0" collapsed="false">
      <c r="A295" s="503" t="s">
        <v>2717</v>
      </c>
      <c r="B295" s="509" t="n">
        <v>441</v>
      </c>
      <c r="C295" s="510" t="s">
        <v>906</v>
      </c>
      <c r="D295" s="503" t="s">
        <v>899</v>
      </c>
      <c r="E295" s="503" t="s">
        <v>433</v>
      </c>
      <c r="F295" s="503" t="s">
        <v>437</v>
      </c>
      <c r="G295" s="503" t="n">
        <v>44</v>
      </c>
      <c r="H295" s="503" t="s">
        <v>909</v>
      </c>
      <c r="I295" s="503" t="s">
        <v>1435</v>
      </c>
      <c r="J295" s="504" t="n">
        <v>28140</v>
      </c>
      <c r="K295" s="504" t="n">
        <v>14940</v>
      </c>
      <c r="L295" s="511" t="n">
        <v>10.5</v>
      </c>
      <c r="M295" s="504" t="n">
        <v>13200</v>
      </c>
      <c r="N295" s="504" t="n">
        <v>11814</v>
      </c>
      <c r="O295" s="504" t="s">
        <v>746</v>
      </c>
      <c r="P295" s="505" t="n">
        <v>391</v>
      </c>
      <c r="Q295" s="506" t="n">
        <v>45822</v>
      </c>
      <c r="R295" s="507" t="n">
        <v>0.480289351851852</v>
      </c>
    </row>
    <row r="296" customFormat="false" ht="35.05" hidden="false" customHeight="false" outlineLevel="0" collapsed="false">
      <c r="A296" s="503" t="s">
        <v>2718</v>
      </c>
      <c r="B296" s="509" t="n">
        <v>443</v>
      </c>
      <c r="C296" s="510" t="s">
        <v>906</v>
      </c>
      <c r="D296" s="503" t="s">
        <v>908</v>
      </c>
      <c r="E296" s="503" t="s">
        <v>374</v>
      </c>
      <c r="F296" s="503" t="s">
        <v>375</v>
      </c>
      <c r="G296" s="503" t="n">
        <v>16</v>
      </c>
      <c r="H296" s="503" t="s">
        <v>904</v>
      </c>
      <c r="I296" s="503" t="s">
        <v>1435</v>
      </c>
      <c r="J296" s="504" t="n">
        <v>9100</v>
      </c>
      <c r="K296" s="504" t="n">
        <v>4590</v>
      </c>
      <c r="L296" s="511" t="n">
        <v>18.5</v>
      </c>
      <c r="M296" s="504" t="n">
        <v>4510</v>
      </c>
      <c r="N296" s="504" t="n">
        <v>3675.6</v>
      </c>
      <c r="O296" s="504" t="s">
        <v>417</v>
      </c>
      <c r="P296" s="505" t="n">
        <v>392</v>
      </c>
      <c r="Q296" s="506" t="n">
        <v>45822</v>
      </c>
      <c r="R296" s="507" t="n">
        <v>0.653981481481482</v>
      </c>
    </row>
    <row r="297" customFormat="false" ht="35.05" hidden="false" customHeight="false" outlineLevel="0" collapsed="false">
      <c r="A297" s="503" t="s">
        <v>2719</v>
      </c>
      <c r="B297" s="509" t="n">
        <v>444</v>
      </c>
      <c r="C297" s="510" t="s">
        <v>906</v>
      </c>
      <c r="D297" s="503" t="s">
        <v>899</v>
      </c>
      <c r="E297" s="503" t="s">
        <v>359</v>
      </c>
      <c r="F297" s="503" t="s">
        <v>426</v>
      </c>
      <c r="G297" s="503" t="n">
        <v>44</v>
      </c>
      <c r="H297" s="503" t="s">
        <v>909</v>
      </c>
      <c r="I297" s="503" t="s">
        <v>1435</v>
      </c>
      <c r="J297" s="504" t="n">
        <v>27130</v>
      </c>
      <c r="K297" s="504" t="n">
        <v>13770</v>
      </c>
      <c r="L297" s="511" t="n">
        <v>12</v>
      </c>
      <c r="M297" s="504" t="n">
        <v>13360</v>
      </c>
      <c r="N297" s="504" t="n">
        <v>11756.8</v>
      </c>
      <c r="O297" s="504" t="s">
        <v>746</v>
      </c>
      <c r="P297" s="505" t="n">
        <v>393</v>
      </c>
      <c r="Q297" s="506" t="n">
        <v>45822</v>
      </c>
      <c r="R297" s="507" t="n">
        <v>0.662766203703704</v>
      </c>
    </row>
    <row r="298" customFormat="false" ht="35.05" hidden="false" customHeight="false" outlineLevel="0" collapsed="false">
      <c r="A298" s="503" t="s">
        <v>2720</v>
      </c>
      <c r="B298" s="509" t="n">
        <v>445</v>
      </c>
      <c r="C298" s="510" t="s">
        <v>906</v>
      </c>
      <c r="D298" s="503" t="s">
        <v>899</v>
      </c>
      <c r="E298" s="503" t="s">
        <v>457</v>
      </c>
      <c r="F298" s="503" t="s">
        <v>366</v>
      </c>
      <c r="G298" s="503" t="n">
        <v>43</v>
      </c>
      <c r="H298" s="503" t="s">
        <v>909</v>
      </c>
      <c r="I298" s="503" t="s">
        <v>1435</v>
      </c>
      <c r="J298" s="504" t="n">
        <v>28050</v>
      </c>
      <c r="K298" s="504" t="n">
        <v>14730</v>
      </c>
      <c r="L298" s="511" t="n">
        <v>11</v>
      </c>
      <c r="M298" s="504" t="n">
        <v>13320</v>
      </c>
      <c r="N298" s="504" t="n">
        <v>11854.8</v>
      </c>
      <c r="O298" s="504" t="s">
        <v>746</v>
      </c>
      <c r="P298" s="505" t="n">
        <v>394</v>
      </c>
      <c r="Q298" s="506" t="n">
        <v>45822</v>
      </c>
      <c r="R298" s="507" t="n">
        <v>0.674340277777778</v>
      </c>
    </row>
    <row r="299" customFormat="false" ht="35.05" hidden="false" customHeight="false" outlineLevel="0" collapsed="false">
      <c r="A299" s="503" t="s">
        <v>2721</v>
      </c>
      <c r="B299" s="509" t="n">
        <v>447</v>
      </c>
      <c r="C299" s="510" t="s">
        <v>906</v>
      </c>
      <c r="D299" s="503" t="s">
        <v>899</v>
      </c>
      <c r="E299" s="503" t="s">
        <v>547</v>
      </c>
      <c r="F299" s="503" t="s">
        <v>551</v>
      </c>
      <c r="G299" s="503" t="n">
        <v>43</v>
      </c>
      <c r="H299" s="503" t="s">
        <v>909</v>
      </c>
      <c r="I299" s="503" t="s">
        <v>1435</v>
      </c>
      <c r="J299" s="504" t="n">
        <v>27780</v>
      </c>
      <c r="K299" s="504" t="n">
        <v>14570</v>
      </c>
      <c r="L299" s="511" t="n">
        <v>9</v>
      </c>
      <c r="M299" s="504" t="n">
        <v>13210</v>
      </c>
      <c r="N299" s="504" t="n">
        <v>12021.1</v>
      </c>
      <c r="O299" s="504" t="s">
        <v>746</v>
      </c>
      <c r="P299" s="505" t="n">
        <v>395</v>
      </c>
      <c r="Q299" s="506" t="n">
        <v>45822</v>
      </c>
      <c r="R299" s="507" t="n">
        <v>0.747650462962963</v>
      </c>
    </row>
    <row r="300" customFormat="false" ht="35.05" hidden="false" customHeight="false" outlineLevel="0" collapsed="false">
      <c r="A300" s="503" t="s">
        <v>2722</v>
      </c>
      <c r="B300" s="509" t="n">
        <v>446</v>
      </c>
      <c r="C300" s="510" t="s">
        <v>906</v>
      </c>
      <c r="D300" s="503" t="s">
        <v>899</v>
      </c>
      <c r="E300" s="503" t="s">
        <v>553</v>
      </c>
      <c r="F300" s="503" t="s">
        <v>557</v>
      </c>
      <c r="G300" s="503" t="n">
        <v>43</v>
      </c>
      <c r="H300" s="503" t="s">
        <v>909</v>
      </c>
      <c r="I300" s="503" t="s">
        <v>1435</v>
      </c>
      <c r="J300" s="504" t="n">
        <v>27970</v>
      </c>
      <c r="K300" s="504" t="n">
        <v>14760</v>
      </c>
      <c r="L300" s="511" t="n">
        <v>11.5</v>
      </c>
      <c r="M300" s="504" t="n">
        <v>13210</v>
      </c>
      <c r="N300" s="504" t="n">
        <v>11690.8</v>
      </c>
      <c r="O300" s="504" t="s">
        <v>417</v>
      </c>
      <c r="P300" s="505" t="n">
        <v>396</v>
      </c>
      <c r="Q300" s="506" t="n">
        <v>45822</v>
      </c>
      <c r="R300" s="507" t="n">
        <v>0.787673611111111</v>
      </c>
    </row>
    <row r="301" customFormat="false" ht="35.05" hidden="false" customHeight="false" outlineLevel="0" collapsed="false">
      <c r="A301" s="503" t="s">
        <v>2723</v>
      </c>
      <c r="B301" s="509" t="n">
        <v>448</v>
      </c>
      <c r="C301" s="510" t="s">
        <v>906</v>
      </c>
      <c r="D301" s="503" t="s">
        <v>899</v>
      </c>
      <c r="E301" s="503" t="s">
        <v>363</v>
      </c>
      <c r="F301" s="503" t="s">
        <v>364</v>
      </c>
      <c r="G301" s="503" t="n">
        <v>43</v>
      </c>
      <c r="H301" s="503" t="s">
        <v>909</v>
      </c>
      <c r="I301" s="503" t="s">
        <v>1435</v>
      </c>
      <c r="J301" s="504" t="n">
        <v>27860</v>
      </c>
      <c r="K301" s="504" t="n">
        <v>14590</v>
      </c>
      <c r="L301" s="511" t="n">
        <v>14.5</v>
      </c>
      <c r="M301" s="504" t="n">
        <v>13270</v>
      </c>
      <c r="N301" s="504" t="n">
        <v>11345.8</v>
      </c>
      <c r="O301" s="504" t="s">
        <v>746</v>
      </c>
      <c r="P301" s="505" t="n">
        <v>397</v>
      </c>
      <c r="Q301" s="506" t="n">
        <v>45822</v>
      </c>
      <c r="R301" s="507" t="n">
        <v>0.885532407407408</v>
      </c>
    </row>
    <row r="302" customFormat="false" ht="35.05" hidden="false" customHeight="false" outlineLevel="0" collapsed="false">
      <c r="A302" s="503" t="s">
        <v>2724</v>
      </c>
      <c r="B302" s="509" t="n">
        <v>449</v>
      </c>
      <c r="C302" s="510" t="s">
        <v>906</v>
      </c>
      <c r="D302" s="503" t="s">
        <v>899</v>
      </c>
      <c r="E302" s="503" t="s">
        <v>361</v>
      </c>
      <c r="F302" s="503" t="s">
        <v>362</v>
      </c>
      <c r="G302" s="503" t="n">
        <v>43</v>
      </c>
      <c r="H302" s="503" t="s">
        <v>909</v>
      </c>
      <c r="I302" s="503" t="s">
        <v>1435</v>
      </c>
      <c r="J302" s="504" t="n">
        <v>28040</v>
      </c>
      <c r="K302" s="504" t="n">
        <v>14690</v>
      </c>
      <c r="L302" s="511" t="n">
        <v>19.5</v>
      </c>
      <c r="M302" s="504" t="n">
        <v>13350</v>
      </c>
      <c r="N302" s="504" t="n">
        <v>10746.7</v>
      </c>
      <c r="O302" s="504" t="s">
        <v>417</v>
      </c>
      <c r="P302" s="505" t="n">
        <v>398</v>
      </c>
      <c r="Q302" s="506" t="n">
        <v>45822</v>
      </c>
      <c r="R302" s="507" t="n">
        <v>0.893402777777778</v>
      </c>
    </row>
    <row r="303" customFormat="false" ht="35.05" hidden="false" customHeight="false" outlineLevel="0" collapsed="false">
      <c r="A303" s="503" t="s">
        <v>2725</v>
      </c>
      <c r="B303" s="509" t="n">
        <v>450</v>
      </c>
      <c r="C303" s="510" t="s">
        <v>906</v>
      </c>
      <c r="D303" s="503" t="s">
        <v>899</v>
      </c>
      <c r="E303" s="503" t="s">
        <v>451</v>
      </c>
      <c r="F303" s="503" t="s">
        <v>455</v>
      </c>
      <c r="G303" s="503" t="n">
        <v>43</v>
      </c>
      <c r="H303" s="503" t="s">
        <v>909</v>
      </c>
      <c r="I303" s="503" t="s">
        <v>1435</v>
      </c>
      <c r="J303" s="504" t="n">
        <v>28180</v>
      </c>
      <c r="K303" s="504" t="n">
        <v>14860</v>
      </c>
      <c r="L303" s="511" t="n">
        <v>11</v>
      </c>
      <c r="M303" s="504" t="n">
        <v>13320</v>
      </c>
      <c r="N303" s="504" t="n">
        <v>11854.8</v>
      </c>
      <c r="O303" s="504" t="s">
        <v>746</v>
      </c>
      <c r="P303" s="505" t="n">
        <v>399</v>
      </c>
      <c r="Q303" s="506" t="n">
        <v>45822</v>
      </c>
      <c r="R303" s="507" t="n">
        <v>0.903634259259259</v>
      </c>
    </row>
    <row r="304" customFormat="false" ht="35.05" hidden="false" customHeight="false" outlineLevel="0" collapsed="false">
      <c r="A304" s="503" t="s">
        <v>2726</v>
      </c>
      <c r="B304" s="509" t="n">
        <v>451</v>
      </c>
      <c r="C304" s="510" t="s">
        <v>906</v>
      </c>
      <c r="D304" s="503" t="s">
        <v>899</v>
      </c>
      <c r="E304" s="503" t="s">
        <v>445</v>
      </c>
      <c r="F304" s="503" t="s">
        <v>449</v>
      </c>
      <c r="G304" s="503" t="n">
        <v>44</v>
      </c>
      <c r="H304" s="503" t="s">
        <v>909</v>
      </c>
      <c r="I304" s="503" t="s">
        <v>1435</v>
      </c>
      <c r="J304" s="504" t="n">
        <v>29070</v>
      </c>
      <c r="K304" s="504" t="n">
        <v>15520</v>
      </c>
      <c r="L304" s="511" t="n">
        <v>10</v>
      </c>
      <c r="M304" s="504" t="n">
        <v>13550</v>
      </c>
      <c r="N304" s="504" t="n">
        <v>12195</v>
      </c>
      <c r="O304" s="504" t="s">
        <v>417</v>
      </c>
      <c r="P304" s="505" t="n">
        <v>400</v>
      </c>
      <c r="Q304" s="506" t="n">
        <v>45822</v>
      </c>
      <c r="R304" s="507" t="n">
        <v>0.973553240740741</v>
      </c>
    </row>
    <row r="305" customFormat="false" ht="35.05" hidden="false" customHeight="false" outlineLevel="0" collapsed="false">
      <c r="A305" s="503" t="s">
        <v>2727</v>
      </c>
      <c r="B305" s="509" t="n">
        <v>452</v>
      </c>
      <c r="C305" s="510" t="s">
        <v>906</v>
      </c>
      <c r="D305" s="503" t="s">
        <v>899</v>
      </c>
      <c r="E305" s="503" t="s">
        <v>395</v>
      </c>
      <c r="F305" s="503" t="s">
        <v>566</v>
      </c>
      <c r="G305" s="503" t="n">
        <v>43</v>
      </c>
      <c r="H305" s="503" t="s">
        <v>909</v>
      </c>
      <c r="I305" s="503" t="s">
        <v>1435</v>
      </c>
      <c r="J305" s="504" t="n">
        <v>27420</v>
      </c>
      <c r="K305" s="504" t="n">
        <v>14420</v>
      </c>
      <c r="L305" s="511" t="n">
        <v>14</v>
      </c>
      <c r="M305" s="504" t="n">
        <v>13000</v>
      </c>
      <c r="N305" s="504" t="n">
        <v>11180</v>
      </c>
      <c r="O305" s="504" t="s">
        <v>746</v>
      </c>
      <c r="P305" s="505" t="n">
        <v>401</v>
      </c>
      <c r="Q305" s="506" t="n">
        <v>45822</v>
      </c>
      <c r="R305" s="507" t="n">
        <v>0.826608796296296</v>
      </c>
    </row>
    <row r="306" customFormat="false" ht="35.05" hidden="false" customHeight="false" outlineLevel="0" collapsed="false">
      <c r="A306" s="503" t="s">
        <v>2728</v>
      </c>
      <c r="B306" s="509" t="n">
        <v>453</v>
      </c>
      <c r="C306" s="510" t="s">
        <v>906</v>
      </c>
      <c r="D306" s="503" t="s">
        <v>899</v>
      </c>
      <c r="E306" s="503" t="s">
        <v>48</v>
      </c>
      <c r="F306" s="503" t="s">
        <v>49</v>
      </c>
      <c r="G306" s="503" t="n">
        <v>44</v>
      </c>
      <c r="H306" s="503" t="s">
        <v>909</v>
      </c>
      <c r="I306" s="503" t="s">
        <v>1435</v>
      </c>
      <c r="J306" s="504" t="n">
        <v>28390</v>
      </c>
      <c r="K306" s="504" t="n">
        <v>14890</v>
      </c>
      <c r="L306" s="511" t="n">
        <v>10</v>
      </c>
      <c r="M306" s="504" t="n">
        <v>13500</v>
      </c>
      <c r="N306" s="504" t="n">
        <v>12150</v>
      </c>
      <c r="O306" s="504" t="s">
        <v>746</v>
      </c>
      <c r="P306" s="505" t="n">
        <v>402</v>
      </c>
      <c r="Q306" s="506" t="n">
        <v>45822</v>
      </c>
      <c r="R306" s="507" t="n">
        <v>0.859282407407407</v>
      </c>
    </row>
    <row r="307" customFormat="false" ht="35.05" hidden="false" customHeight="false" outlineLevel="0" collapsed="false">
      <c r="A307" s="503" t="s">
        <v>2729</v>
      </c>
      <c r="B307" s="509" t="n">
        <v>454</v>
      </c>
      <c r="C307" s="510" t="s">
        <v>906</v>
      </c>
      <c r="D307" s="503" t="s">
        <v>899</v>
      </c>
      <c r="E307" s="503" t="s">
        <v>55</v>
      </c>
      <c r="F307" s="503" t="s">
        <v>56</v>
      </c>
      <c r="G307" s="503" t="n">
        <v>43</v>
      </c>
      <c r="H307" s="503" t="s">
        <v>909</v>
      </c>
      <c r="I307" s="503" t="s">
        <v>1435</v>
      </c>
      <c r="J307" s="504" t="n">
        <v>27550</v>
      </c>
      <c r="K307" s="504" t="n">
        <v>14700</v>
      </c>
      <c r="L307" s="511" t="n">
        <v>9</v>
      </c>
      <c r="M307" s="504" t="n">
        <v>12850</v>
      </c>
      <c r="N307" s="504" t="n">
        <v>11693.5</v>
      </c>
      <c r="O307" s="504" t="s">
        <v>746</v>
      </c>
      <c r="P307" s="505" t="n">
        <v>403</v>
      </c>
      <c r="Q307" s="506" t="n">
        <v>45822</v>
      </c>
      <c r="R307" s="507" t="n">
        <v>0.914016203703704</v>
      </c>
    </row>
    <row r="308" customFormat="false" ht="35.05" hidden="false" customHeight="false" outlineLevel="0" collapsed="false">
      <c r="A308" s="503" t="s">
        <v>2730</v>
      </c>
      <c r="B308" s="509" t="n">
        <v>455</v>
      </c>
      <c r="C308" s="510" t="s">
        <v>906</v>
      </c>
      <c r="D308" s="503" t="s">
        <v>899</v>
      </c>
      <c r="E308" s="503" t="s">
        <v>365</v>
      </c>
      <c r="F308" s="503" t="s">
        <v>373</v>
      </c>
      <c r="G308" s="503" t="n">
        <v>44</v>
      </c>
      <c r="H308" s="503" t="s">
        <v>909</v>
      </c>
      <c r="I308" s="503" t="s">
        <v>1435</v>
      </c>
      <c r="J308" s="504" t="n">
        <v>32500</v>
      </c>
      <c r="K308" s="504" t="n">
        <v>18650</v>
      </c>
      <c r="L308" s="511" t="n">
        <v>10.5</v>
      </c>
      <c r="M308" s="504" t="n">
        <v>13850</v>
      </c>
      <c r="N308" s="504" t="n">
        <v>12395.7</v>
      </c>
      <c r="O308" s="504" t="s">
        <v>746</v>
      </c>
      <c r="P308" s="505" t="n">
        <v>404</v>
      </c>
      <c r="Q308" s="506" t="n">
        <v>45822</v>
      </c>
      <c r="R308" s="507" t="n">
        <v>0.937743055555556</v>
      </c>
    </row>
    <row r="309" customFormat="false" ht="35.05" hidden="false" customHeight="false" outlineLevel="0" collapsed="false">
      <c r="A309" s="503" t="s">
        <v>2731</v>
      </c>
      <c r="B309" s="509" t="n">
        <v>457</v>
      </c>
      <c r="C309" s="510" t="s">
        <v>906</v>
      </c>
      <c r="D309" s="503" t="s">
        <v>899</v>
      </c>
      <c r="E309" s="503" t="s">
        <v>371</v>
      </c>
      <c r="F309" s="503" t="s">
        <v>372</v>
      </c>
      <c r="G309" s="503" t="n">
        <v>44</v>
      </c>
      <c r="H309" s="503" t="s">
        <v>909</v>
      </c>
      <c r="I309" s="503" t="s">
        <v>1435</v>
      </c>
      <c r="J309" s="504" t="n">
        <v>28590</v>
      </c>
      <c r="K309" s="504" t="n">
        <v>14990</v>
      </c>
      <c r="L309" s="511" t="n">
        <v>12.5</v>
      </c>
      <c r="M309" s="504" t="n">
        <v>13600</v>
      </c>
      <c r="N309" s="504" t="n">
        <v>11900</v>
      </c>
      <c r="O309" s="504" t="s">
        <v>746</v>
      </c>
      <c r="P309" s="505" t="n">
        <v>405</v>
      </c>
      <c r="Q309" s="506" t="n">
        <v>45823</v>
      </c>
      <c r="R309" s="507" t="n">
        <v>0.222349537037037</v>
      </c>
    </row>
    <row r="310" customFormat="false" ht="35.05" hidden="false" customHeight="false" outlineLevel="0" collapsed="false">
      <c r="A310" s="503" t="s">
        <v>2732</v>
      </c>
      <c r="B310" s="509" t="n">
        <v>456</v>
      </c>
      <c r="C310" s="510" t="s">
        <v>906</v>
      </c>
      <c r="D310" s="503" t="s">
        <v>899</v>
      </c>
      <c r="E310" s="503" t="s">
        <v>57</v>
      </c>
      <c r="F310" s="503" t="s">
        <v>58</v>
      </c>
      <c r="G310" s="503" t="n">
        <v>43</v>
      </c>
      <c r="H310" s="503" t="s">
        <v>909</v>
      </c>
      <c r="I310" s="503" t="s">
        <v>1435</v>
      </c>
      <c r="J310" s="504" t="n">
        <v>28720</v>
      </c>
      <c r="K310" s="504" t="n">
        <v>15620</v>
      </c>
      <c r="L310" s="511" t="n">
        <v>13.5</v>
      </c>
      <c r="M310" s="504" t="n">
        <v>13100</v>
      </c>
      <c r="N310" s="504" t="n">
        <v>11331.5</v>
      </c>
      <c r="O310" s="504" t="s">
        <v>746</v>
      </c>
      <c r="P310" s="505" t="n">
        <v>406</v>
      </c>
      <c r="Q310" s="506" t="n">
        <v>45822</v>
      </c>
      <c r="R310" s="507" t="n">
        <v>0.992893518518519</v>
      </c>
    </row>
    <row r="311" customFormat="false" ht="35.05" hidden="false" customHeight="false" outlineLevel="0" collapsed="false">
      <c r="A311" s="503" t="s">
        <v>2733</v>
      </c>
      <c r="B311" s="509" t="n">
        <v>458</v>
      </c>
      <c r="C311" s="510" t="s">
        <v>906</v>
      </c>
      <c r="D311" s="503" t="s">
        <v>899</v>
      </c>
      <c r="E311" s="503" t="s">
        <v>511</v>
      </c>
      <c r="F311" s="503" t="s">
        <v>515</v>
      </c>
      <c r="G311" s="503" t="n">
        <v>43</v>
      </c>
      <c r="H311" s="503" t="s">
        <v>909</v>
      </c>
      <c r="I311" s="503" t="s">
        <v>1435</v>
      </c>
      <c r="J311" s="504" t="n">
        <v>27660</v>
      </c>
      <c r="K311" s="504" t="n">
        <v>14660</v>
      </c>
      <c r="L311" s="511" t="n">
        <v>11</v>
      </c>
      <c r="M311" s="504" t="n">
        <v>13000</v>
      </c>
      <c r="N311" s="504" t="n">
        <v>11570</v>
      </c>
      <c r="O311" s="504" t="s">
        <v>746</v>
      </c>
      <c r="P311" s="505" t="n">
        <v>407</v>
      </c>
      <c r="Q311" s="506" t="n">
        <v>45823</v>
      </c>
      <c r="R311" s="507" t="n">
        <v>0.384236111111111</v>
      </c>
    </row>
    <row r="312" customFormat="false" ht="35.05" hidden="false" customHeight="false" outlineLevel="0" collapsed="false">
      <c r="A312" s="503" t="s">
        <v>2734</v>
      </c>
      <c r="B312" s="509" t="n">
        <v>459</v>
      </c>
      <c r="C312" s="510" t="s">
        <v>906</v>
      </c>
      <c r="D312" s="503" t="s">
        <v>899</v>
      </c>
      <c r="E312" s="503" t="s">
        <v>439</v>
      </c>
      <c r="F312" s="503" t="s">
        <v>443</v>
      </c>
      <c r="G312" s="503" t="n">
        <v>44</v>
      </c>
      <c r="H312" s="503" t="s">
        <v>909</v>
      </c>
      <c r="I312" s="503" t="s">
        <v>1435</v>
      </c>
      <c r="J312" s="504" t="n">
        <v>37400</v>
      </c>
      <c r="K312" s="504" t="n">
        <v>23890</v>
      </c>
      <c r="L312" s="511" t="n">
        <v>8.5</v>
      </c>
      <c r="M312" s="504" t="n">
        <v>13510</v>
      </c>
      <c r="N312" s="504" t="n">
        <v>12361.6</v>
      </c>
      <c r="O312" s="504" t="s">
        <v>746</v>
      </c>
      <c r="P312" s="505" t="n">
        <v>408</v>
      </c>
      <c r="Q312" s="506" t="n">
        <v>45823</v>
      </c>
      <c r="R312" s="507" t="n">
        <v>0.556365740740741</v>
      </c>
    </row>
    <row r="313" customFormat="false" ht="35.05" hidden="false" customHeight="false" outlineLevel="0" collapsed="false">
      <c r="A313" s="503" t="s">
        <v>2735</v>
      </c>
      <c r="B313" s="509" t="n">
        <v>460</v>
      </c>
      <c r="C313" s="503" t="s">
        <v>906</v>
      </c>
      <c r="D313" s="503" t="s">
        <v>899</v>
      </c>
      <c r="E313" s="503" t="s">
        <v>433</v>
      </c>
      <c r="F313" s="503" t="s">
        <v>437</v>
      </c>
      <c r="G313" s="503" t="n">
        <v>43</v>
      </c>
      <c r="H313" s="503" t="s">
        <v>909</v>
      </c>
      <c r="I313" s="503" t="s">
        <v>1435</v>
      </c>
      <c r="J313" s="504" t="n">
        <v>28240</v>
      </c>
      <c r="K313" s="504" t="n">
        <v>14940</v>
      </c>
      <c r="L313" s="505" t="n">
        <v>9</v>
      </c>
      <c r="M313" s="504" t="n">
        <v>13300</v>
      </c>
      <c r="N313" s="504" t="n">
        <v>12103</v>
      </c>
      <c r="O313" s="504" t="s">
        <v>746</v>
      </c>
      <c r="P313" s="505" t="n">
        <v>409</v>
      </c>
      <c r="Q313" s="506" t="n">
        <v>45823</v>
      </c>
      <c r="R313" s="507" t="n">
        <v>0.55806712962963</v>
      </c>
    </row>
    <row r="314" customFormat="false" ht="35.05" hidden="false" customHeight="false" outlineLevel="0" collapsed="false">
      <c r="A314" s="503" t="s">
        <v>2736</v>
      </c>
      <c r="B314" s="509" t="n">
        <v>462</v>
      </c>
      <c r="C314" s="503" t="n">
        <v>67</v>
      </c>
      <c r="D314" s="503" t="s">
        <v>899</v>
      </c>
      <c r="E314" s="503" t="s">
        <v>427</v>
      </c>
      <c r="F314" s="503" t="s">
        <v>431</v>
      </c>
      <c r="G314" s="503" t="n">
        <v>44</v>
      </c>
      <c r="H314" s="503" t="s">
        <v>909</v>
      </c>
      <c r="I314" s="503" t="s">
        <v>1435</v>
      </c>
      <c r="J314" s="504" t="n">
        <v>34370</v>
      </c>
      <c r="K314" s="504" t="n">
        <v>20950</v>
      </c>
      <c r="L314" s="505" t="n">
        <v>13</v>
      </c>
      <c r="M314" s="504" t="n">
        <v>13420</v>
      </c>
      <c r="N314" s="512" t="n">
        <v>11675.4</v>
      </c>
      <c r="O314" s="504" t="s">
        <v>746</v>
      </c>
      <c r="P314" s="505" t="n">
        <v>410</v>
      </c>
      <c r="Q314" s="506" t="n">
        <v>45823</v>
      </c>
      <c r="R314" s="507" t="n">
        <v>0.56037037037037</v>
      </c>
    </row>
    <row r="315" customFormat="false" ht="35.05" hidden="false" customHeight="false" outlineLevel="0" collapsed="false">
      <c r="A315" s="503" t="s">
        <v>2737</v>
      </c>
      <c r="B315" s="509" t="n">
        <v>464</v>
      </c>
      <c r="C315" s="503" t="n">
        <v>68</v>
      </c>
      <c r="D315" s="503" t="s">
        <v>899</v>
      </c>
      <c r="E315" s="503" t="s">
        <v>457</v>
      </c>
      <c r="F315" s="503" t="s">
        <v>366</v>
      </c>
      <c r="G315" s="503" t="n">
        <v>45</v>
      </c>
      <c r="H315" s="503" t="s">
        <v>909</v>
      </c>
      <c r="I315" s="503" t="s">
        <v>1435</v>
      </c>
      <c r="J315" s="504" t="n">
        <v>27800</v>
      </c>
      <c r="K315" s="504" t="n">
        <v>14820</v>
      </c>
      <c r="L315" s="505" t="n">
        <v>15</v>
      </c>
      <c r="M315" s="504" t="n">
        <v>12980</v>
      </c>
      <c r="N315" s="512" t="n">
        <v>11033</v>
      </c>
      <c r="O315" s="504" t="s">
        <v>417</v>
      </c>
      <c r="P315" s="505" t="n">
        <v>411</v>
      </c>
      <c r="Q315" s="506" t="n">
        <v>45823</v>
      </c>
      <c r="R315" s="507" t="n">
        <v>0.562430555555556</v>
      </c>
    </row>
    <row r="316" customFormat="false" ht="35.05" hidden="false" customHeight="false" outlineLevel="0" collapsed="false">
      <c r="A316" s="503" t="s">
        <v>2738</v>
      </c>
      <c r="B316" s="509" t="n">
        <v>465</v>
      </c>
      <c r="C316" s="503" t="n">
        <v>69</v>
      </c>
      <c r="D316" s="503" t="s">
        <v>899</v>
      </c>
      <c r="E316" s="503" t="s">
        <v>553</v>
      </c>
      <c r="F316" s="503" t="s">
        <v>557</v>
      </c>
      <c r="G316" s="503" t="n">
        <v>45</v>
      </c>
      <c r="H316" s="503" t="s">
        <v>909</v>
      </c>
      <c r="I316" s="503" t="s">
        <v>1435</v>
      </c>
      <c r="J316" s="504" t="n">
        <v>28260</v>
      </c>
      <c r="K316" s="504" t="n">
        <v>14770</v>
      </c>
      <c r="L316" s="505" t="n">
        <v>14</v>
      </c>
      <c r="M316" s="504" t="n">
        <v>13490</v>
      </c>
      <c r="N316" s="512" t="n">
        <v>11601.4</v>
      </c>
      <c r="O316" s="504" t="s">
        <v>417</v>
      </c>
      <c r="P316" s="505" t="n">
        <v>412</v>
      </c>
      <c r="Q316" s="506" t="n">
        <v>45823</v>
      </c>
      <c r="R316" s="507" t="n">
        <v>0.630787037037037</v>
      </c>
    </row>
    <row r="317" customFormat="false" ht="35.05" hidden="false" customHeight="false" outlineLevel="0" collapsed="false">
      <c r="A317" s="503" t="s">
        <v>2739</v>
      </c>
      <c r="B317" s="509" t="n">
        <v>466</v>
      </c>
      <c r="C317" s="503" t="n">
        <v>70</v>
      </c>
      <c r="D317" s="503" t="s">
        <v>899</v>
      </c>
      <c r="E317" s="503" t="s">
        <v>547</v>
      </c>
      <c r="F317" s="503" t="s">
        <v>551</v>
      </c>
      <c r="G317" s="503" t="n">
        <v>45</v>
      </c>
      <c r="H317" s="503" t="s">
        <v>909</v>
      </c>
      <c r="I317" s="503" t="s">
        <v>1435</v>
      </c>
      <c r="J317" s="504" t="n">
        <v>27760</v>
      </c>
      <c r="K317" s="504" t="n">
        <v>14670</v>
      </c>
      <c r="L317" s="505" t="n">
        <v>18</v>
      </c>
      <c r="M317" s="504" t="n">
        <v>13090</v>
      </c>
      <c r="N317" s="512" t="n">
        <v>10733.8</v>
      </c>
      <c r="O317" s="504" t="s">
        <v>417</v>
      </c>
      <c r="P317" s="505" t="n">
        <v>413</v>
      </c>
      <c r="Q317" s="506" t="n">
        <v>45823</v>
      </c>
      <c r="R317" s="507" t="n">
        <v>0.645972222222222</v>
      </c>
    </row>
    <row r="318" customFormat="false" ht="35.05" hidden="false" customHeight="false" outlineLevel="0" collapsed="false">
      <c r="A318" s="503" t="s">
        <v>2740</v>
      </c>
      <c r="B318" s="509" t="n">
        <v>467</v>
      </c>
      <c r="C318" s="503" t="n">
        <v>71</v>
      </c>
      <c r="D318" s="503" t="s">
        <v>899</v>
      </c>
      <c r="E318" s="503" t="s">
        <v>363</v>
      </c>
      <c r="F318" s="503" t="s">
        <v>364</v>
      </c>
      <c r="G318" s="503" t="n">
        <v>45</v>
      </c>
      <c r="H318" s="503" t="s">
        <v>909</v>
      </c>
      <c r="I318" s="503" t="s">
        <v>1435</v>
      </c>
      <c r="J318" s="504" t="n">
        <v>27960</v>
      </c>
      <c r="K318" s="504" t="n">
        <v>14600</v>
      </c>
      <c r="L318" s="505" t="n">
        <v>17</v>
      </c>
      <c r="M318" s="504" t="n">
        <v>13360</v>
      </c>
      <c r="N318" s="512" t="n">
        <v>11088.8</v>
      </c>
      <c r="O318" s="504" t="s">
        <v>417</v>
      </c>
      <c r="P318" s="505" t="n">
        <v>414</v>
      </c>
      <c r="Q318" s="506" t="n">
        <v>45823</v>
      </c>
      <c r="R318" s="507" t="n">
        <v>0.656354166666667</v>
      </c>
    </row>
    <row r="319" customFormat="false" ht="35.05" hidden="false" customHeight="false" outlineLevel="0" collapsed="false">
      <c r="A319" s="503" t="s">
        <v>2741</v>
      </c>
      <c r="B319" s="509" t="n">
        <v>469</v>
      </c>
      <c r="C319" s="503" t="n">
        <v>73</v>
      </c>
      <c r="D319" s="503" t="s">
        <v>899</v>
      </c>
      <c r="E319" s="503" t="s">
        <v>445</v>
      </c>
      <c r="F319" s="503" t="s">
        <v>449</v>
      </c>
      <c r="G319" s="503" t="n">
        <v>45</v>
      </c>
      <c r="H319" s="503" t="s">
        <v>909</v>
      </c>
      <c r="I319" s="503" t="s">
        <v>1435</v>
      </c>
      <c r="J319" s="504" t="n">
        <v>29200</v>
      </c>
      <c r="K319" s="504" t="n">
        <v>15610</v>
      </c>
      <c r="L319" s="505" t="n">
        <v>8.5</v>
      </c>
      <c r="M319" s="504" t="n">
        <v>13590</v>
      </c>
      <c r="N319" s="512" t="n">
        <v>12434.8</v>
      </c>
      <c r="O319" s="504" t="s">
        <v>417</v>
      </c>
      <c r="P319" s="505" t="n">
        <v>415</v>
      </c>
      <c r="Q319" s="506" t="n">
        <v>45823</v>
      </c>
      <c r="R319" s="507" t="n">
        <v>0.768206018518519</v>
      </c>
    </row>
    <row r="320" customFormat="false" ht="35.05" hidden="false" customHeight="false" outlineLevel="0" collapsed="false">
      <c r="A320" s="503" t="s">
        <v>2742</v>
      </c>
      <c r="B320" s="509" t="n">
        <v>468</v>
      </c>
      <c r="C320" s="503" t="n">
        <v>72</v>
      </c>
      <c r="D320" s="503" t="s">
        <v>899</v>
      </c>
      <c r="E320" s="503" t="s">
        <v>451</v>
      </c>
      <c r="F320" s="503" t="s">
        <v>455</v>
      </c>
      <c r="G320" s="503" t="n">
        <v>45</v>
      </c>
      <c r="H320" s="503" t="s">
        <v>909</v>
      </c>
      <c r="I320" s="503" t="s">
        <v>1435</v>
      </c>
      <c r="J320" s="504" t="n">
        <v>28230</v>
      </c>
      <c r="K320" s="504" t="n">
        <v>14990</v>
      </c>
      <c r="L320" s="505" t="n">
        <v>12.5</v>
      </c>
      <c r="M320" s="504" t="n">
        <v>13240</v>
      </c>
      <c r="N320" s="512" t="n">
        <v>11585</v>
      </c>
      <c r="O320" s="504" t="s">
        <v>417</v>
      </c>
      <c r="P320" s="505" t="n">
        <v>416</v>
      </c>
      <c r="Q320" s="506" t="n">
        <v>45823</v>
      </c>
      <c r="R320" s="507" t="n">
        <v>0.770509259259259</v>
      </c>
    </row>
    <row r="321" customFormat="false" ht="35.05" hidden="false" customHeight="false" outlineLevel="0" collapsed="false">
      <c r="A321" s="503" t="s">
        <v>2743</v>
      </c>
      <c r="B321" s="509" t="n">
        <v>471</v>
      </c>
      <c r="C321" s="503" t="s">
        <v>906</v>
      </c>
      <c r="D321" s="503" t="s">
        <v>899</v>
      </c>
      <c r="E321" s="503" t="s">
        <v>395</v>
      </c>
      <c r="F321" s="503" t="s">
        <v>566</v>
      </c>
      <c r="G321" s="503" t="n">
        <v>45</v>
      </c>
      <c r="H321" s="503" t="s">
        <v>909</v>
      </c>
      <c r="I321" s="503" t="s">
        <v>1435</v>
      </c>
      <c r="J321" s="504" t="n">
        <v>27820</v>
      </c>
      <c r="K321" s="504" t="n">
        <v>14340</v>
      </c>
      <c r="L321" s="505" t="n">
        <v>11</v>
      </c>
      <c r="M321" s="504" t="n">
        <v>13480</v>
      </c>
      <c r="N321" s="512" t="n">
        <v>11997.2</v>
      </c>
      <c r="O321" s="504" t="s">
        <v>746</v>
      </c>
      <c r="P321" s="505" t="n">
        <v>417</v>
      </c>
      <c r="Q321" s="506" t="n">
        <v>45823</v>
      </c>
      <c r="R321" s="507" t="n">
        <v>0.832002314814815</v>
      </c>
    </row>
    <row r="322" customFormat="false" ht="35.05" hidden="false" customHeight="false" outlineLevel="0" collapsed="false">
      <c r="A322" s="503" t="s">
        <v>2744</v>
      </c>
      <c r="B322" s="509" t="n">
        <v>472</v>
      </c>
      <c r="C322" s="503" t="s">
        <v>906</v>
      </c>
      <c r="D322" s="503" t="s">
        <v>899</v>
      </c>
      <c r="E322" s="503" t="s">
        <v>48</v>
      </c>
      <c r="F322" s="503" t="s">
        <v>49</v>
      </c>
      <c r="G322" s="503" t="n">
        <v>44</v>
      </c>
      <c r="H322" s="503" t="s">
        <v>909</v>
      </c>
      <c r="I322" s="503" t="s">
        <v>1435</v>
      </c>
      <c r="J322" s="504" t="n">
        <v>28360</v>
      </c>
      <c r="K322" s="504" t="n">
        <v>21690</v>
      </c>
      <c r="L322" s="505" t="n">
        <v>9</v>
      </c>
      <c r="M322" s="504" t="n">
        <v>6670</v>
      </c>
      <c r="N322" s="512" t="n">
        <v>6069.7</v>
      </c>
      <c r="O322" s="504" t="s">
        <v>746</v>
      </c>
      <c r="P322" s="505" t="n">
        <v>418</v>
      </c>
      <c r="Q322" s="506" t="n">
        <v>45823</v>
      </c>
      <c r="R322" s="507" t="n">
        <v>0.882789351851852</v>
      </c>
    </row>
    <row r="323" customFormat="false" ht="35.05" hidden="false" customHeight="false" outlineLevel="0" collapsed="false">
      <c r="A323" s="503" t="s">
        <v>2745</v>
      </c>
      <c r="B323" s="509" t="n">
        <v>474</v>
      </c>
      <c r="C323" s="503" t="s">
        <v>906</v>
      </c>
      <c r="D323" s="503" t="s">
        <v>899</v>
      </c>
      <c r="E323" s="503" t="s">
        <v>48</v>
      </c>
      <c r="F323" s="503" t="s">
        <v>49</v>
      </c>
      <c r="G323" s="503" t="n">
        <v>45</v>
      </c>
      <c r="H323" s="503" t="s">
        <v>909</v>
      </c>
      <c r="I323" s="503" t="s">
        <v>1435</v>
      </c>
      <c r="J323" s="504" t="n">
        <v>21690</v>
      </c>
      <c r="K323" s="504" t="n">
        <v>14970</v>
      </c>
      <c r="L323" s="505" t="n">
        <v>8.5</v>
      </c>
      <c r="M323" s="504" t="n">
        <v>6720</v>
      </c>
      <c r="N323" s="512" t="n">
        <v>6148.8</v>
      </c>
      <c r="O323" s="504" t="s">
        <v>746</v>
      </c>
      <c r="P323" s="505" t="n">
        <v>419</v>
      </c>
      <c r="Q323" s="506" t="n">
        <v>45823</v>
      </c>
      <c r="R323" s="507" t="n">
        <v>0.891469907407407</v>
      </c>
    </row>
    <row r="324" customFormat="false" ht="35.05" hidden="false" customHeight="false" outlineLevel="0" collapsed="false">
      <c r="A324" s="503" t="s">
        <v>2746</v>
      </c>
      <c r="B324" s="509" t="n">
        <v>473</v>
      </c>
      <c r="C324" s="503" t="s">
        <v>906</v>
      </c>
      <c r="D324" s="503" t="s">
        <v>899</v>
      </c>
      <c r="E324" s="503" t="s">
        <v>511</v>
      </c>
      <c r="F324" s="503" t="s">
        <v>515</v>
      </c>
      <c r="G324" s="503" t="n">
        <v>44</v>
      </c>
      <c r="H324" s="503" t="s">
        <v>909</v>
      </c>
      <c r="I324" s="503" t="s">
        <v>1435</v>
      </c>
      <c r="J324" s="504" t="n">
        <v>28140</v>
      </c>
      <c r="K324" s="504" t="n">
        <v>14690</v>
      </c>
      <c r="L324" s="505" t="n">
        <v>8</v>
      </c>
      <c r="M324" s="504" t="n">
        <v>13450</v>
      </c>
      <c r="N324" s="512" t="n">
        <v>12374</v>
      </c>
      <c r="O324" s="504" t="s">
        <v>746</v>
      </c>
      <c r="P324" s="505" t="n">
        <v>420</v>
      </c>
      <c r="Q324" s="506" t="n">
        <v>45823</v>
      </c>
      <c r="R324" s="507" t="n">
        <v>0.979652777777778</v>
      </c>
    </row>
    <row r="325" customFormat="false" ht="35.05" hidden="false" customHeight="false" outlineLevel="0" collapsed="false">
      <c r="A325" s="503" t="s">
        <v>2747</v>
      </c>
      <c r="B325" s="509" t="n">
        <v>475</v>
      </c>
      <c r="C325" s="503" t="s">
        <v>906</v>
      </c>
      <c r="D325" s="503" t="s">
        <v>899</v>
      </c>
      <c r="E325" s="503" t="s">
        <v>371</v>
      </c>
      <c r="F325" s="503" t="s">
        <v>372</v>
      </c>
      <c r="G325" s="503" t="n">
        <v>44</v>
      </c>
      <c r="H325" s="503" t="s">
        <v>909</v>
      </c>
      <c r="I325" s="503" t="s">
        <v>1435</v>
      </c>
      <c r="J325" s="504" t="n">
        <v>28130</v>
      </c>
      <c r="K325" s="504" t="n">
        <v>15000</v>
      </c>
      <c r="L325" s="505" t="n">
        <v>6.5</v>
      </c>
      <c r="M325" s="504" t="n">
        <v>13130</v>
      </c>
      <c r="N325" s="512" t="n">
        <v>12276.5</v>
      </c>
      <c r="O325" s="504" t="s">
        <v>746</v>
      </c>
      <c r="P325" s="505" t="n">
        <v>421</v>
      </c>
      <c r="Q325" s="506" t="n">
        <v>45823</v>
      </c>
      <c r="R325" s="507" t="n">
        <v>0.898125</v>
      </c>
    </row>
    <row r="326" customFormat="false" ht="35.05" hidden="false" customHeight="false" outlineLevel="0" collapsed="false">
      <c r="A326" s="503" t="s">
        <v>2748</v>
      </c>
      <c r="B326" s="509" t="n">
        <v>476</v>
      </c>
      <c r="C326" s="503" t="s">
        <v>906</v>
      </c>
      <c r="D326" s="503" t="s">
        <v>899</v>
      </c>
      <c r="E326" s="503" t="s">
        <v>55</v>
      </c>
      <c r="F326" s="503" t="s">
        <v>56</v>
      </c>
      <c r="G326" s="503" t="n">
        <v>43</v>
      </c>
      <c r="H326" s="503" t="s">
        <v>909</v>
      </c>
      <c r="I326" s="503" t="s">
        <v>1435</v>
      </c>
      <c r="J326" s="504" t="n">
        <v>27790</v>
      </c>
      <c r="K326" s="504" t="n">
        <v>14620</v>
      </c>
      <c r="L326" s="505" t="n">
        <v>7.5</v>
      </c>
      <c r="M326" s="504" t="n">
        <v>13170</v>
      </c>
      <c r="N326" s="512" t="n">
        <v>12182.2</v>
      </c>
      <c r="O326" s="504" t="s">
        <v>746</v>
      </c>
      <c r="P326" s="505" t="n">
        <v>422</v>
      </c>
      <c r="Q326" s="506" t="n">
        <v>45823</v>
      </c>
      <c r="R326" s="507" t="n">
        <v>0.911435185185185</v>
      </c>
    </row>
    <row r="327" customFormat="false" ht="35.05" hidden="false" customHeight="false" outlineLevel="0" collapsed="false">
      <c r="A327" s="503" t="s">
        <v>2749</v>
      </c>
      <c r="B327" s="509" t="n">
        <v>477</v>
      </c>
      <c r="C327" s="503" t="s">
        <v>906</v>
      </c>
      <c r="D327" s="503" t="s">
        <v>899</v>
      </c>
      <c r="E327" s="503" t="s">
        <v>57</v>
      </c>
      <c r="F327" s="503" t="s">
        <v>58</v>
      </c>
      <c r="G327" s="503" t="n">
        <v>43</v>
      </c>
      <c r="H327" s="503" t="s">
        <v>909</v>
      </c>
      <c r="I327" s="503" t="s">
        <v>1435</v>
      </c>
      <c r="J327" s="504" t="n">
        <v>28530</v>
      </c>
      <c r="K327" s="504" t="n">
        <v>15580</v>
      </c>
      <c r="L327" s="505" t="n">
        <v>9</v>
      </c>
      <c r="M327" s="504" t="n">
        <v>12950</v>
      </c>
      <c r="N327" s="512" t="n">
        <v>11784.5</v>
      </c>
      <c r="O327" s="504" t="s">
        <v>746</v>
      </c>
      <c r="P327" s="505" t="n">
        <v>423</v>
      </c>
      <c r="Q327" s="506" t="n">
        <v>45823</v>
      </c>
      <c r="R327" s="507" t="n">
        <v>0.949479166666667</v>
      </c>
    </row>
    <row r="328" customFormat="false" ht="35.05" hidden="false" customHeight="false" outlineLevel="0" collapsed="false">
      <c r="A328" s="503" t="s">
        <v>2750</v>
      </c>
      <c r="B328" s="509" t="n">
        <v>478</v>
      </c>
      <c r="C328" s="503" t="s">
        <v>906</v>
      </c>
      <c r="D328" s="503" t="s">
        <v>899</v>
      </c>
      <c r="E328" s="503" t="s">
        <v>382</v>
      </c>
      <c r="F328" s="503" t="s">
        <v>383</v>
      </c>
      <c r="G328" s="503" t="n">
        <v>43</v>
      </c>
      <c r="H328" s="503" t="s">
        <v>909</v>
      </c>
      <c r="I328" s="503" t="s">
        <v>1435</v>
      </c>
      <c r="J328" s="504" t="n">
        <v>28040</v>
      </c>
      <c r="K328" s="504" t="n">
        <v>14890</v>
      </c>
      <c r="L328" s="505" t="n">
        <v>7</v>
      </c>
      <c r="M328" s="504" t="n">
        <v>13150</v>
      </c>
      <c r="N328" s="512" t="n">
        <v>12229.5</v>
      </c>
      <c r="O328" s="504" t="s">
        <v>746</v>
      </c>
      <c r="P328" s="505" t="n">
        <v>424</v>
      </c>
      <c r="Q328" s="506" t="n">
        <v>45823</v>
      </c>
      <c r="R328" s="507" t="n">
        <v>0.986122685185185</v>
      </c>
    </row>
    <row r="329" customFormat="false" ht="35.05" hidden="false" customHeight="false" outlineLevel="0" collapsed="false">
      <c r="A329" s="503" t="s">
        <v>2751</v>
      </c>
      <c r="B329" s="509" t="n">
        <v>481</v>
      </c>
      <c r="C329" s="503" t="s">
        <v>906</v>
      </c>
      <c r="D329" s="503" t="s">
        <v>899</v>
      </c>
      <c r="E329" s="503" t="s">
        <v>457</v>
      </c>
      <c r="F329" s="503" t="s">
        <v>366</v>
      </c>
      <c r="G329" s="503" t="n">
        <v>43</v>
      </c>
      <c r="H329" s="503" t="s">
        <v>909</v>
      </c>
      <c r="I329" s="503" t="s">
        <v>1435</v>
      </c>
      <c r="J329" s="504" t="n">
        <v>27690</v>
      </c>
      <c r="K329" s="504" t="n">
        <v>14700</v>
      </c>
      <c r="L329" s="505" t="n">
        <v>9.5</v>
      </c>
      <c r="M329" s="504" t="n">
        <v>12990</v>
      </c>
      <c r="N329" s="512" t="n">
        <v>11755.9</v>
      </c>
      <c r="O329" s="504" t="s">
        <v>746</v>
      </c>
      <c r="P329" s="505" t="n">
        <v>425</v>
      </c>
      <c r="Q329" s="506" t="n">
        <v>45824</v>
      </c>
      <c r="R329" s="507" t="n">
        <v>0.23125</v>
      </c>
    </row>
    <row r="330" customFormat="false" ht="35.05" hidden="false" customHeight="false" outlineLevel="0" collapsed="false">
      <c r="A330" s="503" t="s">
        <v>2752</v>
      </c>
      <c r="B330" s="509" t="n">
        <v>479</v>
      </c>
      <c r="C330" s="503" t="s">
        <v>906</v>
      </c>
      <c r="D330" s="503" t="s">
        <v>899</v>
      </c>
      <c r="E330" s="503" t="s">
        <v>384</v>
      </c>
      <c r="F330" s="503" t="s">
        <v>385</v>
      </c>
      <c r="G330" s="503" t="n">
        <v>43</v>
      </c>
      <c r="H330" s="503" t="s">
        <v>909</v>
      </c>
      <c r="I330" s="503" t="s">
        <v>1435</v>
      </c>
      <c r="J330" s="504" t="n">
        <v>27340</v>
      </c>
      <c r="K330" s="504" t="n">
        <v>14430</v>
      </c>
      <c r="L330" s="505" t="n">
        <v>9.5</v>
      </c>
      <c r="M330" s="504" t="n">
        <v>12910</v>
      </c>
      <c r="N330" s="512" t="n">
        <v>11683.5</v>
      </c>
      <c r="O330" s="504" t="s">
        <v>746</v>
      </c>
      <c r="P330" s="505" t="n">
        <v>426</v>
      </c>
      <c r="Q330" s="506" t="n">
        <v>45824</v>
      </c>
      <c r="R330" s="507" t="n">
        <v>0.268611111111111</v>
      </c>
    </row>
    <row r="331" customFormat="false" ht="35.05" hidden="false" customHeight="false" outlineLevel="0" collapsed="false">
      <c r="A331" s="503" t="s">
        <v>2753</v>
      </c>
      <c r="B331" s="509" t="n">
        <v>480</v>
      </c>
      <c r="C331" s="503" t="s">
        <v>906</v>
      </c>
      <c r="D331" s="503" t="s">
        <v>899</v>
      </c>
      <c r="E331" s="503" t="s">
        <v>433</v>
      </c>
      <c r="F331" s="503" t="s">
        <v>437</v>
      </c>
      <c r="G331" s="503" t="n">
        <v>43</v>
      </c>
      <c r="H331" s="503" t="s">
        <v>909</v>
      </c>
      <c r="I331" s="503" t="s">
        <v>1435</v>
      </c>
      <c r="J331" s="504" t="n">
        <v>28260</v>
      </c>
      <c r="K331" s="504" t="n">
        <v>14930</v>
      </c>
      <c r="L331" s="505" t="n">
        <v>8.5</v>
      </c>
      <c r="M331" s="504" t="n">
        <v>13330</v>
      </c>
      <c r="N331" s="512" t="n">
        <v>12196.9</v>
      </c>
      <c r="O331" s="504" t="s">
        <v>886</v>
      </c>
      <c r="P331" s="505" t="n">
        <v>427</v>
      </c>
      <c r="Q331" s="506" t="n">
        <v>45824</v>
      </c>
      <c r="R331" s="507" t="n">
        <v>0.32556712962963</v>
      </c>
    </row>
    <row r="332" customFormat="false" ht="35.05" hidden="false" customHeight="false" outlineLevel="0" collapsed="false">
      <c r="A332" s="503" t="s">
        <v>2754</v>
      </c>
      <c r="B332" s="0" t="n">
        <v>482</v>
      </c>
      <c r="C332" s="503" t="s">
        <v>906</v>
      </c>
      <c r="D332" s="503" t="s">
        <v>899</v>
      </c>
      <c r="E332" s="503" t="s">
        <v>365</v>
      </c>
      <c r="F332" s="503" t="s">
        <v>373</v>
      </c>
      <c r="G332" s="503" t="n">
        <v>43</v>
      </c>
      <c r="H332" s="503" t="s">
        <v>909</v>
      </c>
      <c r="I332" s="503" t="s">
        <v>1435</v>
      </c>
      <c r="J332" s="504" t="n">
        <v>31920</v>
      </c>
      <c r="K332" s="504" t="n">
        <v>18800</v>
      </c>
      <c r="L332" s="505" t="n">
        <v>5.5</v>
      </c>
      <c r="M332" s="504" t="n">
        <v>13120</v>
      </c>
      <c r="N332" s="512" t="n">
        <v>12398.4</v>
      </c>
      <c r="O332" s="504" t="s">
        <v>886</v>
      </c>
      <c r="P332" s="505" t="n">
        <v>428</v>
      </c>
      <c r="Q332" s="506" t="n">
        <v>45824</v>
      </c>
      <c r="R332" s="507" t="n">
        <v>0.397986111111111</v>
      </c>
    </row>
    <row r="333" customFormat="false" ht="35.05" hidden="false" customHeight="false" outlineLevel="0" collapsed="false">
      <c r="A333" s="503" t="s">
        <v>2755</v>
      </c>
      <c r="B333" s="0" t="n">
        <v>483</v>
      </c>
      <c r="C333" s="503" t="s">
        <v>906</v>
      </c>
      <c r="D333" s="503" t="s">
        <v>899</v>
      </c>
      <c r="E333" s="503" t="s">
        <v>439</v>
      </c>
      <c r="F333" s="503" t="s">
        <v>443</v>
      </c>
      <c r="G333" s="503" t="n">
        <v>43</v>
      </c>
      <c r="H333" s="503" t="s">
        <v>909</v>
      </c>
      <c r="I333" s="503" t="s">
        <v>1435</v>
      </c>
      <c r="J333" s="504" t="n">
        <v>37340</v>
      </c>
      <c r="K333" s="504" t="n">
        <v>24030</v>
      </c>
      <c r="L333" s="505" t="n">
        <v>8</v>
      </c>
      <c r="M333" s="504" t="n">
        <v>13310</v>
      </c>
      <c r="N333" s="512" t="n">
        <v>12245.2</v>
      </c>
      <c r="O333" s="504" t="s">
        <v>886</v>
      </c>
      <c r="P333" s="505" t="n">
        <v>429</v>
      </c>
      <c r="Q333" s="506" t="n">
        <v>45824</v>
      </c>
      <c r="R333" s="507" t="n">
        <v>0.482835648148148</v>
      </c>
    </row>
    <row r="334" customFormat="false" ht="35.05" hidden="false" customHeight="false" outlineLevel="0" collapsed="false">
      <c r="A334" s="503" t="s">
        <v>2756</v>
      </c>
      <c r="B334" s="0" t="n">
        <v>484</v>
      </c>
      <c r="C334" s="503" t="s">
        <v>906</v>
      </c>
      <c r="D334" s="503" t="s">
        <v>899</v>
      </c>
      <c r="E334" s="503" t="s">
        <v>361</v>
      </c>
      <c r="F334" s="503" t="s">
        <v>362</v>
      </c>
      <c r="G334" s="503" t="s">
        <v>133</v>
      </c>
      <c r="H334" s="503" t="s">
        <v>909</v>
      </c>
      <c r="I334" s="503" t="s">
        <v>1435</v>
      </c>
      <c r="J334" s="504" t="n">
        <v>28270</v>
      </c>
      <c r="K334" s="504" t="n">
        <v>21420</v>
      </c>
      <c r="L334" s="505" t="n">
        <v>10.5</v>
      </c>
      <c r="M334" s="504" t="n">
        <v>6850</v>
      </c>
      <c r="N334" s="512" t="n">
        <v>6130.7</v>
      </c>
      <c r="O334" s="504" t="s">
        <v>746</v>
      </c>
      <c r="P334" s="505" t="n">
        <v>430</v>
      </c>
      <c r="Q334" s="506" t="n">
        <v>45824</v>
      </c>
      <c r="R334" s="507" t="n">
        <v>0.542222222222222</v>
      </c>
    </row>
    <row r="335" customFormat="false" ht="35.05" hidden="false" customHeight="false" outlineLevel="0" collapsed="false">
      <c r="A335" s="503" t="s">
        <v>2757</v>
      </c>
      <c r="B335" s="503" t="n">
        <v>491</v>
      </c>
      <c r="C335" s="503" t="s">
        <v>906</v>
      </c>
      <c r="D335" s="503" t="s">
        <v>899</v>
      </c>
      <c r="E335" s="503" t="s">
        <v>361</v>
      </c>
      <c r="F335" s="503" t="s">
        <v>362</v>
      </c>
      <c r="G335" s="503" t="n">
        <v>43</v>
      </c>
      <c r="H335" s="503" t="s">
        <v>909</v>
      </c>
      <c r="I335" s="504" t="s">
        <v>1435</v>
      </c>
      <c r="J335" s="504" t="n">
        <v>21420</v>
      </c>
      <c r="K335" s="505" t="n">
        <v>14770</v>
      </c>
      <c r="L335" s="504" t="n">
        <v>14.5</v>
      </c>
      <c r="M335" s="504" t="n">
        <v>6650</v>
      </c>
      <c r="N335" s="512" t="n">
        <v>5685.7</v>
      </c>
      <c r="O335" s="504" t="s">
        <v>746</v>
      </c>
      <c r="P335" s="120" t="n">
        <v>431</v>
      </c>
      <c r="Q335" s="506" t="n">
        <v>45824</v>
      </c>
      <c r="R335" s="507" t="n">
        <v>0.572615740740741</v>
      </c>
    </row>
    <row r="336" customFormat="false" ht="35.05" hidden="false" customHeight="false" outlineLevel="0" collapsed="false">
      <c r="A336" s="503" t="s">
        <v>2758</v>
      </c>
      <c r="B336" s="0" t="n">
        <v>487</v>
      </c>
      <c r="C336" s="503" t="s">
        <v>906</v>
      </c>
      <c r="D336" s="503" t="s">
        <v>908</v>
      </c>
      <c r="E336" s="503" t="s">
        <v>374</v>
      </c>
      <c r="F336" s="503" t="s">
        <v>375</v>
      </c>
      <c r="G336" s="503" t="n">
        <v>15</v>
      </c>
      <c r="H336" s="503" t="s">
        <v>904</v>
      </c>
      <c r="I336" s="503" t="s">
        <v>1435</v>
      </c>
      <c r="J336" s="504" t="n">
        <v>6630</v>
      </c>
      <c r="K336" s="504" t="n">
        <v>4560</v>
      </c>
      <c r="L336" s="505" t="n">
        <v>14.5</v>
      </c>
      <c r="M336" s="504" t="n">
        <v>2070</v>
      </c>
      <c r="N336" s="512" t="n">
        <v>1769.8</v>
      </c>
      <c r="O336" s="504" t="s">
        <v>417</v>
      </c>
      <c r="P336" s="505" t="n">
        <v>432</v>
      </c>
      <c r="Q336" s="506" t="n">
        <v>45824</v>
      </c>
      <c r="R336" s="507" t="n">
        <v>0.584895833333333</v>
      </c>
    </row>
    <row r="337" customFormat="false" ht="35.05" hidden="false" customHeight="false" outlineLevel="0" collapsed="false">
      <c r="A337" s="503" t="s">
        <v>2759</v>
      </c>
      <c r="B337" s="509" t="n">
        <v>489</v>
      </c>
      <c r="C337" s="510" t="n">
        <v>87</v>
      </c>
      <c r="D337" s="503" t="s">
        <v>899</v>
      </c>
      <c r="E337" s="503" t="s">
        <v>553</v>
      </c>
      <c r="F337" s="503" t="s">
        <v>557</v>
      </c>
      <c r="G337" s="503" t="n">
        <v>44</v>
      </c>
      <c r="H337" s="503" t="s">
        <v>909</v>
      </c>
      <c r="I337" s="503" t="s">
        <v>1435</v>
      </c>
      <c r="J337" s="504" t="n">
        <v>27820</v>
      </c>
      <c r="K337" s="504" t="n">
        <v>21170</v>
      </c>
      <c r="L337" s="511" t="n">
        <v>12.5</v>
      </c>
      <c r="M337" s="504" t="n">
        <v>6650</v>
      </c>
      <c r="N337" s="512" t="n">
        <v>5818.7</v>
      </c>
      <c r="O337" s="504" t="s">
        <v>746</v>
      </c>
      <c r="P337" s="505" t="n">
        <v>434</v>
      </c>
      <c r="Q337" s="506" t="n">
        <v>45824</v>
      </c>
      <c r="R337" s="507" t="n">
        <v>0.775555555555556</v>
      </c>
    </row>
    <row r="338" customFormat="false" ht="35.05" hidden="false" customHeight="false" outlineLevel="0" collapsed="false">
      <c r="A338" s="503" t="s">
        <v>2760</v>
      </c>
      <c r="B338" s="509" t="n">
        <v>490</v>
      </c>
      <c r="C338" s="513" t="n">
        <v>47</v>
      </c>
      <c r="D338" s="503" t="s">
        <v>899</v>
      </c>
      <c r="E338" s="503" t="s">
        <v>547</v>
      </c>
      <c r="F338" s="503" t="s">
        <v>551</v>
      </c>
      <c r="G338" s="503" t="n">
        <v>44</v>
      </c>
      <c r="H338" s="503" t="s">
        <v>909</v>
      </c>
      <c r="I338" s="503" t="s">
        <v>1435</v>
      </c>
      <c r="J338" s="504" t="n">
        <v>27950</v>
      </c>
      <c r="K338" s="504" t="n">
        <v>14670</v>
      </c>
      <c r="L338" s="511" t="n">
        <v>10.5</v>
      </c>
      <c r="M338" s="504" t="n">
        <v>13280</v>
      </c>
      <c r="N338" s="512" t="n">
        <v>11885.6</v>
      </c>
      <c r="O338" s="504" t="s">
        <v>746</v>
      </c>
      <c r="P338" s="505" t="n">
        <v>435</v>
      </c>
      <c r="Q338" s="506" t="n">
        <v>45824</v>
      </c>
      <c r="R338" s="507" t="n">
        <v>0.777141203703704</v>
      </c>
    </row>
    <row r="339" customFormat="false" ht="35.05" hidden="false" customHeight="false" outlineLevel="0" collapsed="false">
      <c r="A339" s="503" t="s">
        <v>2761</v>
      </c>
      <c r="B339" s="509" t="n">
        <v>497</v>
      </c>
      <c r="C339" s="510" t="s">
        <v>906</v>
      </c>
      <c r="D339" s="503" t="s">
        <v>908</v>
      </c>
      <c r="E339" s="503" t="s">
        <v>371</v>
      </c>
      <c r="F339" s="503" t="s">
        <v>372</v>
      </c>
      <c r="G339" s="503" t="n">
        <v>16</v>
      </c>
      <c r="H339" s="503" t="s">
        <v>904</v>
      </c>
      <c r="I339" s="503" t="s">
        <v>1435</v>
      </c>
      <c r="J339" s="504" t="n">
        <v>16710</v>
      </c>
      <c r="K339" s="504" t="n">
        <v>9700</v>
      </c>
      <c r="L339" s="511" t="n">
        <v>19.5</v>
      </c>
      <c r="M339" s="504" t="n">
        <v>7010</v>
      </c>
      <c r="N339" s="512" t="n">
        <v>5643</v>
      </c>
      <c r="O339" s="504" t="s">
        <v>417</v>
      </c>
      <c r="P339" s="505" t="n">
        <v>436</v>
      </c>
      <c r="Q339" s="506" t="n">
        <v>45824</v>
      </c>
      <c r="R339" s="507" t="n">
        <v>0.894837962962963</v>
      </c>
    </row>
    <row r="340" customFormat="false" ht="35.05" hidden="false" customHeight="false" outlineLevel="0" collapsed="false">
      <c r="A340" s="503" t="s">
        <v>2762</v>
      </c>
      <c r="B340" s="509" t="n">
        <v>503</v>
      </c>
      <c r="C340" s="510" t="n">
        <v>95</v>
      </c>
      <c r="D340" s="503" t="s">
        <v>899</v>
      </c>
      <c r="E340" s="503" t="s">
        <v>57</v>
      </c>
      <c r="F340" s="503" t="s">
        <v>58</v>
      </c>
      <c r="G340" s="503" t="n">
        <v>46</v>
      </c>
      <c r="H340" s="503" t="s">
        <v>904</v>
      </c>
      <c r="I340" s="503" t="s">
        <v>1435</v>
      </c>
      <c r="J340" s="504" t="n">
        <v>29220</v>
      </c>
      <c r="K340" s="504" t="n">
        <v>15490</v>
      </c>
      <c r="L340" s="511" t="n">
        <v>15.5</v>
      </c>
      <c r="M340" s="504" t="n">
        <v>13730</v>
      </c>
      <c r="N340" s="512" t="n">
        <v>11601.8</v>
      </c>
      <c r="O340" s="504" t="s">
        <v>417</v>
      </c>
      <c r="P340" s="505" t="n">
        <v>437</v>
      </c>
      <c r="Q340" s="506" t="n">
        <v>45825</v>
      </c>
      <c r="R340" s="507" t="n">
        <v>0.125671296296296</v>
      </c>
    </row>
    <row r="341" customFormat="false" ht="35.05" hidden="false" customHeight="false" outlineLevel="0" collapsed="false">
      <c r="A341" s="503" t="s">
        <v>2763</v>
      </c>
      <c r="B341" s="509" t="n">
        <v>505</v>
      </c>
      <c r="C341" s="510" t="s">
        <v>906</v>
      </c>
      <c r="D341" s="503" t="s">
        <v>908</v>
      </c>
      <c r="E341" s="503" t="s">
        <v>378</v>
      </c>
      <c r="F341" s="503" t="s">
        <v>379</v>
      </c>
      <c r="G341" s="503" t="n">
        <v>16</v>
      </c>
      <c r="H341" s="503" t="s">
        <v>904</v>
      </c>
      <c r="I341" s="503" t="s">
        <v>1435</v>
      </c>
      <c r="J341" s="504" t="n">
        <v>9640</v>
      </c>
      <c r="K341" s="504" t="n">
        <v>4650</v>
      </c>
      <c r="L341" s="511" t="n">
        <v>8.5</v>
      </c>
      <c r="M341" s="504" t="n">
        <v>4990</v>
      </c>
      <c r="N341" s="512" t="n">
        <v>4565.8</v>
      </c>
      <c r="O341" s="504" t="s">
        <v>417</v>
      </c>
      <c r="P341" s="505" t="n">
        <v>438</v>
      </c>
      <c r="Q341" s="506" t="n">
        <v>45825</v>
      </c>
      <c r="R341" s="507" t="n">
        <v>0.637592592592593</v>
      </c>
    </row>
    <row r="342" customFormat="false" ht="35.05" hidden="false" customHeight="false" outlineLevel="0" collapsed="false">
      <c r="A342" s="503" t="s">
        <v>2764</v>
      </c>
      <c r="B342" s="509" t="n">
        <v>506</v>
      </c>
      <c r="C342" s="510" t="s">
        <v>906</v>
      </c>
      <c r="D342" s="503" t="s">
        <v>899</v>
      </c>
      <c r="E342" s="503" t="s">
        <v>359</v>
      </c>
      <c r="F342" s="503" t="s">
        <v>426</v>
      </c>
      <c r="G342" s="503" t="n">
        <v>46</v>
      </c>
      <c r="H342" s="503" t="s">
        <v>904</v>
      </c>
      <c r="I342" s="503" t="s">
        <v>1435</v>
      </c>
      <c r="J342" s="504" t="n">
        <v>27130</v>
      </c>
      <c r="K342" s="504" t="n">
        <v>13820</v>
      </c>
      <c r="L342" s="511" t="n">
        <v>21</v>
      </c>
      <c r="M342" s="504" t="n">
        <v>13310</v>
      </c>
      <c r="N342" s="512" t="n">
        <v>10514.9</v>
      </c>
      <c r="O342" s="504" t="s">
        <v>417</v>
      </c>
      <c r="P342" s="505" t="n">
        <v>439</v>
      </c>
      <c r="Q342" s="506" t="n">
        <v>45825</v>
      </c>
      <c r="R342" s="507" t="n">
        <v>0.651446759259259</v>
      </c>
    </row>
    <row r="343" customFormat="false" ht="35.05" hidden="false" customHeight="false" outlineLevel="0" collapsed="false">
      <c r="A343" s="503" t="s">
        <v>2765</v>
      </c>
      <c r="B343" s="509" t="n">
        <v>507</v>
      </c>
      <c r="C343" s="510" t="s">
        <v>906</v>
      </c>
      <c r="D343" s="503" t="s">
        <v>899</v>
      </c>
      <c r="E343" s="503" t="s">
        <v>386</v>
      </c>
      <c r="F343" s="503" t="s">
        <v>387</v>
      </c>
      <c r="G343" s="503" t="n">
        <v>46</v>
      </c>
      <c r="H343" s="503" t="s">
        <v>904</v>
      </c>
      <c r="I343" s="503" t="s">
        <v>1435</v>
      </c>
      <c r="J343" s="504" t="n">
        <v>30100</v>
      </c>
      <c r="K343" s="504" t="n">
        <v>15310</v>
      </c>
      <c r="L343" s="511" t="n">
        <v>14.5</v>
      </c>
      <c r="M343" s="504" t="n">
        <v>14790</v>
      </c>
      <c r="N343" s="504" t="n">
        <v>12645.4</v>
      </c>
      <c r="O343" s="504" t="s">
        <v>417</v>
      </c>
      <c r="P343" s="505" t="n">
        <v>440</v>
      </c>
      <c r="Q343" s="506" t="n">
        <v>45825</v>
      </c>
      <c r="R343" s="507" t="n">
        <v>0.734097222222222</v>
      </c>
    </row>
    <row r="344" customFormat="false" ht="35.05" hidden="false" customHeight="false" outlineLevel="0" collapsed="false">
      <c r="A344" s="503" t="s">
        <v>2766</v>
      </c>
      <c r="B344" s="509" t="n">
        <v>508</v>
      </c>
      <c r="C344" s="510" t="s">
        <v>906</v>
      </c>
      <c r="D344" s="503" t="s">
        <v>908</v>
      </c>
      <c r="E344" s="503" t="s">
        <v>374</v>
      </c>
      <c r="F344" s="503" t="s">
        <v>375</v>
      </c>
      <c r="G344" s="503" t="n">
        <v>16</v>
      </c>
      <c r="H344" s="503" t="s">
        <v>904</v>
      </c>
      <c r="I344" s="503" t="s">
        <v>1435</v>
      </c>
      <c r="J344" s="504" t="n">
        <v>8350</v>
      </c>
      <c r="K344" s="504" t="n">
        <v>4580</v>
      </c>
      <c r="L344" s="511" t="n">
        <v>9.5</v>
      </c>
      <c r="M344" s="504" t="n">
        <v>3770</v>
      </c>
      <c r="N344" s="504" t="n">
        <v>3411.8</v>
      </c>
      <c r="O344" s="504" t="s">
        <v>417</v>
      </c>
      <c r="P344" s="505" t="n">
        <v>441</v>
      </c>
      <c r="Q344" s="506" t="n">
        <v>45825</v>
      </c>
      <c r="R344" s="507" t="n">
        <v>0.759074074074074</v>
      </c>
    </row>
    <row r="345" customFormat="false" ht="35.05" hidden="false" customHeight="false" outlineLevel="0" collapsed="false">
      <c r="A345" s="503" t="s">
        <v>2767</v>
      </c>
      <c r="B345" s="509" t="n">
        <v>509</v>
      </c>
      <c r="C345" s="510" t="s">
        <v>906</v>
      </c>
      <c r="D345" s="503" t="s">
        <v>908</v>
      </c>
      <c r="E345" s="503" t="s">
        <v>378</v>
      </c>
      <c r="F345" s="503" t="s">
        <v>379</v>
      </c>
      <c r="G345" s="503" t="n">
        <v>15</v>
      </c>
      <c r="H345" s="503" t="s">
        <v>904</v>
      </c>
      <c r="I345" s="503" t="s">
        <v>1435</v>
      </c>
      <c r="J345" s="504" t="n">
        <v>6950</v>
      </c>
      <c r="K345" s="504" t="n">
        <v>4600</v>
      </c>
      <c r="L345" s="511" t="n">
        <v>12.5</v>
      </c>
      <c r="M345" s="504" t="n">
        <v>2350</v>
      </c>
      <c r="N345" s="504" t="n">
        <v>2056.2</v>
      </c>
      <c r="O345" s="504" t="s">
        <v>417</v>
      </c>
      <c r="P345" s="505" t="n">
        <v>442</v>
      </c>
      <c r="Q345" s="506" t="n">
        <v>45825</v>
      </c>
      <c r="R345" s="507" t="n">
        <v>0.882326388888889</v>
      </c>
    </row>
    <row r="346" customFormat="false" ht="35.05" hidden="false" customHeight="false" outlineLevel="0" collapsed="false">
      <c r="A346" s="503" t="s">
        <v>2768</v>
      </c>
      <c r="B346" s="509" t="n">
        <v>510</v>
      </c>
      <c r="C346" s="510" t="s">
        <v>906</v>
      </c>
      <c r="D346" s="503" t="s">
        <v>908</v>
      </c>
      <c r="E346" s="503" t="s">
        <v>374</v>
      </c>
      <c r="F346" s="503" t="s">
        <v>375</v>
      </c>
      <c r="G346" s="503" t="n">
        <v>15</v>
      </c>
      <c r="H346" s="503" t="s">
        <v>904</v>
      </c>
      <c r="I346" s="503" t="s">
        <v>1435</v>
      </c>
      <c r="J346" s="504" t="n">
        <v>9060</v>
      </c>
      <c r="K346" s="504" t="n">
        <v>4550</v>
      </c>
      <c r="L346" s="511" t="n">
        <v>20.5</v>
      </c>
      <c r="M346" s="504" t="n">
        <v>4510</v>
      </c>
      <c r="N346" s="504" t="n">
        <v>3585.4</v>
      </c>
      <c r="O346" s="504" t="s">
        <v>417</v>
      </c>
      <c r="P346" s="505" t="n">
        <v>443</v>
      </c>
      <c r="Q346" s="506" t="n">
        <v>45825</v>
      </c>
      <c r="R346" s="507" t="n">
        <v>0.945289351851852</v>
      </c>
    </row>
    <row r="347" customFormat="false" ht="35.05" hidden="false" customHeight="false" outlineLevel="0" collapsed="false">
      <c r="A347" s="503" t="s">
        <v>2769</v>
      </c>
      <c r="B347" s="509" t="n">
        <v>511</v>
      </c>
      <c r="C347" s="510" t="s">
        <v>906</v>
      </c>
      <c r="D347" s="503" t="s">
        <v>908</v>
      </c>
      <c r="E347" s="503" t="s">
        <v>55</v>
      </c>
      <c r="F347" s="503" t="s">
        <v>56</v>
      </c>
      <c r="G347" s="503" t="n">
        <v>15</v>
      </c>
      <c r="H347" s="503" t="s">
        <v>904</v>
      </c>
      <c r="I347" s="503" t="s">
        <v>1435</v>
      </c>
      <c r="J347" s="504" t="n">
        <v>28310</v>
      </c>
      <c r="K347" s="504" t="n">
        <v>14750</v>
      </c>
      <c r="L347" s="511" t="n">
        <v>14.5</v>
      </c>
      <c r="M347" s="504" t="n">
        <v>13560</v>
      </c>
      <c r="N347" s="504" t="n">
        <v>11593.8</v>
      </c>
      <c r="O347" s="504" t="s">
        <v>417</v>
      </c>
      <c r="P347" s="505" t="n">
        <v>444</v>
      </c>
      <c r="Q347" s="506" t="n">
        <v>45825</v>
      </c>
      <c r="R347" s="507" t="n">
        <v>0.99875</v>
      </c>
    </row>
    <row r="348" customFormat="false" ht="35.05" hidden="false" customHeight="false" outlineLevel="0" collapsed="false">
      <c r="A348" s="503" t="s">
        <v>2770</v>
      </c>
      <c r="B348" s="509" t="n">
        <v>512</v>
      </c>
      <c r="C348" s="510" t="s">
        <v>906</v>
      </c>
      <c r="D348" s="503" t="s">
        <v>908</v>
      </c>
      <c r="E348" s="503" t="s">
        <v>363</v>
      </c>
      <c r="F348" s="503" t="s">
        <v>364</v>
      </c>
      <c r="G348" s="503" t="n">
        <v>15</v>
      </c>
      <c r="H348" s="503" t="s">
        <v>904</v>
      </c>
      <c r="I348" s="503" t="s">
        <v>1435</v>
      </c>
      <c r="J348" s="504" t="n">
        <v>28060</v>
      </c>
      <c r="K348" s="504" t="n">
        <v>14670</v>
      </c>
      <c r="L348" s="511" t="n">
        <v>13.5</v>
      </c>
      <c r="M348" s="504" t="n">
        <v>13390</v>
      </c>
      <c r="N348" s="504" t="n">
        <v>11582.3</v>
      </c>
      <c r="O348" s="504" t="s">
        <v>417</v>
      </c>
      <c r="P348" s="505" t="n">
        <v>445</v>
      </c>
      <c r="Q348" s="506" t="n">
        <v>45826</v>
      </c>
      <c r="R348" s="507" t="n">
        <v>0.199583333333333</v>
      </c>
    </row>
    <row r="349" customFormat="false" ht="35.05" hidden="false" customHeight="false" outlineLevel="0" collapsed="false">
      <c r="A349" s="503" t="s">
        <v>2771</v>
      </c>
      <c r="B349" s="509" t="n">
        <v>513</v>
      </c>
      <c r="C349" s="510" t="s">
        <v>906</v>
      </c>
      <c r="D349" s="503" t="s">
        <v>908</v>
      </c>
      <c r="E349" s="503" t="s">
        <v>519</v>
      </c>
      <c r="F349" s="503" t="s">
        <v>523</v>
      </c>
      <c r="G349" s="503" t="n">
        <v>15</v>
      </c>
      <c r="H349" s="503" t="s">
        <v>904</v>
      </c>
      <c r="I349" s="503" t="s">
        <v>1435</v>
      </c>
      <c r="J349" s="504" t="n">
        <v>29120</v>
      </c>
      <c r="K349" s="504" t="n">
        <v>15650</v>
      </c>
      <c r="L349" s="511" t="n">
        <v>13.5</v>
      </c>
      <c r="M349" s="504" t="n">
        <v>13470</v>
      </c>
      <c r="N349" s="504" t="n">
        <v>11651.5</v>
      </c>
      <c r="O349" s="504" t="s">
        <v>417</v>
      </c>
      <c r="P349" s="505" t="n">
        <v>446</v>
      </c>
      <c r="Q349" s="506" t="n">
        <v>45826</v>
      </c>
      <c r="R349" s="507" t="n">
        <v>0.21400462962963</v>
      </c>
    </row>
    <row r="350" customFormat="false" ht="35.05" hidden="false" customHeight="false" outlineLevel="0" collapsed="false">
      <c r="A350" s="503" t="s">
        <v>2772</v>
      </c>
      <c r="B350" s="509" t="n">
        <v>514</v>
      </c>
      <c r="C350" s="510" t="s">
        <v>906</v>
      </c>
      <c r="D350" s="503" t="s">
        <v>908</v>
      </c>
      <c r="E350" s="503" t="s">
        <v>359</v>
      </c>
      <c r="F350" s="503" t="s">
        <v>426</v>
      </c>
      <c r="G350" s="503" t="n">
        <v>15</v>
      </c>
      <c r="H350" s="503" t="s">
        <v>904</v>
      </c>
      <c r="I350" s="503" t="s">
        <v>1435</v>
      </c>
      <c r="J350" s="504" t="n">
        <v>27390</v>
      </c>
      <c r="K350" s="504" t="n">
        <v>13870</v>
      </c>
      <c r="L350" s="511" t="n">
        <v>12.5</v>
      </c>
      <c r="M350" s="504" t="n">
        <v>13520</v>
      </c>
      <c r="N350" s="504" t="n">
        <v>11830</v>
      </c>
      <c r="O350" s="504" t="s">
        <v>417</v>
      </c>
      <c r="P350" s="505" t="n">
        <v>447</v>
      </c>
      <c r="Q350" s="506" t="n">
        <v>45826</v>
      </c>
      <c r="R350" s="507" t="n">
        <v>0.239594907407407</v>
      </c>
    </row>
    <row r="351" customFormat="false" ht="35.05" hidden="false" customHeight="false" outlineLevel="0" collapsed="false">
      <c r="A351" s="503" t="s">
        <v>2773</v>
      </c>
      <c r="B351" s="509" t="n">
        <v>515</v>
      </c>
      <c r="C351" s="510" t="s">
        <v>906</v>
      </c>
      <c r="D351" s="503" t="s">
        <v>908</v>
      </c>
      <c r="E351" s="503" t="s">
        <v>439</v>
      </c>
      <c r="F351" s="503" t="s">
        <v>443</v>
      </c>
      <c r="G351" s="503" t="n">
        <v>15</v>
      </c>
      <c r="H351" s="503" t="s">
        <v>904</v>
      </c>
      <c r="I351" s="503" t="s">
        <v>1435</v>
      </c>
      <c r="J351" s="504" t="n">
        <v>37650</v>
      </c>
      <c r="K351" s="504" t="n">
        <v>24170</v>
      </c>
      <c r="L351" s="511" t="n">
        <v>11.5</v>
      </c>
      <c r="M351" s="504" t="n">
        <v>13480</v>
      </c>
      <c r="N351" s="504" t="n">
        <v>11929.8</v>
      </c>
      <c r="O351" s="504" t="s">
        <v>417</v>
      </c>
      <c r="P351" s="505" t="n">
        <v>448</v>
      </c>
      <c r="Q351" s="506" t="n">
        <v>45826</v>
      </c>
      <c r="R351" s="507" t="n">
        <v>0.290046296296296</v>
      </c>
    </row>
    <row r="352" customFormat="false" ht="35.05" hidden="false" customHeight="false" outlineLevel="0" collapsed="false">
      <c r="A352" s="503" t="s">
        <v>2774</v>
      </c>
      <c r="B352" s="509" t="n">
        <v>498</v>
      </c>
      <c r="C352" s="510" t="s">
        <v>911</v>
      </c>
      <c r="D352" s="503" t="s">
        <v>899</v>
      </c>
      <c r="E352" s="503" t="s">
        <v>553</v>
      </c>
      <c r="F352" s="503" t="s">
        <v>557</v>
      </c>
      <c r="G352" s="503" t="s">
        <v>133</v>
      </c>
      <c r="H352" s="503" t="s">
        <v>909</v>
      </c>
      <c r="I352" s="503" t="s">
        <v>1435</v>
      </c>
      <c r="J352" s="504" t="n">
        <v>21170</v>
      </c>
      <c r="K352" s="504" t="n">
        <v>14840</v>
      </c>
      <c r="L352" s="511"/>
      <c r="M352" s="504" t="n">
        <v>6330</v>
      </c>
      <c r="N352" s="504" t="n">
        <v>6330</v>
      </c>
      <c r="O352" s="504" t="s">
        <v>886</v>
      </c>
      <c r="P352" s="505" t="n">
        <v>449</v>
      </c>
      <c r="Q352" s="506" t="n">
        <v>45824</v>
      </c>
      <c r="R352" s="507" t="n">
        <v>0.649641203703704</v>
      </c>
    </row>
    <row r="353" customFormat="false" ht="35.05" hidden="false" customHeight="false" outlineLevel="0" collapsed="false">
      <c r="A353" s="503" t="s">
        <v>2775</v>
      </c>
      <c r="B353" s="509" t="n">
        <v>499</v>
      </c>
      <c r="C353" s="510" t="s">
        <v>912</v>
      </c>
      <c r="D353" s="503" t="s">
        <v>899</v>
      </c>
      <c r="E353" s="503" t="s">
        <v>363</v>
      </c>
      <c r="F353" s="503" t="s">
        <v>364</v>
      </c>
      <c r="G353" s="503" t="n">
        <v>44</v>
      </c>
      <c r="H353" s="503" t="s">
        <v>909</v>
      </c>
      <c r="I353" s="503" t="s">
        <v>1435</v>
      </c>
      <c r="J353" s="504" t="n">
        <v>21160</v>
      </c>
      <c r="K353" s="504" t="n">
        <v>14540</v>
      </c>
      <c r="L353" s="511"/>
      <c r="M353" s="504" t="n">
        <v>6620</v>
      </c>
      <c r="N353" s="504" t="n">
        <v>6620</v>
      </c>
      <c r="O353" s="504" t="s">
        <v>886</v>
      </c>
      <c r="P353" s="505" t="n">
        <v>450</v>
      </c>
      <c r="Q353" s="506" t="n">
        <v>45824</v>
      </c>
      <c r="R353" s="507" t="n">
        <v>0.662719907407407</v>
      </c>
    </row>
    <row r="354" customFormat="false" ht="35.05" hidden="false" customHeight="false" outlineLevel="0" collapsed="false">
      <c r="A354" s="503" t="s">
        <v>2776</v>
      </c>
      <c r="B354" s="509" t="n">
        <v>502</v>
      </c>
      <c r="C354" s="510" t="s">
        <v>913</v>
      </c>
      <c r="D354" s="503" t="s">
        <v>899</v>
      </c>
      <c r="E354" s="503" t="s">
        <v>427</v>
      </c>
      <c r="F354" s="503" t="s">
        <v>431</v>
      </c>
      <c r="G354" s="503" t="n">
        <v>44</v>
      </c>
      <c r="H354" s="503" t="s">
        <v>909</v>
      </c>
      <c r="I354" s="503" t="s">
        <v>1435</v>
      </c>
      <c r="J354" s="504" t="n">
        <v>27440</v>
      </c>
      <c r="K354" s="504" t="n">
        <v>21030</v>
      </c>
      <c r="L354" s="511"/>
      <c r="M354" s="504" t="n">
        <v>6410</v>
      </c>
      <c r="N354" s="504" t="n">
        <v>6410</v>
      </c>
      <c r="O354" s="504" t="s">
        <v>886</v>
      </c>
      <c r="P354" s="505" t="n">
        <v>451</v>
      </c>
      <c r="Q354" s="506" t="n">
        <v>45824</v>
      </c>
      <c r="R354" s="507" t="n">
        <v>0.806863425925926</v>
      </c>
    </row>
    <row r="355" customFormat="false" ht="35.05" hidden="false" customHeight="false" outlineLevel="0" collapsed="false">
      <c r="A355" s="503" t="s">
        <v>2777</v>
      </c>
      <c r="B355" s="509" t="n">
        <v>496</v>
      </c>
      <c r="C355" s="510" t="s">
        <v>914</v>
      </c>
      <c r="D355" s="503" t="s">
        <v>899</v>
      </c>
      <c r="E355" s="503" t="s">
        <v>445</v>
      </c>
      <c r="F355" s="503" t="s">
        <v>449</v>
      </c>
      <c r="G355" s="503" t="n">
        <v>44</v>
      </c>
      <c r="H355" s="503" t="s">
        <v>909</v>
      </c>
      <c r="I355" s="503" t="s">
        <v>1435</v>
      </c>
      <c r="J355" s="504" t="n">
        <v>29040</v>
      </c>
      <c r="K355" s="504" t="n">
        <v>15530</v>
      </c>
      <c r="L355" s="511"/>
      <c r="M355" s="504" t="n">
        <v>13510</v>
      </c>
      <c r="N355" s="504" t="n">
        <v>13510</v>
      </c>
      <c r="O355" s="504" t="s">
        <v>886</v>
      </c>
      <c r="P355" s="505" t="n">
        <v>452</v>
      </c>
      <c r="Q355" s="506" t="n">
        <v>45824</v>
      </c>
      <c r="R355" s="507" t="n">
        <v>0.59693287037037</v>
      </c>
    </row>
    <row r="356" customFormat="false" ht="35.05" hidden="false" customHeight="false" outlineLevel="0" collapsed="false">
      <c r="A356" s="503" t="s">
        <v>2778</v>
      </c>
      <c r="B356" s="509" t="n">
        <v>501</v>
      </c>
      <c r="C356" s="510" t="s">
        <v>915</v>
      </c>
      <c r="D356" s="503" t="s">
        <v>899</v>
      </c>
      <c r="E356" s="503" t="s">
        <v>451</v>
      </c>
      <c r="F356" s="503" t="s">
        <v>455</v>
      </c>
      <c r="G356" s="503" t="n">
        <v>44</v>
      </c>
      <c r="H356" s="503" t="s">
        <v>909</v>
      </c>
      <c r="I356" s="503" t="s">
        <v>1435</v>
      </c>
      <c r="J356" s="504" t="n">
        <v>21600</v>
      </c>
      <c r="K356" s="504" t="n">
        <v>15080</v>
      </c>
      <c r="L356" s="511"/>
      <c r="M356" s="504" t="n">
        <v>6520</v>
      </c>
      <c r="N356" s="504" t="n">
        <v>6520</v>
      </c>
      <c r="O356" s="504" t="s">
        <v>886</v>
      </c>
      <c r="P356" s="505" t="n">
        <v>453</v>
      </c>
      <c r="Q356" s="506" t="n">
        <v>45824</v>
      </c>
      <c r="R356" s="507" t="n">
        <v>0.801516203703704</v>
      </c>
    </row>
    <row r="357" customFormat="false" ht="35.05" hidden="false" customHeight="false" outlineLevel="0" collapsed="false">
      <c r="A357" s="503" t="s">
        <v>2779</v>
      </c>
      <c r="B357" s="509" t="n">
        <v>516</v>
      </c>
      <c r="C357" s="510" t="s">
        <v>906</v>
      </c>
      <c r="D357" s="503" t="s">
        <v>908</v>
      </c>
      <c r="E357" s="503" t="s">
        <v>433</v>
      </c>
      <c r="F357" s="503" t="s">
        <v>437</v>
      </c>
      <c r="G357" s="503" t="n">
        <v>15</v>
      </c>
      <c r="H357" s="503" t="s">
        <v>904</v>
      </c>
      <c r="I357" s="503" t="s">
        <v>1435</v>
      </c>
      <c r="J357" s="504" t="n">
        <v>28510</v>
      </c>
      <c r="K357" s="504" t="n">
        <v>14990</v>
      </c>
      <c r="L357" s="511" t="n">
        <v>6.5</v>
      </c>
      <c r="M357" s="504" t="n">
        <v>13520</v>
      </c>
      <c r="N357" s="504" t="n">
        <v>12641.2</v>
      </c>
      <c r="O357" s="504" t="s">
        <v>417</v>
      </c>
      <c r="P357" s="505" t="n">
        <v>454</v>
      </c>
      <c r="Q357" s="506" t="n">
        <v>45826</v>
      </c>
      <c r="R357" s="507" t="n">
        <v>0.490335648148148</v>
      </c>
    </row>
    <row r="358" customFormat="false" ht="35.05" hidden="false" customHeight="false" outlineLevel="0" collapsed="false">
      <c r="A358" s="503" t="s">
        <v>2780</v>
      </c>
      <c r="B358" s="509" t="n">
        <v>492</v>
      </c>
      <c r="C358" s="510" t="s">
        <v>906</v>
      </c>
      <c r="D358" s="503" t="s">
        <v>899</v>
      </c>
      <c r="E358" s="503" t="s">
        <v>363</v>
      </c>
      <c r="F358" s="503" t="s">
        <v>364</v>
      </c>
      <c r="G358" s="503" t="n">
        <v>44</v>
      </c>
      <c r="H358" s="503" t="s">
        <v>909</v>
      </c>
      <c r="I358" s="503" t="s">
        <v>1435</v>
      </c>
      <c r="J358" s="504" t="n">
        <v>27790</v>
      </c>
      <c r="K358" s="504" t="n">
        <v>21160</v>
      </c>
      <c r="L358" s="511" t="n">
        <v>14.5</v>
      </c>
      <c r="M358" s="504" t="n">
        <v>6630</v>
      </c>
      <c r="N358" s="504" t="n">
        <v>5668.6</v>
      </c>
      <c r="O358" s="504" t="s">
        <v>746</v>
      </c>
      <c r="P358" s="505" t="n">
        <v>455</v>
      </c>
      <c r="Q358" s="506" t="n">
        <v>45824</v>
      </c>
      <c r="R358" s="507" t="n">
        <v>0.507106481481482</v>
      </c>
    </row>
    <row r="359" customFormat="false" ht="35.05" hidden="false" customHeight="false" outlineLevel="0" collapsed="false">
      <c r="A359" s="503" t="s">
        <v>2781</v>
      </c>
      <c r="B359" s="509" t="n">
        <v>493</v>
      </c>
      <c r="C359" s="510" t="n">
        <v>90</v>
      </c>
      <c r="D359" s="503" t="s">
        <v>899</v>
      </c>
      <c r="E359" s="503" t="s">
        <v>451</v>
      </c>
      <c r="F359" s="503" t="s">
        <v>455</v>
      </c>
      <c r="G359" s="503" t="n">
        <v>44</v>
      </c>
      <c r="H359" s="503" t="s">
        <v>909</v>
      </c>
      <c r="I359" s="503" t="s">
        <v>1435</v>
      </c>
      <c r="J359" s="504" t="n">
        <v>28260</v>
      </c>
      <c r="K359" s="504" t="n">
        <v>21610</v>
      </c>
      <c r="L359" s="511" t="n">
        <v>7.5</v>
      </c>
      <c r="M359" s="504" t="n">
        <v>6650</v>
      </c>
      <c r="N359" s="504" t="n">
        <v>6151.2</v>
      </c>
      <c r="O359" s="504" t="s">
        <v>746</v>
      </c>
      <c r="P359" s="505" t="n">
        <v>456</v>
      </c>
      <c r="Q359" s="506" t="n">
        <v>45824</v>
      </c>
      <c r="R359" s="507" t="n">
        <v>0.545613425925926</v>
      </c>
    </row>
    <row r="360" customFormat="false" ht="35.05" hidden="false" customHeight="false" outlineLevel="0" collapsed="false">
      <c r="A360" s="503" t="s">
        <v>2782</v>
      </c>
      <c r="B360" s="509" t="n">
        <v>500</v>
      </c>
      <c r="C360" s="510" t="n">
        <v>92</v>
      </c>
      <c r="D360" s="503" t="s">
        <v>899</v>
      </c>
      <c r="E360" s="503" t="s">
        <v>427</v>
      </c>
      <c r="F360" s="503" t="s">
        <v>431</v>
      </c>
      <c r="G360" s="503" t="n">
        <v>44</v>
      </c>
      <c r="H360" s="503" t="s">
        <v>909</v>
      </c>
      <c r="I360" s="503" t="s">
        <v>1435</v>
      </c>
      <c r="J360" s="504" t="n">
        <v>34230</v>
      </c>
      <c r="K360" s="504" t="n">
        <v>27490</v>
      </c>
      <c r="L360" s="511" t="n">
        <v>13.5</v>
      </c>
      <c r="M360" s="504" t="n">
        <v>6740</v>
      </c>
      <c r="N360" s="504" t="n">
        <v>5830.1</v>
      </c>
      <c r="O360" s="504" t="s">
        <v>746</v>
      </c>
      <c r="P360" s="505" t="n">
        <v>457</v>
      </c>
      <c r="Q360" s="506" t="n">
        <v>45824</v>
      </c>
      <c r="R360" s="507" t="n">
        <v>0.671921296296296</v>
      </c>
    </row>
    <row r="361" customFormat="false" ht="35.05" hidden="false" customHeight="false" outlineLevel="0" collapsed="false">
      <c r="A361" s="503" t="s">
        <v>2783</v>
      </c>
      <c r="B361" s="509" t="n">
        <v>520</v>
      </c>
      <c r="C361" s="510" t="s">
        <v>906</v>
      </c>
      <c r="D361" s="503" t="s">
        <v>908</v>
      </c>
      <c r="E361" s="503" t="s">
        <v>371</v>
      </c>
      <c r="F361" s="503" t="s">
        <v>372</v>
      </c>
      <c r="G361" s="503" t="n">
        <v>15</v>
      </c>
      <c r="H361" s="503" t="s">
        <v>904</v>
      </c>
      <c r="I361" s="503" t="s">
        <v>1435</v>
      </c>
      <c r="J361" s="504" t="n">
        <v>28350</v>
      </c>
      <c r="K361" s="504" t="n">
        <v>15040</v>
      </c>
      <c r="L361" s="511" t="n">
        <v>12.5</v>
      </c>
      <c r="M361" s="504" t="n">
        <v>13310</v>
      </c>
      <c r="N361" s="504" t="n">
        <v>11646.2</v>
      </c>
      <c r="O361" s="504" t="s">
        <v>417</v>
      </c>
      <c r="P361" s="505" t="n">
        <v>458</v>
      </c>
      <c r="Q361" s="506" t="n">
        <v>45826</v>
      </c>
      <c r="R361" s="507" t="n">
        <v>0.448206018518519</v>
      </c>
    </row>
    <row r="362" customFormat="false" ht="35.05" hidden="false" customHeight="false" outlineLevel="0" collapsed="false">
      <c r="A362" s="503" t="s">
        <v>2784</v>
      </c>
      <c r="B362" s="509" t="n">
        <v>496</v>
      </c>
      <c r="C362" s="510" t="s">
        <v>917</v>
      </c>
      <c r="D362" s="503" t="s">
        <v>899</v>
      </c>
      <c r="E362" s="503" t="s">
        <v>395</v>
      </c>
      <c r="F362" s="503" t="s">
        <v>566</v>
      </c>
      <c r="G362" s="503" t="n">
        <v>44</v>
      </c>
      <c r="H362" s="503" t="s">
        <v>909</v>
      </c>
      <c r="I362" s="503" t="s">
        <v>1435</v>
      </c>
      <c r="J362" s="504" t="n">
        <v>27700</v>
      </c>
      <c r="K362" s="504" t="n">
        <v>14440</v>
      </c>
      <c r="L362" s="511" t="n">
        <v>12</v>
      </c>
      <c r="M362" s="504" t="n">
        <v>13260</v>
      </c>
      <c r="N362" s="504" t="n">
        <v>11669</v>
      </c>
      <c r="O362" s="504" t="s">
        <v>886</v>
      </c>
      <c r="P362" s="505" t="n">
        <v>459</v>
      </c>
      <c r="Q362" s="506" t="n">
        <v>45824</v>
      </c>
      <c r="R362" s="507" t="n">
        <v>0.610717592592593</v>
      </c>
    </row>
    <row r="363" customFormat="false" ht="35.05" hidden="false" customHeight="false" outlineLevel="0" collapsed="false">
      <c r="A363" s="503" t="s">
        <v>2785</v>
      </c>
      <c r="B363" s="0" t="n">
        <v>496</v>
      </c>
      <c r="C363" s="503" t="s">
        <v>919</v>
      </c>
      <c r="D363" s="503" t="s">
        <v>899</v>
      </c>
      <c r="E363" s="503" t="s">
        <v>48</v>
      </c>
      <c r="F363" s="503" t="s">
        <v>918</v>
      </c>
      <c r="G363" s="503" t="n">
        <v>44</v>
      </c>
      <c r="H363" s="503" t="s">
        <v>909</v>
      </c>
      <c r="I363" s="503" t="s">
        <v>1435</v>
      </c>
      <c r="J363" s="504" t="n">
        <v>28260</v>
      </c>
      <c r="K363" s="504" t="n">
        <v>15060</v>
      </c>
      <c r="L363" s="505" t="n">
        <v>12.4</v>
      </c>
      <c r="M363" s="504" t="n">
        <v>13200</v>
      </c>
      <c r="N363" s="504" t="n">
        <v>11564</v>
      </c>
      <c r="O363" s="504" t="s">
        <v>886</v>
      </c>
      <c r="P363" s="505" t="n">
        <v>460</v>
      </c>
      <c r="Q363" s="506" t="n">
        <v>45824</v>
      </c>
      <c r="R363" s="507" t="n">
        <v>0.894849537037037</v>
      </c>
    </row>
    <row r="364" customFormat="false" ht="35.05" hidden="false" customHeight="false" outlineLevel="0" collapsed="false">
      <c r="A364" s="503" t="s">
        <v>2786</v>
      </c>
      <c r="B364" s="0" t="n">
        <v>496</v>
      </c>
      <c r="C364" s="503" t="s">
        <v>920</v>
      </c>
      <c r="D364" s="503" t="s">
        <v>899</v>
      </c>
      <c r="E364" s="503" t="s">
        <v>395</v>
      </c>
      <c r="F364" s="503" t="s">
        <v>566</v>
      </c>
      <c r="G364" s="503" t="n">
        <v>44</v>
      </c>
      <c r="H364" s="503" t="s">
        <v>909</v>
      </c>
      <c r="I364" s="503" t="s">
        <v>1435</v>
      </c>
      <c r="J364" s="504" t="n">
        <v>27900</v>
      </c>
      <c r="K364" s="504" t="n">
        <v>14460</v>
      </c>
      <c r="L364" s="505" t="n">
        <v>15.2</v>
      </c>
      <c r="M364" s="504" t="n">
        <v>13440</v>
      </c>
      <c r="N364" s="504" t="n">
        <v>11397</v>
      </c>
      <c r="O364" s="504" t="s">
        <v>886</v>
      </c>
      <c r="P364" s="505" t="n">
        <v>461</v>
      </c>
      <c r="Q364" s="506" t="n">
        <v>45825</v>
      </c>
      <c r="R364" s="507" t="n">
        <v>0.894861111111111</v>
      </c>
    </row>
    <row r="365" customFormat="false" ht="35.05" hidden="false" customHeight="false" outlineLevel="0" collapsed="false">
      <c r="A365" s="503" t="s">
        <v>2787</v>
      </c>
      <c r="B365" s="0" t="n">
        <v>521</v>
      </c>
      <c r="C365" s="503" t="s">
        <v>906</v>
      </c>
      <c r="D365" s="503" t="s">
        <v>908</v>
      </c>
      <c r="E365" s="503" t="s">
        <v>384</v>
      </c>
      <c r="F365" s="503" t="s">
        <v>385</v>
      </c>
      <c r="G365" s="503" t="n">
        <v>15</v>
      </c>
      <c r="H365" s="503" t="s">
        <v>904</v>
      </c>
      <c r="I365" s="503" t="s">
        <v>1435</v>
      </c>
      <c r="J365" s="504" t="n">
        <v>27510</v>
      </c>
      <c r="K365" s="504" t="n">
        <v>14650</v>
      </c>
      <c r="L365" s="505" t="n">
        <v>6.5</v>
      </c>
      <c r="M365" s="504" t="n">
        <v>12860</v>
      </c>
      <c r="N365" s="504" t="n">
        <v>12024.1</v>
      </c>
      <c r="O365" s="504" t="s">
        <v>417</v>
      </c>
      <c r="P365" s="505" t="n">
        <v>462</v>
      </c>
      <c r="Q365" s="506" t="n">
        <v>45826</v>
      </c>
      <c r="R365" s="507" t="n">
        <v>0.529490740740741</v>
      </c>
    </row>
    <row r="366" customFormat="false" ht="35.05" hidden="false" customHeight="false" outlineLevel="0" collapsed="false">
      <c r="A366" s="503" t="s">
        <v>2788</v>
      </c>
      <c r="B366" s="0" t="n">
        <v>496</v>
      </c>
      <c r="C366" s="503" t="s">
        <v>921</v>
      </c>
      <c r="D366" s="503" t="s">
        <v>899</v>
      </c>
      <c r="E366" s="503" t="s">
        <v>511</v>
      </c>
      <c r="F366" s="503" t="s">
        <v>515</v>
      </c>
      <c r="G366" s="503" t="n">
        <v>44</v>
      </c>
      <c r="H366" s="503" t="s">
        <v>909</v>
      </c>
      <c r="I366" s="503" t="s">
        <v>1435</v>
      </c>
      <c r="J366" s="504" t="n">
        <v>27960</v>
      </c>
      <c r="K366" s="504" t="n">
        <v>15040</v>
      </c>
      <c r="L366" s="505" t="n">
        <v>11.2</v>
      </c>
      <c r="M366" s="504" t="n">
        <v>12920</v>
      </c>
      <c r="N366" s="504" t="n">
        <v>11479</v>
      </c>
      <c r="O366" s="504" t="s">
        <v>886</v>
      </c>
      <c r="P366" s="505" t="n">
        <v>463</v>
      </c>
      <c r="Q366" s="506" t="n">
        <v>45825</v>
      </c>
      <c r="R366" s="507" t="n">
        <v>0.998761574074074</v>
      </c>
    </row>
    <row r="367" customFormat="false" ht="35.05" hidden="false" customHeight="false" outlineLevel="0" collapsed="false">
      <c r="A367" s="503" t="s">
        <v>2789</v>
      </c>
      <c r="B367" s="0" t="n">
        <v>496</v>
      </c>
      <c r="C367" s="503" t="s">
        <v>923</v>
      </c>
      <c r="D367" s="503" t="s">
        <v>899</v>
      </c>
      <c r="E367" s="503" t="s">
        <v>395</v>
      </c>
      <c r="F367" s="503" t="s">
        <v>566</v>
      </c>
      <c r="G367" s="503" t="n">
        <v>44</v>
      </c>
      <c r="H367" s="503" t="s">
        <v>909</v>
      </c>
      <c r="I367" s="503" t="s">
        <v>1435</v>
      </c>
      <c r="J367" s="504" t="n">
        <v>27600</v>
      </c>
      <c r="K367" s="504" t="n">
        <v>14580</v>
      </c>
      <c r="L367" s="505" t="n">
        <v>12.4</v>
      </c>
      <c r="M367" s="504" t="n">
        <v>13020</v>
      </c>
      <c r="N367" s="504" t="n">
        <v>11406</v>
      </c>
      <c r="O367" s="504" t="s">
        <v>886</v>
      </c>
      <c r="P367" s="505" t="s">
        <v>922</v>
      </c>
      <c r="Q367" s="506" t="n">
        <v>45825</v>
      </c>
      <c r="R367" s="507" t="n">
        <v>0.653159722222222</v>
      </c>
    </row>
    <row r="368" customFormat="false" ht="35.05" hidden="false" customHeight="false" outlineLevel="0" collapsed="false">
      <c r="A368" s="503" t="s">
        <v>2790</v>
      </c>
      <c r="B368" s="0" t="n">
        <v>496</v>
      </c>
      <c r="C368" s="503" t="s">
        <v>925</v>
      </c>
      <c r="D368" s="503" t="s">
        <v>899</v>
      </c>
      <c r="E368" s="503" t="s">
        <v>48</v>
      </c>
      <c r="F368" s="503" t="s">
        <v>918</v>
      </c>
      <c r="G368" s="503" t="n">
        <v>44</v>
      </c>
      <c r="H368" s="503" t="s">
        <v>909</v>
      </c>
      <c r="I368" s="503" t="s">
        <v>1435</v>
      </c>
      <c r="J368" s="504" t="n">
        <v>28340</v>
      </c>
      <c r="K368" s="504" t="n">
        <v>15100</v>
      </c>
      <c r="L368" s="505" t="n">
        <v>10.1</v>
      </c>
      <c r="M368" s="504" t="n">
        <v>13240</v>
      </c>
      <c r="N368" s="504" t="n">
        <v>11907</v>
      </c>
      <c r="O368" s="504" t="s">
        <v>886</v>
      </c>
      <c r="P368" s="505" t="s">
        <v>924</v>
      </c>
      <c r="Q368" s="506" t="n">
        <v>45825</v>
      </c>
      <c r="R368" s="507" t="n">
        <v>0.998773148148148</v>
      </c>
    </row>
    <row r="369" customFormat="false" ht="35.05" hidden="false" customHeight="false" outlineLevel="0" collapsed="false">
      <c r="A369" s="503" t="s">
        <v>2791</v>
      </c>
      <c r="B369" s="0" t="n">
        <v>496</v>
      </c>
      <c r="C369" s="503" t="s">
        <v>927</v>
      </c>
      <c r="D369" s="503" t="s">
        <v>899</v>
      </c>
      <c r="E369" s="503" t="s">
        <v>48</v>
      </c>
      <c r="F369" s="503" t="s">
        <v>918</v>
      </c>
      <c r="G369" s="503" t="n">
        <v>44</v>
      </c>
      <c r="H369" s="503" t="s">
        <v>909</v>
      </c>
      <c r="I369" s="503" t="s">
        <v>1435</v>
      </c>
      <c r="J369" s="504" t="n">
        <v>28460</v>
      </c>
      <c r="K369" s="504" t="n">
        <v>15120</v>
      </c>
      <c r="L369" s="505" t="n">
        <v>17.7</v>
      </c>
      <c r="M369" s="504" t="n">
        <v>13340</v>
      </c>
      <c r="N369" s="504" t="n">
        <v>10979</v>
      </c>
      <c r="O369" s="504" t="s">
        <v>886</v>
      </c>
      <c r="P369" s="505" t="s">
        <v>926</v>
      </c>
      <c r="Q369" s="506" t="n">
        <v>45825</v>
      </c>
      <c r="R369" s="507" t="n">
        <v>0.998784722222222</v>
      </c>
    </row>
    <row r="370" customFormat="false" ht="46.25" hidden="false" customHeight="false" outlineLevel="0" collapsed="false">
      <c r="A370" s="503" t="s">
        <v>2792</v>
      </c>
      <c r="B370" s="0" t="n">
        <v>496</v>
      </c>
      <c r="C370" s="503" t="s">
        <v>929</v>
      </c>
      <c r="D370" s="503" t="s">
        <v>899</v>
      </c>
      <c r="E370" s="503" t="s">
        <v>511</v>
      </c>
      <c r="F370" s="503" t="s">
        <v>515</v>
      </c>
      <c r="G370" s="503" t="n">
        <v>44</v>
      </c>
      <c r="H370" s="503" t="s">
        <v>909</v>
      </c>
      <c r="I370" s="503" t="s">
        <v>1435</v>
      </c>
      <c r="J370" s="504" t="n">
        <v>32380</v>
      </c>
      <c r="K370" s="504" t="n">
        <v>15000</v>
      </c>
      <c r="L370" s="505" t="n">
        <v>11.4</v>
      </c>
      <c r="M370" s="504" t="n">
        <v>17380</v>
      </c>
      <c r="N370" s="504" t="n">
        <v>15396</v>
      </c>
      <c r="O370" s="504" t="s">
        <v>886</v>
      </c>
      <c r="P370" s="505" t="s">
        <v>928</v>
      </c>
      <c r="Q370" s="506" t="n">
        <v>45825</v>
      </c>
      <c r="R370" s="507" t="n">
        <v>0.998796296296296</v>
      </c>
    </row>
    <row r="371" customFormat="false" ht="35.05" hidden="false" customHeight="false" outlineLevel="0" collapsed="false">
      <c r="A371" s="503" t="s">
        <v>2793</v>
      </c>
      <c r="B371" s="0" t="n">
        <v>496</v>
      </c>
      <c r="C371" s="503" t="s">
        <v>931</v>
      </c>
      <c r="D371" s="503" t="s">
        <v>899</v>
      </c>
      <c r="E371" s="503" t="s">
        <v>511</v>
      </c>
      <c r="F371" s="503" t="s">
        <v>515</v>
      </c>
      <c r="G371" s="503" t="n">
        <v>44</v>
      </c>
      <c r="H371" s="503" t="s">
        <v>909</v>
      </c>
      <c r="I371" s="503" t="s">
        <v>1435</v>
      </c>
      <c r="J371" s="504" t="n">
        <v>28240</v>
      </c>
      <c r="K371" s="504" t="n">
        <v>14740</v>
      </c>
      <c r="L371" s="505" t="n">
        <v>13.8</v>
      </c>
      <c r="M371" s="504" t="n">
        <v>13500</v>
      </c>
      <c r="N371" s="504" t="n">
        <v>11634</v>
      </c>
      <c r="O371" s="504" t="s">
        <v>886</v>
      </c>
      <c r="P371" s="505" t="s">
        <v>930</v>
      </c>
      <c r="Q371" s="506" t="n">
        <v>45825</v>
      </c>
      <c r="R371" s="507" t="n">
        <v>0.99880787037037</v>
      </c>
    </row>
    <row r="372" customFormat="false" ht="46.25" hidden="false" customHeight="false" outlineLevel="0" collapsed="false">
      <c r="A372" s="503" t="s">
        <v>2794</v>
      </c>
      <c r="B372" s="0" t="n">
        <v>502</v>
      </c>
      <c r="C372" s="503" t="s">
        <v>934</v>
      </c>
      <c r="D372" s="503" t="s">
        <v>899</v>
      </c>
      <c r="E372" s="503" t="s">
        <v>933</v>
      </c>
      <c r="F372" s="503" t="s">
        <v>470</v>
      </c>
      <c r="G372" s="503" t="n">
        <v>44</v>
      </c>
      <c r="H372" s="503" t="s">
        <v>909</v>
      </c>
      <c r="I372" s="503" t="s">
        <v>1435</v>
      </c>
      <c r="J372" s="504" t="n">
        <v>27900</v>
      </c>
      <c r="K372" s="504" t="n">
        <v>14940</v>
      </c>
      <c r="L372" s="505" t="n">
        <v>15.9</v>
      </c>
      <c r="M372" s="504" t="n">
        <v>12960</v>
      </c>
      <c r="N372" s="504" t="n">
        <v>10897</v>
      </c>
      <c r="O372" s="504" t="s">
        <v>886</v>
      </c>
      <c r="P372" s="505" t="s">
        <v>932</v>
      </c>
      <c r="Q372" s="506" t="n">
        <v>45825</v>
      </c>
      <c r="R372" s="507" t="n">
        <v>0.998819444444445</v>
      </c>
    </row>
    <row r="373" customFormat="false" ht="35.05" hidden="false" customHeight="false" outlineLevel="0" collapsed="false">
      <c r="A373" s="503" t="s">
        <v>2795</v>
      </c>
      <c r="B373" s="0" t="n">
        <v>523</v>
      </c>
      <c r="C373" s="503" t="s">
        <v>906</v>
      </c>
      <c r="D373" s="503" t="s">
        <v>908</v>
      </c>
      <c r="E373" s="503" t="s">
        <v>382</v>
      </c>
      <c r="F373" s="503" t="s">
        <v>383</v>
      </c>
      <c r="G373" s="503" t="n">
        <v>15</v>
      </c>
      <c r="H373" s="503" t="s">
        <v>904</v>
      </c>
      <c r="I373" s="503" t="s">
        <v>1435</v>
      </c>
      <c r="J373" s="504" t="n">
        <v>28110</v>
      </c>
      <c r="K373" s="504" t="n">
        <v>15120</v>
      </c>
      <c r="L373" s="505" t="n">
        <v>13.5</v>
      </c>
      <c r="M373" s="504" t="n">
        <v>12990</v>
      </c>
      <c r="N373" s="504" t="n">
        <v>11236.3</v>
      </c>
      <c r="O373" s="504" t="s">
        <v>417</v>
      </c>
      <c r="P373" s="505" t="s">
        <v>935</v>
      </c>
      <c r="Q373" s="506" t="n">
        <v>45826</v>
      </c>
      <c r="R373" s="507" t="n">
        <v>0.578460648148148</v>
      </c>
    </row>
    <row r="374" customFormat="false" ht="35.05" hidden="false" customHeight="false" outlineLevel="0" collapsed="false">
      <c r="A374" s="503" t="s">
        <v>2796</v>
      </c>
      <c r="B374" s="0" t="n">
        <v>526</v>
      </c>
      <c r="C374" s="503" t="s">
        <v>906</v>
      </c>
      <c r="D374" s="503" t="s">
        <v>908</v>
      </c>
      <c r="E374" s="503" t="s">
        <v>55</v>
      </c>
      <c r="F374" s="503" t="s">
        <v>56</v>
      </c>
      <c r="G374" s="503" t="n">
        <v>15</v>
      </c>
      <c r="H374" s="503" t="s">
        <v>904</v>
      </c>
      <c r="I374" s="503" t="s">
        <v>1435</v>
      </c>
      <c r="J374" s="504" t="n">
        <v>27760</v>
      </c>
      <c r="K374" s="504" t="n">
        <v>14690</v>
      </c>
      <c r="L374" s="505" t="n">
        <v>9.5</v>
      </c>
      <c r="M374" s="504" t="n">
        <v>13070</v>
      </c>
      <c r="N374" s="504" t="n">
        <v>11828.3</v>
      </c>
      <c r="O374" s="504" t="s">
        <v>417</v>
      </c>
      <c r="P374" s="505" t="s">
        <v>936</v>
      </c>
      <c r="Q374" s="506" t="n">
        <v>45826</v>
      </c>
      <c r="R374" s="507" t="n">
        <v>0.656018518518519</v>
      </c>
    </row>
    <row r="375" customFormat="false" ht="35.05" hidden="false" customHeight="false" outlineLevel="0" collapsed="false">
      <c r="A375" s="503" t="s">
        <v>2797</v>
      </c>
      <c r="B375" s="0" t="n">
        <v>527</v>
      </c>
      <c r="C375" s="503" t="s">
        <v>906</v>
      </c>
      <c r="D375" s="503" t="s">
        <v>908</v>
      </c>
      <c r="E375" s="503" t="s">
        <v>363</v>
      </c>
      <c r="F375" s="503" t="s">
        <v>364</v>
      </c>
      <c r="G375" s="503" t="n">
        <v>15</v>
      </c>
      <c r="H375" s="503" t="s">
        <v>904</v>
      </c>
      <c r="I375" s="503" t="s">
        <v>1435</v>
      </c>
      <c r="J375" s="504" t="n">
        <v>27890</v>
      </c>
      <c r="K375" s="504" t="n">
        <v>14620</v>
      </c>
      <c r="L375" s="505" t="n">
        <v>13</v>
      </c>
      <c r="M375" s="504" t="n">
        <v>13270</v>
      </c>
      <c r="N375" s="504" t="n">
        <v>11544.9</v>
      </c>
      <c r="O375" s="504" t="s">
        <v>417</v>
      </c>
      <c r="P375" s="505" t="s">
        <v>937</v>
      </c>
      <c r="Q375" s="506" t="n">
        <v>45826</v>
      </c>
      <c r="R375" s="507" t="n">
        <v>0.705243055555556</v>
      </c>
    </row>
    <row r="376" customFormat="false" ht="35.05" hidden="false" customHeight="false" outlineLevel="0" collapsed="false">
      <c r="A376" s="503" t="s">
        <v>2798</v>
      </c>
      <c r="B376" s="0" t="n">
        <v>528</v>
      </c>
      <c r="C376" s="503" t="s">
        <v>906</v>
      </c>
      <c r="D376" s="503" t="s">
        <v>908</v>
      </c>
      <c r="E376" s="503" t="s">
        <v>519</v>
      </c>
      <c r="F376" s="503" t="s">
        <v>523</v>
      </c>
      <c r="G376" s="503" t="n">
        <v>15</v>
      </c>
      <c r="H376" s="503" t="s">
        <v>904</v>
      </c>
      <c r="I376" s="503" t="s">
        <v>1435</v>
      </c>
      <c r="J376" s="504" t="n">
        <v>28770</v>
      </c>
      <c r="K376" s="504" t="n">
        <v>15560</v>
      </c>
      <c r="L376" s="505" t="n">
        <v>6.5</v>
      </c>
      <c r="M376" s="504" t="n">
        <v>13210</v>
      </c>
      <c r="N376" s="504" t="n">
        <v>12351.3</v>
      </c>
      <c r="O376" s="504" t="s">
        <v>417</v>
      </c>
      <c r="P376" s="505" t="s">
        <v>938</v>
      </c>
      <c r="Q376" s="506" t="n">
        <v>45826</v>
      </c>
      <c r="R376" s="507" t="n">
        <v>0.818946759259259</v>
      </c>
    </row>
    <row r="377" customFormat="false" ht="35.05" hidden="false" customHeight="false" outlineLevel="0" collapsed="false">
      <c r="A377" s="503" t="s">
        <v>2799</v>
      </c>
      <c r="B377" s="0" t="n">
        <v>529</v>
      </c>
      <c r="C377" s="503" t="s">
        <v>906</v>
      </c>
      <c r="D377" s="503" t="s">
        <v>908</v>
      </c>
      <c r="E377" s="503" t="s">
        <v>427</v>
      </c>
      <c r="F377" s="503" t="s">
        <v>431</v>
      </c>
      <c r="G377" s="503" t="n">
        <v>15</v>
      </c>
      <c r="H377" s="503" t="s">
        <v>904</v>
      </c>
      <c r="I377" s="503" t="s">
        <v>1435</v>
      </c>
      <c r="J377" s="504" t="n">
        <v>34270</v>
      </c>
      <c r="K377" s="504" t="n">
        <v>21010</v>
      </c>
      <c r="L377" s="505" t="n">
        <v>11.5</v>
      </c>
      <c r="M377" s="504" t="n">
        <v>13260</v>
      </c>
      <c r="N377" s="504" t="n">
        <v>11735.1</v>
      </c>
      <c r="O377" s="504" t="s">
        <v>417</v>
      </c>
      <c r="P377" s="505" t="s">
        <v>939</v>
      </c>
      <c r="Q377" s="506" t="n">
        <v>45826</v>
      </c>
      <c r="R377" s="507" t="n">
        <v>0.838402777777778</v>
      </c>
    </row>
    <row r="378" customFormat="false" ht="35.05" hidden="false" customHeight="false" outlineLevel="0" collapsed="false">
      <c r="A378" s="503" t="s">
        <v>2800</v>
      </c>
      <c r="B378" s="0" t="n">
        <v>530</v>
      </c>
      <c r="C378" s="503" t="s">
        <v>906</v>
      </c>
      <c r="D378" s="503" t="s">
        <v>908</v>
      </c>
      <c r="E378" s="503" t="s">
        <v>361</v>
      </c>
      <c r="F378" s="503" t="s">
        <v>362</v>
      </c>
      <c r="G378" s="503" t="n">
        <v>15</v>
      </c>
      <c r="H378" s="503" t="s">
        <v>904</v>
      </c>
      <c r="I378" s="503" t="s">
        <v>1435</v>
      </c>
      <c r="J378" s="504" t="n">
        <v>28000</v>
      </c>
      <c r="K378" s="504" t="n">
        <v>14720</v>
      </c>
      <c r="L378" s="505" t="n">
        <v>6.5</v>
      </c>
      <c r="M378" s="504" t="n">
        <v>13280</v>
      </c>
      <c r="N378" s="504" t="n">
        <v>12416.8</v>
      </c>
      <c r="O378" s="504" t="s">
        <v>417</v>
      </c>
      <c r="P378" s="505" t="s">
        <v>940</v>
      </c>
      <c r="Q378" s="506" t="n">
        <v>45826</v>
      </c>
      <c r="R378" s="507" t="n">
        <v>0.893935185185185</v>
      </c>
    </row>
    <row r="379" customFormat="false" ht="35.05" hidden="false" customHeight="false" outlineLevel="0" collapsed="false">
      <c r="A379" s="503" t="s">
        <v>2801</v>
      </c>
      <c r="B379" s="0" t="n">
        <v>531</v>
      </c>
      <c r="C379" s="503" t="n">
        <v>54927</v>
      </c>
      <c r="D379" s="503" t="s">
        <v>908</v>
      </c>
      <c r="E379" s="503" t="s">
        <v>359</v>
      </c>
      <c r="F379" s="503" t="s">
        <v>426</v>
      </c>
      <c r="G379" s="503" t="n">
        <v>15</v>
      </c>
      <c r="H379" s="503" t="s">
        <v>904</v>
      </c>
      <c r="I379" s="503" t="s">
        <v>1435</v>
      </c>
      <c r="J379" s="504" t="n">
        <v>27280</v>
      </c>
      <c r="K379" s="504" t="n">
        <v>13870</v>
      </c>
      <c r="L379" s="505" t="n">
        <v>9.5</v>
      </c>
      <c r="M379" s="504" t="n">
        <v>13410</v>
      </c>
      <c r="N379" s="504" t="n">
        <v>12136</v>
      </c>
      <c r="O379" s="504" t="s">
        <v>417</v>
      </c>
      <c r="P379" s="505" t="s">
        <v>941</v>
      </c>
      <c r="Q379" s="506" t="n">
        <v>45826</v>
      </c>
      <c r="R379" s="507" t="n">
        <v>0.97619212962963</v>
      </c>
    </row>
    <row r="380" customFormat="false" ht="35.05" hidden="false" customHeight="false" outlineLevel="0" collapsed="false">
      <c r="A380" s="503" t="s">
        <v>2802</v>
      </c>
      <c r="B380" s="0" t="n">
        <v>532</v>
      </c>
      <c r="C380" s="503" t="n">
        <v>54928</v>
      </c>
      <c r="D380" s="503" t="s">
        <v>908</v>
      </c>
      <c r="E380" s="503" t="s">
        <v>433</v>
      </c>
      <c r="F380" s="503" t="s">
        <v>437</v>
      </c>
      <c r="G380" s="503" t="n">
        <v>15</v>
      </c>
      <c r="H380" s="503" t="s">
        <v>904</v>
      </c>
      <c r="I380" s="503" t="s">
        <v>1435</v>
      </c>
      <c r="J380" s="504" t="n">
        <v>28170</v>
      </c>
      <c r="K380" s="504" t="n">
        <v>14930</v>
      </c>
      <c r="L380" s="505" t="n">
        <v>7.5</v>
      </c>
      <c r="M380" s="504" t="n">
        <v>13240</v>
      </c>
      <c r="N380" s="504" t="n">
        <v>12247</v>
      </c>
      <c r="O380" s="504" t="s">
        <v>417</v>
      </c>
      <c r="P380" s="505" t="s">
        <v>942</v>
      </c>
      <c r="Q380" s="506" t="n">
        <v>45826</v>
      </c>
      <c r="R380" s="507" t="n">
        <v>0.985381944444445</v>
      </c>
    </row>
    <row r="381" customFormat="false" ht="35.05" hidden="false" customHeight="false" outlineLevel="0" collapsed="false">
      <c r="A381" s="503" t="s">
        <v>2803</v>
      </c>
      <c r="B381" s="0" t="n">
        <v>533</v>
      </c>
      <c r="C381" s="503" t="n">
        <v>54927</v>
      </c>
      <c r="D381" s="503" t="s">
        <v>908</v>
      </c>
      <c r="E381" s="503" t="s">
        <v>439</v>
      </c>
      <c r="F381" s="503" t="s">
        <v>443</v>
      </c>
      <c r="G381" s="503" t="n">
        <v>15</v>
      </c>
      <c r="H381" s="503" t="s">
        <v>904</v>
      </c>
      <c r="I381" s="503" t="s">
        <v>1435</v>
      </c>
      <c r="J381" s="504" t="n">
        <v>36820</v>
      </c>
      <c r="K381" s="504" t="n">
        <v>24060</v>
      </c>
      <c r="L381" s="505" t="n">
        <v>7.5</v>
      </c>
      <c r="M381" s="504" t="n">
        <v>12760</v>
      </c>
      <c r="N381" s="504" t="n">
        <v>11803</v>
      </c>
      <c r="O381" s="504" t="s">
        <v>417</v>
      </c>
      <c r="P381" s="505" t="s">
        <v>943</v>
      </c>
      <c r="Q381" s="506" t="n">
        <v>45826</v>
      </c>
      <c r="R381" s="507" t="n">
        <v>0.984560185185185</v>
      </c>
    </row>
    <row r="382" customFormat="false" ht="35.05" hidden="false" customHeight="false" outlineLevel="0" collapsed="false">
      <c r="A382" s="503" t="s">
        <v>2804</v>
      </c>
      <c r="B382" s="0" t="n">
        <v>534</v>
      </c>
      <c r="C382" s="503" t="n">
        <v>54928</v>
      </c>
      <c r="D382" s="503" t="s">
        <v>908</v>
      </c>
      <c r="E382" s="503" t="s">
        <v>371</v>
      </c>
      <c r="F382" s="503" t="s">
        <v>372</v>
      </c>
      <c r="G382" s="503" t="n">
        <v>15</v>
      </c>
      <c r="H382" s="503" t="s">
        <v>904</v>
      </c>
      <c r="I382" s="503" t="s">
        <v>1435</v>
      </c>
      <c r="J382" s="504" t="n">
        <v>27850</v>
      </c>
      <c r="K382" s="504" t="n">
        <v>15040</v>
      </c>
      <c r="L382" s="505" t="n">
        <v>6.5</v>
      </c>
      <c r="M382" s="504" t="n">
        <v>12810</v>
      </c>
      <c r="N382" s="504" t="n">
        <v>11977.3</v>
      </c>
      <c r="O382" s="504" t="s">
        <v>417</v>
      </c>
      <c r="P382" s="505" t="s">
        <v>944</v>
      </c>
      <c r="Q382" s="506" t="n">
        <v>45827</v>
      </c>
      <c r="R382" s="507" t="n">
        <v>0.0847337962962963</v>
      </c>
    </row>
    <row r="383" customFormat="false" ht="35.05" hidden="false" customHeight="false" outlineLevel="0" collapsed="false">
      <c r="A383" s="503" t="s">
        <v>2805</v>
      </c>
      <c r="B383" s="0" t="n">
        <v>535</v>
      </c>
      <c r="C383" s="503" t="n">
        <v>54929</v>
      </c>
      <c r="D383" s="503" t="s">
        <v>908</v>
      </c>
      <c r="E383" s="503" t="s">
        <v>55</v>
      </c>
      <c r="F383" s="503" t="s">
        <v>56</v>
      </c>
      <c r="G383" s="503" t="n">
        <v>15</v>
      </c>
      <c r="H383" s="503" t="s">
        <v>904</v>
      </c>
      <c r="I383" s="503" t="s">
        <v>1435</v>
      </c>
      <c r="J383" s="504" t="n">
        <v>27380</v>
      </c>
      <c r="K383" s="504" t="n">
        <v>14650</v>
      </c>
      <c r="L383" s="505" t="n">
        <v>5.5</v>
      </c>
      <c r="M383" s="504" t="n">
        <v>12730</v>
      </c>
      <c r="N383" s="504" t="n">
        <v>12029.8</v>
      </c>
      <c r="O383" s="504" t="s">
        <v>417</v>
      </c>
      <c r="P383" s="505" t="s">
        <v>945</v>
      </c>
      <c r="Q383" s="506" t="n">
        <v>45827</v>
      </c>
      <c r="R383" s="507" t="n">
        <v>0.119189814814815</v>
      </c>
    </row>
    <row r="384" customFormat="false" ht="35.05" hidden="false" customHeight="false" outlineLevel="0" collapsed="false">
      <c r="A384" s="503" t="s">
        <v>2806</v>
      </c>
      <c r="B384" s="0" t="n">
        <v>536</v>
      </c>
      <c r="C384" s="503" t="n">
        <v>54929</v>
      </c>
      <c r="D384" s="503" t="s">
        <v>908</v>
      </c>
      <c r="E384" s="503" t="s">
        <v>363</v>
      </c>
      <c r="F384" s="503" t="s">
        <v>364</v>
      </c>
      <c r="G384" s="503" t="n">
        <v>15</v>
      </c>
      <c r="H384" s="503" t="s">
        <v>904</v>
      </c>
      <c r="I384" s="503" t="s">
        <v>1435</v>
      </c>
      <c r="J384" s="504" t="n">
        <v>27650</v>
      </c>
      <c r="K384" s="504" t="n">
        <v>14660</v>
      </c>
      <c r="L384" s="505" t="n">
        <v>6.5</v>
      </c>
      <c r="M384" s="504" t="n">
        <v>12990</v>
      </c>
      <c r="N384" s="504" t="n">
        <v>12145.6</v>
      </c>
      <c r="O384" s="504" t="s">
        <v>417</v>
      </c>
      <c r="P384" s="505" t="s">
        <v>946</v>
      </c>
      <c r="Q384" s="506" t="n">
        <v>45827</v>
      </c>
      <c r="R384" s="507" t="n">
        <v>0.159768518518519</v>
      </c>
    </row>
    <row r="385" customFormat="false" ht="35.05" hidden="false" customHeight="false" outlineLevel="0" collapsed="false">
      <c r="A385" s="503" t="s">
        <v>2807</v>
      </c>
      <c r="B385" s="0" t="n">
        <v>537</v>
      </c>
      <c r="C385" s="503" t="n">
        <v>54930</v>
      </c>
      <c r="D385" s="503" t="s">
        <v>908</v>
      </c>
      <c r="E385" s="503" t="s">
        <v>382</v>
      </c>
      <c r="F385" s="503" t="s">
        <v>383</v>
      </c>
      <c r="G385" s="503" t="n">
        <v>15</v>
      </c>
      <c r="H385" s="503" t="s">
        <v>904</v>
      </c>
      <c r="I385" s="503" t="s">
        <v>1435</v>
      </c>
      <c r="J385" s="504" t="n">
        <v>28680</v>
      </c>
      <c r="K385" s="504" t="n">
        <v>14980</v>
      </c>
      <c r="L385" s="505" t="n">
        <v>8.5</v>
      </c>
      <c r="M385" s="504" t="n">
        <v>13700</v>
      </c>
      <c r="N385" s="504" t="n">
        <v>12535.5</v>
      </c>
      <c r="O385" s="504" t="s">
        <v>417</v>
      </c>
      <c r="P385" s="505" t="s">
        <v>947</v>
      </c>
      <c r="Q385" s="506" t="n">
        <v>45827</v>
      </c>
      <c r="R385" s="507" t="n">
        <v>0.222071759259259</v>
      </c>
    </row>
    <row r="386" customFormat="false" ht="35.05" hidden="false" customHeight="false" outlineLevel="0" collapsed="false">
      <c r="A386" s="503" t="s">
        <v>2808</v>
      </c>
      <c r="B386" s="0" t="n">
        <v>538</v>
      </c>
      <c r="C386" s="503" t="n">
        <v>54930</v>
      </c>
      <c r="D386" s="503" t="s">
        <v>908</v>
      </c>
      <c r="E386" s="503" t="s">
        <v>384</v>
      </c>
      <c r="F386" s="503" t="s">
        <v>385</v>
      </c>
      <c r="G386" s="503" t="n">
        <v>16</v>
      </c>
      <c r="H386" s="503" t="s">
        <v>904</v>
      </c>
      <c r="I386" s="503" t="s">
        <v>1435</v>
      </c>
      <c r="J386" s="504" t="n">
        <v>27300</v>
      </c>
      <c r="K386" s="504" t="n">
        <v>14510</v>
      </c>
      <c r="L386" s="505" t="n">
        <v>6.5</v>
      </c>
      <c r="M386" s="504" t="n">
        <v>12790</v>
      </c>
      <c r="N386" s="504" t="n">
        <v>11958.6</v>
      </c>
      <c r="O386" s="504" t="s">
        <v>417</v>
      </c>
      <c r="P386" s="505" t="s">
        <v>948</v>
      </c>
      <c r="Q386" s="506" t="n">
        <v>45827</v>
      </c>
      <c r="R386" s="507" t="n">
        <v>0.252395833333333</v>
      </c>
    </row>
    <row r="387" customFormat="false" ht="35.05" hidden="false" customHeight="false" outlineLevel="0" collapsed="false">
      <c r="A387" s="503" t="s">
        <v>2809</v>
      </c>
      <c r="B387" s="0" t="n">
        <v>539</v>
      </c>
      <c r="C387" s="503" t="n">
        <v>54931</v>
      </c>
      <c r="D387" s="503" t="s">
        <v>908</v>
      </c>
      <c r="E387" s="503" t="s">
        <v>519</v>
      </c>
      <c r="F387" s="503" t="s">
        <v>523</v>
      </c>
      <c r="G387" s="503" t="n">
        <v>16</v>
      </c>
      <c r="H387" s="503" t="s">
        <v>904</v>
      </c>
      <c r="I387" s="503" t="s">
        <v>1435</v>
      </c>
      <c r="J387" s="504" t="n">
        <v>28560</v>
      </c>
      <c r="K387" s="504" t="n">
        <v>15560</v>
      </c>
      <c r="L387" s="505" t="n">
        <v>8.5</v>
      </c>
      <c r="M387" s="504" t="n">
        <v>13000</v>
      </c>
      <c r="N387" s="504" t="n">
        <v>11895</v>
      </c>
      <c r="O387" s="504" t="s">
        <v>417</v>
      </c>
      <c r="P387" s="505" t="s">
        <v>949</v>
      </c>
      <c r="Q387" s="506" t="n">
        <v>45827</v>
      </c>
      <c r="R387" s="507" t="n">
        <v>0.2828125</v>
      </c>
    </row>
    <row r="388" customFormat="false" ht="35.05" hidden="false" customHeight="false" outlineLevel="0" collapsed="false">
      <c r="A388" s="503" t="s">
        <v>2810</v>
      </c>
      <c r="B388" s="0" t="n">
        <v>541</v>
      </c>
      <c r="C388" s="503" t="n">
        <v>54931</v>
      </c>
      <c r="D388" s="503" t="s">
        <v>908</v>
      </c>
      <c r="E388" s="503" t="s">
        <v>361</v>
      </c>
      <c r="F388" s="503" t="s">
        <v>362</v>
      </c>
      <c r="G388" s="503" t="n">
        <v>16</v>
      </c>
      <c r="H388" s="503" t="s">
        <v>904</v>
      </c>
      <c r="I388" s="503" t="s">
        <v>1435</v>
      </c>
      <c r="J388" s="504" t="n">
        <v>27680</v>
      </c>
      <c r="K388" s="504" t="n">
        <v>14660</v>
      </c>
      <c r="L388" s="505" t="n">
        <v>7.5</v>
      </c>
      <c r="M388" s="504" t="n">
        <v>13020</v>
      </c>
      <c r="N388" s="504" t="n">
        <v>12043.5</v>
      </c>
      <c r="O388" s="504" t="s">
        <v>417</v>
      </c>
      <c r="P388" s="505" t="s">
        <v>950</v>
      </c>
      <c r="Q388" s="506" t="n">
        <v>45827</v>
      </c>
      <c r="R388" s="507" t="n">
        <v>0.422465277777778</v>
      </c>
    </row>
    <row r="389" customFormat="false" ht="35.05" hidden="false" customHeight="false" outlineLevel="0" collapsed="false">
      <c r="A389" s="503" t="s">
        <v>2811</v>
      </c>
      <c r="B389" s="0" t="n">
        <v>543</v>
      </c>
      <c r="C389" s="503" t="n">
        <v>54933</v>
      </c>
      <c r="D389" s="503" t="s">
        <v>908</v>
      </c>
      <c r="E389" s="503" t="s">
        <v>439</v>
      </c>
      <c r="F389" s="503" t="s">
        <v>443</v>
      </c>
      <c r="G389" s="503" t="n">
        <v>16</v>
      </c>
      <c r="H389" s="503" t="s">
        <v>904</v>
      </c>
      <c r="I389" s="503" t="s">
        <v>1435</v>
      </c>
      <c r="J389" s="504" t="n">
        <v>37000</v>
      </c>
      <c r="K389" s="504" t="n">
        <v>23960</v>
      </c>
      <c r="L389" s="505" t="n">
        <v>6.5</v>
      </c>
      <c r="M389" s="504" t="n">
        <v>13040</v>
      </c>
      <c r="N389" s="504" t="n">
        <v>12192.4</v>
      </c>
      <c r="O389" s="504" t="s">
        <v>417</v>
      </c>
      <c r="P389" s="505" t="s">
        <v>951</v>
      </c>
      <c r="Q389" s="506" t="n">
        <v>45827</v>
      </c>
      <c r="R389" s="507" t="n">
        <v>0.454849537037037</v>
      </c>
    </row>
    <row r="390" customFormat="false" ht="35.05" hidden="false" customHeight="false" outlineLevel="0" collapsed="false">
      <c r="A390" s="503" t="s">
        <v>2812</v>
      </c>
      <c r="B390" s="0" t="n">
        <v>544</v>
      </c>
      <c r="C390" s="503" t="n">
        <v>54934</v>
      </c>
      <c r="D390" s="503" t="s">
        <v>908</v>
      </c>
      <c r="E390" s="503" t="s">
        <v>433</v>
      </c>
      <c r="F390" s="503" t="s">
        <v>437</v>
      </c>
      <c r="G390" s="503" t="n">
        <v>16</v>
      </c>
      <c r="H390" s="503" t="s">
        <v>904</v>
      </c>
      <c r="I390" s="503" t="s">
        <v>1435</v>
      </c>
      <c r="J390" s="504" t="n">
        <v>28150</v>
      </c>
      <c r="K390" s="504" t="n">
        <v>14960</v>
      </c>
      <c r="L390" s="505" t="n">
        <v>8.5</v>
      </c>
      <c r="M390" s="504" t="n">
        <v>13190</v>
      </c>
      <c r="N390" s="504" t="n">
        <v>12068.8</v>
      </c>
      <c r="O390" s="504" t="s">
        <v>417</v>
      </c>
      <c r="P390" s="505" t="s">
        <v>952</v>
      </c>
      <c r="Q390" s="506" t="n">
        <v>45827</v>
      </c>
      <c r="R390" s="507" t="n">
        <v>0.508784722222222</v>
      </c>
    </row>
    <row r="391" customFormat="false" ht="35.05" hidden="false" customHeight="false" outlineLevel="0" collapsed="false">
      <c r="A391" s="503" t="s">
        <v>2813</v>
      </c>
      <c r="B391" s="0" t="n">
        <v>547</v>
      </c>
      <c r="C391" s="503" t="n">
        <v>54934</v>
      </c>
      <c r="D391" s="503" t="s">
        <v>908</v>
      </c>
      <c r="E391" s="503" t="s">
        <v>55</v>
      </c>
      <c r="F391" s="503" t="s">
        <v>56</v>
      </c>
      <c r="G391" s="503" t="n">
        <v>16</v>
      </c>
      <c r="H391" s="503" t="s">
        <v>904</v>
      </c>
      <c r="I391" s="503" t="s">
        <v>1435</v>
      </c>
      <c r="J391" s="504" t="n">
        <v>27940</v>
      </c>
      <c r="K391" s="504" t="n">
        <v>14570</v>
      </c>
      <c r="L391" s="505" t="n">
        <v>9.5</v>
      </c>
      <c r="M391" s="504" t="n">
        <v>13370</v>
      </c>
      <c r="N391" s="504" t="n">
        <v>12099.8</v>
      </c>
      <c r="O391" s="504" t="s">
        <v>417</v>
      </c>
      <c r="P391" s="505" t="s">
        <v>953</v>
      </c>
      <c r="Q391" s="506" t="n">
        <v>45827</v>
      </c>
      <c r="R391" s="507" t="n">
        <v>0.536423611111111</v>
      </c>
    </row>
    <row r="392" customFormat="false" ht="35.05" hidden="false" customHeight="false" outlineLevel="0" collapsed="false">
      <c r="A392" s="503" t="s">
        <v>2814</v>
      </c>
      <c r="B392" s="0" t="n">
        <v>549</v>
      </c>
      <c r="C392" s="503" t="n">
        <v>54934</v>
      </c>
      <c r="D392" s="503" t="s">
        <v>908</v>
      </c>
      <c r="E392" s="503" t="s">
        <v>371</v>
      </c>
      <c r="F392" s="503" t="s">
        <v>372</v>
      </c>
      <c r="G392" s="503" t="n">
        <v>16</v>
      </c>
      <c r="H392" s="503" t="s">
        <v>904</v>
      </c>
      <c r="I392" s="503" t="s">
        <v>1435</v>
      </c>
      <c r="J392" s="504" t="n">
        <v>28260</v>
      </c>
      <c r="K392" s="504" t="n">
        <v>14960</v>
      </c>
      <c r="L392" s="505" t="n">
        <v>13</v>
      </c>
      <c r="M392" s="504" t="n">
        <v>13300</v>
      </c>
      <c r="N392" s="504" t="n">
        <v>11571</v>
      </c>
      <c r="O392" s="504" t="s">
        <v>417</v>
      </c>
      <c r="P392" s="505" t="s">
        <v>954</v>
      </c>
      <c r="Q392" s="506" t="n">
        <v>45827</v>
      </c>
      <c r="R392" s="507" t="n">
        <v>0.574421296296296</v>
      </c>
    </row>
    <row r="393" customFormat="false" ht="35.05" hidden="false" customHeight="false" outlineLevel="0" collapsed="false">
      <c r="A393" s="503" t="s">
        <v>2815</v>
      </c>
      <c r="B393" s="0" t="n">
        <v>551</v>
      </c>
      <c r="C393" s="503" t="n">
        <v>54936</v>
      </c>
      <c r="D393" s="503" t="s">
        <v>908</v>
      </c>
      <c r="E393" s="503" t="s">
        <v>427</v>
      </c>
      <c r="F393" s="503" t="s">
        <v>431</v>
      </c>
      <c r="G393" s="503" t="n">
        <v>16</v>
      </c>
      <c r="H393" s="503" t="s">
        <v>904</v>
      </c>
      <c r="I393" s="503" t="s">
        <v>1435</v>
      </c>
      <c r="J393" s="504" t="n">
        <v>34460</v>
      </c>
      <c r="K393" s="504" t="n">
        <v>21030</v>
      </c>
      <c r="L393" s="505" t="n">
        <v>12.5</v>
      </c>
      <c r="M393" s="504" t="n">
        <v>13430</v>
      </c>
      <c r="N393" s="504" t="n">
        <v>11751.2</v>
      </c>
      <c r="O393" s="504" t="s">
        <v>417</v>
      </c>
      <c r="P393" s="505" t="s">
        <v>955</v>
      </c>
      <c r="Q393" s="506" t="n">
        <v>45827</v>
      </c>
      <c r="R393" s="507" t="n">
        <v>0.740219907407407</v>
      </c>
    </row>
    <row r="394" customFormat="false" ht="35.05" hidden="false" customHeight="false" outlineLevel="0" collapsed="false">
      <c r="A394" s="503" t="s">
        <v>2816</v>
      </c>
      <c r="B394" s="0" t="n">
        <v>550</v>
      </c>
      <c r="C394" s="503" t="n">
        <v>54935</v>
      </c>
      <c r="D394" s="503" t="s">
        <v>908</v>
      </c>
      <c r="E394" s="503" t="s">
        <v>363</v>
      </c>
      <c r="F394" s="503" t="s">
        <v>364</v>
      </c>
      <c r="G394" s="503" t="n">
        <v>16</v>
      </c>
      <c r="H394" s="503" t="s">
        <v>904</v>
      </c>
      <c r="I394" s="503" t="s">
        <v>1435</v>
      </c>
      <c r="J394" s="504" t="n">
        <v>27940</v>
      </c>
      <c r="K394" s="504" t="n">
        <v>14590</v>
      </c>
      <c r="L394" s="505" t="n">
        <v>9.5</v>
      </c>
      <c r="M394" s="504" t="n">
        <v>13350</v>
      </c>
      <c r="N394" s="504" t="n">
        <v>12081.7</v>
      </c>
      <c r="O394" s="504" t="s">
        <v>417</v>
      </c>
      <c r="P394" s="505" t="s">
        <v>956</v>
      </c>
      <c r="Q394" s="506" t="n">
        <v>45827</v>
      </c>
      <c r="R394" s="507" t="n">
        <v>0.760856481481481</v>
      </c>
    </row>
    <row r="395" customFormat="false" ht="35.05" hidden="false" customHeight="false" outlineLevel="0" collapsed="false">
      <c r="A395" s="503" t="s">
        <v>2817</v>
      </c>
      <c r="B395" s="0" t="n">
        <v>552</v>
      </c>
      <c r="C395" s="503" t="n">
        <v>54936</v>
      </c>
      <c r="D395" s="503" t="s">
        <v>908</v>
      </c>
      <c r="E395" s="503" t="s">
        <v>359</v>
      </c>
      <c r="F395" s="503" t="s">
        <v>426</v>
      </c>
      <c r="G395" s="503" t="n">
        <v>16</v>
      </c>
      <c r="H395" s="503" t="s">
        <v>904</v>
      </c>
      <c r="I395" s="503" t="s">
        <v>1435</v>
      </c>
      <c r="J395" s="504" t="n">
        <v>27200</v>
      </c>
      <c r="K395" s="504" t="n">
        <v>13800</v>
      </c>
      <c r="L395" s="505" t="n">
        <v>10.5</v>
      </c>
      <c r="M395" s="504" t="n">
        <v>13400</v>
      </c>
      <c r="N395" s="504" t="n">
        <v>11993</v>
      </c>
      <c r="O395" s="504" t="s">
        <v>417</v>
      </c>
      <c r="P395" s="505" t="s">
        <v>957</v>
      </c>
      <c r="Q395" s="506" t="n">
        <v>45827</v>
      </c>
      <c r="R395" s="507" t="n">
        <v>0.780127314814815</v>
      </c>
    </row>
    <row r="396" customFormat="false" ht="35.05" hidden="false" customHeight="false" outlineLevel="0" collapsed="false">
      <c r="A396" s="503" t="s">
        <v>2818</v>
      </c>
      <c r="B396" s="0" t="n">
        <v>553</v>
      </c>
      <c r="C396" s="503" t="n">
        <v>54937</v>
      </c>
      <c r="D396" s="503" t="s">
        <v>908</v>
      </c>
      <c r="E396" s="503" t="s">
        <v>519</v>
      </c>
      <c r="F396" s="503" t="s">
        <v>523</v>
      </c>
      <c r="G396" s="503" t="n">
        <v>16</v>
      </c>
      <c r="H396" s="503" t="s">
        <v>904</v>
      </c>
      <c r="I396" s="503" t="s">
        <v>1435</v>
      </c>
      <c r="J396" s="504" t="n">
        <v>29170</v>
      </c>
      <c r="K396" s="504" t="n">
        <v>15500</v>
      </c>
      <c r="L396" s="505" t="n">
        <v>7.5</v>
      </c>
      <c r="M396" s="504" t="n">
        <v>13670</v>
      </c>
      <c r="N396" s="504" t="n">
        <v>12644.7</v>
      </c>
      <c r="O396" s="504" t="s">
        <v>417</v>
      </c>
      <c r="P396" s="505" t="s">
        <v>958</v>
      </c>
      <c r="Q396" s="506" t="n">
        <v>45827</v>
      </c>
      <c r="R396" s="507" t="n">
        <v>0.833263888888889</v>
      </c>
    </row>
    <row r="397" customFormat="false" ht="35.05" hidden="false" customHeight="false" outlineLevel="0" collapsed="false">
      <c r="A397" s="503" t="s">
        <v>2819</v>
      </c>
      <c r="B397" s="0" t="n">
        <v>555</v>
      </c>
      <c r="C397" s="503" t="n">
        <v>54937</v>
      </c>
      <c r="D397" s="503" t="s">
        <v>908</v>
      </c>
      <c r="E397" s="503" t="s">
        <v>382</v>
      </c>
      <c r="F397" s="503" t="s">
        <v>383</v>
      </c>
      <c r="G397" s="503" t="n">
        <v>16</v>
      </c>
      <c r="H397" s="503" t="s">
        <v>904</v>
      </c>
      <c r="I397" s="503" t="s">
        <v>1435</v>
      </c>
      <c r="J397" s="504" t="n">
        <v>28460</v>
      </c>
      <c r="K397" s="504" t="n">
        <v>14900</v>
      </c>
      <c r="L397" s="505" t="n">
        <v>6.5</v>
      </c>
      <c r="M397" s="504" t="n">
        <v>13560</v>
      </c>
      <c r="N397" s="504" t="n">
        <v>12678.6</v>
      </c>
      <c r="O397" s="504" t="s">
        <v>417</v>
      </c>
      <c r="P397" s="505" t="s">
        <v>959</v>
      </c>
      <c r="Q397" s="506" t="n">
        <v>45827</v>
      </c>
      <c r="R397" s="507" t="n">
        <v>0.900787037037037</v>
      </c>
    </row>
    <row r="398" customFormat="false" ht="35.05" hidden="false" customHeight="false" outlineLevel="0" collapsed="false">
      <c r="A398" s="503" t="s">
        <v>2820</v>
      </c>
      <c r="B398" s="0" t="n">
        <v>554</v>
      </c>
      <c r="C398" s="503" t="n">
        <v>54937</v>
      </c>
      <c r="D398" s="503" t="s">
        <v>908</v>
      </c>
      <c r="E398" s="503" t="s">
        <v>384</v>
      </c>
      <c r="F398" s="503" t="s">
        <v>385</v>
      </c>
      <c r="G398" s="503" t="n">
        <v>16</v>
      </c>
      <c r="H398" s="503" t="s">
        <v>904</v>
      </c>
      <c r="I398" s="503" t="s">
        <v>1435</v>
      </c>
      <c r="J398" s="504" t="n">
        <v>27920</v>
      </c>
      <c r="K398" s="504" t="n">
        <v>14400</v>
      </c>
      <c r="L398" s="505" t="n">
        <v>9.5</v>
      </c>
      <c r="M398" s="504" t="n">
        <v>13520</v>
      </c>
      <c r="N398" s="504" t="n">
        <v>12235.6</v>
      </c>
      <c r="O398" s="504" t="s">
        <v>417</v>
      </c>
      <c r="P398" s="505" t="s">
        <v>960</v>
      </c>
      <c r="Q398" s="506" t="n">
        <v>45827</v>
      </c>
      <c r="R398" s="507" t="n">
        <v>0.920509259259259</v>
      </c>
    </row>
    <row r="399" customFormat="false" ht="35.05" hidden="false" customHeight="false" outlineLevel="0" collapsed="false">
      <c r="A399" s="503" t="s">
        <v>2821</v>
      </c>
      <c r="B399" s="0" t="n">
        <v>556</v>
      </c>
      <c r="C399" s="503" t="n">
        <v>54938</v>
      </c>
      <c r="D399" s="503" t="s">
        <v>908</v>
      </c>
      <c r="E399" s="503" t="s">
        <v>361</v>
      </c>
      <c r="F399" s="503" t="s">
        <v>362</v>
      </c>
      <c r="G399" s="503" t="n">
        <v>16</v>
      </c>
      <c r="H399" s="503" t="s">
        <v>904</v>
      </c>
      <c r="I399" s="503" t="s">
        <v>1435</v>
      </c>
      <c r="J399" s="504" t="n">
        <v>28110</v>
      </c>
      <c r="K399" s="504" t="n">
        <v>14730</v>
      </c>
      <c r="L399" s="505" t="n">
        <v>8.5</v>
      </c>
      <c r="M399" s="504" t="n">
        <v>13380</v>
      </c>
      <c r="N399" s="504" t="n">
        <v>12242.7</v>
      </c>
      <c r="O399" s="504" t="s">
        <v>417</v>
      </c>
      <c r="P399" s="505" t="s">
        <v>961</v>
      </c>
      <c r="Q399" s="506" t="n">
        <v>45827</v>
      </c>
      <c r="R399" s="507" t="n">
        <v>0.902048611111111</v>
      </c>
    </row>
    <row r="400" customFormat="false" ht="35.05" hidden="false" customHeight="false" outlineLevel="0" collapsed="false">
      <c r="A400" s="503" t="s">
        <v>2822</v>
      </c>
      <c r="B400" s="0" t="n">
        <v>557</v>
      </c>
      <c r="C400" s="503" t="n">
        <v>54938</v>
      </c>
      <c r="D400" s="503" t="s">
        <v>908</v>
      </c>
      <c r="E400" s="503" t="s">
        <v>433</v>
      </c>
      <c r="F400" s="503" t="s">
        <v>437</v>
      </c>
      <c r="G400" s="503" t="n">
        <v>16</v>
      </c>
      <c r="H400" s="503" t="s">
        <v>904</v>
      </c>
      <c r="I400" s="503" t="s">
        <v>1435</v>
      </c>
      <c r="J400" s="504" t="n">
        <v>28060</v>
      </c>
      <c r="K400" s="504" t="n">
        <v>14890</v>
      </c>
      <c r="L400" s="505" t="n">
        <v>6.5</v>
      </c>
      <c r="M400" s="504" t="n">
        <v>13170</v>
      </c>
      <c r="N400" s="504" t="n">
        <v>12313.9</v>
      </c>
      <c r="O400" s="504" t="s">
        <v>746</v>
      </c>
      <c r="P400" s="505" t="s">
        <v>962</v>
      </c>
      <c r="Q400" s="506" t="n">
        <v>45827</v>
      </c>
      <c r="R400" s="507" t="n">
        <v>0.938020833333333</v>
      </c>
    </row>
    <row r="401" customFormat="false" ht="35.05" hidden="false" customHeight="false" outlineLevel="0" collapsed="false">
      <c r="A401" s="503" t="s">
        <v>2823</v>
      </c>
      <c r="B401" s="0" t="n">
        <v>559</v>
      </c>
      <c r="C401" s="503" t="n">
        <v>54939</v>
      </c>
      <c r="D401" s="503" t="s">
        <v>908</v>
      </c>
      <c r="E401" s="503" t="s">
        <v>371</v>
      </c>
      <c r="F401" s="503" t="s">
        <v>372</v>
      </c>
      <c r="G401" s="503" t="n">
        <v>16</v>
      </c>
      <c r="H401" s="503" t="s">
        <v>904</v>
      </c>
      <c r="I401" s="503" t="s">
        <v>1435</v>
      </c>
      <c r="J401" s="504" t="n">
        <v>28140</v>
      </c>
      <c r="K401" s="504" t="n">
        <v>15020</v>
      </c>
      <c r="L401" s="505" t="n">
        <v>5.5</v>
      </c>
      <c r="M401" s="504" t="n">
        <v>13120</v>
      </c>
      <c r="N401" s="504" t="n">
        <v>12398.4</v>
      </c>
      <c r="O401" s="504" t="s">
        <v>746</v>
      </c>
      <c r="P401" s="505" t="s">
        <v>963</v>
      </c>
      <c r="Q401" s="506" t="n">
        <v>45827</v>
      </c>
      <c r="R401" s="507" t="n">
        <v>0.98474537037037</v>
      </c>
    </row>
    <row r="402" customFormat="false" ht="35.05" hidden="false" customHeight="false" outlineLevel="0" collapsed="false">
      <c r="A402" s="503" t="s">
        <v>2824</v>
      </c>
      <c r="B402" s="0" t="n">
        <v>558</v>
      </c>
      <c r="C402" s="503" t="n">
        <v>54939</v>
      </c>
      <c r="D402" s="503" t="s">
        <v>908</v>
      </c>
      <c r="E402" s="503" t="s">
        <v>439</v>
      </c>
      <c r="F402" s="503" t="s">
        <v>443</v>
      </c>
      <c r="G402" s="503" t="n">
        <v>16</v>
      </c>
      <c r="H402" s="503" t="s">
        <v>904</v>
      </c>
      <c r="I402" s="503" t="s">
        <v>1435</v>
      </c>
      <c r="J402" s="504" t="n">
        <v>37150</v>
      </c>
      <c r="K402" s="504" t="n">
        <v>24140</v>
      </c>
      <c r="L402" s="505" t="n">
        <v>6.5</v>
      </c>
      <c r="M402" s="504" t="n">
        <v>13010</v>
      </c>
      <c r="N402" s="504" t="n">
        <v>12164.3</v>
      </c>
      <c r="O402" s="504" t="s">
        <v>746</v>
      </c>
      <c r="P402" s="505" t="s">
        <v>964</v>
      </c>
      <c r="Q402" s="506" t="n">
        <v>45827</v>
      </c>
      <c r="R402" s="507" t="n">
        <v>0.96224537037037</v>
      </c>
    </row>
    <row r="403" customFormat="false" ht="35.05" hidden="false" customHeight="false" outlineLevel="0" collapsed="false">
      <c r="A403" s="503" t="s">
        <v>2825</v>
      </c>
      <c r="B403" s="0" t="n">
        <v>561</v>
      </c>
      <c r="C403" s="503" t="n">
        <v>54940</v>
      </c>
      <c r="D403" s="503" t="s">
        <v>908</v>
      </c>
      <c r="E403" s="503" t="s">
        <v>365</v>
      </c>
      <c r="F403" s="503" t="s">
        <v>373</v>
      </c>
      <c r="G403" s="503" t="n">
        <v>16</v>
      </c>
      <c r="H403" s="503" t="s">
        <v>904</v>
      </c>
      <c r="I403" s="503" t="s">
        <v>1435</v>
      </c>
      <c r="J403" s="504" t="n">
        <v>31800</v>
      </c>
      <c r="K403" s="504" t="n">
        <v>18680</v>
      </c>
      <c r="L403" s="505" t="n">
        <v>6.5</v>
      </c>
      <c r="M403" s="504" t="n">
        <v>13120</v>
      </c>
      <c r="N403" s="504" t="n">
        <v>12267.2</v>
      </c>
      <c r="O403" s="504" t="s">
        <v>746</v>
      </c>
      <c r="P403" s="505" t="s">
        <v>965</v>
      </c>
      <c r="Q403" s="506" t="n">
        <v>45828</v>
      </c>
      <c r="R403" s="507" t="n">
        <v>0.278865740740741</v>
      </c>
    </row>
    <row r="404" customFormat="false" ht="35.05" hidden="false" customHeight="false" outlineLevel="0" collapsed="false">
      <c r="A404" s="503" t="s">
        <v>2826</v>
      </c>
      <c r="B404" s="0" t="n">
        <v>560</v>
      </c>
      <c r="C404" s="503" t="n">
        <v>54940</v>
      </c>
      <c r="D404" s="503" t="s">
        <v>908</v>
      </c>
      <c r="E404" s="503" t="s">
        <v>363</v>
      </c>
      <c r="F404" s="503" t="s">
        <v>364</v>
      </c>
      <c r="G404" s="503" t="n">
        <v>16</v>
      </c>
      <c r="H404" s="503" t="s">
        <v>904</v>
      </c>
      <c r="I404" s="503" t="s">
        <v>1435</v>
      </c>
      <c r="J404" s="504" t="n">
        <v>27710</v>
      </c>
      <c r="K404" s="504" t="n">
        <v>14530</v>
      </c>
      <c r="L404" s="505" t="n">
        <v>5.5</v>
      </c>
      <c r="M404" s="504" t="n">
        <v>13180</v>
      </c>
      <c r="N404" s="504" t="n">
        <v>12455.1</v>
      </c>
      <c r="O404" s="504" t="s">
        <v>746</v>
      </c>
      <c r="P404" s="505" t="s">
        <v>966</v>
      </c>
      <c r="Q404" s="506" t="n">
        <v>45828</v>
      </c>
      <c r="R404" s="507" t="n">
        <v>0.32900462962963</v>
      </c>
    </row>
    <row r="405" customFormat="false" ht="35.05" hidden="false" customHeight="false" outlineLevel="0" collapsed="false">
      <c r="A405" s="503" t="s">
        <v>2827</v>
      </c>
      <c r="B405" s="0" t="n">
        <v>562</v>
      </c>
      <c r="C405" s="503" t="n">
        <v>54941</v>
      </c>
      <c r="D405" s="503" t="s">
        <v>908</v>
      </c>
      <c r="E405" s="503" t="s">
        <v>359</v>
      </c>
      <c r="F405" s="503" t="s">
        <v>426</v>
      </c>
      <c r="G405" s="503" t="n">
        <v>16</v>
      </c>
      <c r="H405" s="503" t="s">
        <v>904</v>
      </c>
      <c r="I405" s="503" t="s">
        <v>1435</v>
      </c>
      <c r="J405" s="504" t="n">
        <v>27470</v>
      </c>
      <c r="K405" s="504" t="n">
        <v>13870</v>
      </c>
      <c r="L405" s="505" t="n">
        <v>5.5</v>
      </c>
      <c r="M405" s="504" t="n">
        <v>13600</v>
      </c>
      <c r="N405" s="504" t="n">
        <v>12852</v>
      </c>
      <c r="O405" s="504" t="s">
        <v>746</v>
      </c>
      <c r="P405" s="505" t="s">
        <v>967</v>
      </c>
      <c r="Q405" s="506" t="n">
        <v>45828</v>
      </c>
      <c r="R405" s="507" t="n">
        <v>0.33650462962963</v>
      </c>
    </row>
    <row r="406" customFormat="false" ht="35.05" hidden="false" customHeight="false" outlineLevel="0" collapsed="false">
      <c r="A406" s="503" t="s">
        <v>2828</v>
      </c>
      <c r="B406" s="0" t="n">
        <v>564</v>
      </c>
      <c r="C406" s="503" t="n">
        <v>54942</v>
      </c>
      <c r="D406" s="503" t="s">
        <v>908</v>
      </c>
      <c r="E406" s="503" t="s">
        <v>427</v>
      </c>
      <c r="F406" s="503" t="s">
        <v>431</v>
      </c>
      <c r="G406" s="503" t="n">
        <v>14</v>
      </c>
      <c r="H406" s="503" t="s">
        <v>904</v>
      </c>
      <c r="I406" s="503" t="s">
        <v>1435</v>
      </c>
      <c r="J406" s="504" t="n">
        <v>34090</v>
      </c>
      <c r="K406" s="504" t="n">
        <v>21010</v>
      </c>
      <c r="L406" s="505" t="n">
        <v>5.5</v>
      </c>
      <c r="M406" s="504" t="n">
        <v>13080</v>
      </c>
      <c r="N406" s="504" t="n">
        <v>12360.6</v>
      </c>
      <c r="O406" s="504" t="s">
        <v>746</v>
      </c>
      <c r="P406" s="505" t="s">
        <v>968</v>
      </c>
      <c r="Q406" s="506" t="n">
        <v>45828</v>
      </c>
      <c r="R406" s="507" t="n">
        <v>0.442083333333333</v>
      </c>
    </row>
    <row r="407" customFormat="false" ht="35.05" hidden="false" customHeight="false" outlineLevel="0" collapsed="false">
      <c r="A407" s="503" t="s">
        <v>2829</v>
      </c>
      <c r="B407" s="0" t="n">
        <v>563</v>
      </c>
      <c r="C407" s="503" t="n">
        <v>54941</v>
      </c>
      <c r="D407" s="503" t="s">
        <v>908</v>
      </c>
      <c r="E407" s="503" t="s">
        <v>519</v>
      </c>
      <c r="F407" s="503" t="s">
        <v>523</v>
      </c>
      <c r="G407" s="503" t="n">
        <v>14</v>
      </c>
      <c r="H407" s="503" t="s">
        <v>904</v>
      </c>
      <c r="I407" s="503" t="s">
        <v>1435</v>
      </c>
      <c r="J407" s="504" t="n">
        <v>28800</v>
      </c>
      <c r="K407" s="504" t="n">
        <v>15600</v>
      </c>
      <c r="L407" s="505" t="n">
        <v>5.5</v>
      </c>
      <c r="M407" s="504" t="n">
        <v>13200</v>
      </c>
      <c r="N407" s="504" t="n">
        <v>12474</v>
      </c>
      <c r="O407" s="504" t="s">
        <v>886</v>
      </c>
      <c r="P407" s="505" t="s">
        <v>969</v>
      </c>
      <c r="Q407" s="506" t="n">
        <v>45828</v>
      </c>
      <c r="R407" s="507" t="n">
        <v>0.468252314814815</v>
      </c>
    </row>
    <row r="408" customFormat="false" ht="35.05" hidden="false" customHeight="false" outlineLevel="0" collapsed="false">
      <c r="A408" s="503" t="s">
        <v>2830</v>
      </c>
      <c r="B408" s="0" t="n">
        <v>566</v>
      </c>
      <c r="C408" s="503" t="n">
        <v>54943</v>
      </c>
      <c r="D408" s="503" t="s">
        <v>908</v>
      </c>
      <c r="E408" s="503" t="s">
        <v>371</v>
      </c>
      <c r="F408" s="503" t="s">
        <v>372</v>
      </c>
      <c r="G408" s="503" t="n">
        <v>14</v>
      </c>
      <c r="H408" s="503" t="s">
        <v>904</v>
      </c>
      <c r="I408" s="503" t="s">
        <v>1435</v>
      </c>
      <c r="J408" s="504" t="n">
        <v>28200</v>
      </c>
      <c r="K408" s="504" t="n">
        <v>14990</v>
      </c>
      <c r="L408" s="505" t="n">
        <v>6.5</v>
      </c>
      <c r="M408" s="504" t="n">
        <v>13210</v>
      </c>
      <c r="N408" s="504" t="n">
        <v>12351.3</v>
      </c>
      <c r="O408" s="504" t="s">
        <v>746</v>
      </c>
      <c r="P408" s="505" t="s">
        <v>970</v>
      </c>
      <c r="Q408" s="506" t="n">
        <v>45828</v>
      </c>
      <c r="R408" s="507" t="n">
        <v>0.560648148148148</v>
      </c>
    </row>
    <row r="409" customFormat="false" ht="35.05" hidden="false" customHeight="false" outlineLevel="0" collapsed="false">
      <c r="A409" s="503" t="s">
        <v>2831</v>
      </c>
      <c r="B409" s="0" t="n">
        <v>565</v>
      </c>
      <c r="C409" s="503" t="n">
        <v>54943</v>
      </c>
      <c r="D409" s="503" t="s">
        <v>908</v>
      </c>
      <c r="E409" s="503" t="s">
        <v>361</v>
      </c>
      <c r="F409" s="503" t="s">
        <v>362</v>
      </c>
      <c r="G409" s="503" t="n">
        <v>14</v>
      </c>
      <c r="H409" s="503" t="s">
        <v>904</v>
      </c>
      <c r="I409" s="503" t="s">
        <v>1435</v>
      </c>
      <c r="J409" s="504" t="n">
        <v>27720</v>
      </c>
      <c r="K409" s="504" t="n">
        <v>14720</v>
      </c>
      <c r="L409" s="505" t="n">
        <v>6.5</v>
      </c>
      <c r="M409" s="504" t="n">
        <v>13000</v>
      </c>
      <c r="N409" s="504" t="n">
        <v>12155</v>
      </c>
      <c r="O409" s="504" t="s">
        <v>746</v>
      </c>
      <c r="P409" s="505" t="s">
        <v>971</v>
      </c>
      <c r="Q409" s="506" t="n">
        <v>45828</v>
      </c>
      <c r="R409" s="507" t="n">
        <v>0.58974537037037</v>
      </c>
    </row>
    <row r="410" customFormat="false" ht="35.05" hidden="false" customHeight="false" outlineLevel="0" collapsed="false">
      <c r="A410" s="503" t="s">
        <v>2832</v>
      </c>
      <c r="B410" s="0" t="n">
        <v>573</v>
      </c>
      <c r="C410" s="503" t="n">
        <v>54944</v>
      </c>
      <c r="D410" s="503" t="s">
        <v>908</v>
      </c>
      <c r="E410" s="503" t="s">
        <v>433</v>
      </c>
      <c r="F410" s="503" t="s">
        <v>437</v>
      </c>
      <c r="G410" s="503" t="n">
        <v>14</v>
      </c>
      <c r="H410" s="503" t="s">
        <v>904</v>
      </c>
      <c r="I410" s="503" t="s">
        <v>1435</v>
      </c>
      <c r="J410" s="504" t="n">
        <v>27940</v>
      </c>
      <c r="K410" s="504" t="n">
        <v>14850</v>
      </c>
      <c r="L410" s="505" t="n">
        <v>6.5</v>
      </c>
      <c r="M410" s="504" t="n">
        <v>13090</v>
      </c>
      <c r="N410" s="504" t="n">
        <v>12239.1</v>
      </c>
      <c r="O410" s="504" t="s">
        <v>746</v>
      </c>
      <c r="P410" s="505" t="s">
        <v>972</v>
      </c>
      <c r="Q410" s="506" t="n">
        <v>45828</v>
      </c>
      <c r="R410" s="507" t="n">
        <v>0.720115740740741</v>
      </c>
    </row>
    <row r="411" customFormat="false" ht="35.05" hidden="false" customHeight="false" outlineLevel="0" collapsed="false">
      <c r="A411" s="503" t="s">
        <v>2833</v>
      </c>
      <c r="B411" s="0" t="n">
        <v>570</v>
      </c>
      <c r="C411" s="503" t="n">
        <v>54944</v>
      </c>
      <c r="D411" s="503" t="s">
        <v>908</v>
      </c>
      <c r="E411" s="503" t="s">
        <v>439</v>
      </c>
      <c r="F411" s="503" t="s">
        <v>443</v>
      </c>
      <c r="G411" s="503" t="n">
        <v>14</v>
      </c>
      <c r="H411" s="503" t="s">
        <v>904</v>
      </c>
      <c r="I411" s="503" t="s">
        <v>1435</v>
      </c>
      <c r="J411" s="504" t="n">
        <v>37320</v>
      </c>
      <c r="K411" s="504" t="n">
        <v>24060</v>
      </c>
      <c r="L411" s="505" t="n">
        <v>4.5</v>
      </c>
      <c r="M411" s="504" t="n">
        <v>13260</v>
      </c>
      <c r="N411" s="504" t="n">
        <v>12663.3</v>
      </c>
      <c r="O411" s="504" t="s">
        <v>886</v>
      </c>
      <c r="P411" s="505" t="s">
        <v>973</v>
      </c>
      <c r="Q411" s="506" t="n">
        <v>45828</v>
      </c>
      <c r="R411" s="507" t="n">
        <v>0.725069444444444</v>
      </c>
    </row>
    <row r="412" customFormat="false" ht="35.05" hidden="false" customHeight="false" outlineLevel="0" collapsed="false">
      <c r="A412" s="503" t="s">
        <v>2834</v>
      </c>
      <c r="B412" s="0" t="n">
        <v>577</v>
      </c>
      <c r="C412" s="503" t="n">
        <v>54945</v>
      </c>
      <c r="D412" s="503" t="s">
        <v>908</v>
      </c>
      <c r="E412" s="503" t="s">
        <v>365</v>
      </c>
      <c r="F412" s="503" t="s">
        <v>373</v>
      </c>
      <c r="G412" s="503" t="n">
        <v>14</v>
      </c>
      <c r="H412" s="503" t="s">
        <v>904</v>
      </c>
      <c r="I412" s="503" t="s">
        <v>1435</v>
      </c>
      <c r="J412" s="504" t="n">
        <v>31390</v>
      </c>
      <c r="K412" s="504" t="n">
        <v>18620</v>
      </c>
      <c r="L412" s="505" t="n">
        <v>5.5</v>
      </c>
      <c r="M412" s="504" t="n">
        <v>12770</v>
      </c>
      <c r="N412" s="504" t="n">
        <v>12067.6</v>
      </c>
      <c r="O412" s="504" t="s">
        <v>746</v>
      </c>
      <c r="P412" s="505" t="s">
        <v>974</v>
      </c>
      <c r="Q412" s="506" t="n">
        <v>45828</v>
      </c>
      <c r="R412" s="507" t="n">
        <v>0.766215277777778</v>
      </c>
    </row>
    <row r="413" customFormat="false" ht="35.05" hidden="false" customHeight="false" outlineLevel="0" collapsed="false">
      <c r="A413" s="503" t="s">
        <v>2835</v>
      </c>
      <c r="B413" s="0" t="n">
        <v>574</v>
      </c>
      <c r="C413" s="503" t="n">
        <v>54944</v>
      </c>
      <c r="D413" s="503" t="s">
        <v>908</v>
      </c>
      <c r="E413" s="503" t="s">
        <v>55</v>
      </c>
      <c r="F413" s="503" t="s">
        <v>56</v>
      </c>
      <c r="G413" s="503" t="n">
        <v>14</v>
      </c>
      <c r="H413" s="503" t="s">
        <v>904</v>
      </c>
      <c r="I413" s="503" t="s">
        <v>1435</v>
      </c>
      <c r="J413" s="504" t="n">
        <v>27580</v>
      </c>
      <c r="K413" s="504" t="n">
        <v>14620</v>
      </c>
      <c r="L413" s="505" t="n">
        <v>3.5</v>
      </c>
      <c r="M413" s="504" t="n">
        <v>12960</v>
      </c>
      <c r="N413" s="504" t="n">
        <v>12506.4</v>
      </c>
      <c r="O413" s="504" t="s">
        <v>746</v>
      </c>
      <c r="P413" s="505" t="s">
        <v>975</v>
      </c>
      <c r="Q413" s="506" t="n">
        <v>45828</v>
      </c>
      <c r="R413" s="507" t="n">
        <v>0.863020833333333</v>
      </c>
    </row>
    <row r="414" customFormat="false" ht="35.05" hidden="false" customHeight="false" outlineLevel="0" collapsed="false">
      <c r="A414" s="503" t="s">
        <v>2836</v>
      </c>
      <c r="B414" s="0" t="n">
        <v>579</v>
      </c>
      <c r="C414" s="503" t="n">
        <v>54945</v>
      </c>
      <c r="D414" s="503" t="s">
        <v>908</v>
      </c>
      <c r="E414" s="503" t="s">
        <v>359</v>
      </c>
      <c r="F414" s="503" t="s">
        <v>426</v>
      </c>
      <c r="G414" s="503" t="n">
        <v>14</v>
      </c>
      <c r="H414" s="503" t="s">
        <v>904</v>
      </c>
      <c r="I414" s="503" t="s">
        <v>1435</v>
      </c>
      <c r="J414" s="504" t="n">
        <v>26510</v>
      </c>
      <c r="K414" s="504" t="n">
        <v>13850</v>
      </c>
      <c r="L414" s="505" t="n">
        <v>6.5</v>
      </c>
      <c r="M414" s="504" t="n">
        <v>12660</v>
      </c>
      <c r="N414" s="504" t="n">
        <v>11837.1</v>
      </c>
      <c r="O414" s="504" t="s">
        <v>746</v>
      </c>
      <c r="P414" s="505" t="s">
        <v>976</v>
      </c>
      <c r="Q414" s="506" t="n">
        <v>45828</v>
      </c>
      <c r="R414" s="507" t="n">
        <v>0.879444444444445</v>
      </c>
    </row>
    <row r="415" customFormat="false" ht="35.05" hidden="false" customHeight="false" outlineLevel="0" collapsed="false">
      <c r="A415" s="503" t="s">
        <v>2837</v>
      </c>
      <c r="B415" s="0" t="n">
        <v>580</v>
      </c>
      <c r="C415" s="503" t="n">
        <v>54946</v>
      </c>
      <c r="D415" s="503" t="s">
        <v>908</v>
      </c>
      <c r="E415" s="503" t="s">
        <v>363</v>
      </c>
      <c r="F415" s="503" t="s">
        <v>364</v>
      </c>
      <c r="G415" s="503" t="n">
        <v>14</v>
      </c>
      <c r="H415" s="503" t="s">
        <v>904</v>
      </c>
      <c r="I415" s="503" t="s">
        <v>1435</v>
      </c>
      <c r="J415" s="504" t="n">
        <v>27160</v>
      </c>
      <c r="K415" s="504" t="n">
        <v>14540</v>
      </c>
      <c r="L415" s="505" t="n">
        <v>7.5</v>
      </c>
      <c r="M415" s="504" t="n">
        <v>12620</v>
      </c>
      <c r="N415" s="504" t="n">
        <v>11673.5</v>
      </c>
      <c r="O415" s="504" t="s">
        <v>746</v>
      </c>
      <c r="P415" s="505" t="s">
        <v>977</v>
      </c>
      <c r="Q415" s="506" t="n">
        <v>45828</v>
      </c>
      <c r="R415" s="507" t="n">
        <v>0.900914351851852</v>
      </c>
    </row>
    <row r="416" customFormat="false" ht="35.05" hidden="false" customHeight="false" outlineLevel="0" collapsed="false">
      <c r="A416" s="503" t="s">
        <v>2838</v>
      </c>
      <c r="B416" s="0" t="n">
        <v>582</v>
      </c>
      <c r="C416" s="503" t="n">
        <v>54947</v>
      </c>
      <c r="D416" s="503" t="s">
        <v>908</v>
      </c>
      <c r="E416" s="503" t="s">
        <v>519</v>
      </c>
      <c r="F416" s="503" t="s">
        <v>523</v>
      </c>
      <c r="G416" s="503" t="n">
        <v>14</v>
      </c>
      <c r="H416" s="503" t="s">
        <v>904</v>
      </c>
      <c r="I416" s="503" t="s">
        <v>1435</v>
      </c>
      <c r="J416" s="504" t="n">
        <v>28420</v>
      </c>
      <c r="K416" s="504" t="n">
        <v>15670</v>
      </c>
      <c r="L416" s="505" t="n">
        <v>7.5</v>
      </c>
      <c r="M416" s="504" t="n">
        <v>12750</v>
      </c>
      <c r="N416" s="504" t="n">
        <v>11793.7</v>
      </c>
      <c r="O416" s="504" t="s">
        <v>746</v>
      </c>
      <c r="P416" s="505" t="s">
        <v>978</v>
      </c>
      <c r="Q416" s="506" t="n">
        <v>45828</v>
      </c>
      <c r="R416" s="507" t="n">
        <v>0.954328703703704</v>
      </c>
    </row>
    <row r="417" customFormat="false" ht="35.05" hidden="false" customHeight="false" outlineLevel="0" collapsed="false">
      <c r="A417" s="503" t="s">
        <v>2839</v>
      </c>
      <c r="B417" s="0" t="n">
        <v>581</v>
      </c>
      <c r="C417" s="503" t="n">
        <v>54947</v>
      </c>
      <c r="D417" s="503" t="s">
        <v>908</v>
      </c>
      <c r="E417" s="503" t="s">
        <v>427</v>
      </c>
      <c r="F417" s="503" t="s">
        <v>431</v>
      </c>
      <c r="G417" s="503" t="n">
        <v>14</v>
      </c>
      <c r="H417" s="503" t="s">
        <v>904</v>
      </c>
      <c r="I417" s="503" t="s">
        <v>1435</v>
      </c>
      <c r="J417" s="504" t="n">
        <v>33730</v>
      </c>
      <c r="K417" s="504" t="n">
        <v>21060</v>
      </c>
      <c r="L417" s="505" t="n">
        <v>5.5</v>
      </c>
      <c r="M417" s="504" t="n">
        <v>12670</v>
      </c>
      <c r="N417" s="504" t="n">
        <v>11973.1</v>
      </c>
      <c r="O417" s="504" t="s">
        <v>746</v>
      </c>
      <c r="P417" s="505" t="s">
        <v>979</v>
      </c>
      <c r="Q417" s="506" t="n">
        <v>45828</v>
      </c>
      <c r="R417" s="507" t="n">
        <v>0.698101851851852</v>
      </c>
    </row>
    <row r="418" customFormat="false" ht="35.05" hidden="false" customHeight="false" outlineLevel="0" collapsed="false">
      <c r="A418" s="503" t="s">
        <v>2840</v>
      </c>
      <c r="B418" s="509" t="n">
        <v>583</v>
      </c>
      <c r="C418" s="503" t="n">
        <v>54948</v>
      </c>
      <c r="D418" s="503" t="s">
        <v>908</v>
      </c>
      <c r="E418" s="503" t="s">
        <v>371</v>
      </c>
      <c r="F418" s="503" t="s">
        <v>372</v>
      </c>
      <c r="G418" s="503" t="n">
        <v>14</v>
      </c>
      <c r="H418" s="503" t="s">
        <v>904</v>
      </c>
      <c r="I418" s="503" t="s">
        <v>1435</v>
      </c>
      <c r="J418" s="504" t="n">
        <v>28000</v>
      </c>
      <c r="K418" s="504" t="n">
        <v>15180</v>
      </c>
      <c r="L418" s="505" t="n">
        <v>8.5</v>
      </c>
      <c r="M418" s="504" t="n">
        <v>12820</v>
      </c>
      <c r="N418" s="504" t="n">
        <v>11730.3</v>
      </c>
      <c r="O418" s="504" t="s">
        <v>746</v>
      </c>
      <c r="P418" s="505" t="s">
        <v>980</v>
      </c>
      <c r="Q418" s="506" t="n">
        <v>45828</v>
      </c>
      <c r="R418" s="507" t="n">
        <v>0.77212962962963</v>
      </c>
    </row>
    <row r="419" customFormat="false" ht="35.05" hidden="false" customHeight="false" outlineLevel="0" collapsed="false">
      <c r="A419" s="503" t="s">
        <v>2841</v>
      </c>
      <c r="B419" s="509" t="n">
        <v>584</v>
      </c>
      <c r="C419" s="503" t="n">
        <v>54948</v>
      </c>
      <c r="D419" s="503" t="s">
        <v>908</v>
      </c>
      <c r="E419" s="503" t="s">
        <v>457</v>
      </c>
      <c r="F419" s="503" t="s">
        <v>366</v>
      </c>
      <c r="G419" s="503" t="n">
        <v>14</v>
      </c>
      <c r="H419" s="503" t="s">
        <v>904</v>
      </c>
      <c r="I419" s="503" t="s">
        <v>1435</v>
      </c>
      <c r="J419" s="504" t="n">
        <v>28060</v>
      </c>
      <c r="K419" s="504" t="n">
        <v>15250</v>
      </c>
      <c r="L419" s="505" t="n">
        <v>8</v>
      </c>
      <c r="M419" s="504" t="n">
        <v>12810</v>
      </c>
      <c r="N419" s="504" t="n">
        <v>11785.2</v>
      </c>
      <c r="O419" s="504" t="s">
        <v>746</v>
      </c>
      <c r="P419" s="505" t="s">
        <v>981</v>
      </c>
      <c r="Q419" s="506" t="n">
        <v>45828</v>
      </c>
      <c r="R419" s="507" t="n">
        <v>0.986446759259259</v>
      </c>
    </row>
    <row r="420" customFormat="false" ht="35.05" hidden="false" customHeight="false" outlineLevel="0" collapsed="false">
      <c r="A420" s="503" t="s">
        <v>2842</v>
      </c>
      <c r="B420" s="509" t="n">
        <v>585</v>
      </c>
      <c r="C420" s="503" t="n">
        <v>54951</v>
      </c>
      <c r="D420" s="503" t="s">
        <v>908</v>
      </c>
      <c r="E420" s="503" t="s">
        <v>433</v>
      </c>
      <c r="F420" s="503" t="s">
        <v>437</v>
      </c>
      <c r="G420" s="503" t="n">
        <v>14</v>
      </c>
      <c r="H420" s="503" t="s">
        <v>904</v>
      </c>
      <c r="I420" s="503" t="s">
        <v>1435</v>
      </c>
      <c r="J420" s="504" t="n">
        <v>27900</v>
      </c>
      <c r="K420" s="504" t="n">
        <v>15330</v>
      </c>
      <c r="L420" s="505" t="n">
        <v>6.5</v>
      </c>
      <c r="M420" s="504" t="n">
        <v>12570</v>
      </c>
      <c r="N420" s="504" t="n">
        <v>11752.9</v>
      </c>
      <c r="O420" s="504" t="s">
        <v>746</v>
      </c>
      <c r="P420" s="505" t="s">
        <v>982</v>
      </c>
      <c r="Q420" s="506" t="n">
        <v>45829</v>
      </c>
      <c r="R420" s="507" t="n">
        <v>0.101863425925926</v>
      </c>
    </row>
    <row r="421" customFormat="false" ht="35.05" hidden="false" customHeight="false" outlineLevel="0" collapsed="false">
      <c r="A421" s="503" t="s">
        <v>2843</v>
      </c>
      <c r="B421" s="509" t="n">
        <v>586</v>
      </c>
      <c r="C421" s="510" t="n">
        <v>54952</v>
      </c>
      <c r="D421" s="503" t="s">
        <v>908</v>
      </c>
      <c r="E421" s="503" t="s">
        <v>439</v>
      </c>
      <c r="F421" s="503" t="s">
        <v>443</v>
      </c>
      <c r="G421" s="503" t="n">
        <v>14</v>
      </c>
      <c r="H421" s="503" t="s">
        <v>904</v>
      </c>
      <c r="I421" s="503" t="s">
        <v>1435</v>
      </c>
      <c r="J421" s="504" t="n">
        <v>37180</v>
      </c>
      <c r="K421" s="504" t="n">
        <v>24450</v>
      </c>
      <c r="L421" s="511" t="n">
        <v>11.5</v>
      </c>
      <c r="M421" s="504" t="n">
        <v>12730</v>
      </c>
      <c r="N421" s="504" t="n">
        <v>11266</v>
      </c>
      <c r="O421" s="504" t="s">
        <v>746</v>
      </c>
      <c r="P421" s="505" t="s">
        <v>983</v>
      </c>
      <c r="Q421" s="506" t="n">
        <v>45829</v>
      </c>
      <c r="R421" s="507" t="n">
        <v>0.153240740740741</v>
      </c>
    </row>
    <row r="422" customFormat="false" ht="35.05" hidden="false" customHeight="false" outlineLevel="0" collapsed="false">
      <c r="A422" s="503" t="s">
        <v>2844</v>
      </c>
      <c r="B422" s="509" t="n">
        <v>587</v>
      </c>
      <c r="C422" s="510" t="n">
        <v>54952</v>
      </c>
      <c r="D422" s="503" t="s">
        <v>908</v>
      </c>
      <c r="E422" s="503" t="s">
        <v>365</v>
      </c>
      <c r="F422" s="503" t="s">
        <v>373</v>
      </c>
      <c r="G422" s="503" t="n">
        <v>14</v>
      </c>
      <c r="H422" s="503" t="s">
        <v>904</v>
      </c>
      <c r="I422" s="503" t="s">
        <v>1435</v>
      </c>
      <c r="J422" s="504" t="n">
        <v>31680</v>
      </c>
      <c r="K422" s="504" t="n">
        <v>18960</v>
      </c>
      <c r="L422" s="511" t="n">
        <v>10</v>
      </c>
      <c r="M422" s="504" t="n">
        <v>12720</v>
      </c>
      <c r="N422" s="504" t="n">
        <v>11448</v>
      </c>
      <c r="O422" s="504" t="s">
        <v>417</v>
      </c>
      <c r="P422" s="505" t="s">
        <v>984</v>
      </c>
      <c r="Q422" s="506" t="n">
        <v>45829</v>
      </c>
      <c r="R422" s="507" t="n">
        <v>0.206134259259259</v>
      </c>
    </row>
    <row r="423" customFormat="false" ht="35.05" hidden="false" customHeight="false" outlineLevel="0" collapsed="false">
      <c r="A423" s="503" t="s">
        <v>2845</v>
      </c>
      <c r="B423" s="509" t="n">
        <v>588</v>
      </c>
      <c r="C423" s="510" t="n">
        <v>54953</v>
      </c>
      <c r="D423" s="503" t="s">
        <v>908</v>
      </c>
      <c r="E423" s="503" t="s">
        <v>386</v>
      </c>
      <c r="F423" s="503" t="s">
        <v>387</v>
      </c>
      <c r="G423" s="503" t="n">
        <v>14</v>
      </c>
      <c r="H423" s="503" t="s">
        <v>904</v>
      </c>
      <c r="I423" s="503" t="s">
        <v>1435</v>
      </c>
      <c r="J423" s="504" t="n">
        <v>28170</v>
      </c>
      <c r="K423" s="504" t="n">
        <v>15480</v>
      </c>
      <c r="L423" s="511" t="n">
        <v>8.5</v>
      </c>
      <c r="M423" s="504" t="n">
        <v>12690</v>
      </c>
      <c r="N423" s="504" t="n">
        <v>11611.3</v>
      </c>
      <c r="O423" s="504" t="s">
        <v>746</v>
      </c>
      <c r="P423" s="505" t="s">
        <v>985</v>
      </c>
      <c r="Q423" s="506" t="n">
        <v>45829</v>
      </c>
      <c r="R423" s="507" t="n">
        <v>0.320219907407407</v>
      </c>
    </row>
    <row r="424" customFormat="false" ht="35.05" hidden="false" customHeight="false" outlineLevel="0" collapsed="false">
      <c r="A424" s="503" t="s">
        <v>2846</v>
      </c>
      <c r="B424" s="509" t="n">
        <v>589</v>
      </c>
      <c r="C424" s="510" t="n">
        <v>54953</v>
      </c>
      <c r="D424" s="503" t="s">
        <v>908</v>
      </c>
      <c r="E424" s="503" t="s">
        <v>363</v>
      </c>
      <c r="F424" s="503" t="s">
        <v>364</v>
      </c>
      <c r="G424" s="503" t="n">
        <v>14</v>
      </c>
      <c r="H424" s="503" t="s">
        <v>904</v>
      </c>
      <c r="I424" s="503" t="s">
        <v>1435</v>
      </c>
      <c r="J424" s="504" t="n">
        <v>27490</v>
      </c>
      <c r="K424" s="504" t="n">
        <v>14740</v>
      </c>
      <c r="L424" s="511" t="n">
        <v>8.5</v>
      </c>
      <c r="M424" s="504" t="n">
        <v>12750</v>
      </c>
      <c r="N424" s="504" t="n">
        <v>11666.2</v>
      </c>
      <c r="O424" s="504" t="s">
        <v>746</v>
      </c>
      <c r="P424" s="505" t="s">
        <v>986</v>
      </c>
      <c r="Q424" s="506" t="n">
        <v>45829</v>
      </c>
      <c r="R424" s="507" t="n">
        <v>0.388900462962963</v>
      </c>
    </row>
    <row r="425" customFormat="false" ht="35.05" hidden="false" customHeight="false" outlineLevel="0" collapsed="false">
      <c r="A425" s="503" t="s">
        <v>2847</v>
      </c>
      <c r="B425" s="509" t="n">
        <v>590</v>
      </c>
      <c r="C425" s="510" t="n">
        <v>54953</v>
      </c>
      <c r="D425" s="503" t="s">
        <v>908</v>
      </c>
      <c r="E425" s="503" t="s">
        <v>519</v>
      </c>
      <c r="F425" s="503" t="s">
        <v>523</v>
      </c>
      <c r="G425" s="503" t="n">
        <v>14</v>
      </c>
      <c r="H425" s="503" t="s">
        <v>904</v>
      </c>
      <c r="I425" s="503" t="s">
        <v>1435</v>
      </c>
      <c r="J425" s="504" t="n">
        <v>28790</v>
      </c>
      <c r="K425" s="504" t="n">
        <v>15820</v>
      </c>
      <c r="L425" s="511" t="n">
        <v>10.5</v>
      </c>
      <c r="M425" s="504" t="n">
        <v>12970</v>
      </c>
      <c r="N425" s="504" t="n">
        <v>11608.1</v>
      </c>
      <c r="O425" s="504" t="s">
        <v>746</v>
      </c>
      <c r="P425" s="505" t="s">
        <v>987</v>
      </c>
      <c r="Q425" s="506" t="n">
        <v>45829</v>
      </c>
      <c r="R425" s="507" t="n">
        <v>0.432025462962963</v>
      </c>
    </row>
    <row r="426" customFormat="false" ht="35.05" hidden="false" customHeight="false" outlineLevel="0" collapsed="false">
      <c r="A426" s="503" t="s">
        <v>2848</v>
      </c>
      <c r="B426" s="509" t="n">
        <v>596</v>
      </c>
      <c r="C426" s="510" t="n">
        <v>54954</v>
      </c>
      <c r="D426" s="503" t="s">
        <v>908</v>
      </c>
      <c r="E426" s="503" t="s">
        <v>371</v>
      </c>
      <c r="F426" s="503" t="s">
        <v>372</v>
      </c>
      <c r="G426" s="503" t="n">
        <v>14</v>
      </c>
      <c r="H426" s="503" t="s">
        <v>904</v>
      </c>
      <c r="I426" s="503" t="s">
        <v>1435</v>
      </c>
      <c r="J426" s="504" t="n">
        <v>28030</v>
      </c>
      <c r="K426" s="504" t="n">
        <v>15200</v>
      </c>
      <c r="L426" s="511" t="n">
        <v>5.5</v>
      </c>
      <c r="M426" s="504" t="n">
        <v>12830</v>
      </c>
      <c r="N426" s="504" t="n">
        <v>12124.3</v>
      </c>
      <c r="O426" s="504" t="s">
        <v>746</v>
      </c>
      <c r="P426" s="505" t="s">
        <v>988</v>
      </c>
      <c r="Q426" s="506" t="n">
        <v>45829</v>
      </c>
      <c r="R426" s="507" t="n">
        <v>0.433483796296296</v>
      </c>
    </row>
    <row r="427" customFormat="false" ht="35.05" hidden="false" customHeight="false" outlineLevel="0" collapsed="false">
      <c r="A427" s="503" t="s">
        <v>2849</v>
      </c>
      <c r="B427" s="509" t="n">
        <v>599</v>
      </c>
      <c r="C427" s="510" t="n">
        <v>54955</v>
      </c>
      <c r="D427" s="503" t="s">
        <v>908</v>
      </c>
      <c r="E427" s="503" t="s">
        <v>427</v>
      </c>
      <c r="F427" s="503" t="s">
        <v>431</v>
      </c>
      <c r="G427" s="503" t="n">
        <v>14</v>
      </c>
      <c r="H427" s="503" t="s">
        <v>904</v>
      </c>
      <c r="I427" s="503" t="s">
        <v>1435</v>
      </c>
      <c r="J427" s="504" t="n">
        <v>36230</v>
      </c>
      <c r="K427" s="504" t="n">
        <v>21240</v>
      </c>
      <c r="L427" s="511" t="n">
        <v>7</v>
      </c>
      <c r="M427" s="504" t="n">
        <v>14990</v>
      </c>
      <c r="N427" s="504" t="n">
        <v>13940.7</v>
      </c>
      <c r="O427" s="504" t="s">
        <v>886</v>
      </c>
      <c r="P427" s="505" t="s">
        <v>989</v>
      </c>
      <c r="Q427" s="506" t="n">
        <v>45829</v>
      </c>
      <c r="R427" s="507" t="n">
        <v>0.534282407407407</v>
      </c>
    </row>
    <row r="428" customFormat="false" ht="35.05" hidden="false" customHeight="false" outlineLevel="0" collapsed="false">
      <c r="A428" s="503" t="s">
        <v>2850</v>
      </c>
      <c r="B428" s="509" t="n">
        <v>600</v>
      </c>
      <c r="C428" s="510" t="n">
        <v>54955</v>
      </c>
      <c r="D428" s="503" t="s">
        <v>908</v>
      </c>
      <c r="E428" s="503" t="s">
        <v>457</v>
      </c>
      <c r="F428" s="503" t="s">
        <v>366</v>
      </c>
      <c r="G428" s="503" t="n">
        <v>14</v>
      </c>
      <c r="H428" s="503" t="s">
        <v>904</v>
      </c>
      <c r="I428" s="503" t="s">
        <v>1435</v>
      </c>
      <c r="J428" s="504" t="n">
        <v>30090</v>
      </c>
      <c r="K428" s="504" t="n">
        <v>15100</v>
      </c>
      <c r="L428" s="511" t="n">
        <v>7.5</v>
      </c>
      <c r="M428" s="504" t="n">
        <v>14990</v>
      </c>
      <c r="N428" s="504" t="n">
        <v>13865.7</v>
      </c>
      <c r="O428" s="504" t="s">
        <v>886</v>
      </c>
      <c r="P428" s="505" t="s">
        <v>990</v>
      </c>
      <c r="Q428" s="506" t="n">
        <v>45829</v>
      </c>
      <c r="R428" s="507" t="n">
        <v>0.674236111111111</v>
      </c>
    </row>
    <row r="429" customFormat="false" ht="35.05" hidden="false" customHeight="false" outlineLevel="0" collapsed="false">
      <c r="A429" s="503" t="s">
        <v>2851</v>
      </c>
      <c r="B429" s="509" t="n">
        <v>601</v>
      </c>
      <c r="C429" s="510" t="n">
        <v>54956</v>
      </c>
      <c r="D429" s="503" t="s">
        <v>908</v>
      </c>
      <c r="E429" s="503" t="s">
        <v>433</v>
      </c>
      <c r="F429" s="503" t="s">
        <v>437</v>
      </c>
      <c r="G429" s="503" t="n">
        <v>14</v>
      </c>
      <c r="H429" s="503" t="s">
        <v>904</v>
      </c>
      <c r="I429" s="503" t="s">
        <v>1435</v>
      </c>
      <c r="J429" s="504" t="n">
        <v>30360</v>
      </c>
      <c r="K429" s="504" t="n">
        <v>15060</v>
      </c>
      <c r="L429" s="511" t="n">
        <v>8.5</v>
      </c>
      <c r="M429" s="504" t="n">
        <v>15300</v>
      </c>
      <c r="N429" s="504" t="n">
        <v>13999.5</v>
      </c>
      <c r="O429" s="504" t="s">
        <v>746</v>
      </c>
      <c r="P429" s="505" t="s">
        <v>991</v>
      </c>
      <c r="Q429" s="506" t="n">
        <v>45829</v>
      </c>
      <c r="R429" s="507" t="n">
        <v>0.675601851851852</v>
      </c>
    </row>
    <row r="430" customFormat="false" ht="35.05" hidden="false" customHeight="false" outlineLevel="0" collapsed="false">
      <c r="A430" s="503" t="s">
        <v>2852</v>
      </c>
      <c r="B430" s="510" t="n">
        <v>602</v>
      </c>
      <c r="C430" s="503" t="n">
        <v>54955</v>
      </c>
      <c r="D430" s="503" t="s">
        <v>908</v>
      </c>
      <c r="E430" s="503" t="s">
        <v>439</v>
      </c>
      <c r="F430" s="503" t="s">
        <v>443</v>
      </c>
      <c r="G430" s="503" t="n">
        <v>14</v>
      </c>
      <c r="H430" s="503" t="s">
        <v>904</v>
      </c>
      <c r="I430" s="504" t="s">
        <v>1435</v>
      </c>
      <c r="J430" s="504" t="n">
        <v>37830</v>
      </c>
      <c r="K430" s="511" t="n">
        <v>24220</v>
      </c>
      <c r="L430" s="504" t="n">
        <v>8.5</v>
      </c>
      <c r="M430" s="504" t="n">
        <v>13610</v>
      </c>
      <c r="N430" s="504" t="n">
        <v>12453.1</v>
      </c>
      <c r="O430" s="504" t="s">
        <v>886</v>
      </c>
      <c r="P430" s="120" t="s">
        <v>992</v>
      </c>
      <c r="Q430" s="506" t="n">
        <v>45829</v>
      </c>
      <c r="R430" s="507" t="n">
        <v>0.677025462962963</v>
      </c>
    </row>
    <row r="431" customFormat="false" ht="35.05" hidden="false" customHeight="false" outlineLevel="0" collapsed="false">
      <c r="A431" s="503" t="s">
        <v>2853</v>
      </c>
      <c r="B431" s="509" t="n">
        <v>603</v>
      </c>
      <c r="C431" s="510" t="n">
        <v>1</v>
      </c>
      <c r="D431" s="503" t="s">
        <v>994</v>
      </c>
      <c r="E431" s="503" t="s">
        <v>445</v>
      </c>
      <c r="F431" s="503" t="s">
        <v>449</v>
      </c>
      <c r="G431" s="503" t="s">
        <v>995</v>
      </c>
      <c r="H431" s="503" t="s">
        <v>900</v>
      </c>
      <c r="I431" s="503" t="s">
        <v>1435</v>
      </c>
      <c r="J431" s="504" t="n">
        <v>29100</v>
      </c>
      <c r="K431" s="504" t="n">
        <v>15790</v>
      </c>
      <c r="L431" s="511" t="n">
        <v>21.5</v>
      </c>
      <c r="M431" s="504" t="n">
        <v>13310</v>
      </c>
      <c r="N431" s="504" t="n">
        <v>10448.3</v>
      </c>
      <c r="O431" s="504" t="s">
        <v>417</v>
      </c>
      <c r="P431" s="505" t="s">
        <v>993</v>
      </c>
      <c r="Q431" s="506" t="n">
        <v>45830</v>
      </c>
      <c r="R431" s="507" t="n">
        <v>0.306342592592593</v>
      </c>
    </row>
    <row r="432" customFormat="false" ht="35.05" hidden="false" customHeight="false" outlineLevel="0" collapsed="false">
      <c r="A432" s="503" t="s">
        <v>2854</v>
      </c>
      <c r="B432" s="509" t="n">
        <v>604</v>
      </c>
      <c r="C432" s="510" t="n">
        <v>3</v>
      </c>
      <c r="D432" s="503" t="s">
        <v>994</v>
      </c>
      <c r="E432" s="503" t="s">
        <v>553</v>
      </c>
      <c r="F432" s="503" t="s">
        <v>557</v>
      </c>
      <c r="G432" s="503" t="s">
        <v>995</v>
      </c>
      <c r="H432" s="503" t="s">
        <v>900</v>
      </c>
      <c r="I432" s="503" t="s">
        <v>1435</v>
      </c>
      <c r="J432" s="504" t="n">
        <v>27970</v>
      </c>
      <c r="K432" s="504" t="n">
        <v>14950</v>
      </c>
      <c r="L432" s="511" t="n">
        <v>19.5</v>
      </c>
      <c r="M432" s="504" t="n">
        <v>13020</v>
      </c>
      <c r="N432" s="504" t="n">
        <v>10481.1</v>
      </c>
      <c r="O432" s="504" t="s">
        <v>417</v>
      </c>
      <c r="P432" s="505" t="s">
        <v>999</v>
      </c>
      <c r="Q432" s="506" t="n">
        <v>45830</v>
      </c>
      <c r="R432" s="507" t="n">
        <v>0.41056712962963</v>
      </c>
    </row>
    <row r="433" customFormat="false" ht="35.05" hidden="false" customHeight="false" outlineLevel="0" collapsed="false">
      <c r="A433" s="503" t="s">
        <v>2855</v>
      </c>
      <c r="B433" s="0" t="n">
        <v>606</v>
      </c>
      <c r="C433" s="503" t="n">
        <v>2</v>
      </c>
      <c r="D433" s="503" t="s">
        <v>994</v>
      </c>
      <c r="E433" s="503" t="s">
        <v>451</v>
      </c>
      <c r="F433" s="503" t="s">
        <v>455</v>
      </c>
      <c r="G433" s="503" t="s">
        <v>995</v>
      </c>
      <c r="H433" s="503" t="s">
        <v>900</v>
      </c>
      <c r="I433" s="503" t="s">
        <v>1435</v>
      </c>
      <c r="J433" s="504" t="n">
        <v>27740</v>
      </c>
      <c r="K433" s="504" t="n">
        <v>15140</v>
      </c>
      <c r="L433" s="505" t="n">
        <v>24</v>
      </c>
      <c r="M433" s="504" t="n">
        <v>12600</v>
      </c>
      <c r="N433" s="504" t="n">
        <v>9576</v>
      </c>
      <c r="O433" s="504" t="s">
        <v>417</v>
      </c>
      <c r="P433" s="505" t="s">
        <v>1000</v>
      </c>
      <c r="Q433" s="506" t="n">
        <v>45830</v>
      </c>
      <c r="R433" s="507" t="n">
        <v>0.411828703703704</v>
      </c>
    </row>
    <row r="434" customFormat="false" ht="35.05" hidden="false" customHeight="false" outlineLevel="0" collapsed="false">
      <c r="A434" s="503" t="s">
        <v>2856</v>
      </c>
      <c r="B434" s="0" t="n">
        <v>607</v>
      </c>
      <c r="C434" s="503" t="n">
        <v>4</v>
      </c>
      <c r="D434" s="503" t="s">
        <v>994</v>
      </c>
      <c r="E434" s="503" t="s">
        <v>547</v>
      </c>
      <c r="F434" s="503" t="s">
        <v>551</v>
      </c>
      <c r="G434" s="503" t="s">
        <v>995</v>
      </c>
      <c r="H434" s="503" t="s">
        <v>900</v>
      </c>
      <c r="I434" s="503" t="s">
        <v>1435</v>
      </c>
      <c r="J434" s="504" t="n">
        <v>27470</v>
      </c>
      <c r="K434" s="504" t="n">
        <v>14820</v>
      </c>
      <c r="L434" s="505" t="n">
        <v>14.5</v>
      </c>
      <c r="M434" s="504" t="n">
        <v>12650</v>
      </c>
      <c r="N434" s="504" t="n">
        <v>10815.7</v>
      </c>
      <c r="O434" s="504" t="s">
        <v>417</v>
      </c>
      <c r="P434" s="505" t="s">
        <v>1001</v>
      </c>
      <c r="Q434" s="506" t="n">
        <v>45830</v>
      </c>
      <c r="R434" s="507" t="n">
        <v>0.546863425925926</v>
      </c>
    </row>
    <row r="435" customFormat="false" ht="35.05" hidden="false" customHeight="false" outlineLevel="0" collapsed="false">
      <c r="A435" s="503" t="s">
        <v>2857</v>
      </c>
      <c r="B435" s="0" t="n">
        <v>608</v>
      </c>
      <c r="C435" s="503" t="n">
        <v>6</v>
      </c>
      <c r="D435" s="503" t="s">
        <v>994</v>
      </c>
      <c r="E435" s="503" t="s">
        <v>382</v>
      </c>
      <c r="F435" s="503" t="s">
        <v>383</v>
      </c>
      <c r="G435" s="503" t="s">
        <v>995</v>
      </c>
      <c r="H435" s="503" t="s">
        <v>900</v>
      </c>
      <c r="I435" s="503" t="s">
        <v>1435</v>
      </c>
      <c r="J435" s="504" t="n">
        <v>27940</v>
      </c>
      <c r="K435" s="504" t="n">
        <v>14900</v>
      </c>
      <c r="L435" s="505" t="n">
        <v>23.5</v>
      </c>
      <c r="M435" s="504" t="n">
        <v>13040</v>
      </c>
      <c r="N435" s="504" t="n">
        <v>9975.6</v>
      </c>
      <c r="O435" s="504" t="s">
        <v>417</v>
      </c>
      <c r="P435" s="505" t="s">
        <v>1002</v>
      </c>
      <c r="Q435" s="506" t="n">
        <v>45830</v>
      </c>
      <c r="R435" s="507" t="n">
        <v>0.601597222222222</v>
      </c>
    </row>
    <row r="436" customFormat="false" ht="35.05" hidden="false" customHeight="false" outlineLevel="0" collapsed="false">
      <c r="A436" s="503" t="s">
        <v>2858</v>
      </c>
      <c r="B436" s="0" t="n">
        <v>609</v>
      </c>
      <c r="C436" s="503" t="n">
        <v>5</v>
      </c>
      <c r="D436" s="503" t="s">
        <v>994</v>
      </c>
      <c r="E436" s="503" t="s">
        <v>384</v>
      </c>
      <c r="F436" s="503" t="s">
        <v>385</v>
      </c>
      <c r="G436" s="503" t="s">
        <v>995</v>
      </c>
      <c r="H436" s="503" t="s">
        <v>900</v>
      </c>
      <c r="I436" s="503" t="s">
        <v>1435</v>
      </c>
      <c r="J436" s="504" t="n">
        <v>27840</v>
      </c>
      <c r="K436" s="504" t="n">
        <v>14400</v>
      </c>
      <c r="L436" s="505" t="n">
        <v>20.5</v>
      </c>
      <c r="M436" s="504" t="n">
        <v>13440</v>
      </c>
      <c r="N436" s="504" t="n">
        <v>10684.8</v>
      </c>
      <c r="O436" s="504" t="s">
        <v>417</v>
      </c>
      <c r="P436" s="505" t="s">
        <v>1003</v>
      </c>
      <c r="Q436" s="506" t="n">
        <v>45830</v>
      </c>
      <c r="R436" s="507" t="n">
        <v>0.602858796296296</v>
      </c>
    </row>
    <row r="437" customFormat="false" ht="35.05" hidden="false" customHeight="false" outlineLevel="0" collapsed="false">
      <c r="A437" s="503" t="s">
        <v>2859</v>
      </c>
      <c r="B437" s="0" t="n">
        <v>610</v>
      </c>
      <c r="C437" s="503" t="n">
        <v>7</v>
      </c>
      <c r="D437" s="503" t="s">
        <v>994</v>
      </c>
      <c r="E437" s="503" t="s">
        <v>427</v>
      </c>
      <c r="F437" s="503" t="s">
        <v>431</v>
      </c>
      <c r="G437" s="503" t="s">
        <v>995</v>
      </c>
      <c r="H437" s="503" t="s">
        <v>900</v>
      </c>
      <c r="I437" s="503" t="s">
        <v>1435</v>
      </c>
      <c r="J437" s="504" t="n">
        <v>35160</v>
      </c>
      <c r="K437" s="504" t="n">
        <v>21150</v>
      </c>
      <c r="L437" s="505" t="n">
        <v>21.5</v>
      </c>
      <c r="M437" s="504" t="n">
        <v>14010</v>
      </c>
      <c r="N437" s="504" t="n">
        <v>10997.8</v>
      </c>
      <c r="O437" s="504" t="s">
        <v>417</v>
      </c>
      <c r="P437" s="505" t="s">
        <v>1004</v>
      </c>
      <c r="Q437" s="506" t="n">
        <v>45830</v>
      </c>
      <c r="R437" s="507" t="n">
        <v>0.613668981481482</v>
      </c>
    </row>
    <row r="438" customFormat="false" ht="35.05" hidden="false" customHeight="false" outlineLevel="0" collapsed="false">
      <c r="A438" s="503" t="s">
        <v>2860</v>
      </c>
      <c r="B438" s="0" t="n">
        <v>611</v>
      </c>
      <c r="C438" s="503" t="n">
        <v>8</v>
      </c>
      <c r="D438" s="503" t="s">
        <v>994</v>
      </c>
      <c r="E438" s="503" t="s">
        <v>439</v>
      </c>
      <c r="F438" s="503" t="s">
        <v>443</v>
      </c>
      <c r="G438" s="503" t="s">
        <v>996</v>
      </c>
      <c r="H438" s="503" t="s">
        <v>997</v>
      </c>
      <c r="I438" s="503" t="s">
        <v>1435</v>
      </c>
      <c r="J438" s="504" t="n">
        <v>38170</v>
      </c>
      <c r="K438" s="504" t="n">
        <v>24060</v>
      </c>
      <c r="L438" s="505" t="n">
        <v>15</v>
      </c>
      <c r="M438" s="504" t="n">
        <v>14110</v>
      </c>
      <c r="N438" s="504" t="n">
        <v>11993.5</v>
      </c>
      <c r="O438" s="504" t="s">
        <v>417</v>
      </c>
      <c r="P438" s="505" t="s">
        <v>1005</v>
      </c>
      <c r="Q438" s="506" t="n">
        <v>45830</v>
      </c>
      <c r="R438" s="507" t="n">
        <v>0.756365740740741</v>
      </c>
    </row>
    <row r="439" customFormat="false" ht="35.05" hidden="false" customHeight="false" outlineLevel="0" collapsed="false">
      <c r="A439" s="503" t="s">
        <v>2861</v>
      </c>
      <c r="B439" s="0" t="n">
        <v>612</v>
      </c>
      <c r="C439" s="503" t="n">
        <v>9</v>
      </c>
      <c r="D439" s="503" t="s">
        <v>994</v>
      </c>
      <c r="E439" s="503" t="s">
        <v>433</v>
      </c>
      <c r="F439" s="503" t="s">
        <v>437</v>
      </c>
      <c r="G439" s="503" t="s">
        <v>996</v>
      </c>
      <c r="H439" s="503" t="s">
        <v>997</v>
      </c>
      <c r="I439" s="503" t="s">
        <v>1435</v>
      </c>
      <c r="J439" s="504" t="n">
        <v>29040</v>
      </c>
      <c r="K439" s="504" t="n">
        <v>14950</v>
      </c>
      <c r="L439" s="505" t="n">
        <v>15</v>
      </c>
      <c r="M439" s="504" t="n">
        <v>14090</v>
      </c>
      <c r="N439" s="504" t="n">
        <v>11976.5</v>
      </c>
      <c r="O439" s="504" t="s">
        <v>417</v>
      </c>
      <c r="P439" s="505" t="s">
        <v>1006</v>
      </c>
      <c r="Q439" s="506" t="n">
        <v>45830</v>
      </c>
      <c r="R439" s="507" t="n">
        <v>0.75806712962963</v>
      </c>
    </row>
    <row r="440" customFormat="false" ht="35.05" hidden="false" customHeight="false" outlineLevel="0" collapsed="false">
      <c r="A440" s="503" t="s">
        <v>2862</v>
      </c>
      <c r="B440" s="0" t="n">
        <v>613</v>
      </c>
      <c r="C440" s="503" t="n">
        <v>10</v>
      </c>
      <c r="D440" s="503" t="s">
        <v>994</v>
      </c>
      <c r="E440" s="503" t="s">
        <v>363</v>
      </c>
      <c r="F440" s="503" t="s">
        <v>364</v>
      </c>
      <c r="G440" s="503" t="s">
        <v>996</v>
      </c>
      <c r="H440" s="503" t="s">
        <v>997</v>
      </c>
      <c r="I440" s="503" t="s">
        <v>1435</v>
      </c>
      <c r="J440" s="504" t="n">
        <v>28400</v>
      </c>
      <c r="K440" s="504" t="n">
        <v>14600</v>
      </c>
      <c r="L440" s="505" t="n">
        <v>23</v>
      </c>
      <c r="M440" s="504" t="n">
        <v>13800</v>
      </c>
      <c r="N440" s="504" t="n">
        <v>10626</v>
      </c>
      <c r="O440" s="504" t="s">
        <v>417</v>
      </c>
      <c r="P440" s="505" t="s">
        <v>1007</v>
      </c>
      <c r="Q440" s="506" t="n">
        <v>45830</v>
      </c>
      <c r="R440" s="507" t="n">
        <v>0.719282407407408</v>
      </c>
    </row>
    <row r="441" customFormat="false" ht="35.05" hidden="false" customHeight="false" outlineLevel="0" collapsed="false">
      <c r="A441" s="503" t="s">
        <v>2863</v>
      </c>
      <c r="B441" s="0" t="n">
        <v>615</v>
      </c>
      <c r="C441" s="503" t="n">
        <v>11</v>
      </c>
      <c r="D441" s="503" t="s">
        <v>994</v>
      </c>
      <c r="E441" s="503" t="s">
        <v>445</v>
      </c>
      <c r="F441" s="503" t="s">
        <v>449</v>
      </c>
      <c r="G441" s="503" t="s">
        <v>996</v>
      </c>
      <c r="H441" s="503" t="s">
        <v>997</v>
      </c>
      <c r="I441" s="503" t="s">
        <v>1435</v>
      </c>
      <c r="J441" s="504" t="n">
        <v>29840</v>
      </c>
      <c r="K441" s="504" t="n">
        <v>15720</v>
      </c>
      <c r="L441" s="505" t="n">
        <v>19</v>
      </c>
      <c r="M441" s="504" t="n">
        <v>14120</v>
      </c>
      <c r="N441" s="504" t="n">
        <v>11437.2</v>
      </c>
      <c r="O441" s="504" t="s">
        <v>417</v>
      </c>
      <c r="P441" s="505" t="s">
        <v>1008</v>
      </c>
      <c r="Q441" s="506" t="n">
        <v>45830</v>
      </c>
      <c r="R441" s="507" t="n">
        <v>0.826828703703704</v>
      </c>
    </row>
    <row r="442" customFormat="false" ht="35.05" hidden="false" customHeight="false" outlineLevel="0" collapsed="false">
      <c r="A442" s="503" t="s">
        <v>2864</v>
      </c>
      <c r="B442" s="0" t="n">
        <v>616</v>
      </c>
      <c r="C442" s="503" t="n">
        <v>12</v>
      </c>
      <c r="D442" s="503" t="s">
        <v>994</v>
      </c>
      <c r="E442" s="503" t="s">
        <v>359</v>
      </c>
      <c r="F442" s="503" t="s">
        <v>426</v>
      </c>
      <c r="G442" s="503" t="s">
        <v>996</v>
      </c>
      <c r="H442" s="503" t="s">
        <v>997</v>
      </c>
      <c r="I442" s="503" t="s">
        <v>1435</v>
      </c>
      <c r="J442" s="504" t="n">
        <v>27720</v>
      </c>
      <c r="K442" s="504" t="n">
        <v>13850</v>
      </c>
      <c r="L442" s="505" t="n">
        <v>16</v>
      </c>
      <c r="M442" s="504" t="n">
        <v>13870</v>
      </c>
      <c r="N442" s="504" t="n">
        <v>11650.8</v>
      </c>
      <c r="O442" s="504" t="s">
        <v>417</v>
      </c>
      <c r="P442" s="505" t="s">
        <v>1009</v>
      </c>
      <c r="Q442" s="506" t="n">
        <v>45830</v>
      </c>
      <c r="R442" s="507" t="n">
        <v>0.829247685185185</v>
      </c>
    </row>
    <row r="443" customFormat="false" ht="35.05" hidden="false" customHeight="false" outlineLevel="0" collapsed="false">
      <c r="A443" s="503" t="s">
        <v>2865</v>
      </c>
      <c r="B443" s="0" t="n">
        <v>617</v>
      </c>
      <c r="C443" s="503" t="n">
        <v>13</v>
      </c>
      <c r="D443" s="503" t="s">
        <v>994</v>
      </c>
      <c r="E443" s="503" t="s">
        <v>371</v>
      </c>
      <c r="F443" s="503" t="s">
        <v>372</v>
      </c>
      <c r="G443" s="503" t="s">
        <v>996</v>
      </c>
      <c r="H443" s="503" t="s">
        <v>997</v>
      </c>
      <c r="I443" s="503" t="s">
        <v>1435</v>
      </c>
      <c r="J443" s="504" t="n">
        <v>29210</v>
      </c>
      <c r="K443" s="504" t="n">
        <v>15070</v>
      </c>
      <c r="L443" s="505" t="n">
        <v>16.5</v>
      </c>
      <c r="M443" s="504" t="n">
        <v>14140</v>
      </c>
      <c r="N443" s="504" t="n">
        <v>11806.9</v>
      </c>
      <c r="O443" s="504" t="s">
        <v>417</v>
      </c>
      <c r="P443" s="505" t="s">
        <v>1010</v>
      </c>
      <c r="Q443" s="506" t="n">
        <v>45830</v>
      </c>
      <c r="R443" s="507" t="n">
        <v>0.880648148148148</v>
      </c>
    </row>
    <row r="444" customFormat="false" ht="35.05" hidden="false" customHeight="false" outlineLevel="0" collapsed="false">
      <c r="A444" s="503" t="s">
        <v>2866</v>
      </c>
      <c r="B444" s="0" t="n">
        <v>618</v>
      </c>
      <c r="C444" s="503" t="n">
        <v>14</v>
      </c>
      <c r="D444" s="503" t="s">
        <v>994</v>
      </c>
      <c r="E444" s="503" t="s">
        <v>553</v>
      </c>
      <c r="F444" s="503" t="s">
        <v>557</v>
      </c>
      <c r="G444" s="503" t="s">
        <v>996</v>
      </c>
      <c r="H444" s="503" t="s">
        <v>997</v>
      </c>
      <c r="I444" s="503" t="s">
        <v>1435</v>
      </c>
      <c r="J444" s="504" t="n">
        <v>29280</v>
      </c>
      <c r="K444" s="504" t="n">
        <v>14830</v>
      </c>
      <c r="L444" s="505" t="n">
        <v>14.5</v>
      </c>
      <c r="M444" s="504" t="n">
        <v>14450</v>
      </c>
      <c r="N444" s="504" t="n">
        <v>12354.7</v>
      </c>
      <c r="O444" s="504" t="s">
        <v>417</v>
      </c>
      <c r="P444" s="505" t="s">
        <v>1011</v>
      </c>
      <c r="Q444" s="506" t="n">
        <v>45830</v>
      </c>
      <c r="R444" s="507" t="n">
        <v>0.997893518518519</v>
      </c>
    </row>
    <row r="445" customFormat="false" ht="35.05" hidden="false" customHeight="false" outlineLevel="0" collapsed="false">
      <c r="A445" s="503" t="s">
        <v>2867</v>
      </c>
      <c r="B445" s="0" t="n">
        <v>619</v>
      </c>
      <c r="C445" s="503" t="n">
        <v>15</v>
      </c>
      <c r="D445" s="503" t="s">
        <v>994</v>
      </c>
      <c r="E445" s="503" t="s">
        <v>451</v>
      </c>
      <c r="F445" s="503" t="s">
        <v>455</v>
      </c>
      <c r="G445" s="503" t="s">
        <v>996</v>
      </c>
      <c r="H445" s="503" t="s">
        <v>997</v>
      </c>
      <c r="I445" s="503" t="s">
        <v>1435</v>
      </c>
      <c r="J445" s="504" t="n">
        <v>29070</v>
      </c>
      <c r="K445" s="504" t="n">
        <v>15010</v>
      </c>
      <c r="L445" s="505" t="n">
        <v>12.5</v>
      </c>
      <c r="M445" s="504" t="n">
        <v>14060</v>
      </c>
      <c r="N445" s="504" t="n">
        <v>12302.5</v>
      </c>
      <c r="O445" s="504" t="s">
        <v>417</v>
      </c>
      <c r="P445" s="505" t="s">
        <v>1012</v>
      </c>
      <c r="Q445" s="506" t="n">
        <v>45830</v>
      </c>
      <c r="R445" s="507" t="n">
        <v>0.974907407407407</v>
      </c>
    </row>
    <row r="446" customFormat="false" ht="35.05" hidden="false" customHeight="false" outlineLevel="0" collapsed="false">
      <c r="A446" s="503" t="s">
        <v>2868</v>
      </c>
      <c r="B446" s="0" t="n">
        <v>620</v>
      </c>
      <c r="C446" s="503" t="n">
        <v>16</v>
      </c>
      <c r="D446" s="503" t="s">
        <v>994</v>
      </c>
      <c r="E446" s="503" t="s">
        <v>361</v>
      </c>
      <c r="F446" s="503" t="s">
        <v>362</v>
      </c>
      <c r="G446" s="503" t="s">
        <v>996</v>
      </c>
      <c r="H446" s="503" t="s">
        <v>997</v>
      </c>
      <c r="I446" s="503" t="s">
        <v>1435</v>
      </c>
      <c r="J446" s="504" t="n">
        <v>27990</v>
      </c>
      <c r="K446" s="504" t="n">
        <v>14700</v>
      </c>
      <c r="L446" s="505" t="n">
        <v>15</v>
      </c>
      <c r="M446" s="504" t="n">
        <v>13290</v>
      </c>
      <c r="N446" s="504" t="n">
        <v>11296.5</v>
      </c>
      <c r="O446" s="504" t="s">
        <v>417</v>
      </c>
      <c r="P446" s="505" t="s">
        <v>1013</v>
      </c>
      <c r="Q446" s="506" t="n">
        <v>45831</v>
      </c>
      <c r="R446" s="507" t="n">
        <v>0.093287037037037</v>
      </c>
    </row>
    <row r="447" customFormat="false" ht="35.05" hidden="false" customHeight="false" outlineLevel="0" collapsed="false">
      <c r="A447" s="503" t="s">
        <v>2869</v>
      </c>
      <c r="B447" s="0" t="n">
        <v>621</v>
      </c>
      <c r="C447" s="503" t="n">
        <v>17</v>
      </c>
      <c r="D447" s="503" t="s">
        <v>994</v>
      </c>
      <c r="E447" s="503" t="s">
        <v>547</v>
      </c>
      <c r="F447" s="503" t="s">
        <v>551</v>
      </c>
      <c r="G447" s="503" t="s">
        <v>996</v>
      </c>
      <c r="H447" s="503" t="s">
        <v>997</v>
      </c>
      <c r="I447" s="503" t="s">
        <v>1435</v>
      </c>
      <c r="J447" s="504" t="n">
        <v>28110</v>
      </c>
      <c r="K447" s="504" t="n">
        <v>14730</v>
      </c>
      <c r="L447" s="505" t="n">
        <v>20</v>
      </c>
      <c r="M447" s="504" t="n">
        <v>13380</v>
      </c>
      <c r="N447" s="504" t="n">
        <v>10704</v>
      </c>
      <c r="O447" s="504" t="s">
        <v>417</v>
      </c>
      <c r="P447" s="505" t="s">
        <v>1014</v>
      </c>
      <c r="Q447" s="506" t="n">
        <v>45831</v>
      </c>
      <c r="R447" s="507" t="n">
        <v>0.0952083333333333</v>
      </c>
    </row>
    <row r="448" customFormat="false" ht="35.05" hidden="false" customHeight="false" outlineLevel="0" collapsed="false">
      <c r="A448" s="503" t="s">
        <v>2870</v>
      </c>
      <c r="B448" s="0" t="n">
        <v>622</v>
      </c>
      <c r="C448" s="503" t="n">
        <v>18</v>
      </c>
      <c r="D448" s="503" t="s">
        <v>994</v>
      </c>
      <c r="E448" s="503" t="s">
        <v>365</v>
      </c>
      <c r="F448" s="503" t="s">
        <v>373</v>
      </c>
      <c r="G448" s="503" t="s">
        <v>996</v>
      </c>
      <c r="H448" s="503" t="s">
        <v>997</v>
      </c>
      <c r="I448" s="503" t="s">
        <v>1435</v>
      </c>
      <c r="J448" s="504" t="n">
        <v>31970</v>
      </c>
      <c r="K448" s="504" t="n">
        <v>18740</v>
      </c>
      <c r="L448" s="505" t="n">
        <v>17</v>
      </c>
      <c r="M448" s="504" t="n">
        <v>13230</v>
      </c>
      <c r="N448" s="504" t="n">
        <v>10980.9</v>
      </c>
      <c r="O448" s="504" t="s">
        <v>417</v>
      </c>
      <c r="P448" s="505" t="s">
        <v>1015</v>
      </c>
      <c r="Q448" s="506" t="n">
        <v>45831</v>
      </c>
      <c r="R448" s="507" t="n">
        <v>0.19099537037037</v>
      </c>
    </row>
    <row r="449" customFormat="false" ht="35.05" hidden="false" customHeight="false" outlineLevel="0" collapsed="false">
      <c r="A449" s="503" t="s">
        <v>2871</v>
      </c>
      <c r="B449" s="0" t="n">
        <v>623</v>
      </c>
      <c r="C449" s="503" t="n">
        <v>19</v>
      </c>
      <c r="D449" s="503" t="s">
        <v>994</v>
      </c>
      <c r="E449" s="503" t="s">
        <v>457</v>
      </c>
      <c r="F449" s="503" t="s">
        <v>366</v>
      </c>
      <c r="G449" s="503" t="s">
        <v>996</v>
      </c>
      <c r="H449" s="503" t="s">
        <v>997</v>
      </c>
      <c r="I449" s="503" t="s">
        <v>1435</v>
      </c>
      <c r="J449" s="504" t="n">
        <v>28090</v>
      </c>
      <c r="K449" s="504" t="n">
        <v>14860</v>
      </c>
      <c r="L449" s="505" t="n">
        <v>14</v>
      </c>
      <c r="M449" s="504" t="n">
        <v>13230</v>
      </c>
      <c r="N449" s="504" t="n">
        <v>11377.8</v>
      </c>
      <c r="O449" s="504" t="s">
        <v>417</v>
      </c>
      <c r="P449" s="505" t="s">
        <v>1016</v>
      </c>
      <c r="Q449" s="506" t="n">
        <v>45831</v>
      </c>
      <c r="R449" s="507" t="n">
        <v>0.192696759259259</v>
      </c>
    </row>
    <row r="450" customFormat="false" ht="35.05" hidden="false" customHeight="false" outlineLevel="0" collapsed="false">
      <c r="A450" s="503" t="s">
        <v>2872</v>
      </c>
      <c r="B450" s="0" t="n">
        <v>624</v>
      </c>
      <c r="C450" s="503" t="n">
        <v>20</v>
      </c>
      <c r="D450" s="503" t="s">
        <v>994</v>
      </c>
      <c r="E450" s="503" t="s">
        <v>395</v>
      </c>
      <c r="F450" s="503" t="s">
        <v>566</v>
      </c>
      <c r="G450" s="503" t="s">
        <v>996</v>
      </c>
      <c r="H450" s="503" t="s">
        <v>997</v>
      </c>
      <c r="I450" s="503" t="s">
        <v>1435</v>
      </c>
      <c r="J450" s="504" t="n">
        <v>27740</v>
      </c>
      <c r="K450" s="504" t="n">
        <v>14420</v>
      </c>
      <c r="L450" s="505" t="n">
        <v>11.5</v>
      </c>
      <c r="M450" s="504" t="n">
        <v>13320</v>
      </c>
      <c r="N450" s="504" t="n">
        <v>11788.2</v>
      </c>
      <c r="O450" s="504" t="s">
        <v>417</v>
      </c>
      <c r="P450" s="505" t="s">
        <v>1017</v>
      </c>
      <c r="Q450" s="506" t="n">
        <v>45831</v>
      </c>
      <c r="R450" s="507" t="n">
        <v>0.235138888888889</v>
      </c>
    </row>
    <row r="451" customFormat="false" ht="35.05" hidden="false" customHeight="false" outlineLevel="0" collapsed="false">
      <c r="A451" s="503" t="s">
        <v>2873</v>
      </c>
      <c r="B451" s="0" t="n">
        <v>625</v>
      </c>
      <c r="C451" s="503" t="n">
        <v>21</v>
      </c>
      <c r="D451" s="503" t="s">
        <v>994</v>
      </c>
      <c r="E451" s="503" t="s">
        <v>48</v>
      </c>
      <c r="F451" s="503" t="s">
        <v>49</v>
      </c>
      <c r="G451" s="503" t="s">
        <v>996</v>
      </c>
      <c r="H451" s="503" t="s">
        <v>997</v>
      </c>
      <c r="I451" s="503" t="s">
        <v>1435</v>
      </c>
      <c r="J451" s="504" t="n">
        <v>28190</v>
      </c>
      <c r="K451" s="504" t="n">
        <v>15100</v>
      </c>
      <c r="L451" s="505" t="n">
        <v>14.5</v>
      </c>
      <c r="M451" s="504" t="n">
        <v>13090</v>
      </c>
      <c r="N451" s="504" t="n">
        <v>11191.9</v>
      </c>
      <c r="O451" s="504" t="s">
        <v>417</v>
      </c>
      <c r="P451" s="505" t="s">
        <v>1018</v>
      </c>
      <c r="Q451" s="506" t="n">
        <v>45831</v>
      </c>
      <c r="R451" s="507" t="n">
        <v>0.322881944444444</v>
      </c>
    </row>
    <row r="452" customFormat="false" ht="35.05" hidden="false" customHeight="false" outlineLevel="0" collapsed="false">
      <c r="A452" s="503" t="s">
        <v>2874</v>
      </c>
      <c r="B452" s="0" t="n">
        <v>626</v>
      </c>
      <c r="C452" s="503" t="n">
        <v>22</v>
      </c>
      <c r="D452" s="503" t="s">
        <v>994</v>
      </c>
      <c r="E452" s="503" t="s">
        <v>466</v>
      </c>
      <c r="F452" s="503" t="s">
        <v>470</v>
      </c>
      <c r="G452" s="503" t="s">
        <v>996</v>
      </c>
      <c r="H452" s="503" t="s">
        <v>997</v>
      </c>
      <c r="I452" s="503" t="s">
        <v>1435</v>
      </c>
      <c r="J452" s="504" t="n">
        <v>28370</v>
      </c>
      <c r="K452" s="504" t="n">
        <v>15120</v>
      </c>
      <c r="L452" s="505" t="n">
        <v>18.5</v>
      </c>
      <c r="M452" s="504" t="n">
        <v>13250</v>
      </c>
      <c r="N452" s="504" t="n">
        <v>10798.7</v>
      </c>
      <c r="O452" s="504" t="s">
        <v>417</v>
      </c>
      <c r="P452" s="505" t="s">
        <v>1019</v>
      </c>
      <c r="Q452" s="506" t="n">
        <v>45831</v>
      </c>
      <c r="R452" s="507" t="n">
        <v>0.371111111111111</v>
      </c>
    </row>
    <row r="453" customFormat="false" ht="35.05" hidden="false" customHeight="false" outlineLevel="0" collapsed="false">
      <c r="A453" s="503" t="s">
        <v>2875</v>
      </c>
      <c r="B453" s="0" t="n">
        <v>627</v>
      </c>
      <c r="C453" s="503" t="n">
        <v>23</v>
      </c>
      <c r="D453" s="503" t="s">
        <v>994</v>
      </c>
      <c r="E453" s="503" t="s">
        <v>384</v>
      </c>
      <c r="F453" s="503" t="s">
        <v>385</v>
      </c>
      <c r="G453" s="503" t="s">
        <v>996</v>
      </c>
      <c r="H453" s="503" t="s">
        <v>997</v>
      </c>
      <c r="I453" s="503" t="s">
        <v>1435</v>
      </c>
      <c r="J453" s="504" t="n">
        <v>27640</v>
      </c>
      <c r="K453" s="504" t="n">
        <v>14440</v>
      </c>
      <c r="L453" s="505" t="n">
        <v>23.5</v>
      </c>
      <c r="M453" s="504" t="n">
        <v>13200</v>
      </c>
      <c r="N453" s="504" t="n">
        <v>10098</v>
      </c>
      <c r="O453" s="504" t="s">
        <v>417</v>
      </c>
      <c r="P453" s="505" t="s">
        <v>1020</v>
      </c>
      <c r="Q453" s="506" t="n">
        <v>45831</v>
      </c>
      <c r="R453" s="507" t="n">
        <v>0.410324074074074</v>
      </c>
    </row>
    <row r="454" customFormat="false" ht="35.05" hidden="false" customHeight="false" outlineLevel="0" collapsed="false">
      <c r="A454" s="503" t="s">
        <v>2876</v>
      </c>
      <c r="B454" s="0" t="n">
        <v>629</v>
      </c>
      <c r="C454" s="503" t="n">
        <v>24</v>
      </c>
      <c r="D454" s="503" t="s">
        <v>994</v>
      </c>
      <c r="E454" s="503" t="s">
        <v>382</v>
      </c>
      <c r="F454" s="503" t="s">
        <v>383</v>
      </c>
      <c r="G454" s="503" t="s">
        <v>996</v>
      </c>
      <c r="H454" s="503" t="s">
        <v>997</v>
      </c>
      <c r="I454" s="503" t="s">
        <v>1435</v>
      </c>
      <c r="J454" s="504" t="n">
        <v>28240</v>
      </c>
      <c r="K454" s="504" t="n">
        <v>14940</v>
      </c>
      <c r="L454" s="505" t="n">
        <v>16.5</v>
      </c>
      <c r="M454" s="504" t="n">
        <v>13300</v>
      </c>
      <c r="N454" s="504" t="n">
        <v>11105.5</v>
      </c>
      <c r="O454" s="504" t="s">
        <v>417</v>
      </c>
      <c r="P454" s="505" t="s">
        <v>1021</v>
      </c>
      <c r="Q454" s="506" t="n">
        <v>45831</v>
      </c>
      <c r="R454" s="507" t="n">
        <v>0.461724537037037</v>
      </c>
    </row>
    <row r="455" customFormat="false" ht="35.05" hidden="false" customHeight="false" outlineLevel="0" collapsed="false">
      <c r="A455" s="503" t="s">
        <v>2877</v>
      </c>
      <c r="B455" s="0" t="n">
        <v>633</v>
      </c>
      <c r="C455" s="503" t="n">
        <v>25</v>
      </c>
      <c r="D455" s="503" t="s">
        <v>994</v>
      </c>
      <c r="E455" s="503" t="s">
        <v>445</v>
      </c>
      <c r="F455" s="503" t="s">
        <v>449</v>
      </c>
      <c r="G455" s="503" t="s">
        <v>996</v>
      </c>
      <c r="H455" s="503" t="s">
        <v>997</v>
      </c>
      <c r="I455" s="503" t="s">
        <v>1435</v>
      </c>
      <c r="J455" s="504" t="n">
        <v>29240</v>
      </c>
      <c r="K455" s="504" t="n">
        <v>15610</v>
      </c>
      <c r="L455" s="505" t="n">
        <v>16.5</v>
      </c>
      <c r="M455" s="504" t="n">
        <v>13630</v>
      </c>
      <c r="N455" s="504" t="n">
        <v>11381</v>
      </c>
      <c r="O455" s="504" t="s">
        <v>417</v>
      </c>
      <c r="P455" s="505" t="s">
        <v>1022</v>
      </c>
      <c r="Q455" s="506" t="n">
        <v>45831</v>
      </c>
      <c r="R455" s="507" t="n">
        <v>0.550023148148148</v>
      </c>
    </row>
    <row r="456" customFormat="false" ht="46.25" hidden="false" customHeight="false" outlineLevel="0" collapsed="false">
      <c r="A456" s="503" t="s">
        <v>2878</v>
      </c>
      <c r="B456" s="0" t="n">
        <v>496</v>
      </c>
      <c r="C456" s="503" t="s">
        <v>1026</v>
      </c>
      <c r="D456" s="503" t="s">
        <v>908</v>
      </c>
      <c r="E456" s="503" t="s">
        <v>57</v>
      </c>
      <c r="F456" s="503" t="s">
        <v>1025</v>
      </c>
      <c r="G456" s="503" t="n">
        <v>14</v>
      </c>
      <c r="H456" s="503" t="s">
        <v>904</v>
      </c>
      <c r="I456" s="503" t="s">
        <v>1435</v>
      </c>
      <c r="J456" s="504" t="n">
        <v>32320</v>
      </c>
      <c r="K456" s="504" t="n">
        <v>15660</v>
      </c>
      <c r="L456" s="505" t="n">
        <v>17.5</v>
      </c>
      <c r="M456" s="504" t="n">
        <v>16660</v>
      </c>
      <c r="N456" s="504" t="n">
        <v>13744</v>
      </c>
      <c r="O456" s="504" t="s">
        <v>886</v>
      </c>
      <c r="P456" s="505" t="s">
        <v>1024</v>
      </c>
      <c r="Q456" s="506" t="n">
        <v>45828</v>
      </c>
      <c r="R456" s="507" t="n">
        <v>0.986458333333333</v>
      </c>
    </row>
    <row r="457" customFormat="false" ht="35.05" hidden="false" customHeight="false" outlineLevel="0" collapsed="false">
      <c r="A457" s="503" t="s">
        <v>2879</v>
      </c>
      <c r="B457" s="0" t="n">
        <v>496</v>
      </c>
      <c r="C457" s="503" t="s">
        <v>1028</v>
      </c>
      <c r="D457" s="503" t="s">
        <v>908</v>
      </c>
      <c r="E457" s="503" t="s">
        <v>511</v>
      </c>
      <c r="F457" s="503" t="s">
        <v>515</v>
      </c>
      <c r="G457" s="503" t="n">
        <v>14</v>
      </c>
      <c r="H457" s="503" t="s">
        <v>904</v>
      </c>
      <c r="I457" s="503" t="s">
        <v>1435</v>
      </c>
      <c r="J457" s="504" t="n">
        <v>30280</v>
      </c>
      <c r="K457" s="504" t="n">
        <v>15000</v>
      </c>
      <c r="L457" s="505" t="n">
        <v>13.8</v>
      </c>
      <c r="M457" s="504" t="n">
        <v>15280</v>
      </c>
      <c r="N457" s="504" t="n">
        <v>13168</v>
      </c>
      <c r="O457" s="504" t="s">
        <v>886</v>
      </c>
      <c r="P457" s="505" t="s">
        <v>1027</v>
      </c>
      <c r="Q457" s="506" t="n">
        <v>45828</v>
      </c>
      <c r="R457" s="507" t="n">
        <v>0.986469907407407</v>
      </c>
    </row>
    <row r="458" customFormat="false" ht="46.25" hidden="false" customHeight="false" outlineLevel="0" collapsed="false">
      <c r="A458" s="503" t="s">
        <v>2880</v>
      </c>
      <c r="B458" s="0" t="n">
        <v>496</v>
      </c>
      <c r="C458" s="503" t="s">
        <v>1030</v>
      </c>
      <c r="D458" s="503" t="s">
        <v>908</v>
      </c>
      <c r="E458" s="503" t="s">
        <v>472</v>
      </c>
      <c r="F458" s="503" t="s">
        <v>476</v>
      </c>
      <c r="G458" s="503" t="n">
        <v>14</v>
      </c>
      <c r="H458" s="503" t="s">
        <v>904</v>
      </c>
      <c r="I458" s="503" t="s">
        <v>1435</v>
      </c>
      <c r="J458" s="504" t="n">
        <v>31760</v>
      </c>
      <c r="K458" s="504" t="n">
        <v>15600</v>
      </c>
      <c r="L458" s="505" t="n">
        <v>19.9</v>
      </c>
      <c r="M458" s="504" t="n">
        <v>16160</v>
      </c>
      <c r="N458" s="504" t="n">
        <v>12949</v>
      </c>
      <c r="O458" s="504" t="s">
        <v>886</v>
      </c>
      <c r="P458" s="505" t="s">
        <v>1029</v>
      </c>
      <c r="Q458" s="506" t="n">
        <v>45828</v>
      </c>
      <c r="R458" s="507" t="n">
        <v>0.986481481481482</v>
      </c>
    </row>
    <row r="459" customFormat="false" ht="35.05" hidden="false" customHeight="false" outlineLevel="0" collapsed="false">
      <c r="A459" s="503" t="s">
        <v>2881</v>
      </c>
      <c r="B459" s="0" t="n">
        <v>637</v>
      </c>
      <c r="C459" s="503" t="n">
        <v>26</v>
      </c>
      <c r="D459" s="503" t="s">
        <v>994</v>
      </c>
      <c r="E459" s="503" t="s">
        <v>359</v>
      </c>
      <c r="F459" s="503" t="s">
        <v>426</v>
      </c>
      <c r="G459" s="503" t="s">
        <v>996</v>
      </c>
      <c r="H459" s="503" t="s">
        <v>997</v>
      </c>
      <c r="I459" s="503" t="s">
        <v>1435</v>
      </c>
      <c r="J459" s="504" t="n">
        <v>27950</v>
      </c>
      <c r="K459" s="504" t="n">
        <v>14000</v>
      </c>
      <c r="L459" s="505" t="n">
        <v>19.5</v>
      </c>
      <c r="M459" s="504" t="n">
        <v>13950</v>
      </c>
      <c r="N459" s="504" t="n">
        <v>11229.7</v>
      </c>
      <c r="O459" s="504" t="s">
        <v>417</v>
      </c>
      <c r="P459" s="505" t="s">
        <v>1031</v>
      </c>
      <c r="Q459" s="506" t="n">
        <v>45831</v>
      </c>
      <c r="R459" s="507" t="n">
        <v>0.622349537037037</v>
      </c>
    </row>
    <row r="460" customFormat="false" ht="35.05" hidden="false" customHeight="false" outlineLevel="0" collapsed="false">
      <c r="A460" s="503" t="s">
        <v>2882</v>
      </c>
      <c r="B460" s="0" t="n">
        <v>638</v>
      </c>
      <c r="C460" s="503" t="n">
        <v>28</v>
      </c>
      <c r="D460" s="503" t="s">
        <v>994</v>
      </c>
      <c r="E460" s="503" t="s">
        <v>427</v>
      </c>
      <c r="F460" s="503" t="s">
        <v>431</v>
      </c>
      <c r="G460" s="503" t="s">
        <v>995</v>
      </c>
      <c r="H460" s="503" t="s">
        <v>997</v>
      </c>
      <c r="I460" s="503" t="s">
        <v>1435</v>
      </c>
      <c r="J460" s="504" t="n">
        <v>35190</v>
      </c>
      <c r="K460" s="504" t="n">
        <v>21180</v>
      </c>
      <c r="L460" s="505" t="n">
        <v>22.5</v>
      </c>
      <c r="M460" s="504" t="n">
        <v>14010</v>
      </c>
      <c r="N460" s="504" t="n">
        <v>10857.7</v>
      </c>
      <c r="O460" s="504" t="s">
        <v>417</v>
      </c>
      <c r="P460" s="505" t="s">
        <v>1032</v>
      </c>
      <c r="Q460" s="506" t="n">
        <v>45831</v>
      </c>
      <c r="R460" s="507" t="n">
        <v>0.686446759259259</v>
      </c>
    </row>
    <row r="461" customFormat="false" ht="35.05" hidden="false" customHeight="false" outlineLevel="0" collapsed="false">
      <c r="A461" s="503" t="s">
        <v>2883</v>
      </c>
      <c r="B461" s="0" t="n">
        <v>639</v>
      </c>
      <c r="C461" s="503" t="n">
        <v>27</v>
      </c>
      <c r="D461" s="503" t="s">
        <v>994</v>
      </c>
      <c r="E461" s="503" t="s">
        <v>433</v>
      </c>
      <c r="F461" s="503" t="s">
        <v>437</v>
      </c>
      <c r="G461" s="503" t="s">
        <v>995</v>
      </c>
      <c r="H461" s="503" t="s">
        <v>997</v>
      </c>
      <c r="I461" s="503" t="s">
        <v>1435</v>
      </c>
      <c r="J461" s="504" t="n">
        <v>28910</v>
      </c>
      <c r="K461" s="504" t="n">
        <v>14960</v>
      </c>
      <c r="L461" s="505" t="n">
        <v>15</v>
      </c>
      <c r="M461" s="504" t="n">
        <v>13950</v>
      </c>
      <c r="N461" s="504" t="n">
        <v>11857.5</v>
      </c>
      <c r="O461" s="504" t="s">
        <v>417</v>
      </c>
      <c r="P461" s="505" t="s">
        <v>1033</v>
      </c>
      <c r="Q461" s="506" t="n">
        <v>45831</v>
      </c>
      <c r="R461" s="507" t="n">
        <v>0.751134259259259</v>
      </c>
    </row>
    <row r="462" customFormat="false" ht="35.05" hidden="false" customHeight="false" outlineLevel="0" collapsed="false">
      <c r="A462" s="503" t="s">
        <v>2884</v>
      </c>
      <c r="B462" s="0" t="n">
        <v>640</v>
      </c>
      <c r="C462" s="503" t="n">
        <v>29</v>
      </c>
      <c r="D462" s="503" t="s">
        <v>994</v>
      </c>
      <c r="E462" s="503" t="s">
        <v>439</v>
      </c>
      <c r="F462" s="503" t="s">
        <v>443</v>
      </c>
      <c r="G462" s="503" t="s">
        <v>995</v>
      </c>
      <c r="H462" s="503" t="s">
        <v>997</v>
      </c>
      <c r="I462" s="503" t="s">
        <v>1435</v>
      </c>
      <c r="J462" s="504" t="n">
        <v>37910</v>
      </c>
      <c r="K462" s="504" t="n">
        <v>24140</v>
      </c>
      <c r="L462" s="505" t="n">
        <v>15.5</v>
      </c>
      <c r="M462" s="504" t="n">
        <v>13770</v>
      </c>
      <c r="N462" s="504" t="n">
        <v>11635.6</v>
      </c>
      <c r="O462" s="504" t="s">
        <v>417</v>
      </c>
      <c r="P462" s="505" t="s">
        <v>1034</v>
      </c>
      <c r="Q462" s="506" t="n">
        <v>45831</v>
      </c>
      <c r="R462" s="507" t="n">
        <v>0.816747685185185</v>
      </c>
    </row>
    <row r="463" customFormat="false" ht="35.05" hidden="false" customHeight="false" outlineLevel="0" collapsed="false">
      <c r="A463" s="503" t="s">
        <v>2885</v>
      </c>
      <c r="B463" s="0" t="n">
        <v>641</v>
      </c>
      <c r="C463" s="503" t="n">
        <v>30</v>
      </c>
      <c r="D463" s="503" t="s">
        <v>994</v>
      </c>
      <c r="E463" s="503" t="s">
        <v>371</v>
      </c>
      <c r="F463" s="503" t="s">
        <v>372</v>
      </c>
      <c r="G463" s="503" t="s">
        <v>995</v>
      </c>
      <c r="H463" s="503" t="s">
        <v>997</v>
      </c>
      <c r="I463" s="503" t="s">
        <v>1435</v>
      </c>
      <c r="J463" s="504" t="n">
        <v>28840</v>
      </c>
      <c r="K463" s="504" t="n">
        <v>15080</v>
      </c>
      <c r="L463" s="505" t="n">
        <v>18.5</v>
      </c>
      <c r="M463" s="504" t="n">
        <v>13760</v>
      </c>
      <c r="N463" s="504" t="n">
        <v>11214.4</v>
      </c>
      <c r="O463" s="504" t="s">
        <v>417</v>
      </c>
      <c r="P463" s="505" t="s">
        <v>1035</v>
      </c>
      <c r="Q463" s="506" t="n">
        <v>45831</v>
      </c>
      <c r="R463" s="507" t="n">
        <v>0.83125</v>
      </c>
    </row>
    <row r="464" customFormat="false" ht="35.05" hidden="false" customHeight="false" outlineLevel="0" collapsed="false">
      <c r="A464" s="503" t="s">
        <v>2886</v>
      </c>
      <c r="B464" s="0" t="n">
        <v>642</v>
      </c>
      <c r="C464" s="503" t="n">
        <v>31</v>
      </c>
      <c r="D464" s="503" t="s">
        <v>994</v>
      </c>
      <c r="E464" s="503" t="s">
        <v>553</v>
      </c>
      <c r="F464" s="503" t="s">
        <v>557</v>
      </c>
      <c r="G464" s="503" t="s">
        <v>995</v>
      </c>
      <c r="H464" s="503" t="s">
        <v>997</v>
      </c>
      <c r="I464" s="503" t="s">
        <v>1435</v>
      </c>
      <c r="J464" s="504" t="n">
        <v>28290</v>
      </c>
      <c r="K464" s="504" t="n">
        <v>14910</v>
      </c>
      <c r="L464" s="505" t="n">
        <v>18.5</v>
      </c>
      <c r="M464" s="504" t="n">
        <v>13380</v>
      </c>
      <c r="N464" s="504" t="n">
        <v>10904.7</v>
      </c>
      <c r="O464" s="504" t="s">
        <v>417</v>
      </c>
      <c r="P464" s="505" t="s">
        <v>1036</v>
      </c>
      <c r="Q464" s="506" t="n">
        <v>45831</v>
      </c>
      <c r="R464" s="507" t="n">
        <v>0.952939814814815</v>
      </c>
    </row>
    <row r="465" customFormat="false" ht="35.05" hidden="false" customHeight="false" outlineLevel="0" collapsed="false">
      <c r="A465" s="503" t="s">
        <v>2887</v>
      </c>
      <c r="B465" s="0" t="n">
        <v>643</v>
      </c>
      <c r="C465" s="503" t="n">
        <v>32</v>
      </c>
      <c r="D465" s="503" t="s">
        <v>994</v>
      </c>
      <c r="E465" s="503" t="s">
        <v>57</v>
      </c>
      <c r="F465" s="503" t="s">
        <v>58</v>
      </c>
      <c r="G465" s="503" t="s">
        <v>995</v>
      </c>
      <c r="H465" s="503" t="s">
        <v>997</v>
      </c>
      <c r="I465" s="503" t="s">
        <v>1435</v>
      </c>
      <c r="J465" s="504" t="n">
        <v>28630</v>
      </c>
      <c r="K465" s="504" t="n">
        <v>15800</v>
      </c>
      <c r="L465" s="505" t="n">
        <v>17.5</v>
      </c>
      <c r="M465" s="504" t="n">
        <v>12830</v>
      </c>
      <c r="N465" s="504" t="n">
        <v>10584.7</v>
      </c>
      <c r="O465" s="504" t="s">
        <v>417</v>
      </c>
      <c r="P465" s="505" t="s">
        <v>1037</v>
      </c>
      <c r="Q465" s="506" t="n">
        <v>45831</v>
      </c>
      <c r="R465" s="507" t="n">
        <v>0.932083333333333</v>
      </c>
    </row>
    <row r="466" customFormat="false" ht="35.05" hidden="false" customHeight="false" outlineLevel="0" collapsed="false">
      <c r="A466" s="503" t="s">
        <v>2888</v>
      </c>
      <c r="B466" s="509" t="n">
        <v>647</v>
      </c>
      <c r="C466" s="510" t="n">
        <v>33</v>
      </c>
      <c r="D466" s="503" t="s">
        <v>994</v>
      </c>
      <c r="E466" s="503" t="s">
        <v>451</v>
      </c>
      <c r="F466" s="503" t="s">
        <v>455</v>
      </c>
      <c r="G466" s="503" t="s">
        <v>995</v>
      </c>
      <c r="H466" s="503" t="s">
        <v>997</v>
      </c>
      <c r="I466" s="503" t="s">
        <v>1435</v>
      </c>
      <c r="J466" s="504" t="n">
        <v>28570</v>
      </c>
      <c r="K466" s="504" t="n">
        <v>15040</v>
      </c>
      <c r="L466" s="511" t="n">
        <v>16</v>
      </c>
      <c r="M466" s="504" t="n">
        <v>13530</v>
      </c>
      <c r="N466" s="504" t="n">
        <v>11365.2</v>
      </c>
      <c r="O466" s="504" t="s">
        <v>417</v>
      </c>
      <c r="P466" s="505" t="s">
        <v>1038</v>
      </c>
      <c r="Q466" s="506" t="n">
        <v>45832</v>
      </c>
      <c r="R466" s="507" t="n">
        <v>0.81931712962963</v>
      </c>
    </row>
    <row r="467" customFormat="false" ht="35.05" hidden="false" customHeight="false" outlineLevel="0" collapsed="false">
      <c r="A467" s="503" t="s">
        <v>2889</v>
      </c>
      <c r="B467" s="509" t="n">
        <v>648</v>
      </c>
      <c r="C467" s="510" t="n">
        <v>34</v>
      </c>
      <c r="D467" s="503" t="s">
        <v>994</v>
      </c>
      <c r="E467" s="503" t="s">
        <v>361</v>
      </c>
      <c r="F467" s="503" t="s">
        <v>362</v>
      </c>
      <c r="G467" s="503" t="s">
        <v>995</v>
      </c>
      <c r="H467" s="503" t="s">
        <v>900</v>
      </c>
      <c r="I467" s="503" t="s">
        <v>1435</v>
      </c>
      <c r="J467" s="504" t="n">
        <v>28260</v>
      </c>
      <c r="K467" s="504" t="n">
        <v>21400</v>
      </c>
      <c r="L467" s="511" t="n">
        <v>14</v>
      </c>
      <c r="M467" s="504" t="n">
        <v>6860</v>
      </c>
      <c r="N467" s="504" t="n">
        <v>5899.6</v>
      </c>
      <c r="O467" s="504" t="s">
        <v>417</v>
      </c>
      <c r="P467" s="505" t="s">
        <v>1040</v>
      </c>
      <c r="Q467" s="506" t="n">
        <v>45832</v>
      </c>
      <c r="R467" s="507" t="n">
        <v>0.849293981481482</v>
      </c>
    </row>
    <row r="468" customFormat="false" ht="35.05" hidden="false" customHeight="false" outlineLevel="0" collapsed="false">
      <c r="A468" s="503" t="s">
        <v>2890</v>
      </c>
      <c r="B468" s="509" t="n">
        <v>649</v>
      </c>
      <c r="C468" s="510" t="n">
        <v>34</v>
      </c>
      <c r="D468" s="503" t="s">
        <v>994</v>
      </c>
      <c r="E468" s="503" t="s">
        <v>361</v>
      </c>
      <c r="F468" s="503" t="s">
        <v>362</v>
      </c>
      <c r="G468" s="503" t="s">
        <v>995</v>
      </c>
      <c r="H468" s="503" t="s">
        <v>997</v>
      </c>
      <c r="I468" s="503" t="s">
        <v>1435</v>
      </c>
      <c r="J468" s="504" t="n">
        <v>21400</v>
      </c>
      <c r="K468" s="504" t="n">
        <v>14780</v>
      </c>
      <c r="L468" s="511" t="n">
        <v>12</v>
      </c>
      <c r="M468" s="504" t="n">
        <v>6620</v>
      </c>
      <c r="N468" s="504" t="n">
        <v>5825.6</v>
      </c>
      <c r="O468" s="504" t="s">
        <v>417</v>
      </c>
      <c r="P468" s="505" t="s">
        <v>1041</v>
      </c>
      <c r="Q468" s="506" t="n">
        <v>45832</v>
      </c>
      <c r="R468" s="507" t="n">
        <v>0.850914351851852</v>
      </c>
    </row>
    <row r="469" customFormat="false" ht="35.05" hidden="false" customHeight="false" outlineLevel="0" collapsed="false">
      <c r="A469" s="503" t="s">
        <v>2891</v>
      </c>
      <c r="B469" s="509" t="n">
        <v>650</v>
      </c>
      <c r="C469" s="510" t="n">
        <v>35</v>
      </c>
      <c r="D469" s="503" t="s">
        <v>994</v>
      </c>
      <c r="E469" s="503" t="s">
        <v>547</v>
      </c>
      <c r="F469" s="503" t="s">
        <v>551</v>
      </c>
      <c r="G469" s="503" t="s">
        <v>995</v>
      </c>
      <c r="H469" s="503" t="s">
        <v>900</v>
      </c>
      <c r="I469" s="503" t="s">
        <v>1435</v>
      </c>
      <c r="J469" s="504" t="n">
        <v>28550</v>
      </c>
      <c r="K469" s="504" t="n">
        <v>14990</v>
      </c>
      <c r="L469" s="511" t="n">
        <v>16.5</v>
      </c>
      <c r="M469" s="504" t="n">
        <v>13560</v>
      </c>
      <c r="N469" s="504" t="n">
        <v>11322.6</v>
      </c>
      <c r="O469" s="504" t="s">
        <v>417</v>
      </c>
      <c r="P469" s="505" t="s">
        <v>1042</v>
      </c>
      <c r="Q469" s="506" t="n">
        <v>45832</v>
      </c>
      <c r="R469" s="507" t="n">
        <v>0.874826388888889</v>
      </c>
    </row>
    <row r="470" customFormat="false" ht="35.05" hidden="false" customHeight="false" outlineLevel="0" collapsed="false">
      <c r="A470" s="503" t="s">
        <v>2892</v>
      </c>
      <c r="B470" s="509" t="n">
        <v>651</v>
      </c>
      <c r="C470" s="503" t="n">
        <v>36</v>
      </c>
      <c r="D470" s="503" t="s">
        <v>994</v>
      </c>
      <c r="E470" s="503" t="s">
        <v>363</v>
      </c>
      <c r="F470" s="503" t="s">
        <v>364</v>
      </c>
      <c r="G470" s="503" t="s">
        <v>995</v>
      </c>
      <c r="H470" s="503" t="s">
        <v>900</v>
      </c>
      <c r="I470" s="503" t="s">
        <v>1435</v>
      </c>
      <c r="J470" s="504" t="n">
        <v>28120</v>
      </c>
      <c r="K470" s="504" t="n">
        <v>14700</v>
      </c>
      <c r="L470" s="505" t="n">
        <v>15.5</v>
      </c>
      <c r="M470" s="504" t="n">
        <v>13420</v>
      </c>
      <c r="N470" s="504" t="n">
        <v>11339.9</v>
      </c>
      <c r="O470" s="504" t="s">
        <v>417</v>
      </c>
      <c r="P470" s="505" t="s">
        <v>1043</v>
      </c>
      <c r="Q470" s="506" t="n">
        <v>45832</v>
      </c>
      <c r="R470" s="507" t="n">
        <v>0.909988425925926</v>
      </c>
    </row>
    <row r="471" customFormat="false" ht="35.05" hidden="false" customHeight="false" outlineLevel="0" collapsed="false">
      <c r="A471" s="503" t="s">
        <v>2893</v>
      </c>
      <c r="B471" s="0" t="n">
        <v>652</v>
      </c>
      <c r="C471" s="503" t="n">
        <v>36</v>
      </c>
      <c r="D471" s="503" t="s">
        <v>994</v>
      </c>
      <c r="E471" s="503" t="s">
        <v>365</v>
      </c>
      <c r="F471" s="503" t="s">
        <v>373</v>
      </c>
      <c r="G471" s="503" t="s">
        <v>995</v>
      </c>
      <c r="H471" s="503" t="s">
        <v>900</v>
      </c>
      <c r="I471" s="503" t="s">
        <v>1435</v>
      </c>
      <c r="J471" s="504" t="n">
        <v>32280</v>
      </c>
      <c r="K471" s="504" t="n">
        <v>18780</v>
      </c>
      <c r="L471" s="505" t="n">
        <v>13.5</v>
      </c>
      <c r="M471" s="504" t="n">
        <v>13500</v>
      </c>
      <c r="N471" s="504" t="n">
        <v>11677.5</v>
      </c>
      <c r="O471" s="504" t="s">
        <v>417</v>
      </c>
      <c r="P471" s="505" t="s">
        <v>1044</v>
      </c>
      <c r="Q471" s="506" t="n">
        <v>45832</v>
      </c>
      <c r="R471" s="507" t="n">
        <v>0.950509259259259</v>
      </c>
    </row>
    <row r="472" customFormat="false" ht="35.05" hidden="false" customHeight="false" outlineLevel="0" collapsed="false">
      <c r="A472" s="503" t="s">
        <v>2894</v>
      </c>
      <c r="B472" s="0" t="n">
        <v>653</v>
      </c>
      <c r="C472" s="503" t="n">
        <v>37</v>
      </c>
      <c r="D472" s="503" t="s">
        <v>994</v>
      </c>
      <c r="E472" s="503" t="s">
        <v>457</v>
      </c>
      <c r="F472" s="503" t="s">
        <v>366</v>
      </c>
      <c r="G472" s="503" t="s">
        <v>995</v>
      </c>
      <c r="H472" s="503" t="s">
        <v>900</v>
      </c>
      <c r="I472" s="503" t="s">
        <v>1435</v>
      </c>
      <c r="J472" s="504" t="n">
        <v>27870</v>
      </c>
      <c r="K472" s="504" t="n">
        <v>14970</v>
      </c>
      <c r="L472" s="505" t="n">
        <v>15.5</v>
      </c>
      <c r="M472" s="504" t="n">
        <v>12900</v>
      </c>
      <c r="N472" s="504" t="n">
        <v>10900.5</v>
      </c>
      <c r="O472" s="504" t="s">
        <v>417</v>
      </c>
      <c r="P472" s="505" t="s">
        <v>1045</v>
      </c>
      <c r="Q472" s="506" t="n">
        <v>45832</v>
      </c>
      <c r="R472" s="507" t="n">
        <v>0.956226851851852</v>
      </c>
    </row>
    <row r="473" customFormat="false" ht="35.05" hidden="false" customHeight="false" outlineLevel="0" collapsed="false">
      <c r="A473" s="503" t="s">
        <v>2895</v>
      </c>
      <c r="B473" s="0" t="n">
        <v>654</v>
      </c>
      <c r="C473" s="503" t="n">
        <v>38</v>
      </c>
      <c r="D473" s="503" t="s">
        <v>994</v>
      </c>
      <c r="E473" s="503" t="s">
        <v>371</v>
      </c>
      <c r="F473" s="503" t="s">
        <v>372</v>
      </c>
      <c r="G473" s="503" t="s">
        <v>995</v>
      </c>
      <c r="H473" s="503" t="s">
        <v>900</v>
      </c>
      <c r="I473" s="503" t="s">
        <v>1435</v>
      </c>
      <c r="J473" s="504" t="n">
        <v>28890</v>
      </c>
      <c r="K473" s="504" t="n">
        <v>15200</v>
      </c>
      <c r="L473" s="505" t="n">
        <v>18</v>
      </c>
      <c r="M473" s="504" t="n">
        <v>13690</v>
      </c>
      <c r="N473" s="504" t="n">
        <v>11225.8</v>
      </c>
      <c r="O473" s="504" t="s">
        <v>417</v>
      </c>
      <c r="P473" s="505" t="s">
        <v>1046</v>
      </c>
      <c r="Q473" s="506" t="n">
        <v>45832</v>
      </c>
      <c r="R473" s="507" t="n">
        <v>0.998784722222222</v>
      </c>
    </row>
    <row r="474" customFormat="false" ht="35.05" hidden="false" customHeight="false" outlineLevel="0" collapsed="false">
      <c r="A474" s="503" t="s">
        <v>2896</v>
      </c>
      <c r="B474" s="0" t="n">
        <v>655</v>
      </c>
      <c r="C474" s="503" t="n">
        <v>39</v>
      </c>
      <c r="D474" s="503" t="s">
        <v>994</v>
      </c>
      <c r="E474" s="503" t="s">
        <v>466</v>
      </c>
      <c r="F474" s="503" t="s">
        <v>470</v>
      </c>
      <c r="G474" s="503" t="s">
        <v>995</v>
      </c>
      <c r="H474" s="503" t="s">
        <v>900</v>
      </c>
      <c r="I474" s="503" t="s">
        <v>1435</v>
      </c>
      <c r="J474" s="504" t="n">
        <v>28640</v>
      </c>
      <c r="K474" s="504" t="n">
        <v>15210</v>
      </c>
      <c r="L474" s="505" t="n">
        <v>16.5</v>
      </c>
      <c r="M474" s="504" t="n">
        <v>13430</v>
      </c>
      <c r="N474" s="504" t="n">
        <v>11214</v>
      </c>
      <c r="O474" s="504" t="s">
        <v>417</v>
      </c>
      <c r="P474" s="505" t="s">
        <v>1047</v>
      </c>
      <c r="Q474" s="506" t="n">
        <v>45833</v>
      </c>
      <c r="R474" s="507" t="n">
        <v>0.0729166666666667</v>
      </c>
    </row>
    <row r="475" customFormat="false" ht="35.05" hidden="false" customHeight="false" outlineLevel="0" collapsed="false">
      <c r="A475" s="503" t="s">
        <v>2897</v>
      </c>
      <c r="B475" s="0" t="n">
        <v>656</v>
      </c>
      <c r="C475" s="503" t="n">
        <v>40</v>
      </c>
      <c r="D475" s="503" t="s">
        <v>994</v>
      </c>
      <c r="E475" s="503" t="s">
        <v>48</v>
      </c>
      <c r="F475" s="503" t="s">
        <v>49</v>
      </c>
      <c r="G475" s="503" t="s">
        <v>995</v>
      </c>
      <c r="H475" s="503" t="s">
        <v>900</v>
      </c>
      <c r="I475" s="503" t="s">
        <v>1435</v>
      </c>
      <c r="J475" s="504" t="n">
        <v>28540</v>
      </c>
      <c r="K475" s="504" t="n">
        <v>15200</v>
      </c>
      <c r="L475" s="505" t="n">
        <v>17</v>
      </c>
      <c r="M475" s="504" t="n">
        <v>13340</v>
      </c>
      <c r="N475" s="504" t="n">
        <v>11072.2</v>
      </c>
      <c r="O475" s="504" t="s">
        <v>417</v>
      </c>
      <c r="P475" s="505" t="s">
        <v>1048</v>
      </c>
      <c r="Q475" s="506" t="n">
        <v>45833</v>
      </c>
      <c r="R475" s="507" t="n">
        <v>0.0964236111111111</v>
      </c>
    </row>
    <row r="476" customFormat="false" ht="35.05" hidden="false" customHeight="false" outlineLevel="0" collapsed="false">
      <c r="A476" s="503" t="s">
        <v>2898</v>
      </c>
      <c r="B476" s="0" t="n">
        <v>657</v>
      </c>
      <c r="C476" s="503" t="n">
        <v>41</v>
      </c>
      <c r="D476" s="503" t="s">
        <v>994</v>
      </c>
      <c r="E476" s="503" t="s">
        <v>445</v>
      </c>
      <c r="F476" s="503" t="s">
        <v>449</v>
      </c>
      <c r="G476" s="503" t="s">
        <v>995</v>
      </c>
      <c r="H476" s="503" t="s">
        <v>900</v>
      </c>
      <c r="I476" s="503" t="s">
        <v>1435</v>
      </c>
      <c r="J476" s="504" t="n">
        <v>28910</v>
      </c>
      <c r="K476" s="504" t="n">
        <v>15730</v>
      </c>
      <c r="L476" s="505" t="n">
        <v>14.5</v>
      </c>
      <c r="M476" s="504" t="n">
        <v>13180</v>
      </c>
      <c r="N476" s="504" t="n">
        <v>11268.9</v>
      </c>
      <c r="O476" s="504" t="s">
        <v>417</v>
      </c>
      <c r="P476" s="505" t="s">
        <v>1049</v>
      </c>
      <c r="Q476" s="506" t="n">
        <v>45833</v>
      </c>
      <c r="R476" s="507" t="n">
        <v>0.146273148148148</v>
      </c>
    </row>
    <row r="477" customFormat="false" ht="35.05" hidden="false" customHeight="false" outlineLevel="0" collapsed="false">
      <c r="A477" s="503" t="s">
        <v>2899</v>
      </c>
      <c r="B477" s="0" t="n">
        <v>658</v>
      </c>
      <c r="C477" s="503" t="n">
        <v>42</v>
      </c>
      <c r="D477" s="503" t="s">
        <v>994</v>
      </c>
      <c r="E477" s="503" t="s">
        <v>553</v>
      </c>
      <c r="F477" s="503" t="s">
        <v>557</v>
      </c>
      <c r="G477" s="503" t="s">
        <v>995</v>
      </c>
      <c r="H477" s="503" t="s">
        <v>900</v>
      </c>
      <c r="I477" s="503" t="s">
        <v>1435</v>
      </c>
      <c r="J477" s="504" t="n">
        <v>28650</v>
      </c>
      <c r="K477" s="504" t="n">
        <v>15100</v>
      </c>
      <c r="L477" s="505" t="n">
        <v>16.5</v>
      </c>
      <c r="M477" s="504" t="n">
        <v>13550</v>
      </c>
      <c r="N477" s="504" t="n">
        <v>11314.2</v>
      </c>
      <c r="O477" s="504" t="s">
        <v>417</v>
      </c>
      <c r="P477" s="505" t="s">
        <v>1050</v>
      </c>
      <c r="Q477" s="506" t="n">
        <v>45833</v>
      </c>
      <c r="R477" s="507" t="n">
        <v>0.19287037037037</v>
      </c>
    </row>
    <row r="478" customFormat="false" ht="35.05" hidden="false" customHeight="false" outlineLevel="0" collapsed="false">
      <c r="A478" s="503" t="s">
        <v>2900</v>
      </c>
      <c r="B478" s="0" t="n">
        <v>659</v>
      </c>
      <c r="C478" s="503" t="n">
        <v>43</v>
      </c>
      <c r="D478" s="503" t="s">
        <v>994</v>
      </c>
      <c r="E478" s="503" t="s">
        <v>433</v>
      </c>
      <c r="F478" s="503" t="s">
        <v>437</v>
      </c>
      <c r="G478" s="503" t="s">
        <v>995</v>
      </c>
      <c r="H478" s="503" t="s">
        <v>900</v>
      </c>
      <c r="I478" s="503" t="s">
        <v>1435</v>
      </c>
      <c r="J478" s="504" t="n">
        <v>28180</v>
      </c>
      <c r="K478" s="504" t="n">
        <v>15020</v>
      </c>
      <c r="L478" s="505" t="n">
        <v>19.5</v>
      </c>
      <c r="M478" s="504" t="n">
        <v>13160</v>
      </c>
      <c r="N478" s="504" t="n">
        <v>10593.8</v>
      </c>
      <c r="O478" s="504" t="s">
        <v>417</v>
      </c>
      <c r="P478" s="505" t="s">
        <v>1051</v>
      </c>
      <c r="Q478" s="506" t="n">
        <v>45833</v>
      </c>
      <c r="R478" s="507" t="n">
        <v>0.231863425925926</v>
      </c>
    </row>
    <row r="479" customFormat="false" ht="35.05" hidden="false" customHeight="false" outlineLevel="0" collapsed="false">
      <c r="A479" s="503" t="s">
        <v>2901</v>
      </c>
      <c r="B479" s="0" t="n">
        <v>660</v>
      </c>
      <c r="C479" s="503" t="n">
        <v>44</v>
      </c>
      <c r="D479" s="503" t="s">
        <v>994</v>
      </c>
      <c r="E479" s="503" t="s">
        <v>439</v>
      </c>
      <c r="F479" s="503" t="s">
        <v>443</v>
      </c>
      <c r="G479" s="503" t="s">
        <v>995</v>
      </c>
      <c r="H479" s="503" t="s">
        <v>900</v>
      </c>
      <c r="I479" s="503" t="s">
        <v>1435</v>
      </c>
      <c r="J479" s="504" t="n">
        <v>37380</v>
      </c>
      <c r="K479" s="504" t="n">
        <v>24270</v>
      </c>
      <c r="L479" s="505" t="n">
        <v>17.5</v>
      </c>
      <c r="M479" s="504" t="n">
        <v>13110</v>
      </c>
      <c r="N479" s="504" t="n">
        <v>10815.7</v>
      </c>
      <c r="O479" s="504" t="s">
        <v>417</v>
      </c>
      <c r="P479" s="505" t="s">
        <v>1052</v>
      </c>
      <c r="Q479" s="506" t="n">
        <v>45833</v>
      </c>
      <c r="R479" s="507" t="n">
        <v>0.316909722222222</v>
      </c>
    </row>
    <row r="480" customFormat="false" ht="35.05" hidden="false" customHeight="false" outlineLevel="0" collapsed="false">
      <c r="A480" s="503" t="s">
        <v>2902</v>
      </c>
      <c r="B480" s="0" t="n">
        <v>661</v>
      </c>
      <c r="C480" s="503" t="n">
        <v>45</v>
      </c>
      <c r="D480" s="503" t="s">
        <v>994</v>
      </c>
      <c r="E480" s="503" t="s">
        <v>451</v>
      </c>
      <c r="F480" s="503" t="s">
        <v>455</v>
      </c>
      <c r="G480" s="503" t="s">
        <v>995</v>
      </c>
      <c r="H480" s="503" t="s">
        <v>900</v>
      </c>
      <c r="I480" s="503" t="s">
        <v>1435</v>
      </c>
      <c r="J480" s="504" t="n">
        <v>28450</v>
      </c>
      <c r="K480" s="504" t="n">
        <v>15260</v>
      </c>
      <c r="L480" s="505" t="n">
        <v>16.1</v>
      </c>
      <c r="M480" s="504" t="n">
        <v>13190</v>
      </c>
      <c r="N480" s="504" t="n">
        <v>11073</v>
      </c>
      <c r="O480" s="504" t="s">
        <v>417</v>
      </c>
      <c r="P480" s="505" t="s">
        <v>1053</v>
      </c>
      <c r="Q480" s="506" t="n">
        <v>45833</v>
      </c>
      <c r="R480" s="507" t="n">
        <v>0.311203703703704</v>
      </c>
    </row>
    <row r="481" customFormat="false" ht="35.05" hidden="false" customHeight="false" outlineLevel="0" collapsed="false">
      <c r="A481" s="503" t="s">
        <v>2903</v>
      </c>
      <c r="B481" s="0" t="n">
        <v>662</v>
      </c>
      <c r="C481" s="503" t="n">
        <v>46</v>
      </c>
      <c r="D481" s="503" t="s">
        <v>994</v>
      </c>
      <c r="E481" s="503" t="s">
        <v>547</v>
      </c>
      <c r="F481" s="503" t="s">
        <v>551</v>
      </c>
      <c r="G481" s="503" t="s">
        <v>995</v>
      </c>
      <c r="H481" s="503" t="s">
        <v>900</v>
      </c>
      <c r="I481" s="503" t="s">
        <v>1435</v>
      </c>
      <c r="J481" s="504" t="n">
        <v>28180</v>
      </c>
      <c r="K481" s="504" t="n">
        <v>14940</v>
      </c>
      <c r="L481" s="505" t="n">
        <v>14.5</v>
      </c>
      <c r="M481" s="504" t="n">
        <v>13240</v>
      </c>
      <c r="N481" s="504" t="n">
        <v>11320.2</v>
      </c>
      <c r="O481" s="504" t="s">
        <v>417</v>
      </c>
      <c r="P481" s="505" t="s">
        <v>1054</v>
      </c>
      <c r="Q481" s="506" t="n">
        <v>45833</v>
      </c>
      <c r="R481" s="507" t="n">
        <v>0.367233796296296</v>
      </c>
    </row>
    <row r="482" customFormat="false" ht="35.05" hidden="false" customHeight="false" outlineLevel="0" collapsed="false">
      <c r="A482" s="503" t="s">
        <v>2904</v>
      </c>
      <c r="B482" s="0" t="n">
        <v>664</v>
      </c>
      <c r="C482" s="503" t="n">
        <v>48</v>
      </c>
      <c r="D482" s="503" t="s">
        <v>994</v>
      </c>
      <c r="E482" s="503" t="s">
        <v>553</v>
      </c>
      <c r="F482" s="503" t="s">
        <v>557</v>
      </c>
      <c r="G482" s="503" t="s">
        <v>995</v>
      </c>
      <c r="H482" s="503" t="s">
        <v>900</v>
      </c>
      <c r="I482" s="503" t="s">
        <v>1435</v>
      </c>
      <c r="J482" s="504" t="n">
        <v>15880</v>
      </c>
      <c r="K482" s="504" t="n">
        <v>9720</v>
      </c>
      <c r="L482" s="505" t="n">
        <v>19.5</v>
      </c>
      <c r="M482" s="504" t="n">
        <v>6160</v>
      </c>
      <c r="N482" s="504" t="n">
        <v>4958.8</v>
      </c>
      <c r="O482" s="504" t="s">
        <v>417</v>
      </c>
      <c r="P482" s="505" t="s">
        <v>1055</v>
      </c>
      <c r="Q482" s="506" t="n">
        <v>45833</v>
      </c>
      <c r="R482" s="507" t="n">
        <v>0.499155092592593</v>
      </c>
    </row>
    <row r="483" customFormat="false" ht="35.05" hidden="false" customHeight="false" outlineLevel="0" collapsed="false">
      <c r="A483" s="503" t="s">
        <v>2905</v>
      </c>
      <c r="B483" s="0" t="n">
        <v>665</v>
      </c>
      <c r="C483" s="503" t="n">
        <v>47</v>
      </c>
      <c r="D483" s="503" t="s">
        <v>994</v>
      </c>
      <c r="E483" s="503" t="s">
        <v>445</v>
      </c>
      <c r="F483" s="503" t="s">
        <v>449</v>
      </c>
      <c r="G483" s="503" t="s">
        <v>995</v>
      </c>
      <c r="H483" s="503" t="s">
        <v>900</v>
      </c>
      <c r="I483" s="503" t="s">
        <v>1435</v>
      </c>
      <c r="J483" s="504" t="n">
        <v>28810</v>
      </c>
      <c r="K483" s="504" t="n">
        <v>15740</v>
      </c>
      <c r="L483" s="505" t="n">
        <v>16.5</v>
      </c>
      <c r="M483" s="504" t="n">
        <v>13070</v>
      </c>
      <c r="N483" s="504" t="n">
        <v>10913.4</v>
      </c>
      <c r="O483" s="504" t="s">
        <v>417</v>
      </c>
      <c r="P483" s="505" t="s">
        <v>1056</v>
      </c>
      <c r="Q483" s="506" t="n">
        <v>45833</v>
      </c>
      <c r="R483" s="507" t="n">
        <v>0.509259259259259</v>
      </c>
    </row>
    <row r="484" customFormat="false" ht="35.05" hidden="false" customHeight="false" outlineLevel="0" collapsed="false">
      <c r="A484" s="503" t="s">
        <v>2906</v>
      </c>
      <c r="B484" s="0" t="n">
        <v>671</v>
      </c>
      <c r="C484" s="503" t="n">
        <v>54957</v>
      </c>
      <c r="D484" s="503" t="s">
        <v>908</v>
      </c>
      <c r="E484" s="503" t="s">
        <v>376</v>
      </c>
      <c r="F484" s="503" t="s">
        <v>377</v>
      </c>
      <c r="G484" s="503" t="n">
        <v>14</v>
      </c>
      <c r="H484" s="503" t="s">
        <v>1058</v>
      </c>
      <c r="I484" s="503" t="s">
        <v>1435</v>
      </c>
      <c r="J484" s="504" t="n">
        <v>18390</v>
      </c>
      <c r="K484" s="504" t="n">
        <v>14220</v>
      </c>
      <c r="L484" s="505" t="n">
        <v>17</v>
      </c>
      <c r="M484" s="504" t="n">
        <v>4170</v>
      </c>
      <c r="N484" s="504" t="n">
        <v>3461.1</v>
      </c>
      <c r="O484" s="504" t="s">
        <v>417</v>
      </c>
      <c r="P484" s="505" t="s">
        <v>1057</v>
      </c>
      <c r="Q484" s="506" t="n">
        <v>45836</v>
      </c>
      <c r="R484" s="507" t="n">
        <v>0.368819444444444</v>
      </c>
    </row>
    <row r="485" customFormat="false" ht="35.05" hidden="false" customHeight="false" outlineLevel="0" collapsed="false">
      <c r="A485" s="503" t="s">
        <v>2907</v>
      </c>
      <c r="B485" s="0" t="n">
        <v>672</v>
      </c>
      <c r="C485" s="503" t="n">
        <v>51</v>
      </c>
      <c r="D485" s="503" t="s">
        <v>994</v>
      </c>
      <c r="E485" s="503" t="s">
        <v>382</v>
      </c>
      <c r="F485" s="503" t="s">
        <v>383</v>
      </c>
      <c r="G485" s="503" t="s">
        <v>995</v>
      </c>
      <c r="H485" s="503" t="s">
        <v>1061</v>
      </c>
      <c r="I485" s="503" t="s">
        <v>1435</v>
      </c>
      <c r="J485" s="504" t="n">
        <v>28270</v>
      </c>
      <c r="K485" s="504" t="n">
        <v>14880</v>
      </c>
      <c r="L485" s="505" t="n">
        <v>14</v>
      </c>
      <c r="M485" s="504" t="n">
        <v>13390</v>
      </c>
      <c r="N485" s="504" t="n">
        <v>11515.4</v>
      </c>
      <c r="O485" s="504" t="s">
        <v>417</v>
      </c>
      <c r="P485" s="505" t="s">
        <v>1060</v>
      </c>
      <c r="Q485" s="506" t="n">
        <v>45836</v>
      </c>
      <c r="R485" s="507" t="n">
        <v>0.588634259259259</v>
      </c>
    </row>
    <row r="486" customFormat="false" ht="35.05" hidden="false" customHeight="false" outlineLevel="0" collapsed="false">
      <c r="A486" s="503" t="s">
        <v>2908</v>
      </c>
      <c r="B486" s="0" t="n">
        <v>673</v>
      </c>
      <c r="C486" s="503" t="n">
        <v>49</v>
      </c>
      <c r="D486" s="503" t="s">
        <v>994</v>
      </c>
      <c r="E486" s="503" t="s">
        <v>371</v>
      </c>
      <c r="F486" s="503" t="s">
        <v>372</v>
      </c>
      <c r="G486" s="503" t="s">
        <v>995</v>
      </c>
      <c r="H486" s="503" t="s">
        <v>1061</v>
      </c>
      <c r="I486" s="503" t="s">
        <v>1435</v>
      </c>
      <c r="J486" s="504" t="n">
        <v>29130</v>
      </c>
      <c r="K486" s="504" t="n">
        <v>15110</v>
      </c>
      <c r="L486" s="505" t="n">
        <v>14.5</v>
      </c>
      <c r="M486" s="504" t="n">
        <v>14020</v>
      </c>
      <c r="N486" s="504" t="n">
        <v>11987.1</v>
      </c>
      <c r="O486" s="504" t="s">
        <v>417</v>
      </c>
      <c r="P486" s="505" t="s">
        <v>1062</v>
      </c>
      <c r="Q486" s="506" t="n">
        <v>45836</v>
      </c>
      <c r="R486" s="507" t="n">
        <v>0.573761574074074</v>
      </c>
    </row>
    <row r="487" customFormat="false" ht="35.05" hidden="false" customHeight="false" outlineLevel="0" collapsed="false">
      <c r="A487" s="503" t="s">
        <v>2909</v>
      </c>
      <c r="B487" s="0" t="n">
        <v>675</v>
      </c>
      <c r="C487" s="503" t="n">
        <v>52</v>
      </c>
      <c r="D487" s="503" t="s">
        <v>994</v>
      </c>
      <c r="E487" s="503" t="s">
        <v>361</v>
      </c>
      <c r="F487" s="503" t="s">
        <v>362</v>
      </c>
      <c r="G487" s="503" t="s">
        <v>995</v>
      </c>
      <c r="H487" s="503" t="s">
        <v>904</v>
      </c>
      <c r="I487" s="503" t="s">
        <v>1435</v>
      </c>
      <c r="J487" s="504" t="n">
        <v>22010</v>
      </c>
      <c r="K487" s="504" t="n">
        <v>14920</v>
      </c>
      <c r="L487" s="505" t="n">
        <v>19</v>
      </c>
      <c r="M487" s="504" t="n">
        <v>7090</v>
      </c>
      <c r="N487" s="504" t="n">
        <v>5742.9</v>
      </c>
      <c r="O487" s="504" t="s">
        <v>417</v>
      </c>
      <c r="P487" s="505" t="s">
        <v>1064</v>
      </c>
      <c r="Q487" s="506" t="n">
        <v>45836</v>
      </c>
      <c r="R487" s="507" t="n">
        <v>0.766944444444444</v>
      </c>
    </row>
    <row r="488" customFormat="false" ht="35.05" hidden="false" customHeight="false" outlineLevel="0" collapsed="false">
      <c r="A488" s="503" t="s">
        <v>2910</v>
      </c>
      <c r="B488" s="0" t="n">
        <v>674</v>
      </c>
      <c r="C488" s="503" t="n">
        <v>52</v>
      </c>
      <c r="D488" s="503" t="s">
        <v>994</v>
      </c>
      <c r="E488" s="503" t="s">
        <v>361</v>
      </c>
      <c r="F488" s="503" t="s">
        <v>362</v>
      </c>
      <c r="G488" s="503" t="s">
        <v>995</v>
      </c>
      <c r="H488" s="503" t="s">
        <v>1061</v>
      </c>
      <c r="I488" s="503" t="s">
        <v>1435</v>
      </c>
      <c r="J488" s="504" t="n">
        <v>29040</v>
      </c>
      <c r="K488" s="504" t="n">
        <v>22010</v>
      </c>
      <c r="L488" s="505" t="n">
        <v>17</v>
      </c>
      <c r="M488" s="504" t="n">
        <v>7030</v>
      </c>
      <c r="N488" s="504" t="n">
        <v>5834.9</v>
      </c>
      <c r="O488" s="504" t="s">
        <v>417</v>
      </c>
      <c r="P488" s="505" t="s">
        <v>1065</v>
      </c>
      <c r="Q488" s="506" t="n">
        <v>45836</v>
      </c>
      <c r="R488" s="507" t="n">
        <v>0.780462962962963</v>
      </c>
    </row>
    <row r="489" customFormat="false" ht="35.05" hidden="false" customHeight="false" outlineLevel="0" collapsed="false">
      <c r="A489" s="503" t="s">
        <v>2911</v>
      </c>
      <c r="B489" s="0" t="n">
        <v>676</v>
      </c>
      <c r="C489" s="503" t="n">
        <v>50</v>
      </c>
      <c r="D489" s="503" t="s">
        <v>994</v>
      </c>
      <c r="E489" s="503" t="s">
        <v>384</v>
      </c>
      <c r="F489" s="503" t="s">
        <v>385</v>
      </c>
      <c r="G489" s="503" t="s">
        <v>995</v>
      </c>
      <c r="H489" s="503" t="s">
        <v>904</v>
      </c>
      <c r="I489" s="503" t="s">
        <v>1435</v>
      </c>
      <c r="J489" s="504" t="n">
        <v>29480</v>
      </c>
      <c r="K489" s="504" t="n">
        <v>14430</v>
      </c>
      <c r="L489" s="505" t="n">
        <v>15</v>
      </c>
      <c r="M489" s="504" t="n">
        <v>15050</v>
      </c>
      <c r="N489" s="504" t="n">
        <v>12792.5</v>
      </c>
      <c r="O489" s="504" t="s">
        <v>417</v>
      </c>
      <c r="P489" s="505" t="s">
        <v>1066</v>
      </c>
      <c r="Q489" s="506" t="n">
        <v>45836</v>
      </c>
      <c r="R489" s="507" t="n">
        <v>0.826828703703704</v>
      </c>
    </row>
    <row r="490" customFormat="false" ht="35.05" hidden="false" customHeight="false" outlineLevel="0" collapsed="false">
      <c r="A490" s="503" t="s">
        <v>2912</v>
      </c>
      <c r="B490" s="0" t="n">
        <v>678</v>
      </c>
      <c r="C490" s="503" t="n">
        <v>55</v>
      </c>
      <c r="D490" s="503" t="s">
        <v>994</v>
      </c>
      <c r="E490" s="503" t="s">
        <v>1068</v>
      </c>
      <c r="F490" s="503" t="s">
        <v>431</v>
      </c>
      <c r="G490" s="503" t="s">
        <v>995</v>
      </c>
      <c r="H490" s="503" t="s">
        <v>904</v>
      </c>
      <c r="I490" s="503" t="s">
        <v>1435</v>
      </c>
      <c r="J490" s="504" t="n">
        <v>35120</v>
      </c>
      <c r="K490" s="504" t="n">
        <v>27970</v>
      </c>
      <c r="L490" s="505" t="n">
        <v>10.5</v>
      </c>
      <c r="M490" s="504" t="n">
        <v>7150</v>
      </c>
      <c r="N490" s="504" t="n">
        <v>6399.2</v>
      </c>
      <c r="O490" s="504" t="s">
        <v>417</v>
      </c>
      <c r="P490" s="505" t="s">
        <v>1067</v>
      </c>
      <c r="Q490" s="506" t="n">
        <v>45837</v>
      </c>
      <c r="R490" s="507" t="n">
        <v>0.848344907407407</v>
      </c>
    </row>
    <row r="491" customFormat="false" ht="35.05" hidden="false" customHeight="false" outlineLevel="0" collapsed="false">
      <c r="A491" s="503" t="s">
        <v>2913</v>
      </c>
      <c r="B491" s="0" t="n">
        <v>679</v>
      </c>
      <c r="C491" s="503" t="n">
        <v>55</v>
      </c>
      <c r="D491" s="503" t="s">
        <v>994</v>
      </c>
      <c r="E491" s="503" t="s">
        <v>1068</v>
      </c>
      <c r="F491" s="503" t="s">
        <v>431</v>
      </c>
      <c r="G491" s="503" t="s">
        <v>995</v>
      </c>
      <c r="H491" s="503" t="s">
        <v>1061</v>
      </c>
      <c r="I491" s="503" t="s">
        <v>1435</v>
      </c>
      <c r="J491" s="504" t="n">
        <v>27970</v>
      </c>
      <c r="K491" s="504" t="n">
        <v>20920</v>
      </c>
      <c r="L491" s="505" t="n">
        <v>8.5</v>
      </c>
      <c r="M491" s="504" t="n">
        <v>7050</v>
      </c>
      <c r="N491" s="504" t="n">
        <v>6450.7</v>
      </c>
      <c r="O491" s="504" t="s">
        <v>417</v>
      </c>
      <c r="P491" s="505" t="s">
        <v>1069</v>
      </c>
      <c r="Q491" s="506" t="n">
        <v>45837</v>
      </c>
      <c r="R491" s="507" t="n">
        <v>0.849525462962963</v>
      </c>
    </row>
    <row r="492" customFormat="false" ht="35.05" hidden="false" customHeight="false" outlineLevel="0" collapsed="false">
      <c r="A492" s="503" t="s">
        <v>2914</v>
      </c>
      <c r="B492" s="0" t="n">
        <v>680</v>
      </c>
      <c r="C492" s="503" t="n">
        <v>54</v>
      </c>
      <c r="D492" s="503" t="s">
        <v>994</v>
      </c>
      <c r="E492" s="503" t="s">
        <v>439</v>
      </c>
      <c r="F492" s="503" t="s">
        <v>443</v>
      </c>
      <c r="G492" s="503" t="s">
        <v>995</v>
      </c>
      <c r="H492" s="503" t="s">
        <v>1061</v>
      </c>
      <c r="I492" s="503" t="s">
        <v>1435</v>
      </c>
      <c r="J492" s="504" t="n">
        <v>38080</v>
      </c>
      <c r="K492" s="504" t="n">
        <v>24150</v>
      </c>
      <c r="L492" s="505" t="n">
        <v>14</v>
      </c>
      <c r="M492" s="504" t="n">
        <v>13930</v>
      </c>
      <c r="N492" s="504" t="n">
        <v>11979.8</v>
      </c>
      <c r="O492" s="504" t="s">
        <v>417</v>
      </c>
      <c r="P492" s="505" t="s">
        <v>1070</v>
      </c>
      <c r="Q492" s="506" t="n">
        <v>45837</v>
      </c>
      <c r="R492" s="507" t="n">
        <v>0.973414351851852</v>
      </c>
    </row>
    <row r="493" customFormat="false" ht="35.05" hidden="false" customHeight="false" outlineLevel="0" collapsed="false">
      <c r="A493" s="503" t="s">
        <v>2915</v>
      </c>
      <c r="B493" s="0" t="n">
        <v>681</v>
      </c>
      <c r="C493" s="503" t="n">
        <v>54958</v>
      </c>
      <c r="D493" s="503" t="s">
        <v>908</v>
      </c>
      <c r="E493" s="503" t="s">
        <v>376</v>
      </c>
      <c r="F493" s="503" t="s">
        <v>377</v>
      </c>
      <c r="G493" s="503" t="n">
        <v>14</v>
      </c>
      <c r="H493" s="503" t="s">
        <v>1058</v>
      </c>
      <c r="I493" s="503" t="s">
        <v>1435</v>
      </c>
      <c r="J493" s="504" t="n">
        <v>23440</v>
      </c>
      <c r="K493" s="504" t="n">
        <v>14350</v>
      </c>
      <c r="L493" s="505" t="n">
        <v>13.5</v>
      </c>
      <c r="M493" s="504" t="n">
        <v>9090</v>
      </c>
      <c r="N493" s="504" t="n">
        <v>7862.8</v>
      </c>
      <c r="O493" s="504" t="s">
        <v>417</v>
      </c>
      <c r="P493" s="505" t="s">
        <v>1071</v>
      </c>
      <c r="Q493" s="506" t="n">
        <v>45837</v>
      </c>
      <c r="R493" s="507" t="n">
        <v>0.884872685185185</v>
      </c>
    </row>
    <row r="494" customFormat="false" ht="35.05" hidden="false" customHeight="false" outlineLevel="0" collapsed="false">
      <c r="A494" s="503" t="s">
        <v>2916</v>
      </c>
      <c r="B494" s="0" t="n">
        <v>682</v>
      </c>
      <c r="C494" s="503" t="n">
        <v>57</v>
      </c>
      <c r="D494" s="503" t="s">
        <v>994</v>
      </c>
      <c r="E494" s="503" t="s">
        <v>451</v>
      </c>
      <c r="F494" s="503" t="s">
        <v>455</v>
      </c>
      <c r="G494" s="503" t="s">
        <v>995</v>
      </c>
      <c r="H494" s="503" t="s">
        <v>904</v>
      </c>
      <c r="I494" s="503" t="s">
        <v>1435</v>
      </c>
      <c r="J494" s="504" t="n">
        <v>28620</v>
      </c>
      <c r="K494" s="504" t="n">
        <v>14940</v>
      </c>
      <c r="L494" s="505" t="n">
        <v>15</v>
      </c>
      <c r="M494" s="504" t="n">
        <v>13680</v>
      </c>
      <c r="N494" s="504" t="n">
        <v>11628</v>
      </c>
      <c r="O494" s="504" t="s">
        <v>417</v>
      </c>
      <c r="P494" s="505" t="s">
        <v>1072</v>
      </c>
      <c r="Q494" s="506" t="n">
        <v>45837</v>
      </c>
      <c r="R494" s="507" t="n">
        <v>0.949351851851852</v>
      </c>
    </row>
    <row r="495" customFormat="false" ht="35.05" hidden="false" customHeight="false" outlineLevel="0" collapsed="false">
      <c r="A495" s="503" t="s">
        <v>2917</v>
      </c>
      <c r="B495" s="0" t="n">
        <v>683</v>
      </c>
      <c r="C495" s="503" t="n">
        <v>54958</v>
      </c>
      <c r="D495" s="503" t="s">
        <v>908</v>
      </c>
      <c r="E495" s="503" t="s">
        <v>378</v>
      </c>
      <c r="F495" s="503" t="s">
        <v>379</v>
      </c>
      <c r="G495" s="503" t="n">
        <v>14</v>
      </c>
      <c r="H495" s="503" t="s">
        <v>1058</v>
      </c>
      <c r="I495" s="503" t="s">
        <v>1435</v>
      </c>
      <c r="J495" s="504" t="n">
        <v>9150</v>
      </c>
      <c r="K495" s="504" t="n">
        <v>4610</v>
      </c>
      <c r="L495" s="505" t="n">
        <v>12.5</v>
      </c>
      <c r="M495" s="504" t="n">
        <v>4540</v>
      </c>
      <c r="N495" s="504" t="n">
        <v>3972.5</v>
      </c>
      <c r="O495" s="504" t="s">
        <v>417</v>
      </c>
      <c r="P495" s="505" t="s">
        <v>1073</v>
      </c>
      <c r="Q495" s="506" t="n">
        <v>45837</v>
      </c>
      <c r="R495" s="507" t="n">
        <v>0.956736111111111</v>
      </c>
    </row>
    <row r="496" customFormat="false" ht="35.05" hidden="false" customHeight="false" outlineLevel="0" collapsed="false">
      <c r="A496" s="503" t="s">
        <v>2918</v>
      </c>
      <c r="B496" s="0" t="n">
        <v>684</v>
      </c>
      <c r="C496" s="503" t="n">
        <v>54953</v>
      </c>
      <c r="D496" s="503" t="s">
        <v>908</v>
      </c>
      <c r="E496" s="503" t="s">
        <v>519</v>
      </c>
      <c r="F496" s="503" t="s">
        <v>523</v>
      </c>
      <c r="G496" s="503" t="n">
        <v>14</v>
      </c>
      <c r="H496" s="503" t="s">
        <v>1058</v>
      </c>
      <c r="I496" s="503" t="s">
        <v>1435</v>
      </c>
      <c r="J496" s="504" t="n">
        <v>18400</v>
      </c>
      <c r="K496" s="504" t="n">
        <v>15660</v>
      </c>
      <c r="L496" s="505" t="n">
        <v>11</v>
      </c>
      <c r="M496" s="504" t="n">
        <v>2740</v>
      </c>
      <c r="N496" s="504" t="n">
        <v>2438.6</v>
      </c>
      <c r="O496" s="504" t="s">
        <v>417</v>
      </c>
      <c r="P496" s="505" t="s">
        <v>1074</v>
      </c>
      <c r="Q496" s="506" t="n">
        <v>45838</v>
      </c>
      <c r="R496" s="507" t="n">
        <v>0.302685185185185</v>
      </c>
    </row>
    <row r="497" customFormat="false" ht="35.05" hidden="false" customHeight="false" outlineLevel="0" collapsed="false">
      <c r="A497" s="503" t="s">
        <v>2919</v>
      </c>
      <c r="B497" s="0" t="n">
        <v>677</v>
      </c>
      <c r="C497" s="503" t="n">
        <v>53</v>
      </c>
      <c r="D497" s="503" t="s">
        <v>994</v>
      </c>
      <c r="E497" s="503" t="s">
        <v>365</v>
      </c>
      <c r="F497" s="503" t="s">
        <v>373</v>
      </c>
      <c r="G497" s="503" t="s">
        <v>995</v>
      </c>
      <c r="H497" s="503" t="s">
        <v>1061</v>
      </c>
      <c r="I497" s="503" t="s">
        <v>1435</v>
      </c>
      <c r="J497" s="504" t="n">
        <v>29430</v>
      </c>
      <c r="K497" s="504" t="n">
        <v>22535</v>
      </c>
      <c r="L497" s="505" t="n">
        <v>9.5</v>
      </c>
      <c r="M497" s="504" t="n">
        <v>6895</v>
      </c>
      <c r="N497" s="504" t="n">
        <v>6240</v>
      </c>
      <c r="O497" s="504" t="s">
        <v>417</v>
      </c>
      <c r="P497" s="505" t="s">
        <v>1075</v>
      </c>
      <c r="Q497" s="506" t="n">
        <v>45837</v>
      </c>
      <c r="R497" s="507" t="n">
        <v>0.731284722222222</v>
      </c>
    </row>
    <row r="498" customFormat="false" ht="35.05" hidden="false" customHeight="false" outlineLevel="0" collapsed="false">
      <c r="A498" s="503" t="s">
        <v>2920</v>
      </c>
      <c r="B498" s="0" t="n">
        <v>685</v>
      </c>
      <c r="C498" s="503" t="n">
        <v>53</v>
      </c>
      <c r="D498" s="503" t="s">
        <v>994</v>
      </c>
      <c r="E498" s="503" t="s">
        <v>365</v>
      </c>
      <c r="F498" s="503" t="s">
        <v>373</v>
      </c>
      <c r="G498" s="503" t="s">
        <v>995</v>
      </c>
      <c r="H498" s="503" t="s">
        <v>904</v>
      </c>
      <c r="I498" s="503" t="s">
        <v>1435</v>
      </c>
      <c r="J498" s="504" t="n">
        <v>22535</v>
      </c>
      <c r="K498" s="504" t="n">
        <v>15640</v>
      </c>
      <c r="L498" s="505" t="n">
        <v>12</v>
      </c>
      <c r="M498" s="504" t="n">
        <v>6895</v>
      </c>
      <c r="N498" s="504" t="n">
        <v>6067.6</v>
      </c>
      <c r="O498" s="504" t="s">
        <v>417</v>
      </c>
      <c r="P498" s="505" t="s">
        <v>1076</v>
      </c>
      <c r="Q498" s="506" t="n">
        <v>45837</v>
      </c>
      <c r="R498" s="507" t="n">
        <v>0.576469907407407</v>
      </c>
    </row>
    <row r="499" customFormat="false" ht="35.05" hidden="false" customHeight="false" outlineLevel="0" collapsed="false">
      <c r="A499" s="503" t="s">
        <v>2921</v>
      </c>
      <c r="B499" s="0" t="n">
        <v>687</v>
      </c>
      <c r="C499" s="503" t="n">
        <v>54959</v>
      </c>
      <c r="D499" s="503" t="s">
        <v>908</v>
      </c>
      <c r="E499" s="503" t="s">
        <v>511</v>
      </c>
      <c r="F499" s="503" t="s">
        <v>515</v>
      </c>
      <c r="G499" s="503" t="n">
        <v>14</v>
      </c>
      <c r="H499" s="503" t="s">
        <v>1058</v>
      </c>
      <c r="I499" s="503" t="s">
        <v>1435</v>
      </c>
      <c r="J499" s="504" t="n">
        <v>23370</v>
      </c>
      <c r="K499" s="504" t="n">
        <v>14830</v>
      </c>
      <c r="L499" s="505" t="n">
        <v>10.5</v>
      </c>
      <c r="M499" s="504" t="n">
        <v>8540</v>
      </c>
      <c r="N499" s="504" t="n">
        <v>7643.3</v>
      </c>
      <c r="O499" s="504" t="s">
        <v>417</v>
      </c>
      <c r="P499" s="505" t="s">
        <v>1077</v>
      </c>
      <c r="Q499" s="506" t="n">
        <v>45838</v>
      </c>
      <c r="R499" s="507" t="n">
        <v>0.631956018518519</v>
      </c>
    </row>
    <row r="500" customFormat="false" ht="35.05" hidden="false" customHeight="false" outlineLevel="0" collapsed="false">
      <c r="A500" s="503" t="s">
        <v>2922</v>
      </c>
      <c r="B500" s="0" t="n">
        <v>689</v>
      </c>
      <c r="C500" s="503" t="n">
        <v>54960</v>
      </c>
      <c r="D500" s="503" t="s">
        <v>908</v>
      </c>
      <c r="E500" s="503" t="s">
        <v>472</v>
      </c>
      <c r="F500" s="503" t="s">
        <v>476</v>
      </c>
      <c r="G500" s="503" t="n">
        <v>14</v>
      </c>
      <c r="H500" s="503" t="s">
        <v>1058</v>
      </c>
      <c r="I500" s="503" t="s">
        <v>1435</v>
      </c>
      <c r="J500" s="504" t="n">
        <v>23950</v>
      </c>
      <c r="K500" s="504" t="n">
        <v>15560</v>
      </c>
      <c r="L500" s="505" t="n">
        <v>14</v>
      </c>
      <c r="M500" s="504" t="n">
        <v>8390</v>
      </c>
      <c r="N500" s="504" t="n">
        <v>7215.4</v>
      </c>
      <c r="O500" s="504" t="s">
        <v>417</v>
      </c>
      <c r="P500" s="505" t="s">
        <v>1078</v>
      </c>
      <c r="Q500" s="506" t="n">
        <v>45838</v>
      </c>
      <c r="R500" s="507" t="n">
        <v>0.551851851851852</v>
      </c>
    </row>
    <row r="501" customFormat="false" ht="35.05" hidden="false" customHeight="false" outlineLevel="0" collapsed="false">
      <c r="A501" s="503" t="s">
        <v>2923</v>
      </c>
      <c r="B501" s="0" t="n">
        <v>690</v>
      </c>
      <c r="C501" s="503" t="n">
        <v>54961</v>
      </c>
      <c r="D501" s="503" t="s">
        <v>908</v>
      </c>
      <c r="E501" s="503" t="s">
        <v>411</v>
      </c>
      <c r="F501" s="503" t="s">
        <v>381</v>
      </c>
      <c r="G501" s="503" t="n">
        <v>14</v>
      </c>
      <c r="H501" s="503" t="s">
        <v>1058</v>
      </c>
      <c r="I501" s="503" t="s">
        <v>1435</v>
      </c>
      <c r="J501" s="504" t="n">
        <v>22880</v>
      </c>
      <c r="K501" s="504" t="n">
        <v>14180</v>
      </c>
      <c r="L501" s="505" t="n">
        <v>15</v>
      </c>
      <c r="M501" s="504" t="n">
        <v>8700</v>
      </c>
      <c r="N501" s="504" t="n">
        <v>7395</v>
      </c>
      <c r="O501" s="504" t="s">
        <v>417</v>
      </c>
      <c r="P501" s="505" t="s">
        <v>1079</v>
      </c>
      <c r="Q501" s="506" t="n">
        <v>45838</v>
      </c>
      <c r="R501" s="507" t="n">
        <v>0.0459143518518519</v>
      </c>
    </row>
    <row r="502" customFormat="false" ht="35.05" hidden="false" customHeight="false" outlineLevel="0" collapsed="false">
      <c r="A502" s="503" t="s">
        <v>2924</v>
      </c>
      <c r="B502" s="0" t="n">
        <v>692</v>
      </c>
      <c r="C502" s="503" t="n">
        <v>59</v>
      </c>
      <c r="D502" s="503" t="s">
        <v>994</v>
      </c>
      <c r="E502" s="503" t="s">
        <v>359</v>
      </c>
      <c r="F502" s="503" t="s">
        <v>426</v>
      </c>
      <c r="G502" s="503" t="s">
        <v>995</v>
      </c>
      <c r="H502" s="503" t="s">
        <v>904</v>
      </c>
      <c r="I502" s="503" t="s">
        <v>1435</v>
      </c>
      <c r="J502" s="504" t="n">
        <v>27500</v>
      </c>
      <c r="K502" s="504" t="n">
        <v>13820</v>
      </c>
      <c r="L502" s="505" t="n">
        <v>13</v>
      </c>
      <c r="M502" s="504" t="n">
        <v>13680</v>
      </c>
      <c r="N502" s="504" t="n">
        <v>11901.6</v>
      </c>
      <c r="O502" s="504" t="s">
        <v>417</v>
      </c>
      <c r="P502" s="505" t="s">
        <v>1080</v>
      </c>
      <c r="Q502" s="506" t="n">
        <v>45839</v>
      </c>
      <c r="R502" s="507" t="n">
        <v>0.852534722222222</v>
      </c>
    </row>
    <row r="503" customFormat="false" ht="35.05" hidden="false" customHeight="false" outlineLevel="0" collapsed="false">
      <c r="A503" s="503" t="s">
        <v>2925</v>
      </c>
      <c r="B503" s="0" t="n">
        <v>693</v>
      </c>
      <c r="C503" s="503" t="n">
        <v>58</v>
      </c>
      <c r="D503" s="503" t="s">
        <v>994</v>
      </c>
      <c r="E503" s="503" t="s">
        <v>553</v>
      </c>
      <c r="F503" s="503" t="s">
        <v>557</v>
      </c>
      <c r="G503" s="503" t="s">
        <v>995</v>
      </c>
      <c r="H503" s="503" t="s">
        <v>904</v>
      </c>
      <c r="I503" s="503" t="s">
        <v>1435</v>
      </c>
      <c r="J503" s="504" t="n">
        <v>28870</v>
      </c>
      <c r="K503" s="504" t="n">
        <v>14960</v>
      </c>
      <c r="L503" s="505" t="n">
        <v>9</v>
      </c>
      <c r="M503" s="504" t="n">
        <v>13910</v>
      </c>
      <c r="N503" s="504" t="n">
        <v>12658.1</v>
      </c>
      <c r="O503" s="504" t="s">
        <v>417</v>
      </c>
      <c r="P503" s="505" t="s">
        <v>1081</v>
      </c>
      <c r="Q503" s="506" t="n">
        <v>45839</v>
      </c>
      <c r="R503" s="507" t="n">
        <v>0.83525462962963</v>
      </c>
    </row>
    <row r="504" customFormat="false" ht="35.05" hidden="false" customHeight="false" outlineLevel="0" collapsed="false">
      <c r="A504" s="503" t="s">
        <v>2926</v>
      </c>
      <c r="B504" s="0" t="n">
        <v>694</v>
      </c>
      <c r="C504" s="503" t="n">
        <v>56</v>
      </c>
      <c r="D504" s="503" t="s">
        <v>994</v>
      </c>
      <c r="E504" s="503" t="s">
        <v>445</v>
      </c>
      <c r="F504" s="503" t="s">
        <v>449</v>
      </c>
      <c r="G504" s="503" t="s">
        <v>995</v>
      </c>
      <c r="H504" s="503" t="s">
        <v>904</v>
      </c>
      <c r="I504" s="503" t="s">
        <v>1435</v>
      </c>
      <c r="J504" s="504" t="n">
        <v>29640</v>
      </c>
      <c r="K504" s="504" t="n">
        <v>15750</v>
      </c>
      <c r="L504" s="505" t="n">
        <v>16</v>
      </c>
      <c r="M504" s="504" t="n">
        <v>13890</v>
      </c>
      <c r="N504" s="504" t="n">
        <v>11667.6</v>
      </c>
      <c r="O504" s="504" t="s">
        <v>417</v>
      </c>
      <c r="P504" s="505" t="s">
        <v>1082</v>
      </c>
      <c r="Q504" s="506" t="n">
        <v>45839</v>
      </c>
      <c r="R504" s="507" t="n">
        <v>0.868634259259259</v>
      </c>
    </row>
    <row r="505" customFormat="false" ht="35.05" hidden="false" customHeight="false" outlineLevel="0" collapsed="false">
      <c r="A505" s="503" t="s">
        <v>2927</v>
      </c>
      <c r="B505" s="0" t="n">
        <v>695</v>
      </c>
      <c r="C505" s="503" t="n">
        <v>60</v>
      </c>
      <c r="D505" s="503" t="s">
        <v>994</v>
      </c>
      <c r="E505" s="503" t="s">
        <v>547</v>
      </c>
      <c r="F505" s="503" t="s">
        <v>551</v>
      </c>
      <c r="G505" s="503" t="s">
        <v>995</v>
      </c>
      <c r="H505" s="503" t="s">
        <v>904</v>
      </c>
      <c r="I505" s="503" t="s">
        <v>1435</v>
      </c>
      <c r="J505" s="504" t="n">
        <v>28640</v>
      </c>
      <c r="K505" s="504" t="n">
        <v>14780</v>
      </c>
      <c r="L505" s="505" t="n">
        <v>11</v>
      </c>
      <c r="M505" s="504" t="n">
        <v>13860</v>
      </c>
      <c r="N505" s="504" t="n">
        <v>12335.4</v>
      </c>
      <c r="O505" s="504" t="s">
        <v>417</v>
      </c>
      <c r="P505" s="505" t="s">
        <v>1083</v>
      </c>
      <c r="Q505" s="506" t="n">
        <v>45839</v>
      </c>
      <c r="R505" s="507" t="n">
        <v>0.936134259259259</v>
      </c>
    </row>
    <row r="506" customFormat="false" ht="35.05" hidden="false" customHeight="false" outlineLevel="0" collapsed="false">
      <c r="A506" s="503" t="s">
        <v>2928</v>
      </c>
      <c r="B506" s="0" t="n">
        <v>696</v>
      </c>
      <c r="C506" s="503" t="n">
        <v>61</v>
      </c>
      <c r="D506" s="503" t="s">
        <v>994</v>
      </c>
      <c r="E506" s="503" t="s">
        <v>451</v>
      </c>
      <c r="F506" s="503" t="s">
        <v>455</v>
      </c>
      <c r="G506" s="503" t="s">
        <v>995</v>
      </c>
      <c r="H506" s="503" t="s">
        <v>904</v>
      </c>
      <c r="I506" s="503" t="s">
        <v>1435</v>
      </c>
      <c r="J506" s="504" t="n">
        <v>29000</v>
      </c>
      <c r="K506" s="504" t="n">
        <v>15150</v>
      </c>
      <c r="L506" s="505" t="n">
        <v>15</v>
      </c>
      <c r="M506" s="504" t="n">
        <v>13850</v>
      </c>
      <c r="N506" s="504" t="n">
        <v>11772.5</v>
      </c>
      <c r="O506" s="504" t="s">
        <v>417</v>
      </c>
      <c r="P506" s="505" t="s">
        <v>1084</v>
      </c>
      <c r="Q506" s="506" t="n">
        <v>45839</v>
      </c>
      <c r="R506" s="507" t="n">
        <v>0.988148148148148</v>
      </c>
    </row>
    <row r="507" customFormat="false" ht="35.05" hidden="false" customHeight="false" outlineLevel="0" collapsed="false">
      <c r="A507" s="503" t="s">
        <v>2929</v>
      </c>
      <c r="B507" s="0" t="n">
        <v>697</v>
      </c>
      <c r="C507" s="503" t="n">
        <v>62</v>
      </c>
      <c r="D507" s="503" t="s">
        <v>994</v>
      </c>
      <c r="E507" s="503" t="s">
        <v>1086</v>
      </c>
      <c r="F507" s="503" t="s">
        <v>1087</v>
      </c>
      <c r="G507" s="503" t="s">
        <v>995</v>
      </c>
      <c r="H507" s="503" t="s">
        <v>904</v>
      </c>
      <c r="I507" s="503" t="s">
        <v>1435</v>
      </c>
      <c r="J507" s="504" t="n">
        <v>28630</v>
      </c>
      <c r="K507" s="504" t="n">
        <v>14960</v>
      </c>
      <c r="L507" s="505" t="n">
        <v>15.5</v>
      </c>
      <c r="M507" s="504" t="n">
        <v>13670</v>
      </c>
      <c r="N507" s="504" t="n">
        <v>11551.1</v>
      </c>
      <c r="O507" s="504" t="s">
        <v>417</v>
      </c>
      <c r="P507" s="505" t="s">
        <v>1085</v>
      </c>
      <c r="Q507" s="506" t="n">
        <v>45840</v>
      </c>
      <c r="R507" s="507" t="n">
        <v>0.147407407407407</v>
      </c>
    </row>
    <row r="508" customFormat="false" ht="35.05" hidden="false" customHeight="false" outlineLevel="0" collapsed="false">
      <c r="A508" s="503" t="s">
        <v>2930</v>
      </c>
      <c r="B508" s="0" t="n">
        <v>698</v>
      </c>
      <c r="C508" s="503" t="n">
        <v>63</v>
      </c>
      <c r="D508" s="503" t="s">
        <v>994</v>
      </c>
      <c r="E508" s="503" t="s">
        <v>384</v>
      </c>
      <c r="F508" s="503" t="s">
        <v>385</v>
      </c>
      <c r="G508" s="503" t="s">
        <v>995</v>
      </c>
      <c r="H508" s="503" t="s">
        <v>904</v>
      </c>
      <c r="I508" s="503" t="s">
        <v>1435</v>
      </c>
      <c r="J508" s="504" t="n">
        <v>28060</v>
      </c>
      <c r="K508" s="504" t="n">
        <v>14450</v>
      </c>
      <c r="L508" s="505" t="n">
        <v>13.5</v>
      </c>
      <c r="M508" s="504" t="n">
        <v>13610</v>
      </c>
      <c r="N508" s="504" t="n">
        <v>11772.6</v>
      </c>
      <c r="O508" s="504" t="s">
        <v>417</v>
      </c>
      <c r="P508" s="505" t="s">
        <v>1088</v>
      </c>
      <c r="Q508" s="506" t="n">
        <v>45840</v>
      </c>
      <c r="R508" s="507" t="n">
        <v>0.247789351851852</v>
      </c>
    </row>
    <row r="509" customFormat="false" ht="35.05" hidden="false" customHeight="false" outlineLevel="0" collapsed="false">
      <c r="A509" s="503" t="s">
        <v>2931</v>
      </c>
      <c r="B509" s="0" t="n">
        <v>699</v>
      </c>
      <c r="C509" s="503" t="n">
        <v>64</v>
      </c>
      <c r="D509" s="503" t="s">
        <v>994</v>
      </c>
      <c r="E509" s="503" t="s">
        <v>382</v>
      </c>
      <c r="F509" s="503" t="s">
        <v>383</v>
      </c>
      <c r="G509" s="503" t="s">
        <v>995</v>
      </c>
      <c r="H509" s="503" t="s">
        <v>904</v>
      </c>
      <c r="I509" s="503" t="s">
        <v>1435</v>
      </c>
      <c r="J509" s="504" t="n">
        <v>28320</v>
      </c>
      <c r="K509" s="504" t="n">
        <v>14900</v>
      </c>
      <c r="L509" s="505" t="n">
        <v>10.5</v>
      </c>
      <c r="M509" s="504" t="n">
        <v>13420</v>
      </c>
      <c r="N509" s="504" t="n">
        <v>12010.9</v>
      </c>
      <c r="O509" s="504" t="s">
        <v>417</v>
      </c>
      <c r="P509" s="505" t="s">
        <v>1089</v>
      </c>
      <c r="Q509" s="506" t="n">
        <v>45840</v>
      </c>
      <c r="R509" s="507" t="n">
        <v>0.382905092592593</v>
      </c>
    </row>
    <row r="510" customFormat="false" ht="35.05" hidden="false" customHeight="false" outlineLevel="0" collapsed="false">
      <c r="A510" s="503" t="s">
        <v>2932</v>
      </c>
      <c r="B510" s="0" t="n">
        <v>700</v>
      </c>
      <c r="C510" s="503" t="n">
        <v>65</v>
      </c>
      <c r="D510" s="503" t="s">
        <v>994</v>
      </c>
      <c r="E510" s="503" t="s">
        <v>361</v>
      </c>
      <c r="F510" s="503" t="s">
        <v>362</v>
      </c>
      <c r="G510" s="503" t="s">
        <v>995</v>
      </c>
      <c r="H510" s="503" t="s">
        <v>904</v>
      </c>
      <c r="I510" s="503" t="s">
        <v>1435</v>
      </c>
      <c r="J510" s="504" t="n">
        <v>28080</v>
      </c>
      <c r="K510" s="504" t="n">
        <v>14830</v>
      </c>
      <c r="L510" s="505" t="n">
        <v>14.5</v>
      </c>
      <c r="M510" s="504" t="n">
        <v>13250</v>
      </c>
      <c r="N510" s="504" t="n">
        <v>11328.7</v>
      </c>
      <c r="O510" s="504" t="s">
        <v>417</v>
      </c>
      <c r="P510" s="505" t="s">
        <v>1090</v>
      </c>
      <c r="Q510" s="506" t="n">
        <v>45840</v>
      </c>
      <c r="R510" s="507" t="n">
        <v>0.384328703703704</v>
      </c>
    </row>
    <row r="511" customFormat="false" ht="35.05" hidden="false" customHeight="false" outlineLevel="0" collapsed="false">
      <c r="A511" s="503" t="s">
        <v>2933</v>
      </c>
      <c r="B511" s="0" t="n">
        <v>701</v>
      </c>
      <c r="C511" s="503" t="n">
        <v>66</v>
      </c>
      <c r="D511" s="503" t="s">
        <v>994</v>
      </c>
      <c r="E511" s="503" t="s">
        <v>1092</v>
      </c>
      <c r="F511" s="503" t="s">
        <v>1093</v>
      </c>
      <c r="G511" s="503" t="s">
        <v>995</v>
      </c>
      <c r="H511" s="503" t="s">
        <v>904</v>
      </c>
      <c r="I511" s="503" t="s">
        <v>1435</v>
      </c>
      <c r="J511" s="504" t="n">
        <v>37610</v>
      </c>
      <c r="K511" s="504" t="n">
        <v>24100</v>
      </c>
      <c r="L511" s="505" t="n">
        <v>14.5</v>
      </c>
      <c r="M511" s="504" t="n">
        <v>13510</v>
      </c>
      <c r="N511" s="504" t="n">
        <v>11551</v>
      </c>
      <c r="O511" s="504" t="s">
        <v>417</v>
      </c>
      <c r="P511" s="505" t="s">
        <v>1091</v>
      </c>
      <c r="Q511" s="506" t="n">
        <v>45840</v>
      </c>
      <c r="R511" s="507" t="n">
        <v>0.536400462962963</v>
      </c>
    </row>
    <row r="512" customFormat="false" ht="35.05" hidden="false" customHeight="false" outlineLevel="0" collapsed="false">
      <c r="A512" s="503" t="s">
        <v>2934</v>
      </c>
      <c r="B512" s="0" t="n">
        <v>702</v>
      </c>
      <c r="C512" s="503" t="n">
        <v>67</v>
      </c>
      <c r="D512" s="503" t="s">
        <v>994</v>
      </c>
      <c r="E512" s="503" t="s">
        <v>1095</v>
      </c>
      <c r="F512" s="503" t="s">
        <v>1096</v>
      </c>
      <c r="G512" s="503" t="s">
        <v>995</v>
      </c>
      <c r="H512" s="503" t="s">
        <v>1061</v>
      </c>
      <c r="I512" s="503" t="s">
        <v>1435</v>
      </c>
      <c r="J512" s="504" t="n">
        <v>29160</v>
      </c>
      <c r="K512" s="504" t="n">
        <v>22420</v>
      </c>
      <c r="L512" s="505" t="n">
        <v>14.5</v>
      </c>
      <c r="M512" s="504" t="n">
        <v>6740</v>
      </c>
      <c r="N512" s="504" t="n">
        <v>5762.7</v>
      </c>
      <c r="O512" s="504" t="s">
        <v>417</v>
      </c>
      <c r="P512" s="505" t="s">
        <v>1094</v>
      </c>
      <c r="Q512" s="506" t="n">
        <v>45840</v>
      </c>
      <c r="R512" s="507" t="n">
        <v>0.589872685185185</v>
      </c>
    </row>
    <row r="513" customFormat="false" ht="35.05" hidden="false" customHeight="false" outlineLevel="0" collapsed="false">
      <c r="A513" s="503" t="s">
        <v>2935</v>
      </c>
      <c r="B513" s="0" t="n">
        <v>705</v>
      </c>
      <c r="C513" s="503" t="n">
        <v>67</v>
      </c>
      <c r="D513" s="503" t="s">
        <v>994</v>
      </c>
      <c r="E513" s="503" t="s">
        <v>1095</v>
      </c>
      <c r="F513" s="503" t="s">
        <v>1096</v>
      </c>
      <c r="G513" s="503" t="s">
        <v>995</v>
      </c>
      <c r="H513" s="503" t="s">
        <v>904</v>
      </c>
      <c r="I513" s="503" t="s">
        <v>1435</v>
      </c>
      <c r="J513" s="504" t="n">
        <v>22430</v>
      </c>
      <c r="K513" s="504" t="n">
        <v>15690</v>
      </c>
      <c r="L513" s="505" t="n">
        <v>10.5</v>
      </c>
      <c r="M513" s="504" t="n">
        <v>6740</v>
      </c>
      <c r="N513" s="504" t="n">
        <v>6032.3</v>
      </c>
      <c r="O513" s="504" t="s">
        <v>417</v>
      </c>
      <c r="P513" s="505" t="s">
        <v>1097</v>
      </c>
      <c r="Q513" s="506" t="n">
        <v>45840</v>
      </c>
      <c r="R513" s="507" t="n">
        <v>0.593101851851852</v>
      </c>
    </row>
    <row r="514" customFormat="false" ht="35.05" hidden="false" customHeight="false" outlineLevel="0" collapsed="false">
      <c r="A514" s="503" t="s">
        <v>2936</v>
      </c>
      <c r="B514" s="0" t="n">
        <v>703</v>
      </c>
      <c r="C514" s="503" t="n">
        <v>68</v>
      </c>
      <c r="D514" s="503" t="s">
        <v>994</v>
      </c>
      <c r="E514" s="503" t="s">
        <v>365</v>
      </c>
      <c r="F514" s="503" t="s">
        <v>373</v>
      </c>
      <c r="G514" s="503" t="s">
        <v>995</v>
      </c>
      <c r="H514" s="503" t="s">
        <v>1061</v>
      </c>
      <c r="I514" s="503" t="s">
        <v>1435</v>
      </c>
      <c r="J514" s="504" t="n">
        <v>28880</v>
      </c>
      <c r="K514" s="504" t="n">
        <v>15740</v>
      </c>
      <c r="L514" s="505" t="n">
        <v>15.5</v>
      </c>
      <c r="M514" s="504" t="n">
        <v>13140</v>
      </c>
      <c r="N514" s="504" t="n">
        <v>11103.3</v>
      </c>
      <c r="O514" s="504" t="s">
        <v>417</v>
      </c>
      <c r="P514" s="505" t="s">
        <v>1098</v>
      </c>
      <c r="Q514" s="506" t="n">
        <v>45840</v>
      </c>
      <c r="R514" s="507" t="n">
        <v>0.595775462962963</v>
      </c>
    </row>
    <row r="515" customFormat="false" ht="35.05" hidden="false" customHeight="false" outlineLevel="0" collapsed="false">
      <c r="A515" s="503" t="s">
        <v>2937</v>
      </c>
      <c r="B515" s="0" t="n">
        <v>704</v>
      </c>
      <c r="C515" s="503" t="n">
        <v>69</v>
      </c>
      <c r="D515" s="503" t="s">
        <v>994</v>
      </c>
      <c r="E515" s="503" t="s">
        <v>359</v>
      </c>
      <c r="F515" s="503" t="s">
        <v>426</v>
      </c>
      <c r="G515" s="503" t="s">
        <v>995</v>
      </c>
      <c r="H515" s="503" t="s">
        <v>1061</v>
      </c>
      <c r="I515" s="503" t="s">
        <v>1435</v>
      </c>
      <c r="J515" s="504" t="n">
        <v>27090</v>
      </c>
      <c r="K515" s="504" t="n">
        <v>13830</v>
      </c>
      <c r="L515" s="505" t="n">
        <v>12.5</v>
      </c>
      <c r="M515" s="504" t="n">
        <v>13260</v>
      </c>
      <c r="N515" s="504" t="n">
        <v>11602.5</v>
      </c>
      <c r="O515" s="504" t="s">
        <v>417</v>
      </c>
      <c r="P515" s="505" t="s">
        <v>1099</v>
      </c>
      <c r="Q515" s="506" t="n">
        <v>45840</v>
      </c>
      <c r="R515" s="507" t="n">
        <v>0.700763888888889</v>
      </c>
    </row>
    <row r="516" customFormat="false" ht="35.05" hidden="false" customHeight="false" outlineLevel="0" collapsed="false">
      <c r="A516" s="503" t="s">
        <v>2938</v>
      </c>
      <c r="B516" s="0" t="n">
        <v>707</v>
      </c>
      <c r="C516" s="503" t="n">
        <v>70</v>
      </c>
      <c r="D516" s="503" t="s">
        <v>994</v>
      </c>
      <c r="E516" s="503" t="s">
        <v>439</v>
      </c>
      <c r="F516" s="503" t="s">
        <v>443</v>
      </c>
      <c r="G516" s="503" t="s">
        <v>995</v>
      </c>
      <c r="H516" s="503" t="s">
        <v>1061</v>
      </c>
      <c r="I516" s="503" t="s">
        <v>1435</v>
      </c>
      <c r="J516" s="504" t="n">
        <v>38010</v>
      </c>
      <c r="K516" s="504" t="n">
        <v>24110</v>
      </c>
      <c r="L516" s="505" t="n">
        <v>15</v>
      </c>
      <c r="M516" s="504" t="n">
        <v>13900</v>
      </c>
      <c r="N516" s="504" t="n">
        <v>11815</v>
      </c>
      <c r="O516" s="504" t="s">
        <v>417</v>
      </c>
      <c r="P516" s="505" t="s">
        <v>1100</v>
      </c>
      <c r="Q516" s="506" t="n">
        <v>45840</v>
      </c>
      <c r="R516" s="507" t="n">
        <v>0.703055555555556</v>
      </c>
    </row>
    <row r="517" customFormat="false" ht="35.05" hidden="false" customHeight="false" outlineLevel="0" collapsed="false">
      <c r="A517" s="503" t="s">
        <v>2939</v>
      </c>
      <c r="B517" s="0" t="n">
        <v>709</v>
      </c>
      <c r="C517" s="503" t="n">
        <v>71</v>
      </c>
      <c r="D517" s="503" t="s">
        <v>994</v>
      </c>
      <c r="E517" s="503" t="s">
        <v>553</v>
      </c>
      <c r="F517" s="503" t="s">
        <v>557</v>
      </c>
      <c r="G517" s="503" t="s">
        <v>995</v>
      </c>
      <c r="H517" s="503" t="s">
        <v>1061</v>
      </c>
      <c r="I517" s="503" t="s">
        <v>1435</v>
      </c>
      <c r="J517" s="504" t="n">
        <v>28780</v>
      </c>
      <c r="K517" s="504" t="n">
        <v>14830</v>
      </c>
      <c r="L517" s="505" t="n">
        <v>11.5</v>
      </c>
      <c r="M517" s="504" t="n">
        <v>13950</v>
      </c>
      <c r="N517" s="504" t="n">
        <v>12345.7</v>
      </c>
      <c r="O517" s="504" t="s">
        <v>417</v>
      </c>
      <c r="P517" s="505" t="s">
        <v>1101</v>
      </c>
      <c r="Q517" s="506" t="n">
        <v>45840</v>
      </c>
      <c r="R517" s="507" t="n">
        <v>0.759363425925926</v>
      </c>
    </row>
    <row r="518" customFormat="false" ht="35.05" hidden="false" customHeight="false" outlineLevel="0" collapsed="false">
      <c r="A518" s="503" t="s">
        <v>2940</v>
      </c>
      <c r="B518" s="0" t="n">
        <v>710</v>
      </c>
      <c r="C518" s="503" t="n">
        <v>72</v>
      </c>
      <c r="D518" s="503" t="s">
        <v>994</v>
      </c>
      <c r="E518" s="503" t="s">
        <v>445</v>
      </c>
      <c r="F518" s="503" t="s">
        <v>449</v>
      </c>
      <c r="G518" s="503" t="s">
        <v>1103</v>
      </c>
      <c r="H518" s="503" t="s">
        <v>904</v>
      </c>
      <c r="I518" s="503" t="s">
        <v>1435</v>
      </c>
      <c r="J518" s="504" t="n">
        <v>29430</v>
      </c>
      <c r="K518" s="504" t="n">
        <v>15580</v>
      </c>
      <c r="L518" s="505" t="n">
        <v>14</v>
      </c>
      <c r="M518" s="504" t="n">
        <v>13850</v>
      </c>
      <c r="N518" s="504" t="n">
        <v>11911</v>
      </c>
      <c r="O518" s="504" t="s">
        <v>417</v>
      </c>
      <c r="P518" s="505" t="s">
        <v>1102</v>
      </c>
      <c r="Q518" s="506" t="n">
        <v>45840</v>
      </c>
      <c r="R518" s="507" t="n">
        <v>0.843865740740741</v>
      </c>
    </row>
    <row r="519" customFormat="false" ht="35.05" hidden="false" customHeight="false" outlineLevel="0" collapsed="false">
      <c r="A519" s="503" t="s">
        <v>2941</v>
      </c>
      <c r="B519" s="0" t="n">
        <v>711</v>
      </c>
      <c r="C519" s="503" t="n">
        <v>73</v>
      </c>
      <c r="D519" s="503" t="s">
        <v>994</v>
      </c>
      <c r="E519" s="503" t="s">
        <v>547</v>
      </c>
      <c r="F519" s="503" t="s">
        <v>551</v>
      </c>
      <c r="G519" s="503" t="s">
        <v>1103</v>
      </c>
      <c r="H519" s="503" t="s">
        <v>904</v>
      </c>
      <c r="I519" s="503" t="s">
        <v>1435</v>
      </c>
      <c r="J519" s="504" t="n">
        <v>28620</v>
      </c>
      <c r="K519" s="504" t="n">
        <v>14670</v>
      </c>
      <c r="L519" s="505" t="n">
        <v>17.5</v>
      </c>
      <c r="M519" s="504" t="n">
        <v>13950</v>
      </c>
      <c r="N519" s="504" t="n">
        <v>11508.7</v>
      </c>
      <c r="O519" s="504" t="s">
        <v>417</v>
      </c>
      <c r="P519" s="505" t="s">
        <v>1104</v>
      </c>
      <c r="Q519" s="506" t="n">
        <v>45840</v>
      </c>
      <c r="R519" s="507" t="n">
        <v>0.868564814814815</v>
      </c>
    </row>
    <row r="520" customFormat="false" ht="35.05" hidden="false" customHeight="false" outlineLevel="0" collapsed="false">
      <c r="A520" s="503" t="s">
        <v>2942</v>
      </c>
      <c r="B520" s="0" t="n">
        <v>713</v>
      </c>
      <c r="C520" s="503" t="n">
        <v>75</v>
      </c>
      <c r="D520" s="503" t="s">
        <v>994</v>
      </c>
      <c r="E520" s="503" t="s">
        <v>1086</v>
      </c>
      <c r="F520" s="503" t="s">
        <v>1087</v>
      </c>
      <c r="G520" s="503" t="s">
        <v>1103</v>
      </c>
      <c r="H520" s="503" t="s">
        <v>904</v>
      </c>
      <c r="I520" s="503" t="s">
        <v>1435</v>
      </c>
      <c r="J520" s="504" t="n">
        <v>28960</v>
      </c>
      <c r="K520" s="504" t="n">
        <v>14850</v>
      </c>
      <c r="L520" s="505" t="n">
        <v>16</v>
      </c>
      <c r="M520" s="504" t="n">
        <v>14110</v>
      </c>
      <c r="N520" s="504" t="n">
        <v>11852.4</v>
      </c>
      <c r="O520" s="504" t="s">
        <v>417</v>
      </c>
      <c r="P520" s="505" t="s">
        <v>1105</v>
      </c>
      <c r="Q520" s="506" t="n">
        <v>45840</v>
      </c>
      <c r="R520" s="507" t="n">
        <v>0.92630787037037</v>
      </c>
    </row>
    <row r="521" customFormat="false" ht="35.05" hidden="false" customHeight="false" outlineLevel="0" collapsed="false">
      <c r="A521" s="503" t="s">
        <v>2943</v>
      </c>
      <c r="B521" s="0" t="n">
        <v>712</v>
      </c>
      <c r="C521" s="503" t="n">
        <v>74</v>
      </c>
      <c r="D521" s="503" t="s">
        <v>994</v>
      </c>
      <c r="E521" s="503" t="s">
        <v>451</v>
      </c>
      <c r="F521" s="503" t="s">
        <v>455</v>
      </c>
      <c r="G521" s="503" t="s">
        <v>1103</v>
      </c>
      <c r="H521" s="503" t="s">
        <v>904</v>
      </c>
      <c r="I521" s="503" t="s">
        <v>1435</v>
      </c>
      <c r="J521" s="504" t="n">
        <v>28980</v>
      </c>
      <c r="K521" s="504" t="n">
        <v>14970</v>
      </c>
      <c r="L521" s="505" t="n">
        <v>16.5</v>
      </c>
      <c r="M521" s="504" t="n">
        <v>14010</v>
      </c>
      <c r="N521" s="504" t="n">
        <v>11698.3</v>
      </c>
      <c r="O521" s="504" t="s">
        <v>417</v>
      </c>
      <c r="P521" s="505" t="s">
        <v>1106</v>
      </c>
      <c r="Q521" s="506" t="n">
        <v>45840</v>
      </c>
      <c r="R521" s="507" t="n">
        <v>0.959293981481482</v>
      </c>
    </row>
    <row r="522" customFormat="false" ht="35.05" hidden="false" customHeight="false" outlineLevel="0" collapsed="false">
      <c r="A522" s="503" t="s">
        <v>2944</v>
      </c>
      <c r="B522" s="0" t="n">
        <v>714</v>
      </c>
      <c r="C522" s="503" t="n">
        <v>76</v>
      </c>
      <c r="D522" s="503" t="s">
        <v>994</v>
      </c>
      <c r="E522" s="503" t="s">
        <v>361</v>
      </c>
      <c r="F522" s="503" t="s">
        <v>362</v>
      </c>
      <c r="G522" s="503" t="s">
        <v>1103</v>
      </c>
      <c r="H522" s="503" t="s">
        <v>904</v>
      </c>
      <c r="I522" s="503" t="s">
        <v>1435</v>
      </c>
      <c r="J522" s="504" t="n">
        <v>28700</v>
      </c>
      <c r="K522" s="504" t="n">
        <v>14730</v>
      </c>
      <c r="L522" s="505" t="n">
        <v>15.5</v>
      </c>
      <c r="M522" s="504" t="n">
        <v>13970</v>
      </c>
      <c r="N522" s="504" t="n">
        <v>11804.6</v>
      </c>
      <c r="O522" s="504" t="s">
        <v>417</v>
      </c>
      <c r="P522" s="505" t="s">
        <v>1107</v>
      </c>
      <c r="Q522" s="506" t="n">
        <v>45840</v>
      </c>
      <c r="R522" s="507" t="n">
        <v>0.93494212962963</v>
      </c>
    </row>
    <row r="523" customFormat="false" ht="35.05" hidden="false" customHeight="false" outlineLevel="0" collapsed="false">
      <c r="A523" s="503" t="s">
        <v>2945</v>
      </c>
      <c r="B523" s="0" t="n">
        <v>715</v>
      </c>
      <c r="C523" s="503" t="n">
        <v>77</v>
      </c>
      <c r="D523" s="503" t="s">
        <v>994</v>
      </c>
      <c r="E523" s="503" t="s">
        <v>1092</v>
      </c>
      <c r="F523" s="503" t="s">
        <v>1093</v>
      </c>
      <c r="G523" s="503" t="s">
        <v>1103</v>
      </c>
      <c r="H523" s="503" t="s">
        <v>904</v>
      </c>
      <c r="I523" s="503" t="s">
        <v>1435</v>
      </c>
      <c r="J523" s="504" t="n">
        <v>38160</v>
      </c>
      <c r="K523" s="504" t="n">
        <v>24320</v>
      </c>
      <c r="L523" s="505" t="n">
        <v>15</v>
      </c>
      <c r="M523" s="504" t="n">
        <v>13840</v>
      </c>
      <c r="N523" s="504" t="n">
        <v>11764</v>
      </c>
      <c r="O523" s="504" t="s">
        <v>417</v>
      </c>
      <c r="P523" s="505" t="s">
        <v>1108</v>
      </c>
      <c r="Q523" s="506" t="n">
        <v>45840</v>
      </c>
      <c r="R523" s="507" t="n">
        <v>0.972881944444444</v>
      </c>
    </row>
    <row r="524" customFormat="false" ht="35.05" hidden="false" customHeight="false" outlineLevel="0" collapsed="false">
      <c r="A524" s="503" t="s">
        <v>2946</v>
      </c>
      <c r="B524" s="0" t="n">
        <v>716</v>
      </c>
      <c r="C524" s="503" t="n">
        <v>78</v>
      </c>
      <c r="D524" s="503" t="s">
        <v>994</v>
      </c>
      <c r="E524" s="503" t="s">
        <v>1095</v>
      </c>
      <c r="F524" s="503" t="s">
        <v>1096</v>
      </c>
      <c r="G524" s="503" t="s">
        <v>1103</v>
      </c>
      <c r="H524" s="503" t="s">
        <v>904</v>
      </c>
      <c r="I524" s="503" t="s">
        <v>1435</v>
      </c>
      <c r="J524" s="504" t="n">
        <v>29310</v>
      </c>
      <c r="K524" s="504" t="n">
        <v>15590</v>
      </c>
      <c r="L524" s="505" t="n">
        <v>15.5</v>
      </c>
      <c r="M524" s="504" t="n">
        <v>13720</v>
      </c>
      <c r="N524" s="504" t="n">
        <v>11593.4</v>
      </c>
      <c r="O524" s="504" t="s">
        <v>417</v>
      </c>
      <c r="P524" s="505" t="s">
        <v>1109</v>
      </c>
      <c r="Q524" s="506" t="n">
        <v>45841</v>
      </c>
      <c r="R524" s="507" t="n">
        <v>0.123472222222222</v>
      </c>
    </row>
    <row r="525" customFormat="false" ht="35.05" hidden="false" customHeight="false" outlineLevel="0" collapsed="false">
      <c r="A525" s="503" t="s">
        <v>2947</v>
      </c>
      <c r="B525" s="0" t="n">
        <v>717</v>
      </c>
      <c r="C525" s="503" t="n">
        <v>79</v>
      </c>
      <c r="D525" s="503" t="s">
        <v>994</v>
      </c>
      <c r="E525" s="503" t="s">
        <v>365</v>
      </c>
      <c r="F525" s="503" t="s">
        <v>373</v>
      </c>
      <c r="G525" s="503" t="s">
        <v>1103</v>
      </c>
      <c r="H525" s="503" t="s">
        <v>904</v>
      </c>
      <c r="I525" s="503" t="s">
        <v>1435</v>
      </c>
      <c r="J525" s="504" t="n">
        <v>29240</v>
      </c>
      <c r="K525" s="504" t="n">
        <v>15810</v>
      </c>
      <c r="L525" s="505" t="n">
        <v>10.5</v>
      </c>
      <c r="M525" s="504" t="n">
        <v>13430</v>
      </c>
      <c r="N525" s="504" t="n">
        <v>12019.8</v>
      </c>
      <c r="O525" s="504" t="s">
        <v>417</v>
      </c>
      <c r="P525" s="505" t="s">
        <v>1110</v>
      </c>
      <c r="Q525" s="506" t="n">
        <v>45841</v>
      </c>
      <c r="R525" s="507" t="n">
        <v>0.161122685185185</v>
      </c>
    </row>
    <row r="526" customFormat="false" ht="35.05" hidden="false" customHeight="false" outlineLevel="0" collapsed="false">
      <c r="A526" s="503" t="s">
        <v>2948</v>
      </c>
      <c r="B526" s="0" t="n">
        <v>718</v>
      </c>
      <c r="C526" s="503" t="n">
        <v>81</v>
      </c>
      <c r="D526" s="503" t="s">
        <v>994</v>
      </c>
      <c r="E526" s="503" t="s">
        <v>384</v>
      </c>
      <c r="F526" s="503" t="s">
        <v>385</v>
      </c>
      <c r="G526" s="503" t="s">
        <v>1103</v>
      </c>
      <c r="H526" s="503" t="s">
        <v>904</v>
      </c>
      <c r="I526" s="503" t="s">
        <v>1435</v>
      </c>
      <c r="J526" s="504" t="n">
        <v>28100</v>
      </c>
      <c r="K526" s="504" t="n">
        <v>14460</v>
      </c>
      <c r="L526" s="505" t="n">
        <v>15</v>
      </c>
      <c r="M526" s="504" t="n">
        <v>13640</v>
      </c>
      <c r="N526" s="504" t="n">
        <v>11594</v>
      </c>
      <c r="O526" s="504" t="s">
        <v>417</v>
      </c>
      <c r="P526" s="505" t="s">
        <v>1111</v>
      </c>
      <c r="Q526" s="506" t="n">
        <v>45841</v>
      </c>
      <c r="R526" s="507" t="n">
        <v>0.262164351851852</v>
      </c>
    </row>
    <row r="527" customFormat="false" ht="35.05" hidden="false" customHeight="false" outlineLevel="0" collapsed="false">
      <c r="A527" s="503" t="s">
        <v>2949</v>
      </c>
      <c r="B527" s="0" t="n">
        <v>719</v>
      </c>
      <c r="C527" s="503" t="n">
        <v>80</v>
      </c>
      <c r="D527" s="503" t="s">
        <v>994</v>
      </c>
      <c r="E527" s="503" t="s">
        <v>1113</v>
      </c>
      <c r="F527" s="503" t="s">
        <v>1114</v>
      </c>
      <c r="G527" s="503" t="s">
        <v>1103</v>
      </c>
      <c r="H527" s="503" t="s">
        <v>904</v>
      </c>
      <c r="I527" s="503" t="s">
        <v>1435</v>
      </c>
      <c r="J527" s="504" t="n">
        <v>29070</v>
      </c>
      <c r="K527" s="504" t="n">
        <v>15760</v>
      </c>
      <c r="L527" s="505" t="n">
        <v>15</v>
      </c>
      <c r="M527" s="504" t="n">
        <v>13310</v>
      </c>
      <c r="N527" s="504" t="n">
        <v>11313.5</v>
      </c>
      <c r="O527" s="504" t="s">
        <v>417</v>
      </c>
      <c r="P527" s="505" t="s">
        <v>1112</v>
      </c>
      <c r="Q527" s="506" t="n">
        <v>45841</v>
      </c>
      <c r="R527" s="507" t="n">
        <v>0.375648148148148</v>
      </c>
    </row>
    <row r="528" customFormat="false" ht="35.05" hidden="false" customHeight="false" outlineLevel="0" collapsed="false">
      <c r="A528" s="503" t="s">
        <v>2950</v>
      </c>
      <c r="B528" s="0" t="n">
        <v>720</v>
      </c>
      <c r="C528" s="503" t="n">
        <v>82</v>
      </c>
      <c r="D528" s="503" t="s">
        <v>994</v>
      </c>
      <c r="E528" s="503" t="s">
        <v>382</v>
      </c>
      <c r="F528" s="503" t="s">
        <v>383</v>
      </c>
      <c r="G528" s="503" t="s">
        <v>1103</v>
      </c>
      <c r="H528" s="503" t="s">
        <v>904</v>
      </c>
      <c r="I528" s="503" t="s">
        <v>1435</v>
      </c>
      <c r="J528" s="504" t="n">
        <v>28500</v>
      </c>
      <c r="K528" s="504" t="n">
        <v>14870</v>
      </c>
      <c r="L528" s="505" t="n">
        <v>22</v>
      </c>
      <c r="M528" s="504" t="n">
        <v>13630</v>
      </c>
      <c r="N528" s="504" t="n">
        <v>10631.4</v>
      </c>
      <c r="O528" s="504" t="s">
        <v>417</v>
      </c>
      <c r="P528" s="505" t="s">
        <v>1115</v>
      </c>
      <c r="Q528" s="506" t="n">
        <v>45841</v>
      </c>
      <c r="R528" s="507" t="n">
        <v>0.388541666666667</v>
      </c>
    </row>
    <row r="529" customFormat="false" ht="35.05" hidden="false" customHeight="false" outlineLevel="0" collapsed="false">
      <c r="A529" s="503" t="s">
        <v>2951</v>
      </c>
      <c r="B529" s="0" t="n">
        <v>721</v>
      </c>
      <c r="C529" s="503" t="n">
        <v>83</v>
      </c>
      <c r="D529" s="503" t="s">
        <v>994</v>
      </c>
      <c r="E529" s="503" t="s">
        <v>359</v>
      </c>
      <c r="F529" s="503" t="s">
        <v>426</v>
      </c>
      <c r="G529" s="503" t="s">
        <v>1103</v>
      </c>
      <c r="H529" s="503" t="s">
        <v>904</v>
      </c>
      <c r="I529" s="503" t="s">
        <v>1435</v>
      </c>
      <c r="J529" s="504" t="n">
        <v>27310</v>
      </c>
      <c r="K529" s="504" t="n">
        <v>13840</v>
      </c>
      <c r="L529" s="505" t="n">
        <v>22</v>
      </c>
      <c r="M529" s="504" t="n">
        <v>13470</v>
      </c>
      <c r="N529" s="504" t="n">
        <v>10506.6</v>
      </c>
      <c r="O529" s="504" t="s">
        <v>417</v>
      </c>
      <c r="P529" s="505" t="s">
        <v>1116</v>
      </c>
      <c r="Q529" s="506" t="n">
        <v>45841</v>
      </c>
      <c r="R529" s="507" t="n">
        <v>0.435891203703704</v>
      </c>
    </row>
    <row r="530" customFormat="false" ht="35.05" hidden="false" customHeight="false" outlineLevel="0" collapsed="false">
      <c r="A530" s="503" t="s">
        <v>2952</v>
      </c>
      <c r="B530" s="0" t="n">
        <v>724</v>
      </c>
      <c r="C530" s="503" t="n">
        <v>84</v>
      </c>
      <c r="D530" s="503" t="s">
        <v>994</v>
      </c>
      <c r="E530" s="503" t="s">
        <v>553</v>
      </c>
      <c r="F530" s="503" t="s">
        <v>557</v>
      </c>
      <c r="G530" s="503" t="s">
        <v>1103</v>
      </c>
      <c r="H530" s="503" t="s">
        <v>904</v>
      </c>
      <c r="I530" s="503" t="s">
        <v>1435</v>
      </c>
      <c r="J530" s="504" t="n">
        <v>28560</v>
      </c>
      <c r="K530" s="504" t="n">
        <v>14790</v>
      </c>
      <c r="L530" s="505" t="n">
        <v>17</v>
      </c>
      <c r="M530" s="504" t="n">
        <v>13770</v>
      </c>
      <c r="N530" s="504" t="n">
        <v>11429.1</v>
      </c>
      <c r="O530" s="504" t="s">
        <v>417</v>
      </c>
      <c r="P530" s="505" t="s">
        <v>1117</v>
      </c>
      <c r="Q530" s="506" t="n">
        <v>45841</v>
      </c>
      <c r="R530" s="507" t="n">
        <v>0.655949074074074</v>
      </c>
    </row>
    <row r="531" customFormat="false" ht="35.05" hidden="false" customHeight="false" outlineLevel="0" collapsed="false">
      <c r="A531" s="503" t="s">
        <v>2953</v>
      </c>
      <c r="B531" s="0" t="n">
        <v>725</v>
      </c>
      <c r="C531" s="503" t="n">
        <v>85</v>
      </c>
      <c r="D531" s="503" t="s">
        <v>994</v>
      </c>
      <c r="E531" s="503" t="s">
        <v>445</v>
      </c>
      <c r="F531" s="503" t="s">
        <v>449</v>
      </c>
      <c r="G531" s="503" t="s">
        <v>1103</v>
      </c>
      <c r="H531" s="503" t="s">
        <v>904</v>
      </c>
      <c r="I531" s="503" t="s">
        <v>1435</v>
      </c>
      <c r="J531" s="504" t="n">
        <v>29560</v>
      </c>
      <c r="K531" s="504" t="n">
        <v>15730</v>
      </c>
      <c r="L531" s="505" t="n">
        <v>19</v>
      </c>
      <c r="M531" s="504" t="n">
        <v>13830</v>
      </c>
      <c r="N531" s="504" t="n">
        <v>11202.3</v>
      </c>
      <c r="O531" s="504" t="s">
        <v>417</v>
      </c>
      <c r="P531" s="505" t="s">
        <v>1118</v>
      </c>
      <c r="Q531" s="506" t="n">
        <v>45841</v>
      </c>
      <c r="R531" s="507" t="n">
        <v>0.661099537037037</v>
      </c>
    </row>
    <row r="532" customFormat="false" ht="35.05" hidden="false" customHeight="false" outlineLevel="0" collapsed="false">
      <c r="A532" s="503" t="s">
        <v>2954</v>
      </c>
      <c r="B532" s="0" t="n">
        <v>726</v>
      </c>
      <c r="C532" s="503" t="n">
        <v>86</v>
      </c>
      <c r="D532" s="503" t="s">
        <v>994</v>
      </c>
      <c r="E532" s="503" t="s">
        <v>547</v>
      </c>
      <c r="F532" s="503" t="s">
        <v>551</v>
      </c>
      <c r="G532" s="503" t="s">
        <v>1103</v>
      </c>
      <c r="H532" s="503" t="s">
        <v>904</v>
      </c>
      <c r="I532" s="503" t="s">
        <v>1435</v>
      </c>
      <c r="J532" s="504" t="n">
        <v>28510</v>
      </c>
      <c r="K532" s="504" t="n">
        <v>14780</v>
      </c>
      <c r="L532" s="505" t="n">
        <v>12</v>
      </c>
      <c r="M532" s="504" t="n">
        <v>13730</v>
      </c>
      <c r="N532" s="504" t="n">
        <v>12082.4</v>
      </c>
      <c r="O532" s="504" t="s">
        <v>417</v>
      </c>
      <c r="P532" s="505" t="s">
        <v>1119</v>
      </c>
      <c r="Q532" s="506" t="n">
        <v>45841</v>
      </c>
      <c r="R532" s="507" t="n">
        <v>0.749351851851852</v>
      </c>
    </row>
    <row r="533" customFormat="false" ht="35.05" hidden="false" customHeight="false" outlineLevel="0" collapsed="false">
      <c r="A533" s="503" t="s">
        <v>2955</v>
      </c>
      <c r="B533" s="0" t="n">
        <v>727</v>
      </c>
      <c r="C533" s="503" t="n">
        <v>87</v>
      </c>
      <c r="D533" s="503" t="s">
        <v>994</v>
      </c>
      <c r="E533" s="503" t="s">
        <v>1086</v>
      </c>
      <c r="F533" s="503" t="s">
        <v>1087</v>
      </c>
      <c r="G533" s="503" t="s">
        <v>1103</v>
      </c>
      <c r="H533" s="503" t="s">
        <v>904</v>
      </c>
      <c r="I533" s="503" t="s">
        <v>1435</v>
      </c>
      <c r="J533" s="504" t="n">
        <v>28700</v>
      </c>
      <c r="K533" s="504" t="n">
        <v>14780</v>
      </c>
      <c r="L533" s="505" t="n">
        <v>17</v>
      </c>
      <c r="M533" s="504" t="n">
        <v>13920</v>
      </c>
      <c r="N533" s="504" t="n">
        <v>11553.6</v>
      </c>
      <c r="O533" s="504" t="s">
        <v>417</v>
      </c>
      <c r="P533" s="505" t="s">
        <v>1120</v>
      </c>
      <c r="Q533" s="506" t="n">
        <v>45841</v>
      </c>
      <c r="R533" s="507" t="n">
        <v>0.758275462962963</v>
      </c>
    </row>
    <row r="534" customFormat="false" ht="35.05" hidden="false" customHeight="false" outlineLevel="0" collapsed="false">
      <c r="A534" s="503" t="s">
        <v>2956</v>
      </c>
      <c r="B534" s="0" t="n">
        <v>728</v>
      </c>
      <c r="C534" s="503" t="n">
        <v>88</v>
      </c>
      <c r="D534" s="503" t="s">
        <v>994</v>
      </c>
      <c r="E534" s="503" t="s">
        <v>439</v>
      </c>
      <c r="F534" s="503" t="s">
        <v>443</v>
      </c>
      <c r="G534" s="503" t="s">
        <v>1103</v>
      </c>
      <c r="H534" s="503" t="s">
        <v>904</v>
      </c>
      <c r="I534" s="503" t="s">
        <v>1435</v>
      </c>
      <c r="J534" s="504" t="n">
        <v>37980</v>
      </c>
      <c r="K534" s="504" t="n">
        <v>24020</v>
      </c>
      <c r="L534" s="505" t="n">
        <v>14</v>
      </c>
      <c r="M534" s="504" t="n">
        <v>13960</v>
      </c>
      <c r="N534" s="504" t="n">
        <v>12005.6</v>
      </c>
      <c r="O534" s="504" t="s">
        <v>417</v>
      </c>
      <c r="P534" s="505" t="s">
        <v>1121</v>
      </c>
      <c r="Q534" s="506" t="n">
        <v>45841</v>
      </c>
      <c r="R534" s="507" t="n">
        <v>0.885173611111111</v>
      </c>
    </row>
    <row r="535" customFormat="false" ht="35.05" hidden="false" customHeight="false" outlineLevel="0" collapsed="false">
      <c r="A535" s="503" t="s">
        <v>2957</v>
      </c>
      <c r="B535" s="0" t="n">
        <v>729</v>
      </c>
      <c r="C535" s="503" t="n">
        <v>89</v>
      </c>
      <c r="D535" s="503" t="s">
        <v>994</v>
      </c>
      <c r="E535" s="503" t="s">
        <v>451</v>
      </c>
      <c r="F535" s="503" t="s">
        <v>455</v>
      </c>
      <c r="G535" s="503" t="s">
        <v>1103</v>
      </c>
      <c r="H535" s="503" t="s">
        <v>904</v>
      </c>
      <c r="I535" s="503" t="s">
        <v>1435</v>
      </c>
      <c r="J535" s="504" t="n">
        <v>28940</v>
      </c>
      <c r="K535" s="504" t="n">
        <v>14870</v>
      </c>
      <c r="L535" s="505" t="n">
        <v>12.5</v>
      </c>
      <c r="M535" s="504" t="n">
        <v>14070</v>
      </c>
      <c r="N535" s="504" t="n">
        <v>12311.2</v>
      </c>
      <c r="O535" s="504" t="s">
        <v>417</v>
      </c>
      <c r="P535" s="505" t="s">
        <v>1122</v>
      </c>
      <c r="Q535" s="506" t="n">
        <v>45841</v>
      </c>
      <c r="R535" s="507" t="n">
        <v>0.887141203703704</v>
      </c>
    </row>
    <row r="536" customFormat="false" ht="35.05" hidden="false" customHeight="false" outlineLevel="0" collapsed="false">
      <c r="A536" s="503" t="s">
        <v>2958</v>
      </c>
      <c r="B536" s="0" t="n">
        <v>730</v>
      </c>
      <c r="C536" s="503" t="n">
        <v>90</v>
      </c>
      <c r="D536" s="503" t="s">
        <v>994</v>
      </c>
      <c r="E536" s="503" t="s">
        <v>361</v>
      </c>
      <c r="F536" s="503" t="s">
        <v>362</v>
      </c>
      <c r="G536" s="503" t="s">
        <v>1103</v>
      </c>
      <c r="H536" s="503" t="s">
        <v>904</v>
      </c>
      <c r="I536" s="503" t="s">
        <v>1435</v>
      </c>
      <c r="J536" s="504" t="n">
        <v>28690</v>
      </c>
      <c r="K536" s="504" t="n">
        <v>14690</v>
      </c>
      <c r="L536" s="505" t="n">
        <v>15.5</v>
      </c>
      <c r="M536" s="504" t="n">
        <v>14000</v>
      </c>
      <c r="N536" s="504" t="n">
        <v>11830</v>
      </c>
      <c r="O536" s="504" t="s">
        <v>417</v>
      </c>
      <c r="P536" s="505" t="s">
        <v>1123</v>
      </c>
      <c r="Q536" s="506" t="n">
        <v>45841</v>
      </c>
      <c r="R536" s="507" t="n">
        <v>0.911863425925926</v>
      </c>
    </row>
    <row r="537" customFormat="false" ht="35.05" hidden="false" customHeight="false" outlineLevel="0" collapsed="false">
      <c r="A537" s="503" t="s">
        <v>2959</v>
      </c>
      <c r="B537" s="0" t="n">
        <v>731</v>
      </c>
      <c r="C537" s="503" t="n">
        <v>91</v>
      </c>
      <c r="D537" s="503" t="s">
        <v>994</v>
      </c>
      <c r="E537" s="503" t="s">
        <v>1092</v>
      </c>
      <c r="F537" s="503" t="s">
        <v>1093</v>
      </c>
      <c r="G537" s="503" t="s">
        <v>1103</v>
      </c>
      <c r="H537" s="503" t="s">
        <v>904</v>
      </c>
      <c r="I537" s="503" t="s">
        <v>1435</v>
      </c>
      <c r="J537" s="504" t="n">
        <v>38090</v>
      </c>
      <c r="K537" s="504" t="n">
        <v>24200</v>
      </c>
      <c r="L537" s="505" t="n">
        <v>16</v>
      </c>
      <c r="M537" s="504" t="n">
        <v>13890</v>
      </c>
      <c r="N537" s="504" t="n">
        <v>11667.6</v>
      </c>
      <c r="O537" s="504" t="s">
        <v>417</v>
      </c>
      <c r="P537" s="505" t="s">
        <v>1124</v>
      </c>
      <c r="Q537" s="506" t="n">
        <v>45841</v>
      </c>
      <c r="R537" s="507" t="n">
        <v>0.970625</v>
      </c>
    </row>
    <row r="538" customFormat="false" ht="35.05" hidden="false" customHeight="false" outlineLevel="0" collapsed="false">
      <c r="A538" s="503" t="s">
        <v>2960</v>
      </c>
      <c r="B538" s="0" t="n">
        <v>732</v>
      </c>
      <c r="C538" s="503" t="n">
        <v>95</v>
      </c>
      <c r="D538" s="503" t="s">
        <v>994</v>
      </c>
      <c r="E538" s="503" t="s">
        <v>1095</v>
      </c>
      <c r="F538" s="503" t="s">
        <v>1096</v>
      </c>
      <c r="G538" s="503" t="s">
        <v>995</v>
      </c>
      <c r="H538" s="503" t="s">
        <v>1061</v>
      </c>
      <c r="I538" s="503" t="s">
        <v>1435</v>
      </c>
      <c r="J538" s="504" t="n">
        <v>29440</v>
      </c>
      <c r="K538" s="504" t="n">
        <v>21370</v>
      </c>
      <c r="L538" s="505" t="n">
        <v>11.5</v>
      </c>
      <c r="M538" s="504" t="n">
        <v>8070</v>
      </c>
      <c r="N538" s="504" t="n">
        <v>7141.9</v>
      </c>
      <c r="O538" s="504" t="s">
        <v>417</v>
      </c>
      <c r="P538" s="505" t="s">
        <v>1125</v>
      </c>
      <c r="Q538" s="506" t="n">
        <v>45842</v>
      </c>
      <c r="R538" s="507" t="n">
        <v>0.149201388888889</v>
      </c>
    </row>
    <row r="539" customFormat="false" ht="35.05" hidden="false" customHeight="false" outlineLevel="0" collapsed="false">
      <c r="A539" s="503" t="s">
        <v>2961</v>
      </c>
      <c r="B539" s="0" t="n">
        <v>734</v>
      </c>
      <c r="C539" s="503" t="n">
        <v>95</v>
      </c>
      <c r="D539" s="503" t="s">
        <v>994</v>
      </c>
      <c r="E539" s="503" t="s">
        <v>1095</v>
      </c>
      <c r="F539" s="503" t="s">
        <v>1096</v>
      </c>
      <c r="G539" s="503" t="s">
        <v>1103</v>
      </c>
      <c r="H539" s="503" t="s">
        <v>904</v>
      </c>
      <c r="I539" s="503" t="s">
        <v>1435</v>
      </c>
      <c r="J539" s="504" t="n">
        <v>21370</v>
      </c>
      <c r="K539" s="504" t="n">
        <v>15690</v>
      </c>
      <c r="L539" s="505" t="n">
        <v>15.5</v>
      </c>
      <c r="M539" s="504" t="n">
        <v>5680</v>
      </c>
      <c r="N539" s="504" t="n">
        <v>4799.6</v>
      </c>
      <c r="O539" s="504" t="s">
        <v>417</v>
      </c>
      <c r="P539" s="505" t="s">
        <v>1126</v>
      </c>
      <c r="Q539" s="506" t="n">
        <v>45842</v>
      </c>
      <c r="R539" s="507" t="n">
        <v>0.150810185185185</v>
      </c>
    </row>
    <row r="540" customFormat="false" ht="35.05" hidden="false" customHeight="false" outlineLevel="0" collapsed="false">
      <c r="A540" s="503" t="s">
        <v>2962</v>
      </c>
      <c r="B540" s="0" t="n">
        <v>733</v>
      </c>
      <c r="C540" s="503" t="n">
        <v>92</v>
      </c>
      <c r="D540" s="503" t="s">
        <v>994</v>
      </c>
      <c r="E540" s="503" t="s">
        <v>1113</v>
      </c>
      <c r="F540" s="503" t="s">
        <v>1114</v>
      </c>
      <c r="G540" s="503" t="s">
        <v>995</v>
      </c>
      <c r="H540" s="503" t="s">
        <v>1061</v>
      </c>
      <c r="I540" s="503" t="s">
        <v>1435</v>
      </c>
      <c r="J540" s="504" t="n">
        <v>28830</v>
      </c>
      <c r="K540" s="504" t="n">
        <v>15620</v>
      </c>
      <c r="L540" s="505" t="n">
        <v>9.5</v>
      </c>
      <c r="M540" s="504" t="n">
        <v>13210</v>
      </c>
      <c r="N540" s="504" t="n">
        <v>11955</v>
      </c>
      <c r="O540" s="504" t="s">
        <v>417</v>
      </c>
      <c r="P540" s="505" t="s">
        <v>1128</v>
      </c>
      <c r="Q540" s="506" t="n">
        <v>45842</v>
      </c>
      <c r="R540" s="507" t="n">
        <v>0.392662037037037</v>
      </c>
    </row>
    <row r="541" customFormat="false" ht="35.05" hidden="false" customHeight="false" outlineLevel="0" collapsed="false">
      <c r="A541" s="503" t="s">
        <v>2963</v>
      </c>
      <c r="B541" s="0" t="n">
        <v>735</v>
      </c>
      <c r="C541" s="503" t="n">
        <v>93</v>
      </c>
      <c r="D541" s="503" t="s">
        <v>994</v>
      </c>
      <c r="E541" s="503" t="s">
        <v>359</v>
      </c>
      <c r="F541" s="503" t="s">
        <v>426</v>
      </c>
      <c r="G541" s="503" t="s">
        <v>995</v>
      </c>
      <c r="H541" s="503" t="s">
        <v>1061</v>
      </c>
      <c r="I541" s="503" t="s">
        <v>1435</v>
      </c>
      <c r="J541" s="504" t="n">
        <v>27020</v>
      </c>
      <c r="K541" s="504" t="n">
        <v>13850</v>
      </c>
      <c r="L541" s="505" t="n">
        <v>8.5</v>
      </c>
      <c r="M541" s="504" t="n">
        <v>13170</v>
      </c>
      <c r="N541" s="504" t="n">
        <v>12050.5</v>
      </c>
      <c r="O541" s="504" t="s">
        <v>417</v>
      </c>
      <c r="P541" s="505" t="s">
        <v>1129</v>
      </c>
      <c r="Q541" s="506" t="n">
        <v>45842</v>
      </c>
      <c r="R541" s="507" t="n">
        <v>0.407835648148148</v>
      </c>
    </row>
    <row r="542" customFormat="false" ht="35.05" hidden="false" customHeight="false" outlineLevel="0" collapsed="false">
      <c r="A542" s="503" t="s">
        <v>2964</v>
      </c>
      <c r="B542" s="0" t="n">
        <v>736</v>
      </c>
      <c r="C542" s="503" t="n">
        <v>94</v>
      </c>
      <c r="D542" s="503" t="s">
        <v>994</v>
      </c>
      <c r="E542" s="503" t="s">
        <v>472</v>
      </c>
      <c r="F542" s="503" t="s">
        <v>476</v>
      </c>
      <c r="G542" s="503" t="s">
        <v>995</v>
      </c>
      <c r="H542" s="503" t="s">
        <v>1061</v>
      </c>
      <c r="I542" s="503" t="s">
        <v>1435</v>
      </c>
      <c r="J542" s="504" t="n">
        <v>28770</v>
      </c>
      <c r="K542" s="504" t="n">
        <v>15540</v>
      </c>
      <c r="L542" s="505" t="n">
        <v>11.5</v>
      </c>
      <c r="M542" s="504" t="n">
        <v>13230</v>
      </c>
      <c r="N542" s="504" t="n">
        <v>11708.5</v>
      </c>
      <c r="O542" s="504" t="s">
        <v>417</v>
      </c>
      <c r="P542" s="505" t="s">
        <v>1130</v>
      </c>
      <c r="Q542" s="506" t="n">
        <v>45842</v>
      </c>
      <c r="R542" s="507" t="n">
        <v>0.410104166666667</v>
      </c>
    </row>
    <row r="543" customFormat="false" ht="35.05" hidden="false" customHeight="false" outlineLevel="0" collapsed="false">
      <c r="A543" s="503" t="s">
        <v>2965</v>
      </c>
      <c r="B543" s="0" t="n">
        <v>738</v>
      </c>
      <c r="C543" s="503" t="n">
        <v>97</v>
      </c>
      <c r="D543" s="503" t="s">
        <v>994</v>
      </c>
      <c r="E543" s="503" t="s">
        <v>445</v>
      </c>
      <c r="F543" s="503" t="s">
        <v>449</v>
      </c>
      <c r="G543" s="503" t="s">
        <v>995</v>
      </c>
      <c r="H543" s="503" t="s">
        <v>1061</v>
      </c>
      <c r="I543" s="503" t="s">
        <v>1435</v>
      </c>
      <c r="J543" s="504" t="n">
        <v>28900</v>
      </c>
      <c r="K543" s="504" t="n">
        <v>15600</v>
      </c>
      <c r="L543" s="505" t="n">
        <v>10</v>
      </c>
      <c r="M543" s="504" t="n">
        <v>13300</v>
      </c>
      <c r="N543" s="504" t="n">
        <v>11970</v>
      </c>
      <c r="O543" s="504" t="s">
        <v>417</v>
      </c>
      <c r="P543" s="505" t="s">
        <v>1131</v>
      </c>
      <c r="Q543" s="506" t="n">
        <v>45842</v>
      </c>
      <c r="R543" s="507" t="n">
        <v>0.47650462962963</v>
      </c>
    </row>
    <row r="544" customFormat="false" ht="35.05" hidden="false" customHeight="false" outlineLevel="0" collapsed="false">
      <c r="A544" s="503" t="s">
        <v>2966</v>
      </c>
      <c r="B544" s="0" t="n">
        <v>737</v>
      </c>
      <c r="C544" s="503" t="n">
        <v>96</v>
      </c>
      <c r="D544" s="503" t="s">
        <v>994</v>
      </c>
      <c r="E544" s="503" t="s">
        <v>553</v>
      </c>
      <c r="F544" s="503" t="s">
        <v>557</v>
      </c>
      <c r="G544" s="503" t="s">
        <v>995</v>
      </c>
      <c r="H544" s="503" t="s">
        <v>1061</v>
      </c>
      <c r="I544" s="503" t="s">
        <v>1435</v>
      </c>
      <c r="J544" s="504" t="n">
        <v>28050</v>
      </c>
      <c r="K544" s="504" t="n">
        <v>14900</v>
      </c>
      <c r="L544" s="505" t="n">
        <v>11.5</v>
      </c>
      <c r="M544" s="504" t="n">
        <v>13150</v>
      </c>
      <c r="N544" s="504" t="n">
        <v>11637.7</v>
      </c>
      <c r="O544" s="504" t="s">
        <v>417</v>
      </c>
      <c r="P544" s="505" t="s">
        <v>1132</v>
      </c>
      <c r="Q544" s="506" t="n">
        <v>45842</v>
      </c>
      <c r="R544" s="507" t="n">
        <v>0.503344907407407</v>
      </c>
    </row>
    <row r="545" customFormat="false" ht="35.05" hidden="false" customHeight="false" outlineLevel="0" collapsed="false">
      <c r="A545" s="503" t="s">
        <v>2967</v>
      </c>
      <c r="B545" s="0" t="n">
        <v>741</v>
      </c>
      <c r="C545" s="503" t="n">
        <v>99</v>
      </c>
      <c r="D545" s="503" t="s">
        <v>994</v>
      </c>
      <c r="E545" s="503" t="s">
        <v>1086</v>
      </c>
      <c r="F545" s="503" t="s">
        <v>1087</v>
      </c>
      <c r="G545" s="503" t="s">
        <v>995</v>
      </c>
      <c r="H545" s="503" t="s">
        <v>1061</v>
      </c>
      <c r="I545" s="503" t="s">
        <v>1435</v>
      </c>
      <c r="J545" s="504" t="n">
        <v>28060</v>
      </c>
      <c r="K545" s="504" t="n">
        <v>14960</v>
      </c>
      <c r="L545" s="505" t="n">
        <v>7.5</v>
      </c>
      <c r="M545" s="504" t="n">
        <v>13100</v>
      </c>
      <c r="N545" s="504" t="n">
        <v>12117.5</v>
      </c>
      <c r="O545" s="504" t="s">
        <v>417</v>
      </c>
      <c r="P545" s="505" t="s">
        <v>1133</v>
      </c>
      <c r="Q545" s="506" t="n">
        <v>45842</v>
      </c>
      <c r="R545" s="507" t="n">
        <v>0.575104166666667</v>
      </c>
    </row>
    <row r="546" customFormat="false" ht="35.05" hidden="false" customHeight="false" outlineLevel="0" collapsed="false">
      <c r="A546" s="503" t="s">
        <v>2968</v>
      </c>
      <c r="B546" s="0" t="n">
        <v>744</v>
      </c>
      <c r="C546" s="503" t="n">
        <v>98</v>
      </c>
      <c r="D546" s="503" t="s">
        <v>994</v>
      </c>
      <c r="E546" s="503" t="s">
        <v>547</v>
      </c>
      <c r="F546" s="503" t="s">
        <v>551</v>
      </c>
      <c r="G546" s="503" t="s">
        <v>995</v>
      </c>
      <c r="H546" s="503" t="s">
        <v>1061</v>
      </c>
      <c r="I546" s="503" t="s">
        <v>1435</v>
      </c>
      <c r="J546" s="504" t="n">
        <v>28210</v>
      </c>
      <c r="K546" s="504" t="n">
        <v>14660</v>
      </c>
      <c r="L546" s="505" t="n">
        <v>9</v>
      </c>
      <c r="M546" s="504" t="n">
        <v>13550</v>
      </c>
      <c r="N546" s="504" t="n">
        <v>12330.5</v>
      </c>
      <c r="O546" s="504" t="s">
        <v>417</v>
      </c>
      <c r="P546" s="505" t="s">
        <v>1134</v>
      </c>
      <c r="Q546" s="506" t="n">
        <v>45842</v>
      </c>
      <c r="R546" s="507" t="n">
        <v>0.639421296296296</v>
      </c>
    </row>
    <row r="547" customFormat="false" ht="35.05" hidden="false" customHeight="false" outlineLevel="0" collapsed="false">
      <c r="A547" s="503" t="s">
        <v>2969</v>
      </c>
      <c r="B547" s="0" t="n">
        <v>745</v>
      </c>
      <c r="C547" s="503" t="n">
        <v>100</v>
      </c>
      <c r="D547" s="503" t="s">
        <v>994</v>
      </c>
      <c r="E547" s="503" t="s">
        <v>451</v>
      </c>
      <c r="F547" s="503" t="s">
        <v>455</v>
      </c>
      <c r="G547" s="503" t="s">
        <v>1103</v>
      </c>
      <c r="H547" s="503" t="s">
        <v>904</v>
      </c>
      <c r="I547" s="503" t="s">
        <v>1435</v>
      </c>
      <c r="J547" s="504" t="n">
        <v>28990</v>
      </c>
      <c r="K547" s="504" t="n">
        <v>15080</v>
      </c>
      <c r="L547" s="505" t="n">
        <v>17.5</v>
      </c>
      <c r="M547" s="504" t="n">
        <v>13910</v>
      </c>
      <c r="N547" s="504" t="n">
        <v>11475.7</v>
      </c>
      <c r="O547" s="504" t="s">
        <v>417</v>
      </c>
      <c r="P547" s="505" t="s">
        <v>1135</v>
      </c>
      <c r="Q547" s="506" t="n">
        <v>45842</v>
      </c>
      <c r="R547" s="507" t="n">
        <v>0.687777777777778</v>
      </c>
    </row>
    <row r="548" customFormat="false" ht="35.05" hidden="false" customHeight="false" outlineLevel="0" collapsed="false">
      <c r="A548" s="503" t="s">
        <v>2970</v>
      </c>
      <c r="B548" s="0" t="n">
        <v>746</v>
      </c>
      <c r="C548" s="503" t="n">
        <v>101</v>
      </c>
      <c r="D548" s="503" t="s">
        <v>994</v>
      </c>
      <c r="E548" s="503" t="s">
        <v>1092</v>
      </c>
      <c r="F548" s="503" t="s">
        <v>1093</v>
      </c>
      <c r="G548" s="503" t="s">
        <v>1103</v>
      </c>
      <c r="H548" s="503" t="s">
        <v>904</v>
      </c>
      <c r="I548" s="503" t="s">
        <v>1435</v>
      </c>
      <c r="J548" s="504" t="n">
        <v>37840</v>
      </c>
      <c r="K548" s="504" t="n">
        <v>24070</v>
      </c>
      <c r="L548" s="505" t="n">
        <v>12.5</v>
      </c>
      <c r="M548" s="504" t="n">
        <v>13770</v>
      </c>
      <c r="N548" s="504" t="n">
        <v>12048.7</v>
      </c>
      <c r="O548" s="504" t="s">
        <v>417</v>
      </c>
      <c r="P548" s="505" t="s">
        <v>1136</v>
      </c>
      <c r="Q548" s="506" t="n">
        <v>45842</v>
      </c>
      <c r="R548" s="507" t="n">
        <v>0.748506944444444</v>
      </c>
    </row>
    <row r="549" customFormat="false" ht="35.05" hidden="false" customHeight="false" outlineLevel="0" collapsed="false">
      <c r="A549" s="503" t="s">
        <v>2971</v>
      </c>
      <c r="B549" s="0" t="n">
        <v>747</v>
      </c>
      <c r="C549" s="503" t="n">
        <v>102</v>
      </c>
      <c r="D549" s="503" t="s">
        <v>994</v>
      </c>
      <c r="E549" s="503" t="s">
        <v>1095</v>
      </c>
      <c r="F549" s="503" t="s">
        <v>1096</v>
      </c>
      <c r="G549" s="503" t="s">
        <v>1103</v>
      </c>
      <c r="H549" s="503" t="s">
        <v>904</v>
      </c>
      <c r="I549" s="503" t="s">
        <v>1435</v>
      </c>
      <c r="J549" s="504" t="n">
        <v>29440</v>
      </c>
      <c r="K549" s="504" t="n">
        <v>15570</v>
      </c>
      <c r="L549" s="505" t="n">
        <v>11.5</v>
      </c>
      <c r="M549" s="504" t="n">
        <v>13870</v>
      </c>
      <c r="N549" s="504" t="n">
        <v>12274.9</v>
      </c>
      <c r="O549" s="504" t="s">
        <v>417</v>
      </c>
      <c r="P549" s="505" t="s">
        <v>1137</v>
      </c>
      <c r="Q549" s="506" t="n">
        <v>45842</v>
      </c>
      <c r="R549" s="507" t="n">
        <v>0.808900462962963</v>
      </c>
    </row>
    <row r="550" customFormat="false" ht="35.05" hidden="false" customHeight="false" outlineLevel="0" collapsed="false">
      <c r="A550" s="503" t="s">
        <v>2972</v>
      </c>
      <c r="B550" s="0" t="n">
        <v>748</v>
      </c>
      <c r="C550" s="503" t="n">
        <v>103</v>
      </c>
      <c r="D550" s="503" t="s">
        <v>994</v>
      </c>
      <c r="E550" s="503" t="s">
        <v>1113</v>
      </c>
      <c r="F550" s="503" t="s">
        <v>1114</v>
      </c>
      <c r="G550" s="503" t="s">
        <v>1103</v>
      </c>
      <c r="H550" s="503" t="s">
        <v>904</v>
      </c>
      <c r="I550" s="503" t="s">
        <v>1435</v>
      </c>
      <c r="J550" s="504" t="n">
        <v>29280</v>
      </c>
      <c r="K550" s="504" t="n">
        <v>15500</v>
      </c>
      <c r="L550" s="505" t="n">
        <v>12</v>
      </c>
      <c r="M550" s="504" t="n">
        <v>13780</v>
      </c>
      <c r="N550" s="504" t="n">
        <v>12126.4</v>
      </c>
      <c r="O550" s="504" t="s">
        <v>417</v>
      </c>
      <c r="P550" s="505" t="s">
        <v>1138</v>
      </c>
      <c r="Q550" s="506" t="n">
        <v>45842</v>
      </c>
      <c r="R550" s="507" t="n">
        <v>0.891041666666667</v>
      </c>
    </row>
    <row r="551" customFormat="false" ht="35.05" hidden="false" customHeight="false" outlineLevel="0" collapsed="false">
      <c r="A551" s="503" t="s">
        <v>2973</v>
      </c>
      <c r="B551" s="0" t="n">
        <v>749</v>
      </c>
      <c r="C551" s="503" t="n">
        <v>104</v>
      </c>
      <c r="D551" s="503" t="s">
        <v>994</v>
      </c>
      <c r="E551" s="503" t="s">
        <v>363</v>
      </c>
      <c r="F551" s="503" t="s">
        <v>364</v>
      </c>
      <c r="G551" s="503" t="s">
        <v>1103</v>
      </c>
      <c r="H551" s="503" t="s">
        <v>904</v>
      </c>
      <c r="I551" s="503" t="s">
        <v>1435</v>
      </c>
      <c r="J551" s="504" t="n">
        <v>28410</v>
      </c>
      <c r="K551" s="504" t="n">
        <v>14620</v>
      </c>
      <c r="L551" s="505" t="n">
        <v>10</v>
      </c>
      <c r="M551" s="504" t="n">
        <v>13790</v>
      </c>
      <c r="N551" s="504" t="n">
        <v>12411</v>
      </c>
      <c r="O551" s="504" t="s">
        <v>417</v>
      </c>
      <c r="P551" s="505" t="s">
        <v>1139</v>
      </c>
      <c r="Q551" s="506" t="n">
        <v>45842</v>
      </c>
      <c r="R551" s="507" t="n">
        <v>0.933877314814815</v>
      </c>
    </row>
    <row r="552" customFormat="false" ht="35.05" hidden="false" customHeight="false" outlineLevel="0" collapsed="false">
      <c r="A552" s="503" t="s">
        <v>2974</v>
      </c>
      <c r="B552" s="0" t="n">
        <v>750</v>
      </c>
      <c r="C552" s="503" t="n">
        <v>105</v>
      </c>
      <c r="D552" s="503" t="s">
        <v>994</v>
      </c>
      <c r="E552" s="503" t="s">
        <v>361</v>
      </c>
      <c r="F552" s="503" t="s">
        <v>362</v>
      </c>
      <c r="G552" s="503" t="s">
        <v>1103</v>
      </c>
      <c r="H552" s="503" t="s">
        <v>904</v>
      </c>
      <c r="I552" s="503" t="s">
        <v>1435</v>
      </c>
      <c r="J552" s="504" t="n">
        <v>29090</v>
      </c>
      <c r="K552" s="504" t="n">
        <v>14910</v>
      </c>
      <c r="L552" s="505" t="n">
        <v>15</v>
      </c>
      <c r="M552" s="504" t="n">
        <v>14180</v>
      </c>
      <c r="N552" s="504" t="n">
        <v>12053</v>
      </c>
      <c r="O552" s="504" t="s">
        <v>417</v>
      </c>
      <c r="P552" s="505" t="s">
        <v>1140</v>
      </c>
      <c r="Q552" s="506" t="n">
        <v>45842</v>
      </c>
      <c r="R552" s="507" t="n">
        <v>0.93775462962963</v>
      </c>
    </row>
    <row r="553" customFormat="false" ht="35.05" hidden="false" customHeight="false" outlineLevel="0" collapsed="false">
      <c r="A553" s="503" t="s">
        <v>2975</v>
      </c>
      <c r="B553" s="0" t="n">
        <v>751</v>
      </c>
      <c r="C553" s="503" t="n">
        <v>106</v>
      </c>
      <c r="D553" s="503" t="s">
        <v>994</v>
      </c>
      <c r="E553" s="503" t="s">
        <v>382</v>
      </c>
      <c r="F553" s="503" t="s">
        <v>383</v>
      </c>
      <c r="G553" s="503" t="s">
        <v>1103</v>
      </c>
      <c r="H553" s="503" t="s">
        <v>904</v>
      </c>
      <c r="I553" s="503" t="s">
        <v>1435</v>
      </c>
      <c r="J553" s="504" t="n">
        <v>28430</v>
      </c>
      <c r="K553" s="504" t="n">
        <v>14870</v>
      </c>
      <c r="L553" s="505" t="n">
        <v>6.5</v>
      </c>
      <c r="M553" s="504" t="n">
        <v>13560</v>
      </c>
      <c r="N553" s="504" t="n">
        <v>12678.6</v>
      </c>
      <c r="O553" s="504" t="s">
        <v>886</v>
      </c>
      <c r="P553" s="505" t="s">
        <v>1141</v>
      </c>
      <c r="Q553" s="506" t="n">
        <v>45842</v>
      </c>
      <c r="R553" s="507" t="n">
        <v>0.89681712962963</v>
      </c>
    </row>
    <row r="554" customFormat="false" ht="35.05" hidden="false" customHeight="false" outlineLevel="0" collapsed="false">
      <c r="A554" s="503" t="s">
        <v>2976</v>
      </c>
      <c r="B554" s="0" t="n">
        <v>752</v>
      </c>
      <c r="C554" s="503" t="n">
        <v>107</v>
      </c>
      <c r="D554" s="503" t="s">
        <v>994</v>
      </c>
      <c r="E554" s="503" t="s">
        <v>365</v>
      </c>
      <c r="F554" s="503" t="s">
        <v>373</v>
      </c>
      <c r="G554" s="503" t="s">
        <v>1103</v>
      </c>
      <c r="H554" s="503" t="s">
        <v>904</v>
      </c>
      <c r="I554" s="503" t="s">
        <v>1435</v>
      </c>
      <c r="J554" s="504" t="n">
        <v>26200</v>
      </c>
      <c r="K554" s="504" t="n">
        <v>15790</v>
      </c>
      <c r="L554" s="505" t="n">
        <v>10</v>
      </c>
      <c r="M554" s="504" t="n">
        <v>10410</v>
      </c>
      <c r="N554" s="504" t="n">
        <v>9369</v>
      </c>
      <c r="O554" s="504" t="s">
        <v>886</v>
      </c>
      <c r="P554" s="505" t="s">
        <v>1142</v>
      </c>
      <c r="Q554" s="506" t="n">
        <v>45842</v>
      </c>
      <c r="R554" s="507" t="n">
        <v>0.916666666666667</v>
      </c>
    </row>
    <row r="555" customFormat="false" ht="35.05" hidden="false" customHeight="false" outlineLevel="0" collapsed="false">
      <c r="A555" s="503" t="s">
        <v>2977</v>
      </c>
      <c r="B555" s="0" t="n">
        <v>753</v>
      </c>
      <c r="C555" s="503" t="n">
        <v>108</v>
      </c>
      <c r="D555" s="503" t="s">
        <v>994</v>
      </c>
      <c r="E555" s="503" t="s">
        <v>472</v>
      </c>
      <c r="F555" s="503" t="s">
        <v>476</v>
      </c>
      <c r="G555" s="503" t="s">
        <v>1144</v>
      </c>
      <c r="H555" s="503" t="s">
        <v>904</v>
      </c>
      <c r="I555" s="503" t="s">
        <v>1435</v>
      </c>
      <c r="J555" s="504" t="n">
        <v>28780</v>
      </c>
      <c r="K555" s="504" t="n">
        <v>15520</v>
      </c>
      <c r="L555" s="505" t="n">
        <v>18</v>
      </c>
      <c r="M555" s="504" t="n">
        <v>13260</v>
      </c>
      <c r="N555" s="504" t="n">
        <v>10873.2</v>
      </c>
      <c r="O555" s="504" t="s">
        <v>746</v>
      </c>
      <c r="P555" s="505" t="s">
        <v>1143</v>
      </c>
      <c r="Q555" s="506" t="n">
        <v>45843</v>
      </c>
      <c r="R555" s="507" t="n">
        <v>0.256099537037037</v>
      </c>
    </row>
    <row r="556" customFormat="false" ht="35.05" hidden="false" customHeight="false" outlineLevel="0" collapsed="false">
      <c r="A556" s="503" t="s">
        <v>2978</v>
      </c>
      <c r="B556" s="0" t="n">
        <v>754</v>
      </c>
      <c r="C556" s="503" t="n">
        <v>109</v>
      </c>
      <c r="D556" s="503" t="s">
        <v>994</v>
      </c>
      <c r="E556" s="503" t="s">
        <v>553</v>
      </c>
      <c r="F556" s="503" t="s">
        <v>557</v>
      </c>
      <c r="G556" s="503" t="s">
        <v>1144</v>
      </c>
      <c r="H556" s="503" t="s">
        <v>904</v>
      </c>
      <c r="I556" s="503" t="s">
        <v>1435</v>
      </c>
      <c r="J556" s="504" t="n">
        <v>28230</v>
      </c>
      <c r="K556" s="504" t="n">
        <v>14800</v>
      </c>
      <c r="L556" s="505" t="n">
        <v>14</v>
      </c>
      <c r="M556" s="504" t="n">
        <v>13430</v>
      </c>
      <c r="N556" s="504" t="n">
        <v>11549.8</v>
      </c>
      <c r="O556" s="504" t="s">
        <v>417</v>
      </c>
      <c r="P556" s="505" t="s">
        <v>1145</v>
      </c>
      <c r="Q556" s="506" t="n">
        <v>45843</v>
      </c>
      <c r="R556" s="507" t="n">
        <v>0.3375</v>
      </c>
    </row>
    <row r="557" customFormat="false" ht="35.05" hidden="false" customHeight="false" outlineLevel="0" collapsed="false">
      <c r="A557" s="503" t="s">
        <v>2979</v>
      </c>
      <c r="B557" s="0" t="n">
        <v>756</v>
      </c>
      <c r="C557" s="503" t="n">
        <v>110</v>
      </c>
      <c r="D557" s="503" t="s">
        <v>994</v>
      </c>
      <c r="E557" s="503" t="s">
        <v>445</v>
      </c>
      <c r="F557" s="503" t="s">
        <v>449</v>
      </c>
      <c r="G557" s="503" t="s">
        <v>1144</v>
      </c>
      <c r="H557" s="503" t="s">
        <v>904</v>
      </c>
      <c r="I557" s="503" t="s">
        <v>1435</v>
      </c>
      <c r="J557" s="504" t="n">
        <v>29290</v>
      </c>
      <c r="K557" s="504" t="n">
        <v>15490</v>
      </c>
      <c r="L557" s="505" t="n">
        <v>12</v>
      </c>
      <c r="M557" s="504" t="n">
        <v>13800</v>
      </c>
      <c r="N557" s="504" t="n">
        <v>12144</v>
      </c>
      <c r="O557" s="504" t="s">
        <v>417</v>
      </c>
      <c r="P557" s="505" t="s">
        <v>1146</v>
      </c>
      <c r="Q557" s="506" t="n">
        <v>45843</v>
      </c>
      <c r="R557" s="507" t="n">
        <v>0.737256944444445</v>
      </c>
    </row>
    <row r="558" customFormat="false" ht="35.05" hidden="false" customHeight="false" outlineLevel="0" collapsed="false">
      <c r="A558" s="503" t="s">
        <v>2980</v>
      </c>
      <c r="B558" s="0" t="n">
        <v>757</v>
      </c>
      <c r="C558" s="503" t="n">
        <v>111</v>
      </c>
      <c r="D558" s="503" t="s">
        <v>994</v>
      </c>
      <c r="E558" s="503" t="s">
        <v>1086</v>
      </c>
      <c r="F558" s="503" t="s">
        <v>1087</v>
      </c>
      <c r="G558" s="503" t="s">
        <v>1144</v>
      </c>
      <c r="H558" s="503" t="s">
        <v>904</v>
      </c>
      <c r="I558" s="503" t="s">
        <v>1435</v>
      </c>
      <c r="J558" s="504" t="n">
        <v>28420</v>
      </c>
      <c r="K558" s="504" t="n">
        <v>14850</v>
      </c>
      <c r="L558" s="505" t="n">
        <v>17</v>
      </c>
      <c r="M558" s="504" t="n">
        <v>13570</v>
      </c>
      <c r="N558" s="504" t="n">
        <v>11263.1</v>
      </c>
      <c r="O558" s="504" t="s">
        <v>417</v>
      </c>
      <c r="P558" s="505" t="s">
        <v>1147</v>
      </c>
      <c r="Q558" s="506" t="n">
        <v>45843</v>
      </c>
      <c r="R558" s="507" t="n">
        <v>0.738368055555556</v>
      </c>
    </row>
    <row r="559" customFormat="false" ht="35.05" hidden="false" customHeight="false" outlineLevel="0" collapsed="false">
      <c r="A559" s="503" t="s">
        <v>2981</v>
      </c>
      <c r="B559" s="0" t="n">
        <v>758</v>
      </c>
      <c r="C559" s="503" t="n">
        <v>112</v>
      </c>
      <c r="D559" s="503" t="s">
        <v>994</v>
      </c>
      <c r="E559" s="503" t="s">
        <v>547</v>
      </c>
      <c r="F559" s="503" t="s">
        <v>551</v>
      </c>
      <c r="G559" s="503" t="s">
        <v>1144</v>
      </c>
      <c r="H559" s="503" t="s">
        <v>904</v>
      </c>
      <c r="I559" s="503" t="s">
        <v>1435</v>
      </c>
      <c r="J559" s="504" t="n">
        <v>32110</v>
      </c>
      <c r="K559" s="504" t="n">
        <v>14780</v>
      </c>
      <c r="L559" s="505" t="n">
        <v>11.5</v>
      </c>
      <c r="M559" s="504" t="n">
        <v>17330</v>
      </c>
      <c r="N559" s="504" t="n">
        <v>15337</v>
      </c>
      <c r="O559" s="504" t="s">
        <v>417</v>
      </c>
      <c r="P559" s="505" t="s">
        <v>1148</v>
      </c>
      <c r="Q559" s="506" t="n">
        <v>45843</v>
      </c>
      <c r="R559" s="507" t="n">
        <v>0.857488425925926</v>
      </c>
    </row>
    <row r="560" customFormat="false" ht="35.05" hidden="false" customHeight="false" outlineLevel="0" collapsed="false">
      <c r="A560" s="503" t="s">
        <v>2982</v>
      </c>
      <c r="B560" s="0" t="n">
        <v>759</v>
      </c>
      <c r="C560" s="503" t="n">
        <v>113</v>
      </c>
      <c r="D560" s="503" t="s">
        <v>994</v>
      </c>
      <c r="E560" s="503" t="s">
        <v>451</v>
      </c>
      <c r="F560" s="503" t="s">
        <v>455</v>
      </c>
      <c r="G560" s="503" t="s">
        <v>995</v>
      </c>
      <c r="H560" s="503" t="s">
        <v>1058</v>
      </c>
      <c r="I560" s="503" t="s">
        <v>1435</v>
      </c>
      <c r="J560" s="504" t="n">
        <v>28250</v>
      </c>
      <c r="K560" s="504" t="n">
        <v>14960</v>
      </c>
      <c r="L560" s="505" t="n">
        <v>7.5</v>
      </c>
      <c r="M560" s="504" t="n">
        <v>13290</v>
      </c>
      <c r="N560" s="504" t="n">
        <v>12293.2</v>
      </c>
      <c r="O560" s="504" t="s">
        <v>746</v>
      </c>
      <c r="P560" s="505" t="s">
        <v>1149</v>
      </c>
      <c r="Q560" s="506" t="n">
        <v>45843</v>
      </c>
      <c r="R560" s="507" t="n">
        <v>0.998252314814815</v>
      </c>
    </row>
    <row r="561" customFormat="false" ht="35.05" hidden="false" customHeight="false" outlineLevel="0" collapsed="false">
      <c r="A561" s="503" t="s">
        <v>2983</v>
      </c>
      <c r="B561" s="0" t="n">
        <v>760</v>
      </c>
      <c r="C561" s="503" t="n">
        <v>114</v>
      </c>
      <c r="D561" s="503" t="s">
        <v>994</v>
      </c>
      <c r="E561" s="503" t="s">
        <v>1092</v>
      </c>
      <c r="F561" s="503" t="s">
        <v>1093</v>
      </c>
      <c r="G561" s="503" t="s">
        <v>995</v>
      </c>
      <c r="H561" s="503" t="s">
        <v>1058</v>
      </c>
      <c r="I561" s="503" t="s">
        <v>1435</v>
      </c>
      <c r="J561" s="504" t="n">
        <v>37540</v>
      </c>
      <c r="K561" s="504" t="n">
        <v>24370</v>
      </c>
      <c r="L561" s="505" t="n">
        <v>5.5</v>
      </c>
      <c r="M561" s="504" t="n">
        <v>13170</v>
      </c>
      <c r="N561" s="504" t="n">
        <v>12445.6</v>
      </c>
      <c r="O561" s="504" t="s">
        <v>886</v>
      </c>
      <c r="P561" s="505" t="s">
        <v>1150</v>
      </c>
      <c r="Q561" s="506" t="n">
        <v>45844</v>
      </c>
      <c r="R561" s="507" t="n">
        <v>0.0723032407407407</v>
      </c>
    </row>
    <row r="562" customFormat="false" ht="35.05" hidden="false" customHeight="false" outlineLevel="0" collapsed="false">
      <c r="A562" s="503" t="s">
        <v>2984</v>
      </c>
      <c r="B562" s="509" t="n">
        <v>761</v>
      </c>
      <c r="C562" s="503" t="n">
        <v>115</v>
      </c>
      <c r="D562" s="503" t="s">
        <v>994</v>
      </c>
      <c r="E562" s="503" t="s">
        <v>384</v>
      </c>
      <c r="F562" s="503" t="s">
        <v>385</v>
      </c>
      <c r="G562" s="503" t="s">
        <v>995</v>
      </c>
      <c r="H562" s="503" t="s">
        <v>1058</v>
      </c>
      <c r="I562" s="503" t="s">
        <v>1435</v>
      </c>
      <c r="J562" s="504" t="n">
        <v>27570</v>
      </c>
      <c r="K562" s="504" t="n">
        <v>14450</v>
      </c>
      <c r="L562" s="505" t="n">
        <v>7.5</v>
      </c>
      <c r="M562" s="504" t="n">
        <v>13120</v>
      </c>
      <c r="N562" s="504" t="n">
        <v>12136</v>
      </c>
      <c r="O562" s="504" t="s">
        <v>886</v>
      </c>
      <c r="P562" s="505" t="s">
        <v>1151</v>
      </c>
      <c r="Q562" s="506" t="n">
        <v>45844</v>
      </c>
      <c r="R562" s="507" t="n">
        <v>0.142777777777778</v>
      </c>
    </row>
    <row r="563" customFormat="false" ht="35.05" hidden="false" customHeight="false" outlineLevel="0" collapsed="false">
      <c r="A563" s="503" t="s">
        <v>2985</v>
      </c>
      <c r="B563" s="509" t="n">
        <v>762</v>
      </c>
      <c r="C563" s="503" t="n">
        <v>116</v>
      </c>
      <c r="D563" s="503" t="s">
        <v>994</v>
      </c>
      <c r="E563" s="503" t="s">
        <v>359</v>
      </c>
      <c r="F563" s="503" t="s">
        <v>426</v>
      </c>
      <c r="G563" s="503" t="s">
        <v>995</v>
      </c>
      <c r="H563" s="503" t="s">
        <v>1058</v>
      </c>
      <c r="I563" s="503" t="s">
        <v>1435</v>
      </c>
      <c r="J563" s="504" t="n">
        <v>27020</v>
      </c>
      <c r="K563" s="504" t="n">
        <v>13810</v>
      </c>
      <c r="L563" s="505" t="n">
        <v>8.5</v>
      </c>
      <c r="M563" s="504" t="n">
        <v>13210</v>
      </c>
      <c r="N563" s="504" t="n">
        <v>12087.1</v>
      </c>
      <c r="O563" s="504" t="s">
        <v>746</v>
      </c>
      <c r="P563" s="505" t="s">
        <v>1152</v>
      </c>
      <c r="Q563" s="506" t="n">
        <v>45844</v>
      </c>
      <c r="R563" s="507" t="n">
        <v>0.1996875</v>
      </c>
    </row>
    <row r="564" customFormat="false" ht="35.05" hidden="false" customHeight="false" outlineLevel="0" collapsed="false">
      <c r="A564" s="503" t="s">
        <v>2986</v>
      </c>
      <c r="B564" s="509" t="n">
        <v>763</v>
      </c>
      <c r="C564" s="503" t="n">
        <v>117</v>
      </c>
      <c r="D564" s="503" t="s">
        <v>994</v>
      </c>
      <c r="E564" s="503" t="s">
        <v>1095</v>
      </c>
      <c r="F564" s="503" t="s">
        <v>1096</v>
      </c>
      <c r="G564" s="503" t="s">
        <v>995</v>
      </c>
      <c r="H564" s="503" t="s">
        <v>1058</v>
      </c>
      <c r="I564" s="503" t="s">
        <v>1435</v>
      </c>
      <c r="J564" s="504" t="n">
        <v>28630</v>
      </c>
      <c r="K564" s="504" t="n">
        <v>15470</v>
      </c>
      <c r="L564" s="505" t="n">
        <v>7.5</v>
      </c>
      <c r="M564" s="504" t="n">
        <v>13160</v>
      </c>
      <c r="N564" s="504" t="n">
        <v>12173</v>
      </c>
      <c r="O564" s="504" t="s">
        <v>746</v>
      </c>
      <c r="P564" s="505" t="s">
        <v>1153</v>
      </c>
      <c r="Q564" s="506" t="n">
        <v>45844</v>
      </c>
      <c r="R564" s="507" t="n">
        <v>0.276828703703704</v>
      </c>
    </row>
    <row r="565" customFormat="false" ht="35.05" hidden="false" customHeight="false" outlineLevel="0" collapsed="false">
      <c r="A565" s="503" t="s">
        <v>2987</v>
      </c>
      <c r="B565" s="509" t="n">
        <v>764</v>
      </c>
      <c r="C565" s="503" t="n">
        <v>118</v>
      </c>
      <c r="D565" s="503" t="s">
        <v>994</v>
      </c>
      <c r="E565" s="503" t="s">
        <v>1113</v>
      </c>
      <c r="F565" s="503" t="s">
        <v>1114</v>
      </c>
      <c r="G565" s="503" t="s">
        <v>995</v>
      </c>
      <c r="H565" s="503" t="s">
        <v>1058</v>
      </c>
      <c r="I565" s="503" t="s">
        <v>1435</v>
      </c>
      <c r="J565" s="504" t="n">
        <v>28720</v>
      </c>
      <c r="K565" s="504" t="n">
        <v>15760</v>
      </c>
      <c r="L565" s="505" t="n">
        <v>8.5</v>
      </c>
      <c r="M565" s="504" t="n">
        <v>12960</v>
      </c>
      <c r="N565" s="504" t="n">
        <v>11858.4</v>
      </c>
      <c r="O565" s="504" t="s">
        <v>417</v>
      </c>
      <c r="P565" s="505" t="s">
        <v>1154</v>
      </c>
      <c r="Q565" s="506" t="n">
        <v>45844</v>
      </c>
      <c r="R565" s="507" t="n">
        <v>0.421377314814815</v>
      </c>
    </row>
    <row r="566" customFormat="false" ht="35.05" hidden="false" customHeight="false" outlineLevel="0" collapsed="false">
      <c r="A566" s="503" t="s">
        <v>2988</v>
      </c>
      <c r="B566" s="509" t="n">
        <v>765</v>
      </c>
      <c r="C566" s="503" t="n">
        <v>119</v>
      </c>
      <c r="D566" s="503" t="s">
        <v>994</v>
      </c>
      <c r="E566" s="503" t="s">
        <v>363</v>
      </c>
      <c r="F566" s="503" t="s">
        <v>364</v>
      </c>
      <c r="G566" s="503" t="s">
        <v>995</v>
      </c>
      <c r="H566" s="503" t="s">
        <v>1058</v>
      </c>
      <c r="I566" s="503" t="s">
        <v>1435</v>
      </c>
      <c r="J566" s="504" t="n">
        <v>27710</v>
      </c>
      <c r="K566" s="504" t="n">
        <v>14520</v>
      </c>
      <c r="L566" s="505" t="n">
        <v>12.5</v>
      </c>
      <c r="M566" s="504" t="n">
        <v>13190</v>
      </c>
      <c r="N566" s="504" t="n">
        <v>11541.2</v>
      </c>
      <c r="O566" s="504" t="s">
        <v>417</v>
      </c>
      <c r="P566" s="505" t="s">
        <v>1155</v>
      </c>
      <c r="Q566" s="506" t="n">
        <v>45844</v>
      </c>
      <c r="R566" s="507" t="n">
        <v>0.493009259259259</v>
      </c>
    </row>
    <row r="567" customFormat="false" ht="35.05" hidden="false" customHeight="false" outlineLevel="0" collapsed="false">
      <c r="A567" s="503" t="s">
        <v>2989</v>
      </c>
      <c r="B567" s="509" t="n">
        <v>766</v>
      </c>
      <c r="C567" s="503" t="n">
        <v>120</v>
      </c>
      <c r="D567" s="503" t="s">
        <v>994</v>
      </c>
      <c r="E567" s="503" t="s">
        <v>553</v>
      </c>
      <c r="F567" s="503" t="s">
        <v>557</v>
      </c>
      <c r="G567" s="503" t="s">
        <v>995</v>
      </c>
      <c r="H567" s="503" t="s">
        <v>1058</v>
      </c>
      <c r="I567" s="503" t="s">
        <v>1435</v>
      </c>
      <c r="J567" s="504" t="n">
        <v>28080</v>
      </c>
      <c r="K567" s="504" t="n">
        <v>14980</v>
      </c>
      <c r="L567" s="505" t="n">
        <v>8.5</v>
      </c>
      <c r="M567" s="504" t="n">
        <v>13100</v>
      </c>
      <c r="N567" s="504" t="n">
        <v>11986.5</v>
      </c>
      <c r="O567" s="504" t="s">
        <v>417</v>
      </c>
      <c r="P567" s="505" t="s">
        <v>1156</v>
      </c>
      <c r="Q567" s="506" t="n">
        <v>45844</v>
      </c>
      <c r="R567" s="507" t="n">
        <v>0.572962962962963</v>
      </c>
    </row>
    <row r="568" customFormat="false" ht="35.05" hidden="false" customHeight="false" outlineLevel="0" collapsed="false">
      <c r="A568" s="503" t="s">
        <v>2990</v>
      </c>
      <c r="B568" s="509" t="n">
        <v>767</v>
      </c>
      <c r="C568" s="503" t="n">
        <v>121</v>
      </c>
      <c r="D568" s="503" t="s">
        <v>994</v>
      </c>
      <c r="E568" s="503" t="s">
        <v>445</v>
      </c>
      <c r="F568" s="503" t="s">
        <v>449</v>
      </c>
      <c r="G568" s="503" t="s">
        <v>995</v>
      </c>
      <c r="H568" s="503" t="s">
        <v>1058</v>
      </c>
      <c r="I568" s="503" t="s">
        <v>1435</v>
      </c>
      <c r="J568" s="504" t="n">
        <v>29000</v>
      </c>
      <c r="K568" s="504" t="n">
        <v>15730</v>
      </c>
      <c r="L568" s="505" t="n">
        <v>12.5</v>
      </c>
      <c r="M568" s="504" t="n">
        <v>13270</v>
      </c>
      <c r="N568" s="504" t="n">
        <v>11611.2</v>
      </c>
      <c r="O568" s="504" t="s">
        <v>417</v>
      </c>
      <c r="P568" s="505" t="s">
        <v>1157</v>
      </c>
      <c r="Q568" s="506" t="n">
        <v>45844</v>
      </c>
      <c r="R568" s="507" t="n">
        <v>0.652777777777778</v>
      </c>
    </row>
    <row r="569" customFormat="false" ht="35.05" hidden="false" customHeight="false" outlineLevel="0" collapsed="false">
      <c r="A569" s="503" t="s">
        <v>2991</v>
      </c>
      <c r="B569" s="509" t="n">
        <v>769</v>
      </c>
      <c r="C569" s="503" t="n">
        <v>122</v>
      </c>
      <c r="D569" s="503" t="s">
        <v>994</v>
      </c>
      <c r="E569" s="503" t="s">
        <v>1086</v>
      </c>
      <c r="F569" s="503" t="s">
        <v>1087</v>
      </c>
      <c r="G569" s="503" t="s">
        <v>995</v>
      </c>
      <c r="H569" s="503" t="s">
        <v>1058</v>
      </c>
      <c r="I569" s="503" t="s">
        <v>1435</v>
      </c>
      <c r="J569" s="504" t="n">
        <v>28530</v>
      </c>
      <c r="K569" s="504" t="n">
        <v>15020</v>
      </c>
      <c r="L569" s="505" t="n">
        <v>9.5</v>
      </c>
      <c r="M569" s="504" t="n">
        <v>13510</v>
      </c>
      <c r="N569" s="504" t="n">
        <v>12226.5</v>
      </c>
      <c r="O569" s="504" t="s">
        <v>417</v>
      </c>
      <c r="P569" s="505" t="s">
        <v>1158</v>
      </c>
      <c r="Q569" s="506" t="n">
        <v>45844</v>
      </c>
      <c r="R569" s="507" t="n">
        <v>0.732465277777778</v>
      </c>
    </row>
    <row r="570" customFormat="false" ht="35.05" hidden="false" customHeight="false" outlineLevel="0" collapsed="false">
      <c r="A570" s="503" t="s">
        <v>2992</v>
      </c>
      <c r="B570" s="509" t="n">
        <v>770</v>
      </c>
      <c r="C570" s="503" t="n">
        <v>123</v>
      </c>
      <c r="D570" s="503" t="s">
        <v>994</v>
      </c>
      <c r="E570" s="503" t="s">
        <v>547</v>
      </c>
      <c r="F570" s="503" t="s">
        <v>551</v>
      </c>
      <c r="G570" s="503" t="s">
        <v>995</v>
      </c>
      <c r="H570" s="503" t="s">
        <v>1058</v>
      </c>
      <c r="I570" s="503" t="s">
        <v>1435</v>
      </c>
      <c r="J570" s="504" t="n">
        <v>28120</v>
      </c>
      <c r="K570" s="504" t="n">
        <v>14680</v>
      </c>
      <c r="L570" s="505" t="n">
        <v>9.5</v>
      </c>
      <c r="M570" s="504" t="n">
        <v>13440</v>
      </c>
      <c r="N570" s="504" t="n">
        <v>12163.2</v>
      </c>
      <c r="O570" s="504" t="s">
        <v>417</v>
      </c>
      <c r="P570" s="505" t="s">
        <v>1159</v>
      </c>
      <c r="Q570" s="506" t="n">
        <v>45844</v>
      </c>
      <c r="R570" s="507" t="n">
        <v>0.807094907407407</v>
      </c>
    </row>
    <row r="571" customFormat="false" ht="35.05" hidden="false" customHeight="false" outlineLevel="0" collapsed="false">
      <c r="A571" s="503" t="s">
        <v>2993</v>
      </c>
      <c r="B571" s="509" t="n">
        <v>771</v>
      </c>
      <c r="C571" s="503" t="n">
        <v>124</v>
      </c>
      <c r="D571" s="503" t="s">
        <v>994</v>
      </c>
      <c r="E571" s="503" t="s">
        <v>451</v>
      </c>
      <c r="F571" s="503" t="s">
        <v>455</v>
      </c>
      <c r="G571" s="503" t="s">
        <v>995</v>
      </c>
      <c r="H571" s="503" t="s">
        <v>1058</v>
      </c>
      <c r="I571" s="503" t="s">
        <v>1435</v>
      </c>
      <c r="J571" s="504" t="n">
        <v>28360</v>
      </c>
      <c r="K571" s="504" t="n">
        <v>14860</v>
      </c>
      <c r="L571" s="505" t="n">
        <v>10.5</v>
      </c>
      <c r="M571" s="504" t="n">
        <v>13500</v>
      </c>
      <c r="N571" s="504" t="n">
        <v>12082.5</v>
      </c>
      <c r="O571" s="504" t="s">
        <v>417</v>
      </c>
      <c r="P571" s="505" t="s">
        <v>1160</v>
      </c>
      <c r="Q571" s="506" t="n">
        <v>45844</v>
      </c>
      <c r="R571" s="507" t="n">
        <v>0.903321759259259</v>
      </c>
    </row>
    <row r="572" customFormat="false" ht="35.05" hidden="false" customHeight="false" outlineLevel="0" collapsed="false">
      <c r="A572" s="503" t="s">
        <v>2994</v>
      </c>
      <c r="B572" s="509" t="n">
        <v>772</v>
      </c>
      <c r="C572" s="503" t="n">
        <v>125</v>
      </c>
      <c r="D572" s="503" t="s">
        <v>994</v>
      </c>
      <c r="E572" s="503" t="s">
        <v>1092</v>
      </c>
      <c r="F572" s="503" t="s">
        <v>1093</v>
      </c>
      <c r="G572" s="503" t="s">
        <v>995</v>
      </c>
      <c r="H572" s="503" t="s">
        <v>1058</v>
      </c>
      <c r="I572" s="503" t="s">
        <v>1435</v>
      </c>
      <c r="J572" s="504" t="n">
        <v>37730</v>
      </c>
      <c r="K572" s="504" t="n">
        <v>24240</v>
      </c>
      <c r="L572" s="505" t="n">
        <v>8.5</v>
      </c>
      <c r="M572" s="504" t="n">
        <v>13490</v>
      </c>
      <c r="N572" s="504" t="n">
        <v>12343.3</v>
      </c>
      <c r="O572" s="504" t="s">
        <v>417</v>
      </c>
      <c r="P572" s="505" t="s">
        <v>1161</v>
      </c>
      <c r="Q572" s="506" t="n">
        <v>45844</v>
      </c>
      <c r="R572" s="507" t="n">
        <v>0.958090277777778</v>
      </c>
    </row>
    <row r="573" customFormat="false" ht="35.05" hidden="false" customHeight="false" outlineLevel="0" collapsed="false">
      <c r="A573" s="503" t="s">
        <v>2995</v>
      </c>
      <c r="B573" s="509" t="n">
        <v>773</v>
      </c>
      <c r="C573" s="503" t="n">
        <v>126</v>
      </c>
      <c r="D573" s="503" t="s">
        <v>994</v>
      </c>
      <c r="E573" s="503" t="s">
        <v>1095</v>
      </c>
      <c r="F573" s="503" t="s">
        <v>1096</v>
      </c>
      <c r="G573" s="503" t="s">
        <v>995</v>
      </c>
      <c r="H573" s="503" t="s">
        <v>1058</v>
      </c>
      <c r="I573" s="503" t="s">
        <v>1435</v>
      </c>
      <c r="J573" s="504" t="n">
        <v>29180</v>
      </c>
      <c r="K573" s="504" t="n">
        <v>15720</v>
      </c>
      <c r="L573" s="505" t="n">
        <v>11.5</v>
      </c>
      <c r="M573" s="504" t="n">
        <v>13460</v>
      </c>
      <c r="N573" s="504" t="n">
        <v>11912.1</v>
      </c>
      <c r="O573" s="504" t="s">
        <v>417</v>
      </c>
      <c r="P573" s="505" t="s">
        <v>1162</v>
      </c>
      <c r="Q573" s="506" t="n">
        <v>45844</v>
      </c>
      <c r="R573" s="507" t="n">
        <v>0.746273148148148</v>
      </c>
    </row>
    <row r="574" customFormat="false" ht="35.05" hidden="false" customHeight="false" outlineLevel="0" collapsed="false">
      <c r="A574" s="503" t="s">
        <v>2996</v>
      </c>
      <c r="B574" s="509" t="n">
        <v>774</v>
      </c>
      <c r="C574" s="503" t="n">
        <v>127</v>
      </c>
      <c r="D574" s="503" t="s">
        <v>994</v>
      </c>
      <c r="E574" s="503" t="s">
        <v>365</v>
      </c>
      <c r="F574" s="503" t="s">
        <v>373</v>
      </c>
      <c r="G574" s="503" t="s">
        <v>995</v>
      </c>
      <c r="H574" s="503" t="s">
        <v>1058</v>
      </c>
      <c r="I574" s="503" t="s">
        <v>1435</v>
      </c>
      <c r="J574" s="504" t="n">
        <v>29370</v>
      </c>
      <c r="K574" s="504" t="n">
        <v>15700</v>
      </c>
      <c r="L574" s="505" t="n">
        <v>12.5</v>
      </c>
      <c r="M574" s="504" t="n">
        <v>13670</v>
      </c>
      <c r="N574" s="504" t="n">
        <v>11961.2</v>
      </c>
      <c r="O574" s="504" t="s">
        <v>417</v>
      </c>
      <c r="P574" s="505" t="s">
        <v>1163</v>
      </c>
      <c r="Q574" s="506" t="n">
        <v>45844</v>
      </c>
      <c r="R574" s="507" t="n">
        <v>0.784328703703704</v>
      </c>
    </row>
    <row r="575" customFormat="false" ht="35.05" hidden="false" customHeight="false" outlineLevel="0" collapsed="false">
      <c r="A575" s="503" t="s">
        <v>2997</v>
      </c>
      <c r="B575" s="509" t="n">
        <v>775</v>
      </c>
      <c r="C575" s="503" t="n">
        <v>128</v>
      </c>
      <c r="D575" s="503" t="s">
        <v>994</v>
      </c>
      <c r="E575" s="503" t="s">
        <v>1113</v>
      </c>
      <c r="F575" s="503" t="s">
        <v>1114</v>
      </c>
      <c r="G575" s="503" t="s">
        <v>995</v>
      </c>
      <c r="H575" s="503" t="s">
        <v>1058</v>
      </c>
      <c r="I575" s="503" t="s">
        <v>1435</v>
      </c>
      <c r="J575" s="504" t="n">
        <v>29300</v>
      </c>
      <c r="K575" s="504" t="n">
        <v>15640</v>
      </c>
      <c r="L575" s="505" t="n">
        <v>15</v>
      </c>
      <c r="M575" s="504" t="n">
        <v>13660</v>
      </c>
      <c r="N575" s="512" t="n">
        <v>11611</v>
      </c>
      <c r="O575" s="504" t="s">
        <v>417</v>
      </c>
      <c r="P575" s="505" t="s">
        <v>1164</v>
      </c>
      <c r="Q575" s="506" t="n">
        <v>45844</v>
      </c>
      <c r="R575" s="507" t="n">
        <v>0.86380787037037</v>
      </c>
    </row>
    <row r="576" customFormat="false" ht="35.05" hidden="false" customHeight="false" outlineLevel="0" collapsed="false">
      <c r="A576" s="503" t="s">
        <v>2998</v>
      </c>
      <c r="B576" s="509" t="n">
        <v>776</v>
      </c>
      <c r="C576" s="503" t="n">
        <v>129</v>
      </c>
      <c r="D576" s="503" t="s">
        <v>994</v>
      </c>
      <c r="E576" s="503" t="s">
        <v>439</v>
      </c>
      <c r="F576" s="503" t="s">
        <v>443</v>
      </c>
      <c r="G576" s="503" t="s">
        <v>995</v>
      </c>
      <c r="H576" s="503" t="s">
        <v>1058</v>
      </c>
      <c r="I576" s="503" t="s">
        <v>1435</v>
      </c>
      <c r="J576" s="504" t="n">
        <v>39780</v>
      </c>
      <c r="K576" s="504" t="n">
        <v>24080</v>
      </c>
      <c r="L576" s="505" t="n">
        <v>10.5</v>
      </c>
      <c r="M576" s="504" t="n">
        <v>15700</v>
      </c>
      <c r="N576" s="512" t="n">
        <v>14051.5</v>
      </c>
      <c r="O576" s="504" t="s">
        <v>417</v>
      </c>
      <c r="P576" s="505" t="s">
        <v>1165</v>
      </c>
      <c r="Q576" s="506" t="n">
        <v>45844</v>
      </c>
      <c r="R576" s="507" t="n">
        <v>0.930706018518519</v>
      </c>
    </row>
    <row r="577" customFormat="false" ht="35.05" hidden="false" customHeight="false" outlineLevel="0" collapsed="false">
      <c r="A577" s="503" t="s">
        <v>2999</v>
      </c>
      <c r="B577" s="0" t="n">
        <v>777</v>
      </c>
      <c r="C577" s="503" t="n">
        <v>130</v>
      </c>
      <c r="D577" s="503" t="s">
        <v>994</v>
      </c>
      <c r="E577" s="503" t="s">
        <v>553</v>
      </c>
      <c r="F577" s="503" t="s">
        <v>557</v>
      </c>
      <c r="G577" s="503" t="s">
        <v>995</v>
      </c>
      <c r="H577" s="503" t="s">
        <v>1058</v>
      </c>
      <c r="I577" s="503" t="s">
        <v>1435</v>
      </c>
      <c r="J577" s="504" t="n">
        <v>25390</v>
      </c>
      <c r="K577" s="504" t="n">
        <v>14880</v>
      </c>
      <c r="L577" s="505" t="n">
        <v>12</v>
      </c>
      <c r="M577" s="504" t="n">
        <v>10510</v>
      </c>
      <c r="N577" s="504" t="n">
        <v>9248.8</v>
      </c>
      <c r="O577" s="504" t="s">
        <v>417</v>
      </c>
      <c r="P577" s="508" t="s">
        <v>1166</v>
      </c>
      <c r="Q577" s="506" t="n">
        <v>45844</v>
      </c>
      <c r="R577" s="507" t="n">
        <v>0.976134259259259</v>
      </c>
    </row>
    <row r="578" customFormat="false" ht="35.05" hidden="false" customHeight="false" outlineLevel="0" collapsed="false">
      <c r="A578" s="503" t="s">
        <v>3000</v>
      </c>
      <c r="B578" s="0" t="n">
        <v>785</v>
      </c>
      <c r="C578" s="503" t="n">
        <v>131</v>
      </c>
      <c r="D578" s="503" t="s">
        <v>994</v>
      </c>
      <c r="E578" s="503" t="s">
        <v>445</v>
      </c>
      <c r="F578" s="503" t="s">
        <v>449</v>
      </c>
      <c r="G578" s="503" t="s">
        <v>1144</v>
      </c>
      <c r="H578" s="503" t="s">
        <v>904</v>
      </c>
      <c r="I578" s="503" t="s">
        <v>1435</v>
      </c>
      <c r="J578" s="504" t="n">
        <v>29340</v>
      </c>
      <c r="K578" s="504" t="n">
        <v>15610</v>
      </c>
      <c r="L578" s="505" t="n">
        <v>7</v>
      </c>
      <c r="M578" s="504" t="n">
        <v>13730</v>
      </c>
      <c r="N578" s="504" t="n">
        <v>12768.9</v>
      </c>
      <c r="O578" s="504" t="s">
        <v>746</v>
      </c>
      <c r="P578" s="508" t="s">
        <v>1167</v>
      </c>
      <c r="Q578" s="506" t="n">
        <v>45846</v>
      </c>
      <c r="R578" s="507" t="n">
        <v>0.819409722222222</v>
      </c>
    </row>
    <row r="579" customFormat="false" ht="35.05" hidden="false" customHeight="false" outlineLevel="0" collapsed="false">
      <c r="A579" s="503" t="s">
        <v>3001</v>
      </c>
      <c r="B579" s="0" t="n">
        <v>786</v>
      </c>
      <c r="C579" s="503" t="n">
        <v>132</v>
      </c>
      <c r="D579" s="503" t="s">
        <v>994</v>
      </c>
      <c r="E579" s="503" t="s">
        <v>1086</v>
      </c>
      <c r="F579" s="503" t="s">
        <v>1087</v>
      </c>
      <c r="G579" s="503" t="s">
        <v>1144</v>
      </c>
      <c r="H579" s="503" t="s">
        <v>904</v>
      </c>
      <c r="I579" s="503" t="s">
        <v>1435</v>
      </c>
      <c r="J579" s="504" t="n">
        <v>28240</v>
      </c>
      <c r="K579" s="504" t="n">
        <v>14910</v>
      </c>
      <c r="L579" s="505" t="n">
        <v>12.5</v>
      </c>
      <c r="M579" s="504" t="n">
        <v>13330</v>
      </c>
      <c r="N579" s="504" t="n">
        <v>11663.7</v>
      </c>
      <c r="O579" s="504" t="s">
        <v>417</v>
      </c>
      <c r="P579" s="508" t="s">
        <v>1169</v>
      </c>
      <c r="Q579" s="506" t="n">
        <v>45846</v>
      </c>
      <c r="R579" s="507" t="n">
        <v>0.866412037037037</v>
      </c>
    </row>
    <row r="580" customFormat="false" ht="35.05" hidden="false" customHeight="false" outlineLevel="0" collapsed="false">
      <c r="A580" s="503" t="s">
        <v>3002</v>
      </c>
      <c r="B580" s="0" t="n">
        <v>787</v>
      </c>
      <c r="C580" s="503" t="n">
        <v>133</v>
      </c>
      <c r="D580" s="503" t="s">
        <v>994</v>
      </c>
      <c r="E580" s="503" t="s">
        <v>547</v>
      </c>
      <c r="F580" s="503" t="s">
        <v>551</v>
      </c>
      <c r="G580" s="503" t="s">
        <v>1144</v>
      </c>
      <c r="H580" s="503" t="s">
        <v>904</v>
      </c>
      <c r="I580" s="503" t="s">
        <v>1435</v>
      </c>
      <c r="J580" s="504" t="n">
        <v>28220</v>
      </c>
      <c r="K580" s="504" t="n">
        <v>14770</v>
      </c>
      <c r="L580" s="505" t="n">
        <v>9.5</v>
      </c>
      <c r="M580" s="504" t="n">
        <v>13450</v>
      </c>
      <c r="N580" s="504" t="n">
        <v>12172.2</v>
      </c>
      <c r="O580" s="504" t="s">
        <v>417</v>
      </c>
      <c r="P580" s="508" t="s">
        <v>1170</v>
      </c>
      <c r="Q580" s="506" t="n">
        <v>45846</v>
      </c>
      <c r="R580" s="507" t="n">
        <v>0.916331018518519</v>
      </c>
    </row>
    <row r="581" customFormat="false" ht="35.05" hidden="false" customHeight="false" outlineLevel="0" collapsed="false">
      <c r="A581" s="503" t="s">
        <v>3003</v>
      </c>
      <c r="B581" s="0" t="n">
        <v>788</v>
      </c>
      <c r="C581" s="503" t="n">
        <v>134</v>
      </c>
      <c r="D581" s="503" t="s">
        <v>994</v>
      </c>
      <c r="E581" s="503" t="s">
        <v>451</v>
      </c>
      <c r="F581" s="503" t="s">
        <v>455</v>
      </c>
      <c r="G581" s="503" t="s">
        <v>1144</v>
      </c>
      <c r="H581" s="503" t="s">
        <v>904</v>
      </c>
      <c r="I581" s="503" t="s">
        <v>1435</v>
      </c>
      <c r="J581" s="504" t="n">
        <v>27930</v>
      </c>
      <c r="K581" s="504" t="n">
        <v>15000</v>
      </c>
      <c r="L581" s="505" t="n">
        <v>15.5</v>
      </c>
      <c r="M581" s="504" t="n">
        <v>12930</v>
      </c>
      <c r="N581" s="504" t="n">
        <v>10925.8</v>
      </c>
      <c r="O581" s="504" t="s">
        <v>417</v>
      </c>
      <c r="P581" s="508" t="s">
        <v>1171</v>
      </c>
      <c r="Q581" s="506" t="n">
        <v>45847</v>
      </c>
      <c r="R581" s="507" t="n">
        <v>0.0798263888888889</v>
      </c>
    </row>
    <row r="582" customFormat="false" ht="35.05" hidden="false" customHeight="false" outlineLevel="0" collapsed="false">
      <c r="A582" s="503" t="s">
        <v>3004</v>
      </c>
      <c r="B582" s="0" t="n">
        <v>789</v>
      </c>
      <c r="C582" s="503" t="n">
        <v>135</v>
      </c>
      <c r="D582" s="503" t="s">
        <v>994</v>
      </c>
      <c r="E582" s="503" t="s">
        <v>1092</v>
      </c>
      <c r="F582" s="503" t="s">
        <v>1093</v>
      </c>
      <c r="G582" s="503" t="s">
        <v>1144</v>
      </c>
      <c r="H582" s="503" t="s">
        <v>904</v>
      </c>
      <c r="I582" s="503" t="s">
        <v>1435</v>
      </c>
      <c r="J582" s="504" t="n">
        <v>37350</v>
      </c>
      <c r="K582" s="504" t="n">
        <v>24190</v>
      </c>
      <c r="L582" s="505" t="n">
        <v>14.5</v>
      </c>
      <c r="M582" s="504" t="n">
        <v>13160</v>
      </c>
      <c r="N582" s="504" t="n">
        <v>11251.8</v>
      </c>
      <c r="O582" s="504" t="s">
        <v>746</v>
      </c>
      <c r="P582" s="508" t="s">
        <v>1172</v>
      </c>
      <c r="Q582" s="506" t="n">
        <v>45847</v>
      </c>
      <c r="R582" s="507" t="n">
        <v>0.186550925925926</v>
      </c>
    </row>
    <row r="583" customFormat="false" ht="35.05" hidden="false" customHeight="false" outlineLevel="0" collapsed="false">
      <c r="A583" s="503" t="s">
        <v>3005</v>
      </c>
      <c r="B583" s="0" t="n">
        <v>790</v>
      </c>
      <c r="C583" s="503" t="n">
        <v>137</v>
      </c>
      <c r="D583" s="503" t="s">
        <v>994</v>
      </c>
      <c r="E583" s="503" t="s">
        <v>359</v>
      </c>
      <c r="F583" s="503" t="s">
        <v>426</v>
      </c>
      <c r="G583" s="503" t="s">
        <v>1144</v>
      </c>
      <c r="H583" s="503" t="s">
        <v>904</v>
      </c>
      <c r="I583" s="503" t="s">
        <v>1435</v>
      </c>
      <c r="J583" s="504" t="n">
        <v>26940</v>
      </c>
      <c r="K583" s="504" t="n">
        <v>13810</v>
      </c>
      <c r="L583" s="505" t="n">
        <v>15.5</v>
      </c>
      <c r="M583" s="504" t="n">
        <v>13130</v>
      </c>
      <c r="N583" s="504" t="n">
        <v>11094.8</v>
      </c>
      <c r="O583" s="504" t="s">
        <v>746</v>
      </c>
      <c r="P583" s="508" t="s">
        <v>1173</v>
      </c>
      <c r="Q583" s="506" t="n">
        <v>45847</v>
      </c>
      <c r="R583" s="507" t="n">
        <v>0.18775462962963</v>
      </c>
    </row>
    <row r="584" customFormat="false" ht="35.05" hidden="false" customHeight="false" outlineLevel="0" collapsed="false">
      <c r="A584" s="503" t="s">
        <v>3006</v>
      </c>
      <c r="B584" s="0" t="n">
        <v>791</v>
      </c>
      <c r="C584" s="503" t="n">
        <v>136</v>
      </c>
      <c r="D584" s="503" t="s">
        <v>994</v>
      </c>
      <c r="E584" s="503" t="s">
        <v>363</v>
      </c>
      <c r="F584" s="503" t="s">
        <v>364</v>
      </c>
      <c r="G584" s="503" t="s">
        <v>1144</v>
      </c>
      <c r="H584" s="503" t="s">
        <v>1175</v>
      </c>
      <c r="I584" s="503" t="s">
        <v>1435</v>
      </c>
      <c r="J584" s="504" t="n">
        <v>27500</v>
      </c>
      <c r="K584" s="504" t="n">
        <v>14560</v>
      </c>
      <c r="L584" s="505" t="n">
        <v>10.5</v>
      </c>
      <c r="M584" s="504" t="n">
        <v>12940</v>
      </c>
      <c r="N584" s="504" t="n">
        <v>11581.3</v>
      </c>
      <c r="O584" s="504" t="s">
        <v>746</v>
      </c>
      <c r="P584" s="508" t="s">
        <v>1174</v>
      </c>
      <c r="Q584" s="506" t="n">
        <v>45847</v>
      </c>
      <c r="R584" s="507" t="n">
        <v>0.306018518518519</v>
      </c>
    </row>
    <row r="585" customFormat="false" ht="35.05" hidden="false" customHeight="false" outlineLevel="0" collapsed="false">
      <c r="A585" s="503" t="s">
        <v>3007</v>
      </c>
      <c r="B585" s="0" t="n">
        <v>792</v>
      </c>
      <c r="C585" s="503" t="n">
        <v>138</v>
      </c>
      <c r="D585" s="503" t="s">
        <v>994</v>
      </c>
      <c r="E585" s="503" t="s">
        <v>365</v>
      </c>
      <c r="F585" s="503" t="s">
        <v>373</v>
      </c>
      <c r="G585" s="503" t="s">
        <v>1144</v>
      </c>
      <c r="H585" s="503" t="s">
        <v>1175</v>
      </c>
      <c r="I585" s="503" t="s">
        <v>1435</v>
      </c>
      <c r="J585" s="504" t="n">
        <v>28780</v>
      </c>
      <c r="K585" s="504" t="n">
        <v>15730</v>
      </c>
      <c r="L585" s="505" t="n">
        <v>7.5</v>
      </c>
      <c r="M585" s="504" t="n">
        <v>13050</v>
      </c>
      <c r="N585" s="504" t="n">
        <v>12071.2</v>
      </c>
      <c r="O585" s="504" t="s">
        <v>746</v>
      </c>
      <c r="P585" s="508" t="s">
        <v>1176</v>
      </c>
      <c r="Q585" s="506" t="n">
        <v>45847</v>
      </c>
      <c r="R585" s="507" t="n">
        <v>0.41462962962963</v>
      </c>
    </row>
    <row r="586" customFormat="false" ht="35.05" hidden="false" customHeight="false" outlineLevel="0" collapsed="false">
      <c r="A586" s="503" t="s">
        <v>3008</v>
      </c>
      <c r="B586" s="0" t="n">
        <v>793</v>
      </c>
      <c r="C586" s="503" t="n">
        <v>139</v>
      </c>
      <c r="D586" s="503" t="s">
        <v>994</v>
      </c>
      <c r="E586" s="503" t="s">
        <v>384</v>
      </c>
      <c r="F586" s="503" t="s">
        <v>385</v>
      </c>
      <c r="G586" s="503" t="s">
        <v>1144</v>
      </c>
      <c r="H586" s="503" t="s">
        <v>1175</v>
      </c>
      <c r="I586" s="503" t="s">
        <v>1435</v>
      </c>
      <c r="J586" s="504" t="n">
        <v>27400</v>
      </c>
      <c r="K586" s="504" t="n">
        <v>14420</v>
      </c>
      <c r="L586" s="505" t="n">
        <v>12.5</v>
      </c>
      <c r="M586" s="504" t="n">
        <v>12980</v>
      </c>
      <c r="N586" s="504" t="n">
        <v>11357.5</v>
      </c>
      <c r="O586" s="504" t="s">
        <v>886</v>
      </c>
      <c r="P586" s="508" t="s">
        <v>1177</v>
      </c>
      <c r="Q586" s="506" t="n">
        <v>45847</v>
      </c>
      <c r="R586" s="507" t="n">
        <v>0.47650462962963</v>
      </c>
    </row>
    <row r="587" customFormat="false" ht="35.05" hidden="false" customHeight="false" outlineLevel="0" collapsed="false">
      <c r="A587" s="503" t="s">
        <v>3009</v>
      </c>
      <c r="B587" s="0" t="n">
        <v>795</v>
      </c>
      <c r="C587" s="503" t="n">
        <v>140</v>
      </c>
      <c r="D587" s="503" t="s">
        <v>994</v>
      </c>
      <c r="E587" s="503" t="s">
        <v>382</v>
      </c>
      <c r="F587" s="503" t="s">
        <v>383</v>
      </c>
      <c r="G587" s="503" t="s">
        <v>1144</v>
      </c>
      <c r="H587" s="503" t="s">
        <v>1175</v>
      </c>
      <c r="I587" s="503" t="s">
        <v>1435</v>
      </c>
      <c r="J587" s="504" t="n">
        <v>28010</v>
      </c>
      <c r="K587" s="504" t="n">
        <v>14870</v>
      </c>
      <c r="L587" s="505" t="n">
        <v>8.5</v>
      </c>
      <c r="M587" s="504" t="n">
        <v>13140</v>
      </c>
      <c r="N587" s="504" t="n">
        <v>12023.1</v>
      </c>
      <c r="O587" s="504" t="s">
        <v>746</v>
      </c>
      <c r="P587" s="508" t="s">
        <v>1178</v>
      </c>
      <c r="Q587" s="506" t="n">
        <v>45847</v>
      </c>
      <c r="R587" s="507" t="n">
        <v>0.545011574074074</v>
      </c>
    </row>
    <row r="588" s="515" customFormat="true" ht="35.05" hidden="false" customHeight="false" outlineLevel="0" collapsed="false">
      <c r="A588" s="514" t="s">
        <v>3010</v>
      </c>
      <c r="B588" s="515" t="n">
        <v>796</v>
      </c>
      <c r="C588" s="514" t="n">
        <v>140</v>
      </c>
      <c r="D588" s="514" t="s">
        <v>994</v>
      </c>
      <c r="E588" s="514" t="s">
        <v>445</v>
      </c>
      <c r="F588" s="514" t="s">
        <v>449</v>
      </c>
      <c r="G588" s="514" t="s">
        <v>1144</v>
      </c>
      <c r="H588" s="514" t="s">
        <v>1175</v>
      </c>
      <c r="I588" s="514" t="s">
        <v>1435</v>
      </c>
      <c r="J588" s="516" t="n">
        <v>29040</v>
      </c>
      <c r="K588" s="516" t="n">
        <v>15510</v>
      </c>
      <c r="L588" s="517" t="n">
        <v>7.5</v>
      </c>
      <c r="M588" s="516" t="n">
        <v>13530</v>
      </c>
      <c r="N588" s="516" t="n">
        <v>12515.2</v>
      </c>
      <c r="O588" s="516" t="s">
        <v>886</v>
      </c>
      <c r="P588" s="518" t="s">
        <v>1179</v>
      </c>
      <c r="Q588" s="519" t="n">
        <v>45847</v>
      </c>
      <c r="R588" s="520" t="n">
        <v>0.590752314814815</v>
      </c>
    </row>
    <row r="589" s="515" customFormat="true" ht="35.05" hidden="false" customHeight="false" outlineLevel="0" collapsed="false">
      <c r="A589" s="514" t="s">
        <v>3011</v>
      </c>
      <c r="B589" s="515" t="n">
        <v>799</v>
      </c>
      <c r="C589" s="514" t="n">
        <v>143</v>
      </c>
      <c r="D589" s="514" t="s">
        <v>994</v>
      </c>
      <c r="E589" s="514" t="s">
        <v>439</v>
      </c>
      <c r="F589" s="514" t="s">
        <v>443</v>
      </c>
      <c r="G589" s="514" t="s">
        <v>1144</v>
      </c>
      <c r="H589" s="514" t="s">
        <v>1175</v>
      </c>
      <c r="I589" s="514" t="s">
        <v>1435</v>
      </c>
      <c r="J589" s="516" t="n">
        <v>37250</v>
      </c>
      <c r="K589" s="516" t="n">
        <v>24060</v>
      </c>
      <c r="L589" s="517" t="n">
        <v>7.5</v>
      </c>
      <c r="M589" s="516" t="n">
        <v>13190</v>
      </c>
      <c r="N589" s="516" t="n">
        <v>12200.7</v>
      </c>
      <c r="O589" s="516" t="s">
        <v>886</v>
      </c>
      <c r="P589" s="518" t="s">
        <v>1180</v>
      </c>
      <c r="Q589" s="519" t="n">
        <v>45847</v>
      </c>
      <c r="R589" s="520" t="n">
        <v>0.757013888888889</v>
      </c>
    </row>
    <row r="590" s="515" customFormat="true" ht="35.05" hidden="false" customHeight="false" outlineLevel="0" collapsed="false">
      <c r="A590" s="514" t="s">
        <v>3012</v>
      </c>
      <c r="B590" s="515" t="n">
        <v>800</v>
      </c>
      <c r="C590" s="514" t="n">
        <v>144</v>
      </c>
      <c r="D590" s="514" t="s">
        <v>994</v>
      </c>
      <c r="E590" s="514" t="s">
        <v>361</v>
      </c>
      <c r="F590" s="514" t="s">
        <v>362</v>
      </c>
      <c r="G590" s="514" t="s">
        <v>1144</v>
      </c>
      <c r="H590" s="514" t="s">
        <v>1175</v>
      </c>
      <c r="I590" s="514" t="s">
        <v>1435</v>
      </c>
      <c r="J590" s="516" t="n">
        <v>27910</v>
      </c>
      <c r="K590" s="516" t="n">
        <v>15020</v>
      </c>
      <c r="L590" s="517" t="n">
        <v>9.5</v>
      </c>
      <c r="M590" s="516" t="n">
        <v>12890</v>
      </c>
      <c r="N590" s="516" t="n">
        <v>11665.4</v>
      </c>
      <c r="O590" s="516" t="s">
        <v>886</v>
      </c>
      <c r="P590" s="518" t="s">
        <v>1181</v>
      </c>
      <c r="Q590" s="519" t="n">
        <v>45847</v>
      </c>
      <c r="R590" s="520" t="n">
        <v>0.815625</v>
      </c>
    </row>
    <row r="591" s="515" customFormat="true" ht="35.05" hidden="false" customHeight="false" outlineLevel="0" collapsed="false">
      <c r="A591" s="514" t="s">
        <v>3013</v>
      </c>
      <c r="B591" s="515" t="n">
        <v>801</v>
      </c>
      <c r="C591" s="514" t="n">
        <v>141</v>
      </c>
      <c r="D591" s="514" t="s">
        <v>994</v>
      </c>
      <c r="E591" s="514" t="s">
        <v>1086</v>
      </c>
      <c r="F591" s="514" t="s">
        <v>1087</v>
      </c>
      <c r="G591" s="514" t="s">
        <v>1144</v>
      </c>
      <c r="H591" s="514" t="s">
        <v>1175</v>
      </c>
      <c r="I591" s="514" t="s">
        <v>1435</v>
      </c>
      <c r="J591" s="516" t="n">
        <v>27130</v>
      </c>
      <c r="K591" s="516" t="n">
        <v>14830</v>
      </c>
      <c r="L591" s="517" t="n">
        <v>25.5</v>
      </c>
      <c r="M591" s="516" t="n">
        <v>12300</v>
      </c>
      <c r="N591" s="516" t="n">
        <v>9163.5</v>
      </c>
      <c r="O591" s="516" t="s">
        <v>746</v>
      </c>
      <c r="P591" s="518" t="s">
        <v>1182</v>
      </c>
      <c r="Q591" s="519" t="n">
        <v>45847</v>
      </c>
      <c r="R591" s="520" t="n">
        <v>0.946724537037037</v>
      </c>
    </row>
    <row r="592" s="515" customFormat="true" ht="35.05" hidden="false" customHeight="false" outlineLevel="0" collapsed="false">
      <c r="A592" s="514" t="s">
        <v>3014</v>
      </c>
      <c r="B592" s="515" t="n">
        <v>802</v>
      </c>
      <c r="C592" s="514" t="n">
        <v>147</v>
      </c>
      <c r="D592" s="514" t="s">
        <v>994</v>
      </c>
      <c r="E592" s="514" t="s">
        <v>547</v>
      </c>
      <c r="F592" s="514" t="s">
        <v>551</v>
      </c>
      <c r="G592" s="514" t="s">
        <v>1144</v>
      </c>
      <c r="H592" s="514" t="s">
        <v>1175</v>
      </c>
      <c r="I592" s="514" t="s">
        <v>1435</v>
      </c>
      <c r="J592" s="516" t="n">
        <v>26390</v>
      </c>
      <c r="K592" s="516" t="n">
        <v>14500</v>
      </c>
      <c r="L592" s="517" t="n">
        <v>11.5</v>
      </c>
      <c r="M592" s="516" t="n">
        <v>11890</v>
      </c>
      <c r="N592" s="516" t="n">
        <v>10522.6</v>
      </c>
      <c r="O592" s="516" t="s">
        <v>746</v>
      </c>
      <c r="P592" s="518" t="s">
        <v>1183</v>
      </c>
      <c r="Q592" s="519" t="n">
        <v>45848</v>
      </c>
      <c r="R592" s="520" t="n">
        <v>0.0862384259259259</v>
      </c>
    </row>
    <row r="593" s="515" customFormat="true" ht="35.05" hidden="false" customHeight="false" outlineLevel="0" collapsed="false">
      <c r="A593" s="514" t="s">
        <v>3015</v>
      </c>
      <c r="B593" s="515" t="n">
        <v>803</v>
      </c>
      <c r="C593" s="514" t="n">
        <v>145</v>
      </c>
      <c r="D593" s="514" t="s">
        <v>994</v>
      </c>
      <c r="E593" s="514" t="s">
        <v>451</v>
      </c>
      <c r="F593" s="514" t="s">
        <v>455</v>
      </c>
      <c r="G593" s="514" t="s">
        <v>1144</v>
      </c>
      <c r="H593" s="514" t="s">
        <v>1175</v>
      </c>
      <c r="I593" s="514" t="s">
        <v>1435</v>
      </c>
      <c r="J593" s="516" t="n">
        <v>26950</v>
      </c>
      <c r="K593" s="516" t="n">
        <v>14890</v>
      </c>
      <c r="L593" s="517" t="n">
        <v>16.5</v>
      </c>
      <c r="M593" s="516" t="n">
        <v>12060</v>
      </c>
      <c r="N593" s="516" t="n">
        <v>10070.1</v>
      </c>
      <c r="O593" s="516" t="s">
        <v>886</v>
      </c>
      <c r="P593" s="518" t="s">
        <v>1184</v>
      </c>
      <c r="Q593" s="519" t="n">
        <v>45848</v>
      </c>
      <c r="R593" s="520" t="n">
        <v>0.237615740740741</v>
      </c>
    </row>
    <row r="594" s="515" customFormat="true" ht="35.05" hidden="false" customHeight="false" outlineLevel="0" collapsed="false">
      <c r="A594" s="514" t="s">
        <v>3016</v>
      </c>
      <c r="B594" s="515" t="n">
        <v>804</v>
      </c>
      <c r="C594" s="514" t="n">
        <v>146</v>
      </c>
      <c r="D594" s="514" t="s">
        <v>994</v>
      </c>
      <c r="E594" s="514" t="s">
        <v>1092</v>
      </c>
      <c r="F594" s="514" t="s">
        <v>1093</v>
      </c>
      <c r="G594" s="514" t="s">
        <v>1144</v>
      </c>
      <c r="H594" s="514" t="s">
        <v>1175</v>
      </c>
      <c r="I594" s="514" t="s">
        <v>1435</v>
      </c>
      <c r="J594" s="516" t="n">
        <v>38830</v>
      </c>
      <c r="K594" s="516" t="n">
        <v>24310</v>
      </c>
      <c r="L594" s="517" t="n">
        <v>26</v>
      </c>
      <c r="M594" s="516" t="n">
        <v>14520</v>
      </c>
      <c r="N594" s="516" t="n">
        <v>10744.8</v>
      </c>
      <c r="O594" s="516" t="s">
        <v>746</v>
      </c>
      <c r="P594" s="518" t="s">
        <v>1185</v>
      </c>
      <c r="Q594" s="519" t="n">
        <v>45848</v>
      </c>
      <c r="R594" s="520" t="n">
        <v>0.422337962962963</v>
      </c>
    </row>
    <row r="595" customFormat="false" ht="15" hidden="false" customHeight="false" outlineLevel="0" collapsed="false">
      <c r="A595" s="503"/>
      <c r="C595" s="503"/>
      <c r="D595" s="503"/>
      <c r="E595" s="503"/>
      <c r="F595" s="503"/>
      <c r="G595" s="503"/>
      <c r="H595" s="503"/>
      <c r="I595" s="503"/>
      <c r="J595" s="504"/>
      <c r="K595" s="504"/>
      <c r="L595" s="505"/>
      <c r="M595" s="504" t="n">
        <f aca="false">SUBTOTAL(109,Таблица57[Вес нетто])</f>
        <v>7098140</v>
      </c>
      <c r="N595" s="504" t="n">
        <f aca="false">SUBTOTAL(109,Таблица57[Зачетный вес])</f>
        <v>6087068.5</v>
      </c>
      <c r="O595" s="504"/>
      <c r="P595" s="50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Неезжалова Анастасия Викторовна</dc:creator>
  <dc:description/>
  <dc:language>ru-RU</dc:language>
  <cp:lastModifiedBy/>
  <cp:lastPrinted>2025-07-17T11:56:46Z</cp:lastPrinted>
  <dcterms:modified xsi:type="dcterms:W3CDTF">2026-06-10T13:30:40Z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